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BPRM_WOM\Rządowy Fundusz Rozwoju Dróg\2026\Listy - po zmianach MI podział rezerwy\Wersja do podpisu\"/>
    </mc:Choice>
  </mc:AlternateContent>
  <bookViews>
    <workbookView xWindow="0" yWindow="0" windowWidth="28800" windowHeight="11805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podst'!$O$2:$Z$95</definedName>
    <definedName name="_xlnm._FilterDatabase" localSheetId="4" hidden="1">'gm rez'!$A$1:$AD$41</definedName>
    <definedName name="_xlnm._FilterDatabase" localSheetId="1" hidden="1">'pow podst'!$A$1:$Y$68</definedName>
    <definedName name="_xlnm._FilterDatabase" localSheetId="3" hidden="1">'pow rez'!$A$1:$AC$35</definedName>
    <definedName name="_xlnm.Print_Area" localSheetId="2">'gm podst'!$A$1:$Z$101</definedName>
    <definedName name="_xlnm.Print_Area" localSheetId="4">'gm rez'!$A$1:$Z$46</definedName>
    <definedName name="_xlnm.Print_Area" localSheetId="1">'pow podst'!$A$1:$Y$75</definedName>
    <definedName name="_xlnm.Print_Area" localSheetId="3">'pow rez'!$A$1:$Y$41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84" i="5" l="1"/>
  <c r="AB84" i="5"/>
  <c r="AC84" i="5" s="1"/>
  <c r="AA85" i="5"/>
  <c r="AB85" i="5"/>
  <c r="AC85" i="5"/>
  <c r="AD85" i="5"/>
  <c r="AA86" i="5"/>
  <c r="AB86" i="5"/>
  <c r="AC86" i="5"/>
  <c r="AD86" i="5"/>
  <c r="AA87" i="5"/>
  <c r="AB87" i="5"/>
  <c r="AC87" i="5"/>
  <c r="AD87" i="5"/>
  <c r="AA88" i="5"/>
  <c r="AB88" i="5"/>
  <c r="AC88" i="5"/>
  <c r="AD88" i="5"/>
  <c r="AA89" i="5"/>
  <c r="AB89" i="5"/>
  <c r="AC89" i="5"/>
  <c r="AD89" i="5"/>
  <c r="AA90" i="5"/>
  <c r="AB90" i="5"/>
  <c r="AC90" i="5"/>
  <c r="AD90" i="5"/>
  <c r="L90" i="5"/>
  <c r="V90" i="5" s="1"/>
  <c r="L89" i="5"/>
  <c r="V89" i="5" s="1"/>
  <c r="L88" i="5"/>
  <c r="V88" i="5" s="1"/>
  <c r="L87" i="5"/>
  <c r="V87" i="5" s="1"/>
  <c r="L86" i="5"/>
  <c r="V86" i="5" s="1"/>
  <c r="Z63" i="3"/>
  <c r="AA63" i="3"/>
  <c r="AB63" i="3"/>
  <c r="AC63" i="3"/>
  <c r="L85" i="5"/>
  <c r="V85" i="5" s="1"/>
  <c r="L84" i="5"/>
  <c r="V84" i="5" s="1"/>
  <c r="K63" i="3"/>
  <c r="U63" i="3" s="1"/>
  <c r="L68" i="5"/>
  <c r="M68" i="5" s="1"/>
  <c r="L67" i="5"/>
  <c r="M90" i="5" l="1"/>
  <c r="M89" i="5"/>
  <c r="M88" i="5"/>
  <c r="M87" i="5"/>
  <c r="M86" i="5"/>
  <c r="M85" i="5"/>
  <c r="M84" i="5"/>
  <c r="AD84" i="5" s="1"/>
  <c r="L63" i="3"/>
  <c r="AB68" i="5"/>
  <c r="AC68" i="5" s="1"/>
  <c r="V68" i="5"/>
  <c r="AA68" i="5" s="1"/>
  <c r="AD68" i="5"/>
  <c r="R65" i="3"/>
  <c r="L38" i="6"/>
  <c r="W13" i="6"/>
  <c r="V13" i="6"/>
  <c r="X28" i="4" l="1"/>
  <c r="X32" i="4"/>
  <c r="V6" i="4"/>
  <c r="W10" i="6"/>
  <c r="L4" i="6"/>
  <c r="M4" i="6" s="1"/>
  <c r="L5" i="6"/>
  <c r="M5" i="6" s="1"/>
  <c r="L6" i="6"/>
  <c r="M6" i="6" s="1"/>
  <c r="L7" i="6"/>
  <c r="M7" i="6" s="1"/>
  <c r="L8" i="6"/>
  <c r="M8" i="6" s="1"/>
  <c r="L9" i="6"/>
  <c r="M9" i="6" s="1"/>
  <c r="L10" i="6"/>
  <c r="M10" i="6" s="1"/>
  <c r="L11" i="6"/>
  <c r="M11" i="6" s="1"/>
  <c r="L12" i="6"/>
  <c r="M12" i="6" s="1"/>
  <c r="L13" i="6"/>
  <c r="M13" i="6" s="1"/>
  <c r="L14" i="6"/>
  <c r="M14" i="6" s="1"/>
  <c r="L15" i="6"/>
  <c r="M15" i="6" s="1"/>
  <c r="L16" i="6"/>
  <c r="M16" i="6" s="1"/>
  <c r="L17" i="6"/>
  <c r="M17" i="6" s="1"/>
  <c r="L18" i="6"/>
  <c r="M18" i="6" s="1"/>
  <c r="L19" i="6"/>
  <c r="M19" i="6" s="1"/>
  <c r="L20" i="6"/>
  <c r="M20" i="6" s="1"/>
  <c r="L21" i="6"/>
  <c r="M21" i="6" s="1"/>
  <c r="L22" i="6"/>
  <c r="M22" i="6" s="1"/>
  <c r="L23" i="6"/>
  <c r="M23" i="6" s="1"/>
  <c r="L24" i="6"/>
  <c r="M24" i="6" s="1"/>
  <c r="L25" i="6"/>
  <c r="M25" i="6" s="1"/>
  <c r="L26" i="6"/>
  <c r="M26" i="6" s="1"/>
  <c r="L27" i="6"/>
  <c r="M27" i="6" s="1"/>
  <c r="L28" i="6"/>
  <c r="M28" i="6" s="1"/>
  <c r="L29" i="6"/>
  <c r="M29" i="6" s="1"/>
  <c r="L30" i="6"/>
  <c r="M30" i="6" s="1"/>
  <c r="L31" i="6"/>
  <c r="M31" i="6" s="1"/>
  <c r="L32" i="6"/>
  <c r="M32" i="6" s="1"/>
  <c r="L33" i="6"/>
  <c r="M33" i="6" s="1"/>
  <c r="L34" i="6"/>
  <c r="M34" i="6" s="1"/>
  <c r="L35" i="6"/>
  <c r="M35" i="6" s="1"/>
  <c r="L36" i="6"/>
  <c r="M36" i="6" s="1"/>
  <c r="L37" i="6"/>
  <c r="M37" i="6" s="1"/>
  <c r="M38" i="6"/>
  <c r="L3" i="6"/>
  <c r="M3" i="6" s="1"/>
  <c r="U32" i="4"/>
  <c r="K32" i="4"/>
  <c r="P26" i="7" l="1"/>
  <c r="AA32" i="4"/>
  <c r="AB32" i="4" s="1"/>
  <c r="W74" i="5"/>
  <c r="W54" i="5"/>
  <c r="W28" i="5"/>
  <c r="K64" i="3"/>
  <c r="L64" i="3" s="1"/>
  <c r="V91" i="5"/>
  <c r="AA91" i="5" s="1"/>
  <c r="L29" i="5"/>
  <c r="M29" i="5" s="1"/>
  <c r="L30" i="5"/>
  <c r="M30" i="5" s="1"/>
  <c r="L31" i="5"/>
  <c r="AB31" i="5" s="1"/>
  <c r="AC31" i="5" s="1"/>
  <c r="L32" i="5"/>
  <c r="AB32" i="5" s="1"/>
  <c r="AC32" i="5" s="1"/>
  <c r="L33" i="5"/>
  <c r="M33" i="5" s="1"/>
  <c r="L34" i="5"/>
  <c r="M34" i="5" s="1"/>
  <c r="AD34" i="5" s="1"/>
  <c r="L35" i="5"/>
  <c r="AB35" i="5" s="1"/>
  <c r="AC35" i="5" s="1"/>
  <c r="L36" i="5"/>
  <c r="V36" i="5" s="1"/>
  <c r="AA36" i="5" s="1"/>
  <c r="L37" i="5"/>
  <c r="M37" i="5" s="1"/>
  <c r="L38" i="5"/>
  <c r="M38" i="5" s="1"/>
  <c r="AD38" i="5" s="1"/>
  <c r="L39" i="5"/>
  <c r="M39" i="5" s="1"/>
  <c r="L40" i="5"/>
  <c r="M40" i="5" s="1"/>
  <c r="L41" i="5"/>
  <c r="M41" i="5" s="1"/>
  <c r="L42" i="5"/>
  <c r="M42" i="5" s="1"/>
  <c r="L43" i="5"/>
  <c r="M43" i="5" s="1"/>
  <c r="L44" i="5"/>
  <c r="V44" i="5" s="1"/>
  <c r="AA44" i="5" s="1"/>
  <c r="L45" i="5"/>
  <c r="V45" i="5" s="1"/>
  <c r="AA45" i="5" s="1"/>
  <c r="L46" i="5"/>
  <c r="M46" i="5" s="1"/>
  <c r="L47" i="5"/>
  <c r="M47" i="5" s="1"/>
  <c r="AD47" i="5" s="1"/>
  <c r="L48" i="5"/>
  <c r="M48" i="5" s="1"/>
  <c r="L49" i="5"/>
  <c r="V49" i="5" s="1"/>
  <c r="AA49" i="5" s="1"/>
  <c r="L50" i="5"/>
  <c r="AB50" i="5" s="1"/>
  <c r="AC50" i="5" s="1"/>
  <c r="L51" i="5"/>
  <c r="M51" i="5" s="1"/>
  <c r="L52" i="5"/>
  <c r="M52" i="5" s="1"/>
  <c r="AD52" i="5" s="1"/>
  <c r="L53" i="5"/>
  <c r="M53" i="5" s="1"/>
  <c r="AD53" i="5" s="1"/>
  <c r="L54" i="5"/>
  <c r="M54" i="5" s="1"/>
  <c r="L55" i="5"/>
  <c r="M55" i="5" s="1"/>
  <c r="L56" i="5"/>
  <c r="L57" i="5"/>
  <c r="M57" i="5" s="1"/>
  <c r="L58" i="5"/>
  <c r="AB58" i="5" s="1"/>
  <c r="AC58" i="5" s="1"/>
  <c r="L59" i="5"/>
  <c r="V59" i="5" s="1"/>
  <c r="AA59" i="5" s="1"/>
  <c r="L60" i="5"/>
  <c r="V60" i="5" s="1"/>
  <c r="AA60" i="5" s="1"/>
  <c r="L61" i="5"/>
  <c r="M61" i="5" s="1"/>
  <c r="L62" i="5"/>
  <c r="V62" i="5" s="1"/>
  <c r="AA62" i="5" s="1"/>
  <c r="L63" i="5"/>
  <c r="M63" i="5" s="1"/>
  <c r="L64" i="5"/>
  <c r="AB64" i="5" s="1"/>
  <c r="AC64" i="5" s="1"/>
  <c r="L65" i="5"/>
  <c r="M65" i="5" s="1"/>
  <c r="L66" i="5"/>
  <c r="AB66" i="5" s="1"/>
  <c r="AC66" i="5" s="1"/>
  <c r="AB67" i="5"/>
  <c r="AC67" i="5" s="1"/>
  <c r="L69" i="5"/>
  <c r="L70" i="5"/>
  <c r="M70" i="5" s="1"/>
  <c r="AD70" i="5" s="1"/>
  <c r="L71" i="5"/>
  <c r="M71" i="5" s="1"/>
  <c r="AD71" i="5" s="1"/>
  <c r="L72" i="5"/>
  <c r="M72" i="5" s="1"/>
  <c r="L73" i="5"/>
  <c r="M73" i="5" s="1"/>
  <c r="L74" i="5"/>
  <c r="M74" i="5" s="1"/>
  <c r="L75" i="5"/>
  <c r="M75" i="5" s="1"/>
  <c r="L76" i="5"/>
  <c r="V76" i="5" s="1"/>
  <c r="AA76" i="5" s="1"/>
  <c r="L77" i="5"/>
  <c r="M77" i="5" s="1"/>
  <c r="L78" i="5"/>
  <c r="M78" i="5" s="1"/>
  <c r="L79" i="5"/>
  <c r="V79" i="5" s="1"/>
  <c r="AA79" i="5" s="1"/>
  <c r="L80" i="5"/>
  <c r="M80" i="5" s="1"/>
  <c r="L81" i="5"/>
  <c r="M81" i="5" s="1"/>
  <c r="L82" i="5"/>
  <c r="M82" i="5" s="1"/>
  <c r="L83" i="5"/>
  <c r="V83" i="5" s="1"/>
  <c r="AA83" i="5" s="1"/>
  <c r="L28" i="5"/>
  <c r="AB28" i="5" s="1"/>
  <c r="AC28" i="5" s="1"/>
  <c r="V57" i="3"/>
  <c r="U35" i="3"/>
  <c r="V3" i="6"/>
  <c r="AA3" i="6" s="1"/>
  <c r="AB3" i="6"/>
  <c r="AC3" i="6" s="1"/>
  <c r="AD3" i="6"/>
  <c r="V4" i="6"/>
  <c r="W4" i="6"/>
  <c r="AB4" i="6"/>
  <c r="AC4" i="6"/>
  <c r="AD4" i="6"/>
  <c r="V5" i="6"/>
  <c r="W5" i="6"/>
  <c r="X5" i="6"/>
  <c r="AB5" i="6"/>
  <c r="AC5" i="6" s="1"/>
  <c r="AD5" i="6"/>
  <c r="V6" i="6"/>
  <c r="AA6" i="6" s="1"/>
  <c r="AB6" i="6"/>
  <c r="AC6" i="6" s="1"/>
  <c r="AD6" i="6"/>
  <c r="V7" i="6"/>
  <c r="AA7" i="6" s="1"/>
  <c r="AB7" i="6"/>
  <c r="AC7" i="6" s="1"/>
  <c r="AD7" i="6"/>
  <c r="V8" i="6"/>
  <c r="AA8" i="6" s="1"/>
  <c r="AB8" i="6"/>
  <c r="AC8" i="6" s="1"/>
  <c r="AD8" i="6"/>
  <c r="V9" i="6"/>
  <c r="W9" i="6"/>
  <c r="AB9" i="6"/>
  <c r="AC9" i="6" s="1"/>
  <c r="AD9" i="6"/>
  <c r="V10" i="6"/>
  <c r="AB10" i="6"/>
  <c r="AC10" i="6" s="1"/>
  <c r="AD10" i="6"/>
  <c r="V38" i="6"/>
  <c r="W37" i="6"/>
  <c r="V37" i="6"/>
  <c r="V36" i="6"/>
  <c r="V35" i="6"/>
  <c r="V34" i="6"/>
  <c r="V33" i="6"/>
  <c r="V32" i="6"/>
  <c r="V31" i="6"/>
  <c r="V30" i="6"/>
  <c r="V29" i="6"/>
  <c r="V28" i="6"/>
  <c r="V27" i="6"/>
  <c r="V26" i="6"/>
  <c r="W25" i="6"/>
  <c r="V25" i="6"/>
  <c r="V24" i="6"/>
  <c r="W23" i="6"/>
  <c r="V23" i="6"/>
  <c r="W22" i="6"/>
  <c r="V22" i="6"/>
  <c r="V21" i="6"/>
  <c r="V20" i="6"/>
  <c r="W19" i="6"/>
  <c r="V19" i="6"/>
  <c r="V18" i="6"/>
  <c r="V17" i="6"/>
  <c r="V16" i="6"/>
  <c r="V15" i="6"/>
  <c r="V14" i="6"/>
  <c r="V12" i="6"/>
  <c r="V11" i="6"/>
  <c r="AA11" i="6" s="1"/>
  <c r="AB11" i="6"/>
  <c r="AC11" i="6" s="1"/>
  <c r="AD11" i="6"/>
  <c r="X77" i="5"/>
  <c r="W77" i="5"/>
  <c r="V77" i="5"/>
  <c r="V74" i="5"/>
  <c r="X67" i="5"/>
  <c r="W67" i="5"/>
  <c r="V67" i="5"/>
  <c r="W64" i="5"/>
  <c r="V64" i="5"/>
  <c r="W58" i="5"/>
  <c r="V58" i="5"/>
  <c r="W57" i="5"/>
  <c r="V57" i="5"/>
  <c r="V54" i="5"/>
  <c r="W50" i="5"/>
  <c r="V50" i="5"/>
  <c r="W47" i="5"/>
  <c r="V47" i="5"/>
  <c r="W43" i="5"/>
  <c r="V43" i="5"/>
  <c r="W38" i="5"/>
  <c r="V38" i="5"/>
  <c r="X32" i="5"/>
  <c r="W32" i="5"/>
  <c r="V32" i="5"/>
  <c r="V28" i="5"/>
  <c r="W32" i="4"/>
  <c r="V32" i="4"/>
  <c r="V29" i="4"/>
  <c r="U29" i="4"/>
  <c r="W28" i="4"/>
  <c r="V28" i="4"/>
  <c r="U28" i="4"/>
  <c r="W26" i="4"/>
  <c r="V26" i="4"/>
  <c r="U26" i="4"/>
  <c r="W23" i="4"/>
  <c r="V23" i="4"/>
  <c r="U23" i="4"/>
  <c r="W20" i="4"/>
  <c r="V20" i="4"/>
  <c r="U20" i="4"/>
  <c r="V15" i="4"/>
  <c r="U15" i="4"/>
  <c r="W14" i="4"/>
  <c r="V14" i="4"/>
  <c r="U14" i="4"/>
  <c r="W10" i="4"/>
  <c r="V10" i="4"/>
  <c r="U10" i="4"/>
  <c r="U6" i="4"/>
  <c r="W5" i="4"/>
  <c r="V5" i="4"/>
  <c r="U5" i="4"/>
  <c r="K4" i="4"/>
  <c r="K5" i="4"/>
  <c r="L5" i="4" s="1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L32" i="4"/>
  <c r="AC32" i="4" s="1"/>
  <c r="K3" i="4"/>
  <c r="U3" i="4" s="1"/>
  <c r="Z3" i="4" s="1"/>
  <c r="V61" i="3"/>
  <c r="U61" i="3"/>
  <c r="W60" i="3"/>
  <c r="V60" i="3"/>
  <c r="U60" i="3"/>
  <c r="V59" i="3"/>
  <c r="U59" i="3"/>
  <c r="U57" i="3"/>
  <c r="W54" i="3"/>
  <c r="V54" i="3"/>
  <c r="U54" i="3"/>
  <c r="W51" i="3"/>
  <c r="V51" i="3"/>
  <c r="U51" i="3"/>
  <c r="V50" i="3"/>
  <c r="U50" i="3"/>
  <c r="V46" i="3"/>
  <c r="U46" i="3"/>
  <c r="V45" i="3"/>
  <c r="U45" i="3"/>
  <c r="W41" i="3"/>
  <c r="V41" i="3"/>
  <c r="U41" i="3"/>
  <c r="V40" i="3"/>
  <c r="U40" i="3"/>
  <c r="V35" i="3"/>
  <c r="V33" i="3"/>
  <c r="U33" i="3"/>
  <c r="W32" i="3"/>
  <c r="V32" i="3"/>
  <c r="U32" i="3"/>
  <c r="W29" i="3"/>
  <c r="V29" i="3"/>
  <c r="U29" i="3"/>
  <c r="V28" i="3"/>
  <c r="U28" i="3"/>
  <c r="K28" i="3"/>
  <c r="K29" i="3"/>
  <c r="AA29" i="3" s="1"/>
  <c r="AB29" i="3" s="1"/>
  <c r="K30" i="3"/>
  <c r="U30" i="3" s="1"/>
  <c r="Z30" i="3" s="1"/>
  <c r="K31" i="3"/>
  <c r="K32" i="3"/>
  <c r="AA32" i="3" s="1"/>
  <c r="AB32" i="3" s="1"/>
  <c r="K33" i="3"/>
  <c r="L33" i="3" s="1"/>
  <c r="AC33" i="3" s="1"/>
  <c r="K34" i="3"/>
  <c r="AA34" i="3" s="1"/>
  <c r="AB34" i="3" s="1"/>
  <c r="K35" i="3"/>
  <c r="AA35" i="3" s="1"/>
  <c r="AB35" i="3" s="1"/>
  <c r="K36" i="3"/>
  <c r="U36" i="3" s="1"/>
  <c r="Z36" i="3" s="1"/>
  <c r="K37" i="3"/>
  <c r="AA37" i="3" s="1"/>
  <c r="AB37" i="3" s="1"/>
  <c r="K38" i="3"/>
  <c r="AA38" i="3" s="1"/>
  <c r="AB38" i="3" s="1"/>
  <c r="K39" i="3"/>
  <c r="L39" i="3" s="1"/>
  <c r="AC39" i="3" s="1"/>
  <c r="K40" i="3"/>
  <c r="AA40" i="3" s="1"/>
  <c r="AB40" i="3" s="1"/>
  <c r="K41" i="3"/>
  <c r="L41" i="3" s="1"/>
  <c r="K42" i="3"/>
  <c r="AA42" i="3" s="1"/>
  <c r="AB42" i="3" s="1"/>
  <c r="K43" i="3"/>
  <c r="AA43" i="3" s="1"/>
  <c r="AB43" i="3" s="1"/>
  <c r="K44" i="3"/>
  <c r="L44" i="3" s="1"/>
  <c r="K45" i="3"/>
  <c r="L45" i="3" s="1"/>
  <c r="AC45" i="3" s="1"/>
  <c r="K46" i="3"/>
  <c r="L46" i="3" s="1"/>
  <c r="AC46" i="3" s="1"/>
  <c r="K47" i="3"/>
  <c r="U47" i="3" s="1"/>
  <c r="K48" i="3"/>
  <c r="AA48" i="3" s="1"/>
  <c r="AB48" i="3" s="1"/>
  <c r="K49" i="3"/>
  <c r="U49" i="3" s="1"/>
  <c r="Z49" i="3" s="1"/>
  <c r="K50" i="3"/>
  <c r="L50" i="3" s="1"/>
  <c r="K51" i="3"/>
  <c r="L51" i="3" s="1"/>
  <c r="AC51" i="3" s="1"/>
  <c r="K52" i="3"/>
  <c r="L52" i="3" s="1"/>
  <c r="K53" i="3"/>
  <c r="U53" i="3" s="1"/>
  <c r="K54" i="3"/>
  <c r="L54" i="3" s="1"/>
  <c r="K55" i="3"/>
  <c r="L55" i="3" s="1"/>
  <c r="K56" i="3"/>
  <c r="L56" i="3" s="1"/>
  <c r="K57" i="3"/>
  <c r="L57" i="3" s="1"/>
  <c r="K58" i="3"/>
  <c r="U58" i="3" s="1"/>
  <c r="K59" i="3"/>
  <c r="L59" i="3" s="1"/>
  <c r="K60" i="3"/>
  <c r="L60" i="3" s="1"/>
  <c r="K61" i="3"/>
  <c r="L61" i="3" s="1"/>
  <c r="K62" i="3"/>
  <c r="L62" i="3" s="1"/>
  <c r="K27" i="3"/>
  <c r="L27" i="3" s="1"/>
  <c r="AC27" i="3" s="1"/>
  <c r="M69" i="5" l="1"/>
  <c r="AD69" i="5" s="1"/>
  <c r="AB69" i="5"/>
  <c r="AC69" i="5" s="1"/>
  <c r="O26" i="7"/>
  <c r="K35" i="4"/>
  <c r="V78" i="5"/>
  <c r="AA78" i="5" s="1"/>
  <c r="V61" i="5"/>
  <c r="AA61" i="5" s="1"/>
  <c r="AB75" i="5"/>
  <c r="AC75" i="5" s="1"/>
  <c r="V31" i="5"/>
  <c r="AA31" i="5" s="1"/>
  <c r="E26" i="7"/>
  <c r="N26" i="7"/>
  <c r="L3" i="4"/>
  <c r="AC3" i="4" s="1"/>
  <c r="Z32" i="4"/>
  <c r="U19" i="4"/>
  <c r="Z19" i="4" s="1"/>
  <c r="AA19" i="4"/>
  <c r="AB19" i="4" s="1"/>
  <c r="U30" i="4"/>
  <c r="Z30" i="4" s="1"/>
  <c r="AA30" i="4"/>
  <c r="AB30" i="4" s="1"/>
  <c r="L24" i="4"/>
  <c r="AC24" i="4" s="1"/>
  <c r="AA24" i="4"/>
  <c r="AB24" i="4" s="1"/>
  <c r="L18" i="4"/>
  <c r="AC18" i="4" s="1"/>
  <c r="AA18" i="4"/>
  <c r="AB18" i="4" s="1"/>
  <c r="U13" i="4"/>
  <c r="Z13" i="4" s="1"/>
  <c r="AA13" i="4"/>
  <c r="AB13" i="4" s="1"/>
  <c r="U7" i="4"/>
  <c r="Z7" i="4" s="1"/>
  <c r="AA7" i="4"/>
  <c r="AB7" i="4" s="1"/>
  <c r="L29" i="4"/>
  <c r="AC29" i="4" s="1"/>
  <c r="AA29" i="4"/>
  <c r="AB29" i="4" s="1"/>
  <c r="Z29" i="4"/>
  <c r="L23" i="4"/>
  <c r="AC23" i="4" s="1"/>
  <c r="AA23" i="4"/>
  <c r="AB23" i="4" s="1"/>
  <c r="Z23" i="4"/>
  <c r="U12" i="4"/>
  <c r="Z12" i="4" s="1"/>
  <c r="AA12" i="4"/>
  <c r="AB12" i="4" s="1"/>
  <c r="L6" i="4"/>
  <c r="AC6" i="4" s="1"/>
  <c r="AA6" i="4"/>
  <c r="AB6" i="4" s="1"/>
  <c r="Z6" i="4"/>
  <c r="L28" i="4"/>
  <c r="AC28" i="4" s="1"/>
  <c r="Z28" i="4"/>
  <c r="AA28" i="4"/>
  <c r="AB28" i="4" s="1"/>
  <c r="L22" i="4"/>
  <c r="AC22" i="4" s="1"/>
  <c r="AA22" i="4"/>
  <c r="AB22" i="4" s="1"/>
  <c r="AA11" i="4"/>
  <c r="AB11" i="4" s="1"/>
  <c r="Z5" i="4"/>
  <c r="AC5" i="4"/>
  <c r="AA5" i="4"/>
  <c r="AB5" i="4" s="1"/>
  <c r="U27" i="4"/>
  <c r="Z27" i="4" s="1"/>
  <c r="AA27" i="4"/>
  <c r="AB27" i="4" s="1"/>
  <c r="U21" i="4"/>
  <c r="Z21" i="4" s="1"/>
  <c r="AA21" i="4"/>
  <c r="AB21" i="4" s="1"/>
  <c r="L16" i="4"/>
  <c r="AC16" i="4" s="1"/>
  <c r="AA16" i="4"/>
  <c r="AB16" i="4" s="1"/>
  <c r="L10" i="4"/>
  <c r="AC10" i="4" s="1"/>
  <c r="AA10" i="4"/>
  <c r="AB10" i="4" s="1"/>
  <c r="Z10" i="4"/>
  <c r="L4" i="4"/>
  <c r="AC4" i="4" s="1"/>
  <c r="AA4" i="4"/>
  <c r="AB4" i="4" s="1"/>
  <c r="L26" i="4"/>
  <c r="AC26" i="4" s="1"/>
  <c r="AA26" i="4"/>
  <c r="AB26" i="4" s="1"/>
  <c r="Z26" i="4"/>
  <c r="L20" i="4"/>
  <c r="AC20" i="4" s="1"/>
  <c r="AA20" i="4"/>
  <c r="AB20" i="4" s="1"/>
  <c r="Z20" i="4"/>
  <c r="AA15" i="4"/>
  <c r="AB15" i="4" s="1"/>
  <c r="Z15" i="4"/>
  <c r="AA9" i="4"/>
  <c r="AB9" i="4" s="1"/>
  <c r="M26" i="7"/>
  <c r="U31" i="4"/>
  <c r="Z31" i="4" s="1"/>
  <c r="AA31" i="4"/>
  <c r="AB31" i="4" s="1"/>
  <c r="L14" i="4"/>
  <c r="AC14" i="4" s="1"/>
  <c r="Z14" i="4"/>
  <c r="AA14" i="4"/>
  <c r="AB14" i="4" s="1"/>
  <c r="U8" i="4"/>
  <c r="Z8" i="4" s="1"/>
  <c r="AA8" i="4"/>
  <c r="AB8" i="4" s="1"/>
  <c r="U25" i="4"/>
  <c r="Z25" i="4" s="1"/>
  <c r="AA25" i="4"/>
  <c r="AB25" i="4" s="1"/>
  <c r="L17" i="4"/>
  <c r="AC17" i="4" s="1"/>
  <c r="AA17" i="4"/>
  <c r="AB17" i="4" s="1"/>
  <c r="L7" i="4"/>
  <c r="AC7" i="4" s="1"/>
  <c r="L21" i="4"/>
  <c r="AC21" i="4" s="1"/>
  <c r="U4" i="4"/>
  <c r="Z4" i="4" s="1"/>
  <c r="L9" i="4"/>
  <c r="AC9" i="4" s="1"/>
  <c r="U18" i="4"/>
  <c r="Z18" i="4" s="1"/>
  <c r="AB73" i="5"/>
  <c r="AC73" i="5" s="1"/>
  <c r="AB62" i="5"/>
  <c r="AC62" i="5" s="1"/>
  <c r="AB38" i="5"/>
  <c r="AC38" i="5" s="1"/>
  <c r="M28" i="5"/>
  <c r="AD28" i="5" s="1"/>
  <c r="M44" i="5"/>
  <c r="AD44" i="5" s="1"/>
  <c r="AA50" i="5"/>
  <c r="M79" i="5"/>
  <c r="AD79" i="5" s="1"/>
  <c r="V55" i="5"/>
  <c r="AA55" i="5" s="1"/>
  <c r="M62" i="5"/>
  <c r="AD62" i="5" s="1"/>
  <c r="M66" i="5"/>
  <c r="AD66" i="5" s="1"/>
  <c r="V41" i="5"/>
  <c r="AA41" i="5" s="1"/>
  <c r="V70" i="5"/>
  <c r="AA70" i="5" s="1"/>
  <c r="M32" i="5"/>
  <c r="AD32" i="5" s="1"/>
  <c r="V35" i="5"/>
  <c r="AA35" i="5" s="1"/>
  <c r="AA64" i="5"/>
  <c r="AB52" i="5"/>
  <c r="AC52" i="5" s="1"/>
  <c r="M50" i="5"/>
  <c r="AD50" i="5" s="1"/>
  <c r="M31" i="5"/>
  <c r="AD31" i="5" s="1"/>
  <c r="V29" i="5"/>
  <c r="AA29" i="5" s="1"/>
  <c r="V37" i="5"/>
  <c r="AA37" i="5" s="1"/>
  <c r="V73" i="5"/>
  <c r="AA73" i="5" s="1"/>
  <c r="AB76" i="5"/>
  <c r="AC76" i="5" s="1"/>
  <c r="M67" i="5"/>
  <c r="AD67" i="5" s="1"/>
  <c r="M49" i="5"/>
  <c r="AD49" i="5" s="1"/>
  <c r="AB29" i="5"/>
  <c r="AC29" i="5" s="1"/>
  <c r="AB53" i="5"/>
  <c r="AC53" i="5" s="1"/>
  <c r="AA5" i="6"/>
  <c r="M91" i="5"/>
  <c r="AD91" i="5" s="1"/>
  <c r="M36" i="5"/>
  <c r="AD36" i="5" s="1"/>
  <c r="M60" i="5"/>
  <c r="AD60" i="5" s="1"/>
  <c r="AB41" i="5"/>
  <c r="AC41" i="5" s="1"/>
  <c r="M83" i="5"/>
  <c r="AD83" i="5" s="1"/>
  <c r="V56" i="5"/>
  <c r="AA56" i="5" s="1"/>
  <c r="V75" i="5"/>
  <c r="AA75" i="5" s="1"/>
  <c r="AB63" i="5"/>
  <c r="AC63" i="5" s="1"/>
  <c r="AB40" i="5"/>
  <c r="AC40" i="5" s="1"/>
  <c r="M45" i="5"/>
  <c r="AD45" i="5" s="1"/>
  <c r="V42" i="5"/>
  <c r="AA42" i="5" s="1"/>
  <c r="V65" i="5"/>
  <c r="AA65" i="5" s="1"/>
  <c r="V82" i="5"/>
  <c r="AA82" i="5" s="1"/>
  <c r="M56" i="5"/>
  <c r="AD56" i="5" s="1"/>
  <c r="AD82" i="5"/>
  <c r="AD46" i="5"/>
  <c r="AB82" i="5"/>
  <c r="AC82" i="5" s="1"/>
  <c r="AB59" i="5"/>
  <c r="AC59" i="5" s="1"/>
  <c r="AB47" i="5"/>
  <c r="AC47" i="5" s="1"/>
  <c r="AD81" i="5"/>
  <c r="AD63" i="5"/>
  <c r="V52" i="5"/>
  <c r="AA52" i="5" s="1"/>
  <c r="AB81" i="5"/>
  <c r="AC81" i="5" s="1"/>
  <c r="AB70" i="5"/>
  <c r="AC70" i="5" s="1"/>
  <c r="AB46" i="5"/>
  <c r="AC46" i="5" s="1"/>
  <c r="AB34" i="5"/>
  <c r="AC34" i="5" s="1"/>
  <c r="AD41" i="5"/>
  <c r="M76" i="5"/>
  <c r="AD76" i="5" s="1"/>
  <c r="M64" i="5"/>
  <c r="AD64" i="5" s="1"/>
  <c r="M59" i="5"/>
  <c r="AD59" i="5" s="1"/>
  <c r="M35" i="5"/>
  <c r="AD35" i="5" s="1"/>
  <c r="V34" i="5"/>
  <c r="AA34" i="5" s="1"/>
  <c r="V40" i="5"/>
  <c r="AA40" i="5" s="1"/>
  <c r="V46" i="5"/>
  <c r="AA46" i="5" s="1"/>
  <c r="V53" i="5"/>
  <c r="AA53" i="5" s="1"/>
  <c r="V63" i="5"/>
  <c r="AA63" i="5" s="1"/>
  <c r="V81" i="5"/>
  <c r="AA81" i="5" s="1"/>
  <c r="AB79" i="5"/>
  <c r="AC79" i="5" s="1"/>
  <c r="AB56" i="5"/>
  <c r="AC56" i="5" s="1"/>
  <c r="AB44" i="5"/>
  <c r="AC44" i="5" s="1"/>
  <c r="AD75" i="5"/>
  <c r="AD40" i="5"/>
  <c r="M58" i="5"/>
  <c r="AD58" i="5" s="1"/>
  <c r="V71" i="5"/>
  <c r="AA71" i="5" s="1"/>
  <c r="AD29" i="5"/>
  <c r="AB71" i="5"/>
  <c r="AC71" i="5" s="1"/>
  <c r="AD80" i="5"/>
  <c r="AD74" i="5"/>
  <c r="AD57" i="5"/>
  <c r="AD51" i="5"/>
  <c r="AD39" i="5"/>
  <c r="AD33" i="5"/>
  <c r="AD73" i="5"/>
  <c r="AD78" i="5"/>
  <c r="AD61" i="5"/>
  <c r="AD55" i="5"/>
  <c r="AD43" i="5"/>
  <c r="AD37" i="5"/>
  <c r="AD77" i="5"/>
  <c r="AD72" i="5"/>
  <c r="AD65" i="5"/>
  <c r="AD54" i="5"/>
  <c r="AD48" i="5"/>
  <c r="AD42" i="5"/>
  <c r="AD30" i="5"/>
  <c r="V51" i="5"/>
  <c r="AA51" i="5" s="1"/>
  <c r="V33" i="5"/>
  <c r="AA33" i="5" s="1"/>
  <c r="V48" i="5"/>
  <c r="AA48" i="5" s="1"/>
  <c r="V66" i="5"/>
  <c r="AA66" i="5" s="1"/>
  <c r="AB91" i="5"/>
  <c r="AC91" i="5" s="1"/>
  <c r="AB78" i="5"/>
  <c r="AC78" i="5" s="1"/>
  <c r="AB61" i="5"/>
  <c r="AC61" i="5" s="1"/>
  <c r="AB55" i="5"/>
  <c r="AC55" i="5" s="1"/>
  <c r="AB49" i="5"/>
  <c r="AC49" i="5" s="1"/>
  <c r="AB43" i="5"/>
  <c r="AC43" i="5" s="1"/>
  <c r="AB37" i="5"/>
  <c r="AC37" i="5" s="1"/>
  <c r="V30" i="5"/>
  <c r="AA30" i="5" s="1"/>
  <c r="V39" i="5"/>
  <c r="AA39" i="5" s="1"/>
  <c r="V72" i="5"/>
  <c r="AA72" i="5" s="1"/>
  <c r="V80" i="5"/>
  <c r="AA80" i="5" s="1"/>
  <c r="AB83" i="5"/>
  <c r="AC83" i="5" s="1"/>
  <c r="AB77" i="5"/>
  <c r="AC77" i="5" s="1"/>
  <c r="AB72" i="5"/>
  <c r="AC72" i="5" s="1"/>
  <c r="AB65" i="5"/>
  <c r="AC65" i="5" s="1"/>
  <c r="AB60" i="5"/>
  <c r="AC60" i="5" s="1"/>
  <c r="AB54" i="5"/>
  <c r="AC54" i="5" s="1"/>
  <c r="AB48" i="5"/>
  <c r="AC48" i="5" s="1"/>
  <c r="AB42" i="5"/>
  <c r="AC42" i="5" s="1"/>
  <c r="AB36" i="5"/>
  <c r="AC36" i="5" s="1"/>
  <c r="AB30" i="5"/>
  <c r="AC30" i="5" s="1"/>
  <c r="V69" i="5"/>
  <c r="AA69" i="5" s="1"/>
  <c r="AB80" i="5"/>
  <c r="AC80" i="5" s="1"/>
  <c r="AB74" i="5"/>
  <c r="AC74" i="5" s="1"/>
  <c r="AB57" i="5"/>
  <c r="AC57" i="5" s="1"/>
  <c r="AB51" i="5"/>
  <c r="AC51" i="5" s="1"/>
  <c r="AB45" i="5"/>
  <c r="AC45" i="5" s="1"/>
  <c r="AB39" i="5"/>
  <c r="AC39" i="5" s="1"/>
  <c r="AB33" i="5"/>
  <c r="AC33" i="5" s="1"/>
  <c r="U11" i="4"/>
  <c r="Z11" i="4" s="1"/>
  <c r="L11" i="4"/>
  <c r="AC11" i="4" s="1"/>
  <c r="L8" i="4"/>
  <c r="AC8" i="4" s="1"/>
  <c r="U22" i="4"/>
  <c r="Z22" i="4" s="1"/>
  <c r="AA4" i="6"/>
  <c r="AA9" i="6"/>
  <c r="AA10" i="6"/>
  <c r="L27" i="4"/>
  <c r="AC27" i="4" s="1"/>
  <c r="U16" i="4"/>
  <c r="Z16" i="4" s="1"/>
  <c r="L30" i="4"/>
  <c r="AC30" i="4" s="1"/>
  <c r="L19" i="4"/>
  <c r="AC19" i="4" s="1"/>
  <c r="L13" i="4"/>
  <c r="AC13" i="4" s="1"/>
  <c r="U9" i="4"/>
  <c r="Z9" i="4" s="1"/>
  <c r="L25" i="4"/>
  <c r="AC25" i="4" s="1"/>
  <c r="U24" i="4"/>
  <c r="Z24" i="4" s="1"/>
  <c r="L31" i="4"/>
  <c r="AC31" i="4" s="1"/>
  <c r="U17" i="4"/>
  <c r="Z17" i="4" s="1"/>
  <c r="L15" i="4"/>
  <c r="AC15" i="4" s="1"/>
  <c r="AA54" i="5"/>
  <c r="AA58" i="5"/>
  <c r="AA67" i="5"/>
  <c r="AA28" i="5"/>
  <c r="AA32" i="5"/>
  <c r="AA38" i="5"/>
  <c r="AA43" i="5"/>
  <c r="AA57" i="5"/>
  <c r="AA77" i="5"/>
  <c r="AA47" i="5"/>
  <c r="AA74" i="5"/>
  <c r="U64" i="3"/>
  <c r="Z64" i="3" s="1"/>
  <c r="AA41" i="3"/>
  <c r="AB41" i="3" s="1"/>
  <c r="L47" i="3"/>
  <c r="AC47" i="3" s="1"/>
  <c r="L29" i="3"/>
  <c r="AC29" i="3" s="1"/>
  <c r="AA36" i="3"/>
  <c r="AB36" i="3" s="1"/>
  <c r="L35" i="3"/>
  <c r="AC35" i="3" s="1"/>
  <c r="Z45" i="3"/>
  <c r="L53" i="3"/>
  <c r="AC53" i="3" s="1"/>
  <c r="L28" i="3"/>
  <c r="AC28" i="3" s="1"/>
  <c r="AA46" i="3"/>
  <c r="AB46" i="3" s="1"/>
  <c r="L34" i="3"/>
  <c r="AC34" i="3" s="1"/>
  <c r="AA33" i="3"/>
  <c r="AB33" i="3" s="1"/>
  <c r="AA45" i="3"/>
  <c r="AB45" i="3" s="1"/>
  <c r="AA28" i="3"/>
  <c r="AB28" i="3" s="1"/>
  <c r="U48" i="3"/>
  <c r="Z48" i="3" s="1"/>
  <c r="U52" i="3"/>
  <c r="Z52" i="3" s="1"/>
  <c r="L40" i="3"/>
  <c r="AC40" i="3" s="1"/>
  <c r="L58" i="3"/>
  <c r="AC58" i="3" s="1"/>
  <c r="AA27" i="3"/>
  <c r="AB27" i="3" s="1"/>
  <c r="Z46" i="3"/>
  <c r="AA31" i="3"/>
  <c r="AB31" i="3" s="1"/>
  <c r="Z29" i="3"/>
  <c r="U44" i="3"/>
  <c r="Z44" i="3" s="1"/>
  <c r="U55" i="3"/>
  <c r="Z55" i="3" s="1"/>
  <c r="U62" i="3"/>
  <c r="Z62" i="3" s="1"/>
  <c r="U56" i="3"/>
  <c r="Z56" i="3" s="1"/>
  <c r="AA49" i="3"/>
  <c r="AB49" i="3" s="1"/>
  <c r="L30" i="3"/>
  <c r="AC30" i="3" s="1"/>
  <c r="L48" i="3"/>
  <c r="AC48" i="3" s="1"/>
  <c r="AA30" i="3"/>
  <c r="AB30" i="3" s="1"/>
  <c r="L37" i="3"/>
  <c r="AC37" i="3" s="1"/>
  <c r="L49" i="3"/>
  <c r="AC49" i="3" s="1"/>
  <c r="Z33" i="3"/>
  <c r="U38" i="3"/>
  <c r="Z38" i="3" s="1"/>
  <c r="L32" i="3"/>
  <c r="AC32" i="3" s="1"/>
  <c r="L38" i="3"/>
  <c r="AC38" i="3" s="1"/>
  <c r="Z32" i="3"/>
  <c r="Z28" i="3"/>
  <c r="U31" i="3"/>
  <c r="Z31" i="3" s="1"/>
  <c r="U34" i="3"/>
  <c r="Z34" i="3" s="1"/>
  <c r="U39" i="3"/>
  <c r="Z39" i="3" s="1"/>
  <c r="U42" i="3"/>
  <c r="Z42" i="3" s="1"/>
  <c r="Z51" i="3"/>
  <c r="AC50" i="3"/>
  <c r="L36" i="3"/>
  <c r="AC36" i="3" s="1"/>
  <c r="L42" i="3"/>
  <c r="AC42" i="3" s="1"/>
  <c r="U37" i="3"/>
  <c r="Z37" i="3" s="1"/>
  <c r="L31" i="3"/>
  <c r="AC31" i="3" s="1"/>
  <c r="L43" i="3"/>
  <c r="AC43" i="3" s="1"/>
  <c r="U27" i="3"/>
  <c r="Z27" i="3" s="1"/>
  <c r="Z35" i="3"/>
  <c r="Z40" i="3"/>
  <c r="U43" i="3"/>
  <c r="Z43" i="3" s="1"/>
  <c r="L12" i="4"/>
  <c r="AC12" i="4" s="1"/>
  <c r="AA3" i="4"/>
  <c r="AB3" i="4" s="1"/>
  <c r="AC44" i="3"/>
  <c r="Z41" i="3"/>
  <c r="Z47" i="3"/>
  <c r="Z50" i="3"/>
  <c r="AA47" i="3"/>
  <c r="AB47" i="3" s="1"/>
  <c r="AC41" i="3"/>
  <c r="AA39" i="3"/>
  <c r="AB39" i="3" s="1"/>
  <c r="AA50" i="3"/>
  <c r="AB50" i="3" s="1"/>
  <c r="AA51" i="3"/>
  <c r="AB51" i="3" s="1"/>
  <c r="AA44" i="3"/>
  <c r="AB44" i="3" s="1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B12" i="6"/>
  <c r="AC12" i="6" s="1"/>
  <c r="AB13" i="6"/>
  <c r="AC13" i="6" s="1"/>
  <c r="AB14" i="6"/>
  <c r="AC14" i="6" s="1"/>
  <c r="AB15" i="6"/>
  <c r="AC15" i="6" s="1"/>
  <c r="AB16" i="6"/>
  <c r="AC16" i="6" s="1"/>
  <c r="AB17" i="6"/>
  <c r="AC17" i="6" s="1"/>
  <c r="AB18" i="6"/>
  <c r="AC18" i="6" s="1"/>
  <c r="AB19" i="6"/>
  <c r="AC19" i="6" s="1"/>
  <c r="AB20" i="6"/>
  <c r="AC20" i="6" s="1"/>
  <c r="AB21" i="6"/>
  <c r="AC21" i="6" s="1"/>
  <c r="AB22" i="6"/>
  <c r="AC22" i="6" s="1"/>
  <c r="AB23" i="6"/>
  <c r="AC23" i="6" s="1"/>
  <c r="AB24" i="6"/>
  <c r="AC24" i="6" s="1"/>
  <c r="AB25" i="6"/>
  <c r="AC25" i="6" s="1"/>
  <c r="AB26" i="6"/>
  <c r="AC26" i="6" s="1"/>
  <c r="AB27" i="6"/>
  <c r="AC27" i="6" s="1"/>
  <c r="AB28" i="6"/>
  <c r="AC28" i="6" s="1"/>
  <c r="AB29" i="6"/>
  <c r="AC29" i="6" s="1"/>
  <c r="AB30" i="6"/>
  <c r="AC30" i="6" s="1"/>
  <c r="AB31" i="6"/>
  <c r="AC31" i="6" s="1"/>
  <c r="AB32" i="6"/>
  <c r="AC32" i="6" s="1"/>
  <c r="AB33" i="6"/>
  <c r="AC33" i="6" s="1"/>
  <c r="AB34" i="6"/>
  <c r="AC34" i="6" s="1"/>
  <c r="AB35" i="6"/>
  <c r="AC35" i="6" s="1"/>
  <c r="AB36" i="6"/>
  <c r="AC36" i="6" s="1"/>
  <c r="AB37" i="6"/>
  <c r="AC37" i="6" s="1"/>
  <c r="AB38" i="6"/>
  <c r="AC38" i="6" s="1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C56" i="3"/>
  <c r="AC62" i="3"/>
  <c r="AC52" i="3"/>
  <c r="AA55" i="3"/>
  <c r="AB55" i="3" s="1"/>
  <c r="AC57" i="3"/>
  <c r="AC59" i="3"/>
  <c r="AA61" i="3"/>
  <c r="AB61" i="3" s="1"/>
  <c r="AC64" i="3"/>
  <c r="AA52" i="3"/>
  <c r="AB52" i="3" s="1"/>
  <c r="AA53" i="3"/>
  <c r="AB53" i="3" s="1"/>
  <c r="AA54" i="3"/>
  <c r="AB54" i="3" s="1"/>
  <c r="AA56" i="3"/>
  <c r="AB56" i="3" s="1"/>
  <c r="AA57" i="3"/>
  <c r="AB57" i="3" s="1"/>
  <c r="AA58" i="3"/>
  <c r="AB58" i="3" s="1"/>
  <c r="AA59" i="3"/>
  <c r="AB59" i="3" s="1"/>
  <c r="AA60" i="3"/>
  <c r="AB60" i="3" s="1"/>
  <c r="AA62" i="3"/>
  <c r="AB62" i="3" s="1"/>
  <c r="AA64" i="3"/>
  <c r="AB64" i="3" s="1"/>
  <c r="Z53" i="3"/>
  <c r="Z54" i="3"/>
  <c r="Z57" i="3"/>
  <c r="Z58" i="3"/>
  <c r="Z59" i="3"/>
  <c r="Z60" i="3"/>
  <c r="Z61" i="3"/>
  <c r="AC60" i="3" l="1"/>
  <c r="AC54" i="3"/>
  <c r="AC61" i="3"/>
  <c r="AC55" i="3"/>
  <c r="K26" i="3" l="1"/>
  <c r="L26" i="3" l="1"/>
  <c r="AC26" i="3" s="1"/>
  <c r="AA26" i="3"/>
  <c r="AB26" i="3" s="1"/>
  <c r="Z26" i="3"/>
  <c r="T25" i="3"/>
  <c r="K25" i="3"/>
  <c r="AA25" i="3" l="1"/>
  <c r="AB25" i="3" s="1"/>
  <c r="Z25" i="3"/>
  <c r="L25" i="3" l="1"/>
  <c r="AC25" i="3" s="1"/>
  <c r="K24" i="3" l="1"/>
  <c r="L27" i="5"/>
  <c r="L26" i="5"/>
  <c r="L25" i="5"/>
  <c r="L24" i="5"/>
  <c r="M27" i="5" l="1"/>
  <c r="AD27" i="5" s="1"/>
  <c r="AA27" i="5"/>
  <c r="AB27" i="5"/>
  <c r="AC27" i="5" s="1"/>
  <c r="M25" i="5"/>
  <c r="AD25" i="5" s="1"/>
  <c r="AA25" i="5"/>
  <c r="AB25" i="5"/>
  <c r="AC25" i="5" s="1"/>
  <c r="M26" i="5"/>
  <c r="AD26" i="5" s="1"/>
  <c r="AB26" i="5"/>
  <c r="AC26" i="5" s="1"/>
  <c r="AA26" i="5"/>
  <c r="M24" i="5"/>
  <c r="AD24" i="5" s="1"/>
  <c r="AA24" i="5"/>
  <c r="AB24" i="5"/>
  <c r="AC24" i="5" s="1"/>
  <c r="L24" i="3"/>
  <c r="AC24" i="3" s="1"/>
  <c r="AA24" i="3"/>
  <c r="AB24" i="3" s="1"/>
  <c r="Z24" i="3"/>
  <c r="K23" i="3" l="1"/>
  <c r="L23" i="3" s="1"/>
  <c r="K22" i="3"/>
  <c r="L22" i="3" s="1"/>
  <c r="Z23" i="3" l="1"/>
  <c r="AA23" i="3"/>
  <c r="AB23" i="3" s="1"/>
  <c r="AC23" i="3"/>
  <c r="Z22" i="3"/>
  <c r="AC22" i="3"/>
  <c r="AA22" i="3"/>
  <c r="AB22" i="3" s="1"/>
  <c r="L23" i="5" l="1"/>
  <c r="U22" i="5"/>
  <c r="L22" i="5"/>
  <c r="U11" i="5"/>
  <c r="L11" i="5"/>
  <c r="AB11" i="5" s="1"/>
  <c r="M23" i="5" l="1"/>
  <c r="AD23" i="5" s="1"/>
  <c r="AB23" i="5"/>
  <c r="AC23" i="5" s="1"/>
  <c r="AA23" i="5"/>
  <c r="U10" i="5"/>
  <c r="L10" i="5"/>
  <c r="L9" i="5"/>
  <c r="AB9" i="5" s="1"/>
  <c r="M10" i="5" l="1"/>
  <c r="AB10" i="5"/>
  <c r="L8" i="5"/>
  <c r="N4" i="5" l="1"/>
  <c r="K14" i="3" l="1"/>
  <c r="T14" i="3"/>
  <c r="S14" i="3"/>
  <c r="U14" i="3"/>
  <c r="K12" i="3"/>
  <c r="Z14" i="3" l="1"/>
  <c r="U5" i="5"/>
  <c r="N5" i="5"/>
  <c r="K10" i="3" l="1"/>
  <c r="K7" i="3"/>
  <c r="S7" i="3" s="1"/>
  <c r="K6" i="3"/>
  <c r="AC10" i="5" l="1"/>
  <c r="M11" i="5"/>
  <c r="AD11" i="5" s="1"/>
  <c r="U9" i="5"/>
  <c r="M8" i="5"/>
  <c r="L7" i="5"/>
  <c r="L6" i="5"/>
  <c r="AA6" i="5" s="1"/>
  <c r="M5" i="5"/>
  <c r="L3" i="5"/>
  <c r="T15" i="3"/>
  <c r="K15" i="3"/>
  <c r="L15" i="3" s="1"/>
  <c r="L14" i="3"/>
  <c r="K13" i="3"/>
  <c r="L13" i="3" s="1"/>
  <c r="S12" i="3"/>
  <c r="T12" i="3" s="1"/>
  <c r="L12" i="3"/>
  <c r="K11" i="3"/>
  <c r="T11" i="3" s="1"/>
  <c r="T10" i="3"/>
  <c r="K9" i="3"/>
  <c r="T9" i="3" s="1"/>
  <c r="L8" i="3"/>
  <c r="L7" i="3"/>
  <c r="L6" i="3"/>
  <c r="K5" i="3"/>
  <c r="L5" i="3" s="1"/>
  <c r="K4" i="3"/>
  <c r="L4" i="3" s="1"/>
  <c r="K3" i="3"/>
  <c r="L3" i="3" s="1"/>
  <c r="AA9" i="3" l="1"/>
  <c r="AB9" i="3" s="1"/>
  <c r="AA9" i="5"/>
  <c r="AA3" i="5"/>
  <c r="AA8" i="5"/>
  <c r="AA5" i="5"/>
  <c r="AD8" i="5"/>
  <c r="AB8" i="5"/>
  <c r="AC8" i="5" s="1"/>
  <c r="M4" i="5"/>
  <c r="AD4" i="5" s="1"/>
  <c r="AA4" i="5"/>
  <c r="AB4" i="5"/>
  <c r="AC4" i="5" s="1"/>
  <c r="M7" i="5"/>
  <c r="AD7" i="5" s="1"/>
  <c r="AB7" i="5"/>
  <c r="AC7" i="5" s="1"/>
  <c r="AA7" i="5"/>
  <c r="M3" i="5"/>
  <c r="AD3" i="5" s="1"/>
  <c r="M6" i="5"/>
  <c r="AD6" i="5" s="1"/>
  <c r="AB6" i="5"/>
  <c r="AC6" i="5" s="1"/>
  <c r="M9" i="5"/>
  <c r="AD9" i="5" s="1"/>
  <c r="AC9" i="5"/>
  <c r="AD10" i="5"/>
  <c r="AA10" i="5"/>
  <c r="AB3" i="5"/>
  <c r="AC3" i="5" s="1"/>
  <c r="AC11" i="5"/>
  <c r="AD5" i="5"/>
  <c r="AA11" i="5"/>
  <c r="AB5" i="5"/>
  <c r="AC5" i="5" s="1"/>
  <c r="AC5" i="3"/>
  <c r="Z13" i="3"/>
  <c r="AA15" i="3"/>
  <c r="AB15" i="3" s="1"/>
  <c r="Z5" i="3"/>
  <c r="AC13" i="3"/>
  <c r="Z6" i="3"/>
  <c r="Z4" i="3"/>
  <c r="AA10" i="3"/>
  <c r="AB10" i="3" s="1"/>
  <c r="AA5" i="3"/>
  <c r="AB5" i="3" s="1"/>
  <c r="AA3" i="3"/>
  <c r="AB3" i="3" s="1"/>
  <c r="AC6" i="3"/>
  <c r="AC4" i="3"/>
  <c r="AC3" i="3"/>
  <c r="Z11" i="3"/>
  <c r="Z9" i="3"/>
  <c r="AA14" i="3"/>
  <c r="AB14" i="3" s="1"/>
  <c r="AA7" i="3"/>
  <c r="AB7" i="3" s="1"/>
  <c r="AA8" i="3"/>
  <c r="AB8" i="3" s="1"/>
  <c r="Z15" i="3"/>
  <c r="Z12" i="3"/>
  <c r="Z8" i="3"/>
  <c r="AA6" i="3"/>
  <c r="AB6" i="3" s="1"/>
  <c r="AA4" i="3"/>
  <c r="AB4" i="3" s="1"/>
  <c r="AC15" i="3"/>
  <c r="AC12" i="3"/>
  <c r="AC8" i="3"/>
  <c r="Z10" i="3"/>
  <c r="Z3" i="3"/>
  <c r="AA12" i="3"/>
  <c r="AB12" i="3" s="1"/>
  <c r="Z7" i="3"/>
  <c r="AA13" i="3"/>
  <c r="AB13" i="3" s="1"/>
  <c r="AA11" i="3"/>
  <c r="AB11" i="3" s="1"/>
  <c r="AC14" i="3"/>
  <c r="AC7" i="3"/>
  <c r="L10" i="3"/>
  <c r="AC10" i="3" s="1"/>
  <c r="L11" i="3"/>
  <c r="AC11" i="3" s="1"/>
  <c r="L9" i="3"/>
  <c r="AC9" i="3" s="1"/>
  <c r="AB22" i="5" l="1"/>
  <c r="AC22" i="5" s="1"/>
  <c r="AA22" i="5"/>
  <c r="M22" i="5" l="1"/>
  <c r="AD22" i="5" s="1"/>
  <c r="L21" i="5"/>
  <c r="L20" i="5"/>
  <c r="AB20" i="5" s="1"/>
  <c r="L19" i="5"/>
  <c r="AB19" i="5" s="1"/>
  <c r="L18" i="5"/>
  <c r="AB18" i="5" s="1"/>
  <c r="L17" i="5"/>
  <c r="AB17" i="5" s="1"/>
  <c r="L16" i="5"/>
  <c r="AB16" i="5" s="1"/>
  <c r="L15" i="5"/>
  <c r="AB15" i="5" s="1"/>
  <c r="L14" i="5"/>
  <c r="AB14" i="5" s="1"/>
  <c r="L13" i="5"/>
  <c r="AB13" i="5" s="1"/>
  <c r="L12" i="5"/>
  <c r="AB12" i="5" s="1"/>
  <c r="B29" i="7" l="1"/>
  <c r="B27" i="7"/>
  <c r="B28" i="7"/>
  <c r="B16" i="7"/>
  <c r="B19" i="7"/>
  <c r="B18" i="7"/>
  <c r="B17" i="7"/>
  <c r="AA13" i="5"/>
  <c r="AC13" i="5"/>
  <c r="AA20" i="5"/>
  <c r="AC20" i="5"/>
  <c r="AA14" i="5"/>
  <c r="AC14" i="5"/>
  <c r="M17" i="5"/>
  <c r="AD17" i="5" s="1"/>
  <c r="AA17" i="5"/>
  <c r="AC17" i="5"/>
  <c r="AC15" i="5"/>
  <c r="AA15" i="5"/>
  <c r="M18" i="5"/>
  <c r="AD18" i="5" s="1"/>
  <c r="AC18" i="5"/>
  <c r="AA18" i="5"/>
  <c r="AC19" i="5"/>
  <c r="AA19" i="5"/>
  <c r="AC12" i="5"/>
  <c r="AA12" i="5"/>
  <c r="AC16" i="5"/>
  <c r="AA16" i="5"/>
  <c r="AA21" i="5"/>
  <c r="AB21" i="5"/>
  <c r="AC21" i="5" s="1"/>
  <c r="M16" i="5"/>
  <c r="AD16" i="5" s="1"/>
  <c r="M12" i="5"/>
  <c r="AD12" i="5" s="1"/>
  <c r="M15" i="5"/>
  <c r="AD15" i="5" s="1"/>
  <c r="M14" i="5"/>
  <c r="AD14" i="5" s="1"/>
  <c r="M19" i="5"/>
  <c r="AD19" i="5" s="1"/>
  <c r="M20" i="5"/>
  <c r="AD20" i="5" s="1"/>
  <c r="M21" i="5"/>
  <c r="AD21" i="5" s="1"/>
  <c r="M13" i="5"/>
  <c r="AD13" i="5" s="1"/>
  <c r="K20" i="3" l="1"/>
  <c r="K19" i="3"/>
  <c r="L19" i="3" s="1"/>
  <c r="K18" i="3"/>
  <c r="K17" i="3"/>
  <c r="K16" i="3"/>
  <c r="B26" i="7" l="1"/>
  <c r="B25" i="7"/>
  <c r="B24" i="7"/>
  <c r="B13" i="7"/>
  <c r="B14" i="7"/>
  <c r="B12" i="7"/>
  <c r="B15" i="7"/>
  <c r="Z20" i="3"/>
  <c r="AA20" i="3"/>
  <c r="AB20" i="3" s="1"/>
  <c r="AA17" i="3"/>
  <c r="AB17" i="3" s="1"/>
  <c r="Z17" i="3"/>
  <c r="AA21" i="3"/>
  <c r="AB21" i="3" s="1"/>
  <c r="Z21" i="3"/>
  <c r="AA16" i="3"/>
  <c r="AB16" i="3" s="1"/>
  <c r="Z16" i="3"/>
  <c r="Z18" i="3"/>
  <c r="AA18" i="3"/>
  <c r="AB18" i="3" s="1"/>
  <c r="AA19" i="3"/>
  <c r="AB19" i="3" s="1"/>
  <c r="Z19" i="3"/>
  <c r="AC19" i="3"/>
  <c r="L17" i="3"/>
  <c r="AC17" i="3" s="1"/>
  <c r="L18" i="3"/>
  <c r="AC18" i="3" s="1"/>
  <c r="L21" i="3"/>
  <c r="AC21" i="3" s="1"/>
  <c r="L16" i="3"/>
  <c r="AC16" i="3" s="1"/>
  <c r="L20" i="3"/>
  <c r="AC20" i="3" s="1"/>
  <c r="P12" i="7" l="1"/>
  <c r="Q12" i="7"/>
  <c r="P13" i="7"/>
  <c r="Q13" i="7"/>
  <c r="P14" i="7"/>
  <c r="Q14" i="7"/>
  <c r="P15" i="7"/>
  <c r="Q15" i="7"/>
  <c r="P16" i="7"/>
  <c r="Q16" i="7"/>
  <c r="P17" i="7"/>
  <c r="Q17" i="7"/>
  <c r="P18" i="7"/>
  <c r="Q18" i="7"/>
  <c r="P19" i="7"/>
  <c r="Q19" i="7"/>
  <c r="P24" i="7"/>
  <c r="Q24" i="7"/>
  <c r="P25" i="7"/>
  <c r="Q25" i="7"/>
  <c r="Q26" i="7"/>
  <c r="P27" i="7"/>
  <c r="Q27" i="7"/>
  <c r="P28" i="7"/>
  <c r="Q28" i="7"/>
  <c r="P29" i="7"/>
  <c r="Q29" i="7"/>
  <c r="Z41" i="6"/>
  <c r="Y41" i="6"/>
  <c r="Z40" i="6"/>
  <c r="Y40" i="6"/>
  <c r="Z39" i="6"/>
  <c r="Y39" i="6"/>
  <c r="Y35" i="4"/>
  <c r="X35" i="4"/>
  <c r="Y34" i="4"/>
  <c r="X34" i="4"/>
  <c r="Y33" i="4"/>
  <c r="X33" i="4"/>
  <c r="Z95" i="5"/>
  <c r="Y95" i="5"/>
  <c r="Z94" i="5"/>
  <c r="Y94" i="5"/>
  <c r="Z93" i="5"/>
  <c r="Y93" i="5"/>
  <c r="Z92" i="5"/>
  <c r="Y92" i="5"/>
  <c r="Y65" i="3"/>
  <c r="Y68" i="3"/>
  <c r="Y67" i="3"/>
  <c r="Y66" i="3"/>
  <c r="X68" i="3"/>
  <c r="X67" i="3"/>
  <c r="X66" i="3"/>
  <c r="X65" i="3"/>
  <c r="Q30" i="7" l="1"/>
  <c r="Q41" i="7" s="1"/>
  <c r="P30" i="7"/>
  <c r="P41" i="7" s="1"/>
  <c r="Q31" i="7"/>
  <c r="Q42" i="7" s="1"/>
  <c r="P31" i="7"/>
  <c r="P42" i="7" s="1"/>
  <c r="Q21" i="7"/>
  <c r="Q34" i="7" s="1"/>
  <c r="P22" i="7"/>
  <c r="Q23" i="7"/>
  <c r="P21" i="7"/>
  <c r="P34" i="7" s="1"/>
  <c r="Q20" i="7"/>
  <c r="Q37" i="7" s="1"/>
  <c r="P20" i="7"/>
  <c r="P37" i="7" s="1"/>
  <c r="Q22" i="7"/>
  <c r="Q32" i="7"/>
  <c r="Q43" i="7" s="1"/>
  <c r="P32" i="7"/>
  <c r="P43" i="7" s="1"/>
  <c r="P23" i="7"/>
  <c r="J35" i="4"/>
  <c r="P35" i="7" l="1"/>
  <c r="Q35" i="7"/>
  <c r="P36" i="7"/>
  <c r="Q36" i="7"/>
  <c r="Q38" i="7"/>
  <c r="P39" i="7"/>
  <c r="Q39" i="7"/>
  <c r="Q40" i="7"/>
  <c r="Q33" i="7"/>
  <c r="Q44" i="7" s="1"/>
  <c r="P40" i="7"/>
  <c r="P38" i="7"/>
  <c r="P33" i="7"/>
  <c r="P44" i="7" s="1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L26" i="7"/>
  <c r="K26" i="7"/>
  <c r="J26" i="7"/>
  <c r="I26" i="7"/>
  <c r="H26" i="7"/>
  <c r="G26" i="7"/>
  <c r="F26" i="7"/>
  <c r="D26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J17" i="7"/>
  <c r="I17" i="7"/>
  <c r="H17" i="7"/>
  <c r="G17" i="7"/>
  <c r="F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26" i="7"/>
  <c r="C19" i="7"/>
  <c r="C18" i="7"/>
  <c r="C17" i="7"/>
  <c r="S26" i="7" l="1"/>
  <c r="S13" i="7"/>
  <c r="S14" i="7"/>
  <c r="S15" i="7"/>
  <c r="R29" i="7"/>
  <c r="R25" i="7"/>
  <c r="R18" i="7"/>
  <c r="R28" i="7"/>
  <c r="S29" i="7"/>
  <c r="S28" i="7"/>
  <c r="R26" i="7"/>
  <c r="S25" i="7"/>
  <c r="R19" i="7"/>
  <c r="S18" i="7"/>
  <c r="S19" i="7"/>
  <c r="C15" i="7"/>
  <c r="C14" i="7"/>
  <c r="C13" i="7"/>
  <c r="R13" i="7" l="1"/>
  <c r="R15" i="7"/>
  <c r="R14" i="7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D31" i="7"/>
  <c r="D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J21" i="7"/>
  <c r="I21" i="7"/>
  <c r="H21" i="7"/>
  <c r="G21" i="7"/>
  <c r="F21" i="7"/>
  <c r="C21" i="7"/>
  <c r="C38" i="7" s="1"/>
  <c r="B21" i="7"/>
  <c r="W68" i="3"/>
  <c r="V68" i="3"/>
  <c r="U68" i="3"/>
  <c r="T68" i="3"/>
  <c r="S68" i="3"/>
  <c r="R68" i="3"/>
  <c r="Q68" i="3"/>
  <c r="P68" i="3"/>
  <c r="O68" i="3"/>
  <c r="N68" i="3"/>
  <c r="W67" i="3"/>
  <c r="V67" i="3"/>
  <c r="U67" i="3"/>
  <c r="T67" i="3"/>
  <c r="S67" i="3"/>
  <c r="R67" i="3"/>
  <c r="Q67" i="3"/>
  <c r="P67" i="3"/>
  <c r="O67" i="3"/>
  <c r="N67" i="3"/>
  <c r="W66" i="3"/>
  <c r="V66" i="3"/>
  <c r="U66" i="3"/>
  <c r="T66" i="3"/>
  <c r="S66" i="3"/>
  <c r="R66" i="3"/>
  <c r="Q66" i="3"/>
  <c r="P66" i="3"/>
  <c r="O66" i="3"/>
  <c r="N66" i="3"/>
  <c r="L68" i="3"/>
  <c r="K68" i="3"/>
  <c r="J68" i="3"/>
  <c r="L67" i="3"/>
  <c r="K67" i="3"/>
  <c r="J67" i="3"/>
  <c r="J66" i="3"/>
  <c r="H67" i="3"/>
  <c r="H66" i="3"/>
  <c r="X95" i="5"/>
  <c r="W95" i="5"/>
  <c r="V95" i="5"/>
  <c r="U95" i="5"/>
  <c r="T95" i="5"/>
  <c r="S95" i="5"/>
  <c r="R95" i="5"/>
  <c r="Q95" i="5"/>
  <c r="P95" i="5"/>
  <c r="O95" i="5"/>
  <c r="X94" i="5"/>
  <c r="W94" i="5"/>
  <c r="V94" i="5"/>
  <c r="U94" i="5"/>
  <c r="T94" i="5"/>
  <c r="S94" i="5"/>
  <c r="R94" i="5"/>
  <c r="Q94" i="5"/>
  <c r="P94" i="5"/>
  <c r="O94" i="5"/>
  <c r="X93" i="5"/>
  <c r="W93" i="5"/>
  <c r="V93" i="5"/>
  <c r="S93" i="5"/>
  <c r="R93" i="5"/>
  <c r="Q93" i="5"/>
  <c r="P93" i="5"/>
  <c r="O93" i="5"/>
  <c r="M95" i="5"/>
  <c r="L95" i="5"/>
  <c r="K95" i="5"/>
  <c r="M94" i="5"/>
  <c r="L94" i="5"/>
  <c r="K94" i="5"/>
  <c r="K93" i="5"/>
  <c r="I94" i="5"/>
  <c r="I93" i="5"/>
  <c r="W34" i="4"/>
  <c r="V34" i="4"/>
  <c r="U34" i="4"/>
  <c r="T34" i="4"/>
  <c r="S34" i="4"/>
  <c r="R34" i="4"/>
  <c r="Q34" i="4"/>
  <c r="P34" i="4"/>
  <c r="O34" i="4"/>
  <c r="N34" i="4"/>
  <c r="L34" i="4"/>
  <c r="K34" i="4"/>
  <c r="J34" i="4"/>
  <c r="H34" i="4"/>
  <c r="X40" i="6"/>
  <c r="W40" i="6"/>
  <c r="V40" i="6"/>
  <c r="U40" i="6"/>
  <c r="T40" i="6"/>
  <c r="S40" i="6"/>
  <c r="R40" i="6"/>
  <c r="Q40" i="6"/>
  <c r="P40" i="6"/>
  <c r="O40" i="6"/>
  <c r="M40" i="6"/>
  <c r="L40" i="6"/>
  <c r="K40" i="6"/>
  <c r="I40" i="6"/>
  <c r="AA40" i="6" l="1"/>
  <c r="Z34" i="4"/>
  <c r="AA95" i="5"/>
  <c r="AA94" i="5"/>
  <c r="Z68" i="3"/>
  <c r="Z67" i="3"/>
  <c r="F34" i="7"/>
  <c r="F38" i="7"/>
  <c r="G34" i="7"/>
  <c r="G38" i="7"/>
  <c r="M34" i="7"/>
  <c r="M38" i="7"/>
  <c r="B34" i="7"/>
  <c r="B38" i="7"/>
  <c r="H34" i="7"/>
  <c r="H38" i="7"/>
  <c r="N34" i="7"/>
  <c r="N38" i="7"/>
  <c r="I34" i="7"/>
  <c r="I38" i="7"/>
  <c r="O34" i="7"/>
  <c r="O38" i="7"/>
  <c r="J34" i="7"/>
  <c r="J38" i="7"/>
  <c r="AD40" i="6"/>
  <c r="R32" i="7"/>
  <c r="R31" i="7"/>
  <c r="AA34" i="4"/>
  <c r="S32" i="7"/>
  <c r="S31" i="7"/>
  <c r="C34" i="7"/>
  <c r="S22" i="7"/>
  <c r="R22" i="7"/>
  <c r="E35" i="7"/>
  <c r="M35" i="7"/>
  <c r="H35" i="7"/>
  <c r="D35" i="7"/>
  <c r="L35" i="7"/>
  <c r="I35" i="7"/>
  <c r="C35" i="7"/>
  <c r="G35" i="7"/>
  <c r="K35" i="7"/>
  <c r="O35" i="7"/>
  <c r="B35" i="7"/>
  <c r="F35" i="7"/>
  <c r="J35" i="7"/>
  <c r="N35" i="7"/>
  <c r="AB40" i="6"/>
  <c r="AC34" i="4"/>
  <c r="K66" i="3"/>
  <c r="Z66" i="3" s="1"/>
  <c r="R35" i="7" l="1"/>
  <c r="S35" i="7"/>
  <c r="D24" i="7"/>
  <c r="AA66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41" i="6"/>
  <c r="W41" i="6"/>
  <c r="V41" i="6"/>
  <c r="U41" i="6"/>
  <c r="T41" i="6"/>
  <c r="S41" i="6"/>
  <c r="R41" i="6"/>
  <c r="Q41" i="6"/>
  <c r="P41" i="6"/>
  <c r="O41" i="6"/>
  <c r="M41" i="6"/>
  <c r="L41" i="6"/>
  <c r="K41" i="6"/>
  <c r="I41" i="6"/>
  <c r="X39" i="6"/>
  <c r="W39" i="6"/>
  <c r="V39" i="6"/>
  <c r="U39" i="6"/>
  <c r="T39" i="6"/>
  <c r="S39" i="6"/>
  <c r="R39" i="6"/>
  <c r="Q39" i="6"/>
  <c r="P39" i="6"/>
  <c r="O39" i="6"/>
  <c r="M39" i="6"/>
  <c r="L39" i="6"/>
  <c r="K39" i="6"/>
  <c r="I39" i="6"/>
  <c r="W35" i="4"/>
  <c r="V35" i="4"/>
  <c r="U35" i="4"/>
  <c r="T35" i="4"/>
  <c r="S35" i="4"/>
  <c r="R35" i="4"/>
  <c r="Q35" i="4"/>
  <c r="P35" i="4"/>
  <c r="O35" i="4"/>
  <c r="N35" i="4"/>
  <c r="L35" i="4"/>
  <c r="H35" i="4"/>
  <c r="I95" i="5"/>
  <c r="H68" i="3"/>
  <c r="Z35" i="4" l="1"/>
  <c r="F36" i="7"/>
  <c r="F40" i="7"/>
  <c r="L36" i="7"/>
  <c r="L40" i="7"/>
  <c r="M36" i="7"/>
  <c r="M40" i="7"/>
  <c r="B36" i="7"/>
  <c r="B40" i="7"/>
  <c r="O36" i="7"/>
  <c r="O40" i="7"/>
  <c r="G36" i="7"/>
  <c r="G40" i="7"/>
  <c r="H36" i="7"/>
  <c r="H40" i="7"/>
  <c r="N36" i="7"/>
  <c r="N40" i="7"/>
  <c r="I36" i="7"/>
  <c r="I40" i="7"/>
  <c r="D36" i="7"/>
  <c r="D40" i="7"/>
  <c r="J36" i="7"/>
  <c r="J40" i="7"/>
  <c r="K36" i="7"/>
  <c r="K40" i="7"/>
  <c r="AA41" i="6"/>
  <c r="AA39" i="6"/>
  <c r="L66" i="3"/>
  <c r="AC66" i="3" s="1"/>
  <c r="R27" i="7"/>
  <c r="R24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D30" i="7"/>
  <c r="D41" i="7" s="1"/>
  <c r="B30" i="7"/>
  <c r="B41" i="7" s="1"/>
  <c r="H33" i="4"/>
  <c r="L33" i="4"/>
  <c r="K33" i="4"/>
  <c r="J33" i="4"/>
  <c r="W33" i="4"/>
  <c r="V33" i="4"/>
  <c r="U33" i="4"/>
  <c r="T33" i="4"/>
  <c r="S33" i="4"/>
  <c r="R33" i="4"/>
  <c r="Q33" i="4"/>
  <c r="P33" i="4"/>
  <c r="O33" i="4"/>
  <c r="N33" i="4"/>
  <c r="AB41" i="6"/>
  <c r="AD41" i="6"/>
  <c r="AB94" i="5"/>
  <c r="AD94" i="5"/>
  <c r="AB95" i="5"/>
  <c r="AD95" i="5"/>
  <c r="AA67" i="3"/>
  <c r="AC67" i="3"/>
  <c r="AA68" i="3"/>
  <c r="AC68" i="3"/>
  <c r="O16" i="7"/>
  <c r="N16" i="7"/>
  <c r="M16" i="7"/>
  <c r="J16" i="7"/>
  <c r="I16" i="7"/>
  <c r="H16" i="7"/>
  <c r="O12" i="7"/>
  <c r="N12" i="7"/>
  <c r="M12" i="7"/>
  <c r="L12" i="7"/>
  <c r="K12" i="7"/>
  <c r="J12" i="7"/>
  <c r="I12" i="7"/>
  <c r="H12" i="7"/>
  <c r="AB39" i="6"/>
  <c r="AD39" i="6"/>
  <c r="Z33" i="4" l="1"/>
  <c r="AC33" i="4"/>
  <c r="J20" i="7"/>
  <c r="J37" i="7" s="1"/>
  <c r="O20" i="7"/>
  <c r="O33" i="7" s="1"/>
  <c r="S36" i="7"/>
  <c r="H20" i="7"/>
  <c r="N20" i="7"/>
  <c r="N37" i="7" s="1"/>
  <c r="AA33" i="4"/>
  <c r="S30" i="7"/>
  <c r="R30" i="7"/>
  <c r="M20" i="7"/>
  <c r="I20" i="7"/>
  <c r="I37" i="7" s="1"/>
  <c r="R36" i="7"/>
  <c r="O65" i="3"/>
  <c r="J33" i="7" l="1"/>
  <c r="J44" i="7" s="1"/>
  <c r="I33" i="7"/>
  <c r="I44" i="7" s="1"/>
  <c r="O37" i="7"/>
  <c r="M33" i="7"/>
  <c r="M44" i="7" s="1"/>
  <c r="M37" i="7"/>
  <c r="H33" i="7"/>
  <c r="H44" i="7" s="1"/>
  <c r="O44" i="7"/>
  <c r="N33" i="7"/>
  <c r="N44" i="7" s="1"/>
  <c r="H37" i="7"/>
  <c r="S27" i="7"/>
  <c r="E12" i="7" l="1"/>
  <c r="G12" i="7" l="1"/>
  <c r="G16" i="7"/>
  <c r="F16" i="7"/>
  <c r="F12" i="7"/>
  <c r="C16" i="7"/>
  <c r="C12" i="7"/>
  <c r="X92" i="5"/>
  <c r="W92" i="5"/>
  <c r="V92" i="5"/>
  <c r="S92" i="5"/>
  <c r="R92" i="5"/>
  <c r="Q92" i="5"/>
  <c r="P92" i="5"/>
  <c r="O92" i="5"/>
  <c r="K92" i="5"/>
  <c r="I92" i="5"/>
  <c r="W65" i="3"/>
  <c r="V65" i="3"/>
  <c r="U65" i="3"/>
  <c r="T65" i="3"/>
  <c r="S65" i="3"/>
  <c r="Q65" i="3"/>
  <c r="P65" i="3"/>
  <c r="N65" i="3"/>
  <c r="K65" i="3"/>
  <c r="J65" i="3"/>
  <c r="H65" i="3"/>
  <c r="Z65" i="3" l="1"/>
  <c r="S12" i="7"/>
  <c r="C20" i="7"/>
  <c r="C37" i="7" s="1"/>
  <c r="F20" i="7"/>
  <c r="F37" i="7" s="1"/>
  <c r="G20" i="7"/>
  <c r="AA35" i="4"/>
  <c r="AA65" i="3"/>
  <c r="L65" i="3"/>
  <c r="AC65" i="3" s="1"/>
  <c r="D12" i="7"/>
  <c r="R12" i="7" s="1"/>
  <c r="AC35" i="4"/>
  <c r="C33" i="7" l="1"/>
  <c r="C44" i="7" s="1"/>
  <c r="G33" i="7"/>
  <c r="G44" i="7" s="1"/>
  <c r="G37" i="7"/>
  <c r="F33" i="7"/>
  <c r="F44" i="7" l="1"/>
  <c r="T93" i="5" l="1"/>
  <c r="E17" i="7"/>
  <c r="E21" i="7" l="1"/>
  <c r="K17" i="7"/>
  <c r="T92" i="5"/>
  <c r="L93" i="5"/>
  <c r="K16" i="7"/>
  <c r="E16" i="7"/>
  <c r="L92" i="5"/>
  <c r="AB92" i="5" l="1"/>
  <c r="D16" i="7"/>
  <c r="M93" i="5"/>
  <c r="AD93" i="5" s="1"/>
  <c r="M92" i="5"/>
  <c r="AD92" i="5" s="1"/>
  <c r="D17" i="7"/>
  <c r="K21" i="7"/>
  <c r="K34" i="7" s="1"/>
  <c r="K20" i="7"/>
  <c r="K37" i="7" s="1"/>
  <c r="B20" i="7"/>
  <c r="B37" i="7" s="1"/>
  <c r="E34" i="7"/>
  <c r="E20" i="7"/>
  <c r="L17" i="7"/>
  <c r="S17" i="7" s="1"/>
  <c r="U92" i="5"/>
  <c r="AA92" i="5" s="1"/>
  <c r="U93" i="5"/>
  <c r="AA93" i="5" s="1"/>
  <c r="L16" i="7"/>
  <c r="AB93" i="5"/>
  <c r="E38" i="7"/>
  <c r="K38" i="7" l="1"/>
  <c r="L20" i="7"/>
  <c r="L37" i="7" s="1"/>
  <c r="E33" i="7"/>
  <c r="E44" i="7" s="1"/>
  <c r="S16" i="7"/>
  <c r="E37" i="7"/>
  <c r="R16" i="7"/>
  <c r="D20" i="7"/>
  <c r="D37" i="7" s="1"/>
  <c r="L21" i="7"/>
  <c r="L38" i="7" s="1"/>
  <c r="B33" i="7"/>
  <c r="B44" i="7" s="1"/>
  <c r="K33" i="7"/>
  <c r="K44" i="7" s="1"/>
  <c r="R17" i="7"/>
  <c r="D21" i="7"/>
  <c r="D38" i="7" s="1"/>
  <c r="S20" i="7" l="1"/>
  <c r="R21" i="7"/>
  <c r="D34" i="7"/>
  <c r="R34" i="7" s="1"/>
  <c r="D33" i="7"/>
  <c r="R33" i="7" s="1"/>
  <c r="R20" i="7"/>
  <c r="L34" i="7"/>
  <c r="S34" i="7" s="1"/>
  <c r="S21" i="7"/>
  <c r="L33" i="7"/>
  <c r="L44" i="7" s="1"/>
  <c r="D44" i="7" l="1"/>
  <c r="S33" i="7"/>
</calcChain>
</file>

<file path=xl/sharedStrings.xml><?xml version="1.0" encoding="utf-8"?>
<sst xmlns="http://schemas.openxmlformats.org/spreadsheetml/2006/main" count="1408" uniqueCount="502">
  <si>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</si>
  <si>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</si>
  <si>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</si>
  <si>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</si>
  <si>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</si>
  <si>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</si>
  <si>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</si>
  <si>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</si>
  <si>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</si>
  <si>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</si>
  <si>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</si>
  <si>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</si>
  <si>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</si>
  <si>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</si>
  <si>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</si>
  <si>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</si>
  <si>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</si>
  <si>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</si>
  <si>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</si>
  <si>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</si>
  <si>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</si>
  <si>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</si>
  <si>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</si>
  <si>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</si>
  <si>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</si>
  <si>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</si>
  <si>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</si>
  <si>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</si>
  <si>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</si>
  <si>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</si>
  <si>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</si>
  <si>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</si>
  <si>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</si>
  <si>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</si>
  <si>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</si>
  <si>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</si>
  <si>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</si>
  <si>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</si>
  <si>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</si>
  <si>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</si>
  <si>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</si>
  <si>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</si>
  <si>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</si>
  <si>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</si>
  <si>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</si>
  <si>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</si>
  <si>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</si>
  <si>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Województwo: podlaskie</t>
  </si>
  <si>
    <t>Powiat Białostocki</t>
  </si>
  <si>
    <t>Powiat Bielski</t>
  </si>
  <si>
    <t>Powiat Grajewski</t>
  </si>
  <si>
    <t>Powiat Kolneński</t>
  </si>
  <si>
    <t>Powiat Łomżyński</t>
  </si>
  <si>
    <t>Powiat Moniecki</t>
  </si>
  <si>
    <t>Powiat Siemiatycki</t>
  </si>
  <si>
    <t>Powiat Sokólski</t>
  </si>
  <si>
    <t>Powiat Wysokomazowiecki</t>
  </si>
  <si>
    <t>Powiat Zambrowski</t>
  </si>
  <si>
    <t>Powiat białostocki</t>
  </si>
  <si>
    <t>Gmina Miejska Sejny</t>
  </si>
  <si>
    <t>Gmina Miejska Siemiatycze</t>
  </si>
  <si>
    <t>Powiat siemiatycki</t>
  </si>
  <si>
    <t>Powiat sokólski</t>
  </si>
  <si>
    <t>Powiat wysokomazowiecki</t>
  </si>
  <si>
    <t>K</t>
  </si>
  <si>
    <t>P</t>
  </si>
  <si>
    <t>B</t>
  </si>
  <si>
    <t>R</t>
  </si>
  <si>
    <r>
      <t xml:space="preserve">Powiat Białostocki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</si>
  <si>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 xml:space="preserve">Powiat Wysokomazowiecki </t>
    </r>
    <r>
      <rPr>
        <vertAlign val="superscript"/>
        <sz val="10"/>
        <color indexed="10"/>
        <rFont val="Arial"/>
        <family val="2"/>
        <charset val="238"/>
      </rPr>
      <t>x1)</t>
    </r>
  </si>
  <si>
    <t>Rozbudowa drogi powiatowej nr 2094B Ciechanowiec - Perlejewo wraz z rozbudową skrzyżowania z drogą powiatową nr 2616B - ul. Drohicka w Ciechanowcu</t>
  </si>
  <si>
    <t>05.2024 - 10.2026</t>
  </si>
  <si>
    <t>Rozbudowa drogi powiatowej nr 2072B Wysokie Mazowieckie - Święck Wielki</t>
  </si>
  <si>
    <t>04.2024 - 10.2026</t>
  </si>
  <si>
    <t>Rozbudowa drogi powiatowej nr 2058B Kulesze Kościelne - Gołasze Mościckie</t>
  </si>
  <si>
    <t>Rozbudowa drogi powiatowej 1333B na terenie gminy Suchowola w powiecie sokólskim</t>
  </si>
  <si>
    <t>Rozbudowa odcinka drogi powiatowej 1322B na terenie gminy Dąbrowa Białostocka w powiecie sokólskim</t>
  </si>
  <si>
    <t>Przebudowa z rozbudową drogi powiatowej nr 1969B na odcinku Targonie Wity - Zawady Kolonia (Gm. Zawady)</t>
  </si>
  <si>
    <t>Rozbudowa drogi powiatowej nr 2037B gr. woj. - Dmochy Wochy - dr. kr. nr 63</t>
  </si>
  <si>
    <t>Rozbudowa drogi powiatowej nr 2106B Kobusy - Radziszewo-Sieńczuch</t>
  </si>
  <si>
    <t>Przebudowa i rozbudowa drogi powiatowej nr 1917B Stary Cydzyn - Nowy Cydzyn</t>
  </si>
  <si>
    <t>Rozbiórka i budowa mostu przez rz. Białą wraz z przebudową odcinka drogi powiatowej nr 1392B k/m Fasty (Gm. Dobrzyniewo Duże)</t>
  </si>
  <si>
    <t>06.2024 - 08.2026</t>
  </si>
  <si>
    <t>Przebudowa z rozbudową drogi powiatowej nr 1479B na odcinku Kolonia Koplany - Brończany - Stacja Lewickie - etap I (Gm. Juchnowiec Kościelny)</t>
  </si>
  <si>
    <r>
      <t xml:space="preserve">Powiat Bielski </t>
    </r>
    <r>
      <rPr>
        <vertAlign val="superscript"/>
        <sz val="10"/>
        <color indexed="10"/>
        <rFont val="Arial"/>
        <family val="2"/>
        <charset val="238"/>
      </rPr>
      <t>x1)</t>
    </r>
  </si>
  <si>
    <t>Rozbudowa drogi powiatowej nr 1683B Kozły - Podbiele</t>
  </si>
  <si>
    <t>07.2024 - 08.2026</t>
  </si>
  <si>
    <t>Rozbudowa drogi gminnej 103581B na terenie Gminy Nowy Dwór w powiecie sokólskim</t>
  </si>
  <si>
    <t>Przebudowa drogi gminnej 106860B Ryboły - Kaniuki</t>
  </si>
  <si>
    <t>Przebudowa drogi nr 108798B Sypnie Nowe - Kozłowo</t>
  </si>
  <si>
    <r>
      <t xml:space="preserve">Gmina Miejska Wysokie Mazowieckie </t>
    </r>
    <r>
      <rPr>
        <vertAlign val="superscript"/>
        <sz val="10"/>
        <color indexed="10"/>
        <rFont val="Arial"/>
        <family val="2"/>
        <charset val="238"/>
      </rPr>
      <t>x1)</t>
    </r>
  </si>
  <si>
    <t>Budowa dróg na osiedlu przy ul. Ks. Prałata Józefa Obrembskiego w Wysokiem Mazowieckiem</t>
  </si>
  <si>
    <t>07.2024 - 11.2026</t>
  </si>
  <si>
    <t>Przebudowa drogi gminnej nr 103601B na odcinku Wólka - Romanówka</t>
  </si>
  <si>
    <t>Gmina Czyżew</t>
  </si>
  <si>
    <t>Budowa dróg gminnych nr 106316B Leśniewo-Niedźwiedź i nr 106347B Leśniewo-Niedźwiedź - Stypułki-Giemzino</t>
  </si>
  <si>
    <t>Gmina Sokółka</t>
  </si>
  <si>
    <t>Przebudowa odcinka drogi gminnej relacji Siennica Gizy - Siennica Łukasze</t>
  </si>
  <si>
    <t>Remont drogi powiatowej Nr 2072B na odc. Krzeczkowo Mianowskie - Czyżew</t>
  </si>
  <si>
    <t>Przebudowa i rozbudowa drogi powiatowej Nr 1741B od skrzyżowania z drogą powiatową  Nr 1740B do skrzyżowania z drogą gminną do miejscowości Bystre łącznie z przebudową mostu</t>
  </si>
  <si>
    <t>07.2025 - 11.2027</t>
  </si>
  <si>
    <t>Remont drogi powiatowej Nr 2065B na odc. Dworaki Staśki - Sokoły</t>
  </si>
  <si>
    <t xml:space="preserve">Przebudowa drogi powiatowej nr 1713B  na odcinku Grodzisk - Kozłowo </t>
  </si>
  <si>
    <t>Przebudowa z rozbudową drogi powiatowej nr 2020B na odcinku Zaręby-Kramki - Zaręby-Grzymały (granica województwa)</t>
  </si>
  <si>
    <t>Przebudowa i rozbudowa drogi powiatowej nr 1957B w m. Miastkowo (ul. Świerkowa)</t>
  </si>
  <si>
    <t>Rozbudowa ronda w ciągu drogi powiatowej Nr 2077B w m. Klukowo</t>
  </si>
  <si>
    <t>06.2025 - 10.2027</t>
  </si>
  <si>
    <t>01.2025 - 06.2027</t>
  </si>
  <si>
    <t>Przebudowa drogi powiatowej 1308B na odcinku od DK8 do skrzyżowania z drogą gminną w miejscowości Przesławka na terenie gminy Korycin w powiecie sokólskim</t>
  </si>
  <si>
    <t>Rozbudowa odcinka dróg powiatowych 1405B i 1420B na terenie gminy Korycin w powiecie sokólskim</t>
  </si>
  <si>
    <t>Miasto Łomża</t>
  </si>
  <si>
    <t>09.2025 - 11.2027</t>
  </si>
  <si>
    <t>06.2025 - 11.2027</t>
  </si>
  <si>
    <t>01.2025 - 11.2027</t>
  </si>
  <si>
    <t>N</t>
  </si>
  <si>
    <t>powiat zambrowski</t>
  </si>
  <si>
    <t>powiat białostocki</t>
  </si>
  <si>
    <t>powiat sokólski</t>
  </si>
  <si>
    <t>09.2025 - 06.2027</t>
  </si>
  <si>
    <t>powiat wysokomazowiecki</t>
  </si>
  <si>
    <t>Gmina Augustów</t>
  </si>
  <si>
    <t>powiat augustowski</t>
  </si>
  <si>
    <t>Budowa drogi gminnej wraz z rozbiórką istniejącego mostu i budową nowego obiektu mostowego przez rzekę Rospuda w miejscowości Topiłówka</t>
  </si>
  <si>
    <t>01.2025 - 03.2027</t>
  </si>
  <si>
    <t>powiat bielski</t>
  </si>
  <si>
    <t>Rozbudowa, przebudowa części drogi gminnej Nr 108285B - ul. Partyzantów oraz części drogi gminnej Nr 108293B - ul. Żwirki i Wigury w Orli</t>
  </si>
  <si>
    <t>03.2025 - 11.2026</t>
  </si>
  <si>
    <t>powiat łomżyński</t>
  </si>
  <si>
    <t>powiat suwalski</t>
  </si>
  <si>
    <t>Przebudowa ul. Inwestycyjnej i części ul. Lipowej w Bakałarzewie</t>
  </si>
  <si>
    <t>Gmina Turośń Kościelna</t>
  </si>
  <si>
    <t>Przebudowa drogi gminnej na odcinku od m. Zalesiany do projektowanego przebiegu S-19</t>
  </si>
  <si>
    <t>07.2025 - 09.2026</t>
  </si>
  <si>
    <t>Rozbudowa ulicy Szosa Supraska w Grabówce wraz z niezbędną infrastrukturą techniczną</t>
  </si>
  <si>
    <t>Budowa dróg oraz skrzyżowania z drogą krajową nr 63 w rejonie ROD pod Długoborzem w Zambrowie</t>
  </si>
  <si>
    <t>Przebudowa odcinków drogi gminnej Nr 107535B i Nr 107537B w miejscowości Stare Bagińskie - Kożuszki</t>
  </si>
  <si>
    <t>Gmina Łomża</t>
  </si>
  <si>
    <t>Przebudowa drogi gminnej nr 105681B Stare Kupiski - Jednaczewo</t>
  </si>
  <si>
    <t>10.2025 - 12.2027</t>
  </si>
  <si>
    <t>Miasto Suwałki</t>
  </si>
  <si>
    <t>Przebudowa  ul. Wylotowej i Kolejowej wraz ze skrzyżowaniem z DW nr 655</t>
  </si>
  <si>
    <t>Przebudowa z rozbudową ul. I. Mościckiego w Sokółce</t>
  </si>
  <si>
    <t>Przebudowa ul. Owocowej oraz rozbudowa ul. Talesa z Miletu w Łomży</t>
  </si>
  <si>
    <t>Przebudowa drogi gminnej relacji Siennica Gizy - Siennica Łukasze wraz z przebudową mostu na rzece Siennica</t>
  </si>
  <si>
    <t>Budowa z rozbudową części ul. Felkowo w Turośni Kościelnej</t>
  </si>
  <si>
    <t>Budowa z rozbudową ul. Działkowców w Niewodnicy Kościelnej oraz części ul. Sosnowej w Zalesianach</t>
  </si>
  <si>
    <t>Przebudowa ul. 1-ego Maja i ul. Plac Kościuszki wraz z parkingami i infrastrukturą techniczną w Sokółce</t>
  </si>
  <si>
    <t>Budowa drogi gminnej wraz z rozbiórką istniejącego mostu i budową nowego obiektu mostowego przez rzekę Turówka w miejscowości Białobrzegi w ciągu drogi gminnej Żarnowo II - Białobrzegi</t>
  </si>
  <si>
    <t>09.2025 - 11.2026</t>
  </si>
  <si>
    <t>07.2025 - 11.2026</t>
  </si>
  <si>
    <t>07.2025 - 10.2026</t>
  </si>
  <si>
    <t>* Kwota dofinansowania 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</si>
  <si>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* Kwota dofinansowania zadań wieloletnich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</si>
  <si>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r>
      <t xml:space="preserve">Powiat Bielski </t>
    </r>
    <r>
      <rPr>
        <vertAlign val="superscript"/>
        <sz val="10"/>
        <color rgb="FFFF0000"/>
        <rFont val="Arial"/>
        <family val="2"/>
        <charset val="238"/>
      </rPr>
      <t>x1)</t>
    </r>
  </si>
  <si>
    <t>09.2024 - 06.2026</t>
  </si>
  <si>
    <r>
      <t xml:space="preserve">Powiat Wysokomazowiecki </t>
    </r>
    <r>
      <rPr>
        <vertAlign val="superscript"/>
        <sz val="10"/>
        <color rgb="FFFF0000"/>
        <rFont val="Arial"/>
        <family val="2"/>
        <charset val="238"/>
      </rPr>
      <t>x1)</t>
    </r>
  </si>
  <si>
    <r>
      <t xml:space="preserve">Gmina Kulesze Koscielne </t>
    </r>
    <r>
      <rPr>
        <vertAlign val="superscript"/>
        <sz val="10"/>
        <color rgb="FFFF0000"/>
        <rFont val="Arial"/>
        <family val="2"/>
        <charset val="238"/>
      </rPr>
      <t>x1)</t>
    </r>
  </si>
  <si>
    <t>Przebudowa drogi gminnej nr 124503B w Dąbrowie Białostockiej</t>
  </si>
  <si>
    <t>Przebudowa drogi gminnej na działce o nr ewid. 444/2, obręb Łozowo w gminie Dąbrowa Białostocka</t>
  </si>
  <si>
    <t>Donald Tusk
/dokument podpisany elektronicznie/</t>
  </si>
  <si>
    <t>Gmina Grabówka</t>
  </si>
  <si>
    <r>
      <t xml:space="preserve">Powiat Sokólski </t>
    </r>
    <r>
      <rPr>
        <vertAlign val="superscript"/>
        <sz val="10"/>
        <color rgb="FFFF0000"/>
        <rFont val="Arial"/>
        <family val="2"/>
        <charset val="238"/>
      </rPr>
      <t>x1)</t>
    </r>
  </si>
  <si>
    <t>12.2024 - 01.2026</t>
  </si>
  <si>
    <r>
      <t xml:space="preserve">Gmina Grodzisk </t>
    </r>
    <r>
      <rPr>
        <vertAlign val="superscript"/>
        <sz val="10"/>
        <color rgb="FFFF0000"/>
        <rFont val="Arial"/>
        <family val="2"/>
        <charset val="238"/>
      </rPr>
      <t>x1)</t>
    </r>
  </si>
  <si>
    <t>01.2025 - 06.2026</t>
  </si>
  <si>
    <t>12.2024 - 12.2026</t>
  </si>
  <si>
    <r>
      <t xml:space="preserve">Powiat Białostocki </t>
    </r>
    <r>
      <rPr>
        <vertAlign val="superscript"/>
        <sz val="10"/>
        <color rgb="FFFF0000"/>
        <rFont val="Arial"/>
        <family val="2"/>
        <charset val="238"/>
      </rPr>
      <t>x1)</t>
    </r>
  </si>
  <si>
    <r>
      <t xml:space="preserve">Powiat Łomżyński </t>
    </r>
    <r>
      <rPr>
        <vertAlign val="superscript"/>
        <sz val="10"/>
        <color rgb="FFFF0000"/>
        <rFont val="Arial"/>
        <family val="2"/>
        <charset val="238"/>
      </rPr>
      <t>x1)</t>
    </r>
  </si>
  <si>
    <t>12.2024-12.2026</t>
  </si>
  <si>
    <t>10.2024-12.2026</t>
  </si>
  <si>
    <r>
      <t xml:space="preserve">Gmina Zabłudów </t>
    </r>
    <r>
      <rPr>
        <vertAlign val="superscript"/>
        <sz val="10"/>
        <color rgb="FFFF0000"/>
        <rFont val="Arial"/>
        <family val="2"/>
        <charset val="238"/>
      </rPr>
      <t>x2)</t>
    </r>
  </si>
  <si>
    <t>10.2024 - 06.2026</t>
  </si>
  <si>
    <r>
      <t xml:space="preserve">Gmina Sidra </t>
    </r>
    <r>
      <rPr>
        <vertAlign val="superscript"/>
        <sz val="10"/>
        <color rgb="FFFF0000"/>
        <rFont val="Arial"/>
        <family val="2"/>
        <charset val="238"/>
      </rPr>
      <t>x1)</t>
    </r>
  </si>
  <si>
    <r>
      <t xml:space="preserve">Gmina Czyżew </t>
    </r>
    <r>
      <rPr>
        <vertAlign val="superscript"/>
        <sz val="10"/>
        <color rgb="FFFF0000"/>
        <rFont val="Arial"/>
        <family val="2"/>
        <charset val="238"/>
      </rPr>
      <t>x1)</t>
    </r>
  </si>
  <si>
    <t>12.2024-10.2026</t>
  </si>
  <si>
    <t>12.2024-07.2026</t>
  </si>
  <si>
    <t>12.2024 - 09.2026</t>
  </si>
  <si>
    <r>
      <t xml:space="preserve">Gmina Dąbrowa Białostocka </t>
    </r>
    <r>
      <rPr>
        <vertAlign val="superscript"/>
        <sz val="10"/>
        <color rgb="FFFF0000"/>
        <rFont val="Arial"/>
        <family val="2"/>
        <charset val="238"/>
      </rPr>
      <t>x1)</t>
    </r>
  </si>
  <si>
    <t>04.2025 - 10.2028</t>
  </si>
  <si>
    <t>04.2025 -10.2028</t>
  </si>
  <si>
    <r>
      <t>Powiat Wysokomazowiecki</t>
    </r>
    <r>
      <rPr>
        <vertAlign val="superscript"/>
        <sz val="10"/>
        <color rgb="FFFF0000"/>
        <rFont val="Arial"/>
        <family val="2"/>
        <charset val="238"/>
      </rPr>
      <t xml:space="preserve"> x1)</t>
    </r>
  </si>
  <si>
    <r>
      <t>Powiat Siemiatycki</t>
    </r>
    <r>
      <rPr>
        <vertAlign val="superscript"/>
        <sz val="10"/>
        <color rgb="FFFF0000"/>
        <rFont val="Arial"/>
        <family val="2"/>
        <charset val="238"/>
      </rPr>
      <t xml:space="preserve"> x1)</t>
    </r>
  </si>
  <si>
    <t>06.2025 - 08.2026</t>
  </si>
  <si>
    <r>
      <t xml:space="preserve">Powiat Zambrowski </t>
    </r>
    <r>
      <rPr>
        <vertAlign val="superscript"/>
        <sz val="10"/>
        <color rgb="FFFF0000"/>
        <rFont val="Arial"/>
        <family val="2"/>
        <charset val="238"/>
      </rPr>
      <t>x1)</t>
    </r>
  </si>
  <si>
    <t>05.2025 - 11.2026</t>
  </si>
  <si>
    <r>
      <t xml:space="preserve">Gmina Miejska Zambrów </t>
    </r>
    <r>
      <rPr>
        <vertAlign val="superscript"/>
        <sz val="10"/>
        <color rgb="FFFF0000"/>
        <rFont val="Arial"/>
        <family val="2"/>
        <charset val="238"/>
      </rPr>
      <t>x1)</t>
    </r>
  </si>
  <si>
    <t>06.2025 - 09.2026</t>
  </si>
  <si>
    <r>
      <t xml:space="preserve">Gmina Turośń Kościelna </t>
    </r>
    <r>
      <rPr>
        <vertAlign val="superscript"/>
        <sz val="10"/>
        <color rgb="FFFF0000"/>
        <rFont val="Arial"/>
        <family val="2"/>
        <charset val="238"/>
      </rPr>
      <t>x1)</t>
    </r>
  </si>
  <si>
    <t>07.2025 - 10.2027</t>
  </si>
  <si>
    <t>05.2025 - 06.2027</t>
  </si>
  <si>
    <r>
      <t xml:space="preserve">Gmina Wyszki </t>
    </r>
    <r>
      <rPr>
        <vertAlign val="superscript"/>
        <sz val="10"/>
        <color rgb="FFFF0000"/>
        <rFont val="Arial"/>
        <family val="2"/>
        <charset val="238"/>
      </rPr>
      <t>x1)</t>
    </r>
  </si>
  <si>
    <t>Rozbudowa drogi powiatowej 1320B od skrzyżowania z drogą powiatową 1308B do granicy powiatu białostockiego na terenie gminy Korycin w powiecie sokólskim</t>
  </si>
  <si>
    <r>
      <t xml:space="preserve">Gmina Bakałarzewo </t>
    </r>
    <r>
      <rPr>
        <vertAlign val="superscript"/>
        <sz val="10"/>
        <color rgb="FFFF0000"/>
        <rFont val="Arial"/>
        <family val="2"/>
        <charset val="238"/>
      </rPr>
      <t>x1)</t>
    </r>
  </si>
  <si>
    <t>08.2025 - 03.2026</t>
  </si>
  <si>
    <r>
      <t xml:space="preserve">Gmina Sokółka </t>
    </r>
    <r>
      <rPr>
        <vertAlign val="superscript"/>
        <sz val="10"/>
        <color rgb="FFFF0000"/>
        <rFont val="Arial"/>
        <family val="2"/>
        <charset val="238"/>
      </rPr>
      <t>x1)</t>
    </r>
  </si>
  <si>
    <t>08.2025 - 08.2027</t>
  </si>
  <si>
    <r>
      <t xml:space="preserve">Powiat Łomżyński </t>
    </r>
    <r>
      <rPr>
        <vertAlign val="superscript"/>
        <sz val="10"/>
        <color rgb="FFFF0000"/>
        <rFont val="Arial"/>
        <family val="2"/>
        <charset val="238"/>
      </rPr>
      <t>x2)</t>
    </r>
  </si>
  <si>
    <t>08.2025 - 09.2026</t>
  </si>
  <si>
    <r>
      <t xml:space="preserve">Gmina Orla </t>
    </r>
    <r>
      <rPr>
        <vertAlign val="superscript"/>
        <sz val="10"/>
        <color rgb="FFFF0000"/>
        <rFont val="Arial"/>
        <family val="2"/>
        <charset val="238"/>
      </rPr>
      <t>x1)</t>
    </r>
  </si>
  <si>
    <t>Przebudowa i rozbudowa drogi powiatowej Nr 1746B Dydule – Gredele</t>
  </si>
  <si>
    <t>Powiat Augustowski</t>
  </si>
  <si>
    <t>Powiat Hajnowski</t>
  </si>
  <si>
    <t>Powiat Sejneński</t>
  </si>
  <si>
    <t>Powiat Suwalski</t>
  </si>
  <si>
    <t>Gmina Miejska Augustów</t>
  </si>
  <si>
    <t>Gmina Miejska Bielsk Podlaski</t>
  </si>
  <si>
    <t>Gmina Miejska Brańsk</t>
  </si>
  <si>
    <t>Gmina Miejska Grajewo</t>
  </si>
  <si>
    <t>Gmina Miejska Hajnówka</t>
  </si>
  <si>
    <t>Lista zadań powiatowych i zadań gminnych rekomendowanych do dofinansowania w ramach Rządowego Funduszu Rozwoju Dróg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</si>
  <si>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na rok 2026</t>
    </r>
  </si>
  <si>
    <t>Przebudowa z rozbudową drogi powiatowej Nr 1422B w m. Wólka Ratowiecka (Gm. Czarna Białostocka)</t>
  </si>
  <si>
    <t>01.2026 - 12.2026</t>
  </si>
  <si>
    <t>Przebudowa drogi powiatowej nr 2580B - ulicy Marii Konopnickiej w Sejnach</t>
  </si>
  <si>
    <t>05.2026 - 09.2027</t>
  </si>
  <si>
    <t>Rozbudowa drogi powiatowej Nr 1234B Gruszki - Rubcowo - Skieblewo - do drogi Nr 664, Etapy IV - VI</t>
  </si>
  <si>
    <t>04.2026 - 09.2028</t>
  </si>
  <si>
    <t>Przebudowa drogi powiatowej nr 1160B Puńsk - Wojciuliszki - Budzisko</t>
  </si>
  <si>
    <t>05.2026 - 09.2026</t>
  </si>
  <si>
    <t>Remont drogi powiatowej nr 2092B na odc. dr. kr. Nr 63 - Zaręby Bindugi</t>
  </si>
  <si>
    <t>06.2026 - 11.2026</t>
  </si>
  <si>
    <t>Rozbudowa drogi powiatowej nr 1934B w m. Wizna</t>
  </si>
  <si>
    <t>09.2026 - 11.2028</t>
  </si>
  <si>
    <t>Przebudowa ul. Zastawie na odcinku od ronda im. J. Gajewskiego do ul. Powstańców Wielkopolskich w Suwałkach</t>
  </si>
  <si>
    <t>03.2026 - 06.2027</t>
  </si>
  <si>
    <t>Przebudowa DP nr 1808B ul. Przemysłowa w Grajewie w km 0+013 ÷ 0+585</t>
  </si>
  <si>
    <t>06.2026 - 05.2027</t>
  </si>
  <si>
    <t>Remont drogi powiatowej nr 1754B na odcinku Baciki Dalsze - Granica Gminy Siemiatycze</t>
  </si>
  <si>
    <t>04.2026 - 05.2027</t>
  </si>
  <si>
    <t>Przebudowa z rozbudową drogi powiatowej Nr 1380B Tykocin - Złotoria - Etap III (Gm. Tykocin)</t>
  </si>
  <si>
    <t>Przebudowa odcinka drogi powiatowej nr 1172B Wigry - Burdeniszki - do drogi 1171B, Gmina Suwałki</t>
  </si>
  <si>
    <t>04.2026 - 12.2026</t>
  </si>
  <si>
    <t>Przebudowa i rozbudowa skrzyżowania ulic Prym. Stefana Wyszyńskiego, Marii Konopnickiej, Białostockiej na skrzyżowanie o ruchu okrężnym</t>
  </si>
  <si>
    <t>04.2026 - 11.2026</t>
  </si>
  <si>
    <t>Przebudowa z rozbudową DP nr 1824B na odcinku Wąsosz - Modzele</t>
  </si>
  <si>
    <t>10.2026 - 09.2027</t>
  </si>
  <si>
    <t>Rozbudowa drogi powiatowej nr 2616B ul. Drohicka w Ciechanowcu</t>
  </si>
  <si>
    <t>06.2026 - 10.2027</t>
  </si>
  <si>
    <t>Przebudowa i rozbudowa DP 1308B na odcinku DK8-Białousy-Sitkowo</t>
  </si>
  <si>
    <t>01.2026 - 06.2028</t>
  </si>
  <si>
    <t>Przebudowa DP nr 1794B na odc. Stoczek - Kozłówka</t>
  </si>
  <si>
    <t>Przebudowa drogi powiatowej nr 1727B na odcinku Drohiczyn (ul. Mieszka I) - Granica Miasta Drohiczyn</t>
  </si>
  <si>
    <t>04.2026 - 08.2026</t>
  </si>
  <si>
    <t>Przebudowa odcinka drogi powiatowej nr 1120B Bakałarzewo - Raczki, Gmina Bakałarzewo</t>
  </si>
  <si>
    <t>Przebudowa z rozbudową drogi powiatowej Nr 2008B na odcinku Krajewo-Borowe - Krajewo-Ćwikły na długości ok. 1,2 km</t>
  </si>
  <si>
    <t>01.2026 - 11.2027</t>
  </si>
  <si>
    <t>Remont drogi powiatowej Nr 1611B - ul. Widowska w m. Bielsk Podlaski</t>
  </si>
  <si>
    <t>07.2026 - 11.2027</t>
  </si>
  <si>
    <t>Rozbudowa drogi powiatowej Nr 1427B na odcinku Ogrodniczki - Nowodworce (Gm. Supraśl)</t>
  </si>
  <si>
    <t>Przebudowa z rozbudową drogi powiatowej nr 1880B ul. M. Konopnickiej w Kolnie - ETAP II</t>
  </si>
  <si>
    <t>Przebudowa drogi powiatowej nr 1982B ulicy Tartak Stary w granicach miejscowości Rutki - Kossaki</t>
  </si>
  <si>
    <t>Przebudowa drogi powiatowej nr 1716B na odcinku DW 692 - Aleksandrowo</t>
  </si>
  <si>
    <t>Przebudowa i rozbudowa drogi powiatowej Nr 1699B Brzeźnica - Szmurły</t>
  </si>
  <si>
    <t>07.2026 - 11.2028</t>
  </si>
  <si>
    <t>Rozbudowa drogi powiatowej Nr 1407B Kalinówka Kościelna - Starowola</t>
  </si>
  <si>
    <t>07.2026 - 06.2027</t>
  </si>
  <si>
    <t>Remont drogi powiatowej nr 1606B metodą nakładki asfaltowej od m. Klejniki do skrzyżowania z drogą gminną prowadzącą do m. Leszczyny</t>
  </si>
  <si>
    <t>03.2026 - 10.2026</t>
  </si>
  <si>
    <t>Rozbudowa drogi powiatowej Nr 1576B Falki - Filipy</t>
  </si>
  <si>
    <t>01.2026 - 11.2028</t>
  </si>
  <si>
    <t>Rozbudowa drogi powiatowej Nr 1404 B na odcinku od m. Przytulanka do granicy gminy Knyszyn - odcinek II</t>
  </si>
  <si>
    <t>Rozbudowa drogi powiatowej Nr 1398B Nowiny Kasjerskie - Nowiny Zdroje</t>
  </si>
  <si>
    <t>Przebudowa drogi powiatowej Nr 1678B Orla - Mikłasze - do torów kolejowych</t>
  </si>
  <si>
    <t>Przebudowa drogi powiatowej nr 1175B Sejny (ul. Młynarska) - Bosse - Bierżałowce</t>
  </si>
  <si>
    <t>05.2026 - 10.2026</t>
  </si>
  <si>
    <t>Rozbudowa drogi powiatowej nr 2072B na odc. Dmochy Glinki - Czyżew Chrapki</t>
  </si>
  <si>
    <t>Przebudowa i rozbudowa drogi powiatowej nr 1941B wraz z budową i przebudową infrastrutury technicznej</t>
  </si>
  <si>
    <t xml:space="preserve">Rozbudowa drogi powiatowej nr 1909B o długości ok. 0,55 km w obrębie m. Grzymały, gm. Nowogród </t>
  </si>
  <si>
    <t>06.2026 - 11.2027</t>
  </si>
  <si>
    <t>Rozbudowa drogi powiatowej nr 1626B na odcinku od drogi powiatowej nr 1619B w kierunku wsi Koweła do granicy gminy Hajnówka i gminy Narew</t>
  </si>
  <si>
    <t xml:space="preserve">Remont odcinka drogi powiatowej Nr 1192B od dr. DK 16 - Grabowo - Janówka - do dr. DK 8 </t>
  </si>
  <si>
    <t>04.2026 - 06.2026</t>
  </si>
  <si>
    <t>Rozbudowa drogi powiatowej nr 1888B Turośl-Krusza-Charubin - ETAP I</t>
  </si>
  <si>
    <t>Przebudowa i rozbudowa drogi powiatowej nr 1914B Pieńki Borowe - DW668 wraz z budową i przebudową infrastruktury technicznej</t>
  </si>
  <si>
    <t>Rozbudowa DP 1277B w miejscowości Talkowszczyzna</t>
  </si>
  <si>
    <t>Przebudowa drogi powiatowej nr 1768B na odcinku Telatycze - Wilanowo</t>
  </si>
  <si>
    <t>Remont drogi powiatowej Nr 1238B Kopczany - Dulkowszczyzna - Stary Rogożyn - Rogożynek od km 0+000,00 do km 2+610</t>
  </si>
  <si>
    <t>Przebudowa z rozbudową drogi powiatowej Nr 1505B na odcinku Rynki - Średzińskie - etap I (Gm. Suraż)</t>
  </si>
  <si>
    <t>Rozbudowa DP nr 1808B na odc. Grajewo - Wojewodzin</t>
  </si>
  <si>
    <t>Rozbudowa DP 2602B ul. Nowogrodzkiej w Łomży</t>
  </si>
  <si>
    <t>Przebudowa DP nr 1812B na części odcinka Wąsosz - Żebry</t>
  </si>
  <si>
    <t>05.2026 - 11.2026</t>
  </si>
  <si>
    <t>Rozbudowa DP nr 1873B na odc. Od DP nr 1869B do m. Jambrzyki</t>
  </si>
  <si>
    <t>Rozbudowa drogi powiatowej nr 1835B w m. Chrzanowo i Nowa Kubra</t>
  </si>
  <si>
    <t>11.2026 - 10.2027</t>
  </si>
  <si>
    <t>Remont drogi powiatowej nr 2059B na odc. Kruszewo Brodowo - Waniewo</t>
  </si>
  <si>
    <t>06.2026 - 10.2028</t>
  </si>
  <si>
    <t>Remont drogi powiatowej nr 2043B na odc. Zawady - Zalesie Łabędzkie</t>
  </si>
  <si>
    <t>Przebudowa drogi powiatowej nr 1861B na odcinku Świdry - Granowo</t>
  </si>
  <si>
    <t>Remont odcinków drogi powiatowej 1225B Sztabin - Jaminy - Mogilnice - odc. Jaminy - DP 1220B</t>
  </si>
  <si>
    <t>Remont drogi powiatowej Nr 1237B Kopczany - Bartniki - Wołkusz - Sołojewszczyzna od km 0+000,00 do km 3+440,00</t>
  </si>
  <si>
    <t>Przebudowa odcinka drogi powiatowej nr 2540B Raczki - Sucha Wieś - Janówka - Augustów</t>
  </si>
  <si>
    <t>Przebudowa odcinka drogi powiatowej Nr 1228B Sztabin - Krasnybór - Jastrzębna - Lipsk wraz z odcinkiem ulicy powiatowej Nr 2569B Kościelna w Lipsku</t>
  </si>
  <si>
    <t>04.2026 - 10.2026</t>
  </si>
  <si>
    <t>Rozbudowa odcinka DP 1405B i 1420B</t>
  </si>
  <si>
    <t>Remont odcinków ciągu drogowego Bargłów Kościelny - Granica Państwa - ETAP VI (odcinek DP 1213B - Bargłówka - Tajno Łanowe)</t>
  </si>
  <si>
    <t>Przebudowa drogi powiatowej nr 1889B w obrębie m. Dębniki i Dobry Las</t>
  </si>
  <si>
    <t>12.2026 - 11.2027</t>
  </si>
  <si>
    <t>Przebudowa i rozbudowa DP 1264B na odcinku Wołkusze - Czuprynowo</t>
  </si>
  <si>
    <t>Przebudowa z rozbudową drogi powiatowej Nr 1517B Turośń Dolna - Suraż wraz z przebudową mostu na cieku bez nazwy k/m Kowale Etap I (Gm. Suraż)</t>
  </si>
  <si>
    <t>Przebudowa z rozbudową drogi powiatowej Nr 1548B Barszczewo - Ogrodniki (Gm. Choroszcz)</t>
  </si>
  <si>
    <t>Przebudowa i rozbudowa DP1304 B Tartak Kuryły-Kundzicze</t>
  </si>
  <si>
    <t>Przebudowa drogi powiatowej Nr 1403B na odc. od m. Jasionówka w kierunku m. Dobrzyniówka</t>
  </si>
  <si>
    <t>Przebudowa ul. M. Konopnickiej i 11-go listopada w Dąbrowie Białostockiej</t>
  </si>
  <si>
    <t>01.2026 - 06.2029</t>
  </si>
  <si>
    <t>Rozbudowa drogi powiatowej nr 2072B - ul. Ludowa w Wysokiem Mazowieckiem</t>
  </si>
  <si>
    <t>Przebudowa ulicy powiatowej Nr 2566B Zygmuntowska w Augustowie wraz z odcinkiem ulicy powiatowej Nr 2549B Szkolna od ul. Zygmuntowskiej do ul. Rajgrodzkiej</t>
  </si>
  <si>
    <t xml:space="preserve">Przebudowa drogi powiatowej Nr 2622B ul. Konstytucji 3 Maja w m. Goniądz </t>
  </si>
  <si>
    <t>Przebudowa DP 2114B Dąbrowa Białostocka - Siekierka wraz z przebudową mostu w miejscowości Bierwicha</t>
  </si>
  <si>
    <t>Gmina Nowogród</t>
  </si>
  <si>
    <t>Rozbudowa dróg gminnych we wsi Mątwica</t>
  </si>
  <si>
    <t>04.2026 - 12.2027</t>
  </si>
  <si>
    <t>Przebudowa dróg gminnych w Czyżewie ul. Kolejowa i ul. Ciechanowiecka</t>
  </si>
  <si>
    <t>Gmina Juchnowiec Kościelny</t>
  </si>
  <si>
    <t>Przebudowa i rozbudowa dróg gminnych w miejscowości Ignatki wraz z budową i przebudową infrastruktury technicznej</t>
  </si>
  <si>
    <t>Gmina Zabłudów</t>
  </si>
  <si>
    <t>Rozbudowa drogi gminnej nr 106899B Sobolewo - Kuriany etap I</t>
  </si>
  <si>
    <t>04.2026 - 03.2027</t>
  </si>
  <si>
    <t>Budowa drogi gminnej w Łomży (ulice: Jesienna, Bieliczna, Parkowa)</t>
  </si>
  <si>
    <t>Gmina Piątnica</t>
  </si>
  <si>
    <t>Przebudowa z rozbudową drogi gminnej w miejscowości Nowy Cydzyn, działka nr 190 oraz 170</t>
  </si>
  <si>
    <t>Budowa ulic: Lazurowej, Bałtyckiej i Morskiej w Suwałkach</t>
  </si>
  <si>
    <t>03.2026 - 11.2026</t>
  </si>
  <si>
    <t>Gmina Wasilków</t>
  </si>
  <si>
    <t>Budowa drogi gminnej we wsi Katrynka</t>
  </si>
  <si>
    <t>03.2026 - 12.2026</t>
  </si>
  <si>
    <t>Przebudowa drogi gminnej nr 107350B ul. Strzelniczej w Bielsku Podlaskim</t>
  </si>
  <si>
    <t>01.2026 - 11.2026</t>
  </si>
  <si>
    <t>Gmina Dobrzyniewo Duże</t>
  </si>
  <si>
    <t>Przebudowa z rozbudową dróg gminnych Nr 105467B ul. Ładnej, Nr 105468B ul. Słonecznej oraz Nr 105474B ul. Wiosennej w m. Fasty wraz budową i przebudową niezbędnej infrastruktury technicznej</t>
  </si>
  <si>
    <t xml:space="preserve">Budowa wraz z przebudową dróg gminnych ul. Żytniej i Drzewnej w Sokółce wraz z infrastrukturą techniczną </t>
  </si>
  <si>
    <t>06.2026 - 08.2027</t>
  </si>
  <si>
    <t>Gmina Choroszcz</t>
  </si>
  <si>
    <t>Rozbudowa drogi gminnej - ulicy Spokojnej w Klepaczach, gm. Choroszcz</t>
  </si>
  <si>
    <t xml:space="preserve">Budowa drogi gminnej nr 105153B - ulicy Orzechowej w Grabówce wraz z rozbiórką i budową sieci kanalizacji sanitarnej i sieci telekomunikacyjnej   </t>
  </si>
  <si>
    <t>Gmina Knyszyn</t>
  </si>
  <si>
    <t>Rozbudowa i przebudowa drogi gminnej nr 104818B - ul. Zamoyskiego w Knyszynie</t>
  </si>
  <si>
    <t>03.2026 - 02.2027</t>
  </si>
  <si>
    <t>Gmina Szypliszki</t>
  </si>
  <si>
    <t>Przebudowa ul. Leśnej w Nieckach</t>
  </si>
  <si>
    <t>07.2026 - 09.2027</t>
  </si>
  <si>
    <t>Gmina Bargłów Kościelny</t>
  </si>
  <si>
    <t>Przebudowa drogi gminnej Nr 102861B Górskie - Brzozówka - Komorniki, etap III</t>
  </si>
  <si>
    <t>Gmina Poświętne</t>
  </si>
  <si>
    <t>Przebudowa z rozbudową drogi gminnej nr 107572B w miejscowości Marynki w km 1+153,5 - 1+640</t>
  </si>
  <si>
    <t>Gmina Giby</t>
  </si>
  <si>
    <t>Przebudowa drogi gminnej nr 102303B Pomorze - Posejnele - Kukle</t>
  </si>
  <si>
    <t>03.2025 - 10.2026</t>
  </si>
  <si>
    <t>Gmina Goniądz</t>
  </si>
  <si>
    <t>Przebudowa odcinka drogi gminnej nr 125510B wraz z przebudową mostu przez rzekę Biebrzę</t>
  </si>
  <si>
    <t>03.2026 - 07.2027</t>
  </si>
  <si>
    <t>Przebudowa drogi gminnej ul. Nowa</t>
  </si>
  <si>
    <t>Gmina Siemiatycze</t>
  </si>
  <si>
    <t>Przebudowa dróg gminnych Nr 109501B, 165508B w miejscowości Czartajew i Wyromiejki</t>
  </si>
  <si>
    <t>Gmina Kulesze Kościelne</t>
  </si>
  <si>
    <t>Rozbudowa dróg gminnych w miejscowości Stare Wykno</t>
  </si>
  <si>
    <t>01.2026 - 12.2027</t>
  </si>
  <si>
    <t>Gmina Puńsk</t>
  </si>
  <si>
    <t>Przebudowa i rozbudowa drogi gminnej nr 101689B Przystawańce II</t>
  </si>
  <si>
    <t>Gmina Klukowo</t>
  </si>
  <si>
    <t>Przebudowa drogi gminnej Nr 108086B Usza Wielka - granica gminy</t>
  </si>
  <si>
    <t>Gmina Nowinka</t>
  </si>
  <si>
    <t>Remont drogi gminnej Cisówek Szczepki, gm. Nowinka w km 0+000 - 1+500, długość odcinka 1,5 km</t>
  </si>
  <si>
    <t>Przebudowa z rozbudową drogi gminnej Nr 105525B w m. Letniki wraz z przebudową i budową niezbędnej infrastruktury technicznej</t>
  </si>
  <si>
    <t>02.2026 - 04.2027</t>
  </si>
  <si>
    <t>Gmina Sejny</t>
  </si>
  <si>
    <t>Przebudowa drogi gminnej Wigrańce - Berżałowce nr 102253 B</t>
  </si>
  <si>
    <t>02.2026 - 11.2026</t>
  </si>
  <si>
    <t>Gmina Rajgród</t>
  </si>
  <si>
    <t>Przebudowa drogi gminnej 102883B w miejscowości Miecze</t>
  </si>
  <si>
    <t>Przebudowa z rozbudową drogi gminnej Nr 103829B ul. Wasilkowskiej wraz z przebudową i budową niezbędnej infrastruktury technicznej</t>
  </si>
  <si>
    <t xml:space="preserve"> 06.2026 - 12.2027</t>
  </si>
  <si>
    <t>Przebudowa odcinka ulicy Kościelnej w Siemiatyczach</t>
  </si>
  <si>
    <t>Gmina Supraśl</t>
  </si>
  <si>
    <t>Przebudowa ulicy Cegielnianej w Supraślu wraz z budową i przebudową niezbędnej infrastruktury technicznej</t>
  </si>
  <si>
    <t>Gmina Gródek</t>
  </si>
  <si>
    <t>Przebudowa dróg gminnych nr 105037B i nr 105038B w miejscowości Gródek</t>
  </si>
  <si>
    <t>Gmina Rudka</t>
  </si>
  <si>
    <t>Remont drogi gminnej Nr 108123B (ul. Ossolińskich) w m. Rudka</t>
  </si>
  <si>
    <t>Gmina Rutki</t>
  </si>
  <si>
    <t>Gmina Krasnopol</t>
  </si>
  <si>
    <t>Przebudowa dróg gminnych nr 102018B, 102061B, 102062B w miejscowościach Orlinek i Linówek, Gmina Krasnopol</t>
  </si>
  <si>
    <t>Gmina Suwałki</t>
  </si>
  <si>
    <t>Rozbudowa i rozbudowa drogi gminnej nr 102016B w msc. Okuniowiec, Nowa Wieś i Mała Huta, gm. Suwałki</t>
  </si>
  <si>
    <t>03.2026 - 11.2027</t>
  </si>
  <si>
    <t>Gmina Krypno</t>
  </si>
  <si>
    <t>Rozbudowa drogi gminnej nr 104750B na obszarze wsi Góra</t>
  </si>
  <si>
    <t>Gmina Jeleniewo</t>
  </si>
  <si>
    <t>Rozbudowa i przebudowa drogi gminnej nr 101767B Szurpiły-Wodziłki we wsi Szurpiły, gmina Jeleniewo</t>
  </si>
  <si>
    <t>08.2026 - 07.2027</t>
  </si>
  <si>
    <t>Gmina Filipów</t>
  </si>
  <si>
    <t>Rozbudowa drogi gminnej Nr 101877B przez wieś Wólka na terenie Gminy Filipów</t>
  </si>
  <si>
    <t>09.2026 - 09.2028</t>
  </si>
  <si>
    <t>Gmina Sztabin</t>
  </si>
  <si>
    <t>Przebudowa ulicy we wsi Krasnoborki</t>
  </si>
  <si>
    <t>Gmina Trzcianne</t>
  </si>
  <si>
    <t>Przebudowa drogi gminnej Nr 104716B od drogi powiatowej Nr 1841B Krypno Wielkie - Downary do m. Stare Bajki od km 2+000 do km 3+200</t>
  </si>
  <si>
    <t>Budowa i rozbudowa drogi gminnej nr 115003B - ul. Żytniej w mieście Hajnówka</t>
  </si>
  <si>
    <t>Gmina Raczki</t>
  </si>
  <si>
    <t>Przebudowa drogi gminnej nr 102402B w m. Słoboda, gm. Raczki</t>
  </si>
  <si>
    <t>Gmina Miastkowo</t>
  </si>
  <si>
    <t>Przebudowa drogi gminnej nr 105870B w Tarnowie</t>
  </si>
  <si>
    <t>Gmina Mońki</t>
  </si>
  <si>
    <t>Remont ulic w mieście Mońki: Kosmiczna, Lotnicza, Planetarna</t>
  </si>
  <si>
    <t>04.2026 - 10.2027</t>
  </si>
  <si>
    <t>Gmina Szczuczyn</t>
  </si>
  <si>
    <t>Przebudowa drogi gminnej nr 104238B Guty - Gutki, gm. Szczuczyn</t>
  </si>
  <si>
    <t>Remont nawierzchni bitumicznej drogi Nr 102822B "Droga przez wieś Polkowo"</t>
  </si>
  <si>
    <t>Gmina Wyszki</t>
  </si>
  <si>
    <t>Przebudowa drogi gminnej Nr 107540B w m. Sieśki</t>
  </si>
  <si>
    <t>05.2026 - 09.2028</t>
  </si>
  <si>
    <t xml:space="preserve">Gmina Korycin </t>
  </si>
  <si>
    <t>Przebudowa drogi gminnej w Szumowie</t>
  </si>
  <si>
    <t>06.2026 - 10.2026</t>
  </si>
  <si>
    <t>Gmina Krynki</t>
  </si>
  <si>
    <t>Przebudowa drogi w Ostrowiu Południowym</t>
  </si>
  <si>
    <t>Przebudowa drogi gminnej nr 123032B - ulicy Serwisowej w Łyskach, gm. Choroszcz</t>
  </si>
  <si>
    <t>01.2026 - 10.2026</t>
  </si>
  <si>
    <t>Gmina Turośl</t>
  </si>
  <si>
    <t>Przebudowa drogi gminnej wewnętrznej w Miejscowości Cieciory</t>
  </si>
  <si>
    <t>Remont ul. Młodych Orłów i ul. Szarych Szeregów w Siemiatyczach</t>
  </si>
  <si>
    <t>Gmina Łapy</t>
  </si>
  <si>
    <t>Budowa drogi nr 106564B w miejscowości Łapy-Kołpaki, gm. Łapy</t>
  </si>
  <si>
    <t>Gmina Szumowo</t>
  </si>
  <si>
    <t>Przebudowa drogi gminnej nr 108028B w miejscowości Pęchratka Polska</t>
  </si>
  <si>
    <t>Rozbudowa drogi gminnej 106870B Protasy - Łubniki</t>
  </si>
  <si>
    <t>Budowa ul. Nadawki w Wasilkowie Etap I</t>
  </si>
  <si>
    <t>03.2026 - 12.2027</t>
  </si>
  <si>
    <t>Gmina Brańsk</t>
  </si>
  <si>
    <t>Przebudowa drogi gminnej na odcinku Holonki - Sielc</t>
  </si>
  <si>
    <t>02.2026 - 11.2028</t>
  </si>
  <si>
    <t>Przebudowa dróg gminnych nr 105001B i nr 105003B w Waliłach-Stacji</t>
  </si>
  <si>
    <t>Gmina Radziłów</t>
  </si>
  <si>
    <t>Przebudowa dróg gminnych Ostrowik - Okrasin</t>
  </si>
  <si>
    <t>Przebudowa ulicy Magazynowej w Grajewie</t>
  </si>
  <si>
    <t xml:space="preserve">Budowa ul. H. Sienkiewicza i ul. K. I. Gałczyńskiego w Sokółce oraz rozbudowa ul.  C.K. Norwida w Sokółce </t>
  </si>
  <si>
    <t>Rozbudowa ulicy Branickiego w Choroszczy oraz budowa mostu na rzece Horodnianka</t>
  </si>
  <si>
    <t>Budowa drogi gminnej nr 105179B - ulicy Kwiatowej i drogi gminnej nr 105180B ul. Różanej w Grabówce wraz z niezbędną infrastrukturą</t>
  </si>
  <si>
    <t>Gmina Nurzec-Stacja</t>
  </si>
  <si>
    <t>Przebudowa drogi gminnej nr 109532B w Grabarce</t>
  </si>
  <si>
    <t>Budowa ulicy Traugutta w Łapach</t>
  </si>
  <si>
    <t>11.2026 - 11.2027</t>
  </si>
  <si>
    <t>Remont drogi gminnej Nr 108222B w Mniu</t>
  </si>
  <si>
    <t>Rozbudowa drogi gminnej nr 106166B Zambrzyce-Króle - Zambrzyce-Plewki</t>
  </si>
  <si>
    <t>Remont ulicy W. Polskiego w obrębie mostu przez rz. Czarna Hańcza oraz na odcinku od ul. Raczkowskiej do ul. Rzeszowskiej w Suwałkach</t>
  </si>
  <si>
    <t>Rozbudowa drogi gminnej 106859B Rafałówka - Zabłudów</t>
  </si>
  <si>
    <t>Przebudowa drogi gminnej nr 106252B w Choroszczy</t>
  </si>
  <si>
    <t>01.2026 - 03.2027</t>
  </si>
  <si>
    <t>Przebudowa i rozbudowa ul. Spółdzielczej i Lipowej w Studziankach</t>
  </si>
  <si>
    <t>Budowa i przebudowa ul. Leśnej w Porosłach</t>
  </si>
  <si>
    <t>Budowa ulicy Brzozowej w Nowodworcach</t>
  </si>
  <si>
    <t>Budowa dróg gminnych ul. Storczykowej i ul. Różanej w Choroszczy</t>
  </si>
  <si>
    <t>Budowa ul. Kościelnej w Wasilkowie</t>
  </si>
  <si>
    <t>Budowa ulicy Gościnnej w Brańsku</t>
  </si>
  <si>
    <t>Przebudowa drogi gminnej nr 109669B w obrębie Chanie-Chursy i 109279B w obrębie Nurczyk</t>
  </si>
  <si>
    <t>06.2026 - 12.2027</t>
  </si>
  <si>
    <t>Przebudowa ul. Świerkowej w Krupnikach</t>
  </si>
  <si>
    <t xml:space="preserve">Przebudowa ulicy Ignacego Krasickiego w Grajewie od km 0+000 do km 0+272 wraz z przebudową skrzyżowania z ulicą Koszarową </t>
  </si>
  <si>
    <t>Gmina Suraż</t>
  </si>
  <si>
    <t>Budowa drogi gminnej nr 106628B ul. Cmentarna w Surażu, gmina Suraż</t>
  </si>
  <si>
    <t>02.2026 - 11.2027</t>
  </si>
  <si>
    <t>Gmina Stawiski</t>
  </si>
  <si>
    <t>Przebudowa i rozbudowa drogi gminnej relacji Żelazki – Mieczki Sucholaszczki – Mieczki Pieniążki</t>
  </si>
  <si>
    <t>Gmina Bielsk Podlaski</t>
  </si>
  <si>
    <t>Budowa drogi gminnej nr 107475B Ogrodniki - Pasynki</t>
  </si>
  <si>
    <t>Przebudowa ul. Witosa i ul. Mickiewicza w Sokółce wraz z infrastrukturą towarzyszącą w formule zaprojektuj i wybuduj</t>
  </si>
  <si>
    <t>Rozbudowa drogi gminnej Nr 102867 B Kroszewo - Bułkowizna - Wólka Karwowska - Karczewo</t>
  </si>
  <si>
    <t>Remont drogi gminnej nr 104422B relacji Samule-Ptaki</t>
  </si>
  <si>
    <t>Budowa ulicy Kamiennej i Kwarcowej w Augustowie</t>
  </si>
  <si>
    <t>Rozbudowa drogi gminnej Tajno Łanowe - Tajno Podjeziorne, Gmina Bargłów Kościelny</t>
  </si>
  <si>
    <t>Budowa ulicy Zakole w Augustowie</t>
  </si>
  <si>
    <t>Budowa ulicy Sajenek w Augustowie</t>
  </si>
  <si>
    <t>Budowa i przebudowa dróg ul. Dolnej, Równoległej, Poprzecznej i Krótkiej w m. Klepacze</t>
  </si>
  <si>
    <t>Budowa ul. Piaskowej, Krótkiej i Podgórnej w Dąbrówkach</t>
  </si>
  <si>
    <t>Budowa ulicy Ostrej i Łamanej w Augustowie</t>
  </si>
  <si>
    <t>Budowa ulicy Krańcowej w Łapach - etap III</t>
  </si>
  <si>
    <t>Gmina Śniadowo</t>
  </si>
  <si>
    <t>Remont drogi gminnej w miejscowości Wierzbowo nr 105906B</t>
  </si>
  <si>
    <t>Budowa dróg gminnych, ulice: Agnieszki Osieckiej, Czesława Niemena i Marka Grechuty w Sokółce wraz z infrastrukturą techniczną</t>
  </si>
  <si>
    <t>06.2026 - 12.2026</t>
  </si>
  <si>
    <t>Przebudowa ul. Chopina (od ul. Wyszyńskiego do ul. Moniuszki) w Suwałkach</t>
  </si>
  <si>
    <t>04.2026 - 06.2027</t>
  </si>
  <si>
    <t>Budowa ulicy Widłakowej w Augustowie z odcinkiem ulicy Miętowej</t>
  </si>
  <si>
    <t>W</t>
  </si>
  <si>
    <r>
      <t xml:space="preserve">Przebudowa z rozbudową drogi powiatowej nr </t>
    </r>
    <r>
      <rPr>
        <sz val="10"/>
        <color indexed="10"/>
        <rFont val="Arial"/>
        <family val="2"/>
        <charset val="238"/>
      </rPr>
      <t>1581B Wyszki – Filipy, etap II odcinek Kowale – Filipy</t>
    </r>
  </si>
  <si>
    <r>
      <rPr>
        <sz val="10"/>
        <color rgb="FF00B050"/>
        <rFont val="Arial"/>
        <family val="2"/>
        <charset val="238"/>
      </rPr>
      <t>6</t>
    </r>
    <r>
      <rPr>
        <b/>
        <sz val="10"/>
        <color rgb="FF00B050"/>
        <rFont val="Arial"/>
        <family val="2"/>
        <charset val="238"/>
      </rPr>
      <t>*</t>
    </r>
  </si>
  <si>
    <r>
      <rPr>
        <sz val="10"/>
        <color rgb="FF00B050"/>
        <rFont val="Arial"/>
        <family val="2"/>
        <charset val="238"/>
      </rPr>
      <t>7</t>
    </r>
    <r>
      <rPr>
        <b/>
        <sz val="10"/>
        <color rgb="FF00B050"/>
        <rFont val="Arial"/>
        <family val="2"/>
        <charset val="238"/>
      </rPr>
      <t>*</t>
    </r>
  </si>
  <si>
    <r>
      <rPr>
        <sz val="10"/>
        <color rgb="FF00B050"/>
        <rFont val="Arial"/>
        <family val="2"/>
        <charset val="238"/>
      </rPr>
      <t>8</t>
    </r>
    <r>
      <rPr>
        <b/>
        <sz val="10"/>
        <color rgb="FF00B050"/>
        <rFont val="Arial"/>
        <family val="2"/>
        <charset val="238"/>
      </rPr>
      <t>*</t>
    </r>
  </si>
  <si>
    <r>
      <rPr>
        <sz val="10"/>
        <color rgb="FF00B050"/>
        <rFont val="Arial"/>
        <family val="2"/>
        <charset val="238"/>
      </rPr>
      <t>9</t>
    </r>
    <r>
      <rPr>
        <b/>
        <sz val="10"/>
        <color rgb="FF00B050"/>
        <rFont val="Arial"/>
        <family val="2"/>
        <charset val="238"/>
      </rPr>
      <t>*</t>
    </r>
  </si>
  <si>
    <r>
      <rPr>
        <sz val="10"/>
        <color rgb="FF00B050"/>
        <rFont val="Arial"/>
        <family val="2"/>
        <charset val="238"/>
      </rPr>
      <t>10</t>
    </r>
    <r>
      <rPr>
        <b/>
        <sz val="10"/>
        <color rgb="FF00B050"/>
        <rFont val="Arial"/>
        <family val="2"/>
        <charset val="238"/>
      </rPr>
      <t>*</t>
    </r>
  </si>
  <si>
    <r>
      <rPr>
        <sz val="10"/>
        <color rgb="FF00B050"/>
        <rFont val="Arial"/>
        <family val="2"/>
        <charset val="238"/>
      </rPr>
      <t>12</t>
    </r>
    <r>
      <rPr>
        <b/>
        <sz val="10"/>
        <color rgb="FF00B050"/>
        <rFont val="Arial"/>
        <family val="2"/>
        <charset val="238"/>
      </rPr>
      <t>*</t>
    </r>
  </si>
  <si>
    <r>
      <rPr>
        <sz val="10"/>
        <color rgb="FF00B050"/>
        <rFont val="Arial"/>
        <family val="2"/>
        <charset val="238"/>
      </rPr>
      <t>13</t>
    </r>
    <r>
      <rPr>
        <b/>
        <sz val="10"/>
        <color rgb="FF00B050"/>
        <rFont val="Arial"/>
        <family val="2"/>
        <charset val="238"/>
      </rPr>
      <t>*</t>
    </r>
  </si>
  <si>
    <r>
      <t>8</t>
    </r>
    <r>
      <rPr>
        <b/>
        <sz val="10"/>
        <color rgb="FF00B050"/>
        <rFont val="Arial"/>
        <family val="2"/>
        <charset val="238"/>
      </rPr>
      <t>*</t>
    </r>
  </si>
  <si>
    <r>
      <t>9</t>
    </r>
    <r>
      <rPr>
        <b/>
        <sz val="10"/>
        <color rgb="FF00B050"/>
        <rFont val="Arial"/>
        <family val="2"/>
        <charset val="238"/>
      </rPr>
      <t>*</t>
    </r>
  </si>
  <si>
    <t>Gmina Sokoły</t>
  </si>
  <si>
    <t>Remont drogi gminnej nr 106375B oraz części drogi gminnej nr 106376B w miejscowości Drągi</t>
  </si>
  <si>
    <t>05.2026 - 04.2027</t>
  </si>
  <si>
    <t>Przebudowa drogi gminnej Grauże Nowe- Kaletnik</t>
  </si>
  <si>
    <t>30*</t>
  </si>
  <si>
    <r>
      <t>89</t>
    </r>
    <r>
      <rPr>
        <b/>
        <sz val="16"/>
        <color theme="5"/>
        <rFont val="Arial"/>
        <family val="2"/>
        <charset val="238"/>
      </rPr>
      <t>*</t>
    </r>
  </si>
  <si>
    <r>
      <t>36</t>
    </r>
    <r>
      <rPr>
        <b/>
        <sz val="16"/>
        <color theme="5"/>
        <rFont val="Calibri"/>
        <family val="2"/>
        <charset val="238"/>
        <scheme val="minor"/>
      </rPr>
      <t>*</t>
    </r>
  </si>
  <si>
    <r>
      <t>62</t>
    </r>
    <r>
      <rPr>
        <b/>
        <sz val="16"/>
        <color theme="5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</si>
</sst>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#,##0.000"/>
    <numFmt numFmtId="167" formatCode="0.000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vertAlign val="superscript"/>
      <sz val="10"/>
      <color indexed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5"/>
      <name val="Arial"/>
      <family val="2"/>
      <charset val="238"/>
    </font>
    <font>
      <sz val="10"/>
      <color rgb="FF00B050"/>
      <name val="Arial"/>
      <family val="2"/>
      <charset val="238"/>
    </font>
    <font>
      <vertAlign val="superscript"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B05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6"/>
      <color theme="5"/>
      <name val="Arial"/>
      <family val="2"/>
      <charset val="238"/>
    </font>
    <font>
      <b/>
      <sz val="16"/>
      <color theme="5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EB9C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33" fillId="7" borderId="0" applyNumberFormat="0" applyBorder="0" applyAlignment="0" applyProtection="0"/>
  </cellStyleXfs>
  <cellXfs count="48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wrapText="1" shrinkToFit="1"/>
    </xf>
    <xf numFmtId="0" fontId="15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0" fontId="4" fillId="0" borderId="0" xfId="0" applyFont="1"/>
    <xf numFmtId="4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6" fillId="0" borderId="0" xfId="0" applyFont="1" applyFill="1" applyAlignment="1">
      <alignment vertical="center"/>
    </xf>
    <xf numFmtId="4" fontId="16" fillId="0" borderId="0" xfId="0" applyNumberFormat="1" applyFont="1" applyFill="1" applyAlignment="1">
      <alignment vertical="center"/>
    </xf>
    <xf numFmtId="165" fontId="12" fillId="5" borderId="23" xfId="0" applyNumberFormat="1" applyFont="1" applyFill="1" applyBorder="1" applyAlignment="1">
      <alignment vertical="center"/>
    </xf>
    <xf numFmtId="165" fontId="17" fillId="5" borderId="23" xfId="0" applyNumberFormat="1" applyFont="1" applyFill="1" applyBorder="1" applyAlignment="1">
      <alignment vertical="center"/>
    </xf>
    <xf numFmtId="166" fontId="22" fillId="2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righ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9" fontId="22" fillId="2" borderId="1" xfId="0" applyNumberFormat="1" applyFont="1" applyFill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166" fontId="23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9" fontId="23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horizontal="right" vertical="center"/>
    </xf>
    <xf numFmtId="165" fontId="17" fillId="3" borderId="1" xfId="0" applyNumberFormat="1" applyFont="1" applyFill="1" applyBorder="1" applyAlignment="1">
      <alignment vertical="center"/>
    </xf>
    <xf numFmtId="165" fontId="12" fillId="4" borderId="1" xfId="0" applyNumberFormat="1" applyFont="1" applyFill="1" applyBorder="1" applyAlignment="1">
      <alignment vertical="center"/>
    </xf>
    <xf numFmtId="165" fontId="13" fillId="6" borderId="1" xfId="0" applyNumberFormat="1" applyFont="1" applyFill="1" applyBorder="1" applyAlignment="1">
      <alignment vertical="center"/>
    </xf>
    <xf numFmtId="165" fontId="12" fillId="3" borderId="1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5" fontId="12" fillId="4" borderId="22" xfId="0" applyNumberFormat="1" applyFont="1" applyFill="1" applyBorder="1" applyAlignment="1">
      <alignment vertical="center"/>
    </xf>
    <xf numFmtId="0" fontId="17" fillId="3" borderId="3" xfId="0" applyNumberFormat="1" applyFont="1" applyFill="1" applyBorder="1" applyAlignment="1">
      <alignment vertical="center"/>
    </xf>
    <xf numFmtId="0" fontId="12" fillId="3" borderId="3" xfId="0" applyNumberFormat="1" applyFont="1" applyFill="1" applyBorder="1" applyAlignment="1">
      <alignment vertical="center"/>
    </xf>
    <xf numFmtId="0" fontId="12" fillId="4" borderId="3" xfId="0" applyNumberFormat="1" applyFont="1" applyFill="1" applyBorder="1" applyAlignment="1">
      <alignment vertical="center"/>
    </xf>
    <xf numFmtId="0" fontId="13" fillId="6" borderId="3" xfId="0" applyNumberFormat="1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5" fontId="17" fillId="3" borderId="2" xfId="0" applyNumberFormat="1" applyFont="1" applyFill="1" applyBorder="1" applyAlignment="1">
      <alignment vertical="center"/>
    </xf>
    <xf numFmtId="165" fontId="12" fillId="3" borderId="2" xfId="0" applyNumberFormat="1" applyFont="1" applyFill="1" applyBorder="1" applyAlignment="1">
      <alignment vertical="center"/>
    </xf>
    <xf numFmtId="165" fontId="12" fillId="4" borderId="2" xfId="0" applyNumberFormat="1" applyFont="1" applyFill="1" applyBorder="1" applyAlignment="1">
      <alignment vertical="center"/>
    </xf>
    <xf numFmtId="165" fontId="13" fillId="6" borderId="2" xfId="0" applyNumberFormat="1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165" fontId="17" fillId="3" borderId="3" xfId="0" applyNumberFormat="1" applyFont="1" applyFill="1" applyBorder="1" applyAlignment="1">
      <alignment vertical="center"/>
    </xf>
    <xf numFmtId="165" fontId="12" fillId="3" borderId="3" xfId="0" applyNumberFormat="1" applyFont="1" applyFill="1" applyBorder="1" applyAlignment="1">
      <alignment vertical="center"/>
    </xf>
    <xf numFmtId="165" fontId="12" fillId="4" borderId="3" xfId="0" applyNumberFormat="1" applyFont="1" applyFill="1" applyBorder="1" applyAlignment="1">
      <alignment vertical="center"/>
    </xf>
    <xf numFmtId="165" fontId="13" fillId="6" borderId="3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2" fillId="0" borderId="31" xfId="0" applyNumberFormat="1" applyFont="1" applyFill="1" applyBorder="1" applyAlignment="1">
      <alignment vertical="center"/>
    </xf>
    <xf numFmtId="165" fontId="12" fillId="0" borderId="32" xfId="0" applyNumberFormat="1" applyFont="1" applyFill="1" applyBorder="1" applyAlignment="1">
      <alignment vertical="center"/>
    </xf>
    <xf numFmtId="165" fontId="12" fillId="0" borderId="33" xfId="0" applyNumberFormat="1" applyFont="1" applyFill="1" applyBorder="1" applyAlignment="1">
      <alignment vertical="center"/>
    </xf>
    <xf numFmtId="165" fontId="12" fillId="5" borderId="34" xfId="0" applyNumberFormat="1" applyFont="1" applyFill="1" applyBorder="1" applyAlignment="1">
      <alignment vertical="center"/>
    </xf>
    <xf numFmtId="165" fontId="12" fillId="0" borderId="31" xfId="0" applyNumberFormat="1" applyFont="1" applyFill="1" applyBorder="1" applyAlignment="1">
      <alignment vertical="center"/>
    </xf>
    <xf numFmtId="165" fontId="17" fillId="5" borderId="38" xfId="0" applyNumberFormat="1" applyFont="1" applyFill="1" applyBorder="1" applyAlignment="1">
      <alignment vertical="center"/>
    </xf>
    <xf numFmtId="0" fontId="18" fillId="3" borderId="31" xfId="0" applyNumberFormat="1" applyFont="1" applyFill="1" applyBorder="1" applyAlignment="1">
      <alignment vertical="center"/>
    </xf>
    <xf numFmtId="165" fontId="18" fillId="3" borderId="32" xfId="0" applyNumberFormat="1" applyFont="1" applyFill="1" applyBorder="1" applyAlignment="1">
      <alignment vertical="center"/>
    </xf>
    <xf numFmtId="165" fontId="18" fillId="3" borderId="33" xfId="0" applyNumberFormat="1" applyFont="1" applyFill="1" applyBorder="1" applyAlignment="1">
      <alignment vertical="center"/>
    </xf>
    <xf numFmtId="165" fontId="18" fillId="5" borderId="34" xfId="0" applyNumberFormat="1" applyFont="1" applyFill="1" applyBorder="1" applyAlignment="1">
      <alignment vertical="center"/>
    </xf>
    <xf numFmtId="165" fontId="18" fillId="3" borderId="31" xfId="0" applyNumberFormat="1" applyFont="1" applyFill="1" applyBorder="1" applyAlignment="1">
      <alignment vertical="center"/>
    </xf>
    <xf numFmtId="0" fontId="17" fillId="3" borderId="35" xfId="0" applyNumberFormat="1" applyFont="1" applyFill="1" applyBorder="1" applyAlignment="1">
      <alignment vertical="center"/>
    </xf>
    <xf numFmtId="165" fontId="17" fillId="3" borderId="36" xfId="0" applyNumberFormat="1" applyFont="1" applyFill="1" applyBorder="1" applyAlignment="1">
      <alignment vertical="center"/>
    </xf>
    <xf numFmtId="165" fontId="17" fillId="3" borderId="37" xfId="0" applyNumberFormat="1" applyFont="1" applyFill="1" applyBorder="1" applyAlignment="1">
      <alignment vertical="center"/>
    </xf>
    <xf numFmtId="165" fontId="17" fillId="3" borderId="35" xfId="0" applyNumberFormat="1" applyFont="1" applyFill="1" applyBorder="1" applyAlignment="1">
      <alignment vertical="center"/>
    </xf>
    <xf numFmtId="0" fontId="17" fillId="4" borderId="25" xfId="0" applyFont="1" applyFill="1" applyBorder="1" applyAlignment="1">
      <alignment horizontal="left" vertical="center" indent="2"/>
    </xf>
    <xf numFmtId="0" fontId="17" fillId="4" borderId="26" xfId="0" applyNumberFormat="1" applyFont="1" applyFill="1" applyBorder="1" applyAlignment="1">
      <alignment vertical="center"/>
    </xf>
    <xf numFmtId="165" fontId="17" fillId="4" borderId="4" xfId="0" applyNumberFormat="1" applyFont="1" applyFill="1" applyBorder="1" applyAlignment="1">
      <alignment vertical="center"/>
    </xf>
    <xf numFmtId="165" fontId="17" fillId="4" borderId="7" xfId="0" applyNumberFormat="1" applyFont="1" applyFill="1" applyBorder="1" applyAlignment="1">
      <alignment vertical="center"/>
    </xf>
    <xf numFmtId="165" fontId="17" fillId="5" borderId="25" xfId="0" applyNumberFormat="1" applyFont="1" applyFill="1" applyBorder="1" applyAlignment="1">
      <alignment vertical="center"/>
    </xf>
    <xf numFmtId="165" fontId="17" fillId="4" borderId="26" xfId="0" applyNumberFormat="1" applyFont="1" applyFill="1" applyBorder="1" applyAlignment="1">
      <alignment vertical="center"/>
    </xf>
    <xf numFmtId="165" fontId="17" fillId="4" borderId="27" xfId="0" applyNumberFormat="1" applyFont="1" applyFill="1" applyBorder="1" applyAlignment="1">
      <alignment vertical="center"/>
    </xf>
    <xf numFmtId="0" fontId="13" fillId="6" borderId="31" xfId="0" applyNumberFormat="1" applyFont="1" applyFill="1" applyBorder="1" applyAlignment="1">
      <alignment vertical="center"/>
    </xf>
    <xf numFmtId="165" fontId="13" fillId="6" borderId="32" xfId="0" applyNumberFormat="1" applyFont="1" applyFill="1" applyBorder="1" applyAlignment="1">
      <alignment vertical="center"/>
    </xf>
    <xf numFmtId="165" fontId="13" fillId="6" borderId="33" xfId="0" applyNumberFormat="1" applyFont="1" applyFill="1" applyBorder="1" applyAlignment="1">
      <alignment vertical="center"/>
    </xf>
    <xf numFmtId="165" fontId="13" fillId="5" borderId="34" xfId="0" applyNumberFormat="1" applyFont="1" applyFill="1" applyBorder="1" applyAlignment="1">
      <alignment vertical="center"/>
    </xf>
    <xf numFmtId="165" fontId="13" fillId="6" borderId="31" xfId="0" applyNumberFormat="1" applyFont="1" applyFill="1" applyBorder="1" applyAlignment="1">
      <alignment vertical="center"/>
    </xf>
    <xf numFmtId="0" fontId="17" fillId="2" borderId="3" xfId="0" applyNumberFormat="1" applyFont="1" applyFill="1" applyBorder="1" applyAlignment="1">
      <alignment vertical="center"/>
    </xf>
    <xf numFmtId="165" fontId="17" fillId="2" borderId="1" xfId="0" applyNumberFormat="1" applyFont="1" applyFill="1" applyBorder="1" applyAlignment="1">
      <alignment vertical="center"/>
    </xf>
    <xf numFmtId="165" fontId="17" fillId="2" borderId="2" xfId="0" applyNumberFormat="1" applyFont="1" applyFill="1" applyBorder="1" applyAlignment="1">
      <alignment vertical="center"/>
    </xf>
    <xf numFmtId="0" fontId="12" fillId="2" borderId="3" xfId="0" applyNumberFormat="1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165" fontId="12" fillId="2" borderId="2" xfId="0" applyNumberFormat="1" applyFont="1" applyFill="1" applyBorder="1" applyAlignment="1">
      <alignment vertical="center"/>
    </xf>
    <xf numFmtId="0" fontId="17" fillId="2" borderId="35" xfId="0" applyNumberFormat="1" applyFont="1" applyFill="1" applyBorder="1" applyAlignment="1">
      <alignment vertical="center"/>
    </xf>
    <xf numFmtId="165" fontId="17" fillId="2" borderId="36" xfId="0" applyNumberFormat="1" applyFont="1" applyFill="1" applyBorder="1" applyAlignment="1">
      <alignment vertical="center"/>
    </xf>
    <xf numFmtId="165" fontId="17" fillId="2" borderId="37" xfId="0" applyNumberFormat="1" applyFont="1" applyFill="1" applyBorder="1" applyAlignment="1">
      <alignment vertical="center"/>
    </xf>
    <xf numFmtId="165" fontId="17" fillId="2" borderId="3" xfId="0" applyNumberFormat="1" applyFont="1" applyFill="1" applyBorder="1" applyAlignment="1">
      <alignment vertical="center"/>
    </xf>
    <xf numFmtId="165" fontId="12" fillId="2" borderId="3" xfId="0" applyNumberFormat="1" applyFont="1" applyFill="1" applyBorder="1" applyAlignment="1">
      <alignment vertical="center"/>
    </xf>
    <xf numFmtId="165" fontId="17" fillId="2" borderId="35" xfId="0" applyNumberFormat="1" applyFont="1" applyFill="1" applyBorder="1" applyAlignment="1">
      <alignment vertical="center"/>
    </xf>
    <xf numFmtId="165" fontId="12" fillId="2" borderId="31" xfId="0" applyNumberFormat="1" applyFont="1" applyFill="1" applyBorder="1" applyAlignment="1">
      <alignment vertical="center"/>
    </xf>
    <xf numFmtId="165" fontId="12" fillId="2" borderId="32" xfId="0" applyNumberFormat="1" applyFont="1" applyFill="1" applyBorder="1" applyAlignment="1">
      <alignment vertical="center"/>
    </xf>
    <xf numFmtId="0" fontId="17" fillId="6" borderId="29" xfId="0" applyNumberFormat="1" applyFont="1" applyFill="1" applyBorder="1" applyAlignment="1">
      <alignment vertical="center"/>
    </xf>
    <xf numFmtId="165" fontId="17" fillId="6" borderId="1" xfId="0" applyNumberFormat="1" applyFont="1" applyFill="1" applyBorder="1" applyAlignment="1">
      <alignment vertical="center"/>
    </xf>
    <xf numFmtId="165" fontId="17" fillId="6" borderId="2" xfId="0" applyNumberFormat="1" applyFont="1" applyFill="1" applyBorder="1" applyAlignment="1">
      <alignment vertical="center"/>
    </xf>
    <xf numFmtId="165" fontId="17" fillId="6" borderId="3" xfId="0" applyNumberFormat="1" applyFont="1" applyFill="1" applyBorder="1" applyAlignment="1">
      <alignment vertical="center"/>
    </xf>
    <xf numFmtId="0" fontId="24" fillId="4" borderId="28" xfId="0" applyFont="1" applyFill="1" applyBorder="1" applyAlignment="1">
      <alignment vertical="center"/>
    </xf>
    <xf numFmtId="0" fontId="24" fillId="4" borderId="29" xfId="0" applyNumberFormat="1" applyFont="1" applyFill="1" applyBorder="1" applyAlignment="1">
      <alignment vertical="center"/>
    </xf>
    <xf numFmtId="165" fontId="24" fillId="4" borderId="5" xfId="0" applyNumberFormat="1" applyFont="1" applyFill="1" applyBorder="1" applyAlignment="1">
      <alignment vertical="center"/>
    </xf>
    <xf numFmtId="165" fontId="24" fillId="4" borderId="8" xfId="0" applyNumberFormat="1" applyFont="1" applyFill="1" applyBorder="1" applyAlignment="1">
      <alignment vertical="center"/>
    </xf>
    <xf numFmtId="165" fontId="24" fillId="5" borderId="28" xfId="0" applyNumberFormat="1" applyFont="1" applyFill="1" applyBorder="1" applyAlignment="1">
      <alignment vertical="center"/>
    </xf>
    <xf numFmtId="165" fontId="24" fillId="4" borderId="29" xfId="0" applyNumberFormat="1" applyFont="1" applyFill="1" applyBorder="1" applyAlignment="1">
      <alignment vertical="center"/>
    </xf>
    <xf numFmtId="165" fontId="24" fillId="4" borderId="30" xfId="0" applyNumberFormat="1" applyFont="1" applyFill="1" applyBorder="1" applyAlignment="1">
      <alignment vertical="center"/>
    </xf>
    <xf numFmtId="0" fontId="26" fillId="2" borderId="0" xfId="0" applyFont="1" applyFill="1" applyBorder="1"/>
    <xf numFmtId="0" fontId="26" fillId="2" borderId="0" xfId="0" applyFont="1" applyFill="1"/>
    <xf numFmtId="0" fontId="19" fillId="2" borderId="0" xfId="0" applyFont="1" applyFill="1" applyBorder="1"/>
    <xf numFmtId="0" fontId="19" fillId="2" borderId="0" xfId="0" applyFont="1" applyFill="1"/>
    <xf numFmtId="0" fontId="0" fillId="2" borderId="0" xfId="0" applyFill="1"/>
    <xf numFmtId="0" fontId="16" fillId="0" borderId="0" xfId="0" applyFont="1" applyBorder="1"/>
    <xf numFmtId="0" fontId="16" fillId="0" borderId="0" xfId="0" applyFont="1"/>
    <xf numFmtId="0" fontId="16" fillId="0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0" fontId="27" fillId="2" borderId="0" xfId="0" applyFont="1" applyFill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9" fillId="0" borderId="0" xfId="0" applyFont="1" applyFill="1" applyAlignment="1">
      <alignment horizontal="left"/>
    </xf>
    <xf numFmtId="0" fontId="28" fillId="0" borderId="0" xfId="0" applyFont="1"/>
    <xf numFmtId="166" fontId="22" fillId="2" borderId="5" xfId="0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4" fontId="21" fillId="0" borderId="5" xfId="0" applyNumberFormat="1" applyFont="1" applyFill="1" applyBorder="1" applyAlignment="1">
      <alignment horizontal="right" vertical="center" wrapText="1"/>
    </xf>
    <xf numFmtId="4" fontId="21" fillId="0" borderId="5" xfId="0" applyNumberFormat="1" applyFont="1" applyBorder="1" applyAlignment="1">
      <alignment horizontal="right" vertical="center" wrapText="1"/>
    </xf>
    <xf numFmtId="9" fontId="22" fillId="2" borderId="5" xfId="0" applyNumberFormat="1" applyFont="1" applyFill="1" applyBorder="1" applyAlignment="1">
      <alignment horizontal="center" vertical="center"/>
    </xf>
    <xf numFmtId="4" fontId="20" fillId="0" borderId="5" xfId="0" applyNumberFormat="1" applyFont="1" applyBorder="1" applyAlignment="1">
      <alignment horizontal="right" vertical="center"/>
    </xf>
    <xf numFmtId="0" fontId="16" fillId="2" borderId="0" xfId="0" applyFont="1" applyFill="1" applyBorder="1"/>
    <xf numFmtId="0" fontId="16" fillId="2" borderId="0" xfId="0" applyFont="1" applyFill="1"/>
    <xf numFmtId="0" fontId="12" fillId="0" borderId="34" xfId="0" applyFont="1" applyFill="1" applyBorder="1" applyAlignment="1">
      <alignment vertical="center"/>
    </xf>
    <xf numFmtId="165" fontId="12" fillId="0" borderId="42" xfId="0" applyNumberFormat="1" applyFont="1" applyFill="1" applyBorder="1" applyAlignment="1">
      <alignment vertical="center"/>
    </xf>
    <xf numFmtId="0" fontId="17" fillId="0" borderId="23" xfId="0" applyFont="1" applyFill="1" applyBorder="1" applyAlignment="1">
      <alignment horizontal="left" vertical="center" wrapText="1" indent="2"/>
    </xf>
    <xf numFmtId="165" fontId="17" fillId="2" borderId="22" xfId="0" applyNumberFormat="1" applyFont="1" applyFill="1" applyBorder="1" applyAlignment="1">
      <alignment vertical="center"/>
    </xf>
    <xf numFmtId="0" fontId="12" fillId="0" borderId="23" xfId="0" applyFont="1" applyFill="1" applyBorder="1" applyAlignment="1">
      <alignment horizontal="left" vertical="center" indent="2"/>
    </xf>
    <xf numFmtId="165" fontId="12" fillId="2" borderId="22" xfId="0" applyNumberFormat="1" applyFont="1" applyFill="1" applyBorder="1" applyAlignment="1">
      <alignment vertical="center"/>
    </xf>
    <xf numFmtId="0" fontId="17" fillId="0" borderId="38" xfId="0" applyFont="1" applyFill="1" applyBorder="1" applyAlignment="1">
      <alignment horizontal="left" vertical="center" indent="2"/>
    </xf>
    <xf numFmtId="165" fontId="17" fillId="2" borderId="43" xfId="0" applyNumberFormat="1" applyFont="1" applyFill="1" applyBorder="1" applyAlignment="1">
      <alignment vertical="center"/>
    </xf>
    <xf numFmtId="165" fontId="12" fillId="2" borderId="42" xfId="0" applyNumberFormat="1" applyFont="1" applyFill="1" applyBorder="1" applyAlignment="1">
      <alignment vertical="center"/>
    </xf>
    <xf numFmtId="0" fontId="18" fillId="3" borderId="34" xfId="0" applyFont="1" applyFill="1" applyBorder="1" applyAlignment="1">
      <alignment vertical="center"/>
    </xf>
    <xf numFmtId="165" fontId="18" fillId="3" borderId="42" xfId="0" applyNumberFormat="1" applyFont="1" applyFill="1" applyBorder="1" applyAlignment="1">
      <alignment vertical="center"/>
    </xf>
    <xf numFmtId="0" fontId="17" fillId="3" borderId="23" xfId="0" applyFont="1" applyFill="1" applyBorder="1" applyAlignment="1">
      <alignment horizontal="left" vertical="center" wrapText="1" indent="2"/>
    </xf>
    <xf numFmtId="165" fontId="17" fillId="3" borderId="22" xfId="0" applyNumberFormat="1" applyFont="1" applyFill="1" applyBorder="1" applyAlignment="1">
      <alignment vertical="center"/>
    </xf>
    <xf numFmtId="0" fontId="12" fillId="3" borderId="23" xfId="0" applyFont="1" applyFill="1" applyBorder="1" applyAlignment="1">
      <alignment horizontal="left" vertical="center" indent="2"/>
    </xf>
    <xf numFmtId="165" fontId="12" fillId="3" borderId="22" xfId="0" applyNumberFormat="1" applyFont="1" applyFill="1" applyBorder="1" applyAlignment="1">
      <alignment vertical="center"/>
    </xf>
    <xf numFmtId="0" fontId="17" fillId="3" borderId="38" xfId="0" applyFont="1" applyFill="1" applyBorder="1" applyAlignment="1">
      <alignment horizontal="left" vertical="center" indent="2"/>
    </xf>
    <xf numFmtId="165" fontId="17" fillId="3" borderId="43" xfId="0" applyNumberFormat="1" applyFont="1" applyFill="1" applyBorder="1" applyAlignment="1">
      <alignment vertical="center"/>
    </xf>
    <xf numFmtId="0" fontId="12" fillId="6" borderId="34" xfId="0" applyFont="1" applyFill="1" applyBorder="1" applyAlignment="1">
      <alignment vertical="center"/>
    </xf>
    <xf numFmtId="165" fontId="13" fillId="6" borderId="42" xfId="0" applyNumberFormat="1" applyFont="1" applyFill="1" applyBorder="1" applyAlignment="1">
      <alignment vertical="center"/>
    </xf>
    <xf numFmtId="0" fontId="17" fillId="6" borderId="23" xfId="0" applyFont="1" applyFill="1" applyBorder="1" applyAlignment="1">
      <alignment horizontal="left" vertical="center" wrapText="1" indent="2"/>
    </xf>
    <xf numFmtId="165" fontId="17" fillId="6" borderId="22" xfId="0" applyNumberFormat="1" applyFont="1" applyFill="1" applyBorder="1" applyAlignment="1">
      <alignment vertical="center"/>
    </xf>
    <xf numFmtId="0" fontId="12" fillId="6" borderId="23" xfId="0" applyFont="1" applyFill="1" applyBorder="1" applyAlignment="1">
      <alignment horizontal="left" vertical="center" indent="2"/>
    </xf>
    <xf numFmtId="165" fontId="13" fillId="6" borderId="22" xfId="0" applyNumberFormat="1" applyFont="1" applyFill="1" applyBorder="1" applyAlignment="1">
      <alignment vertical="center"/>
    </xf>
    <xf numFmtId="0" fontId="17" fillId="6" borderId="44" xfId="0" applyFont="1" applyFill="1" applyBorder="1" applyAlignment="1">
      <alignment horizontal="left" vertical="center" indent="2"/>
    </xf>
    <xf numFmtId="0" fontId="17" fillId="6" borderId="45" xfId="0" applyNumberFormat="1" applyFont="1" applyFill="1" applyBorder="1" applyAlignment="1">
      <alignment vertical="center"/>
    </xf>
    <xf numFmtId="165" fontId="17" fillId="6" borderId="46" xfId="0" applyNumberFormat="1" applyFont="1" applyFill="1" applyBorder="1" applyAlignment="1">
      <alignment vertical="center"/>
    </xf>
    <xf numFmtId="165" fontId="17" fillId="6" borderId="47" xfId="0" applyNumberFormat="1" applyFont="1" applyFill="1" applyBorder="1" applyAlignment="1">
      <alignment vertical="center"/>
    </xf>
    <xf numFmtId="165" fontId="17" fillId="5" borderId="44" xfId="0" applyNumberFormat="1" applyFont="1" applyFill="1" applyBorder="1" applyAlignment="1">
      <alignment vertical="center"/>
    </xf>
    <xf numFmtId="165" fontId="17" fillId="6" borderId="45" xfId="0" applyNumberFormat="1" applyFont="1" applyFill="1" applyBorder="1" applyAlignment="1">
      <alignment vertical="center"/>
    </xf>
    <xf numFmtId="165" fontId="17" fillId="6" borderId="48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167" fontId="14" fillId="2" borderId="1" xfId="0" applyNumberFormat="1" applyFont="1" applyFill="1" applyBorder="1" applyAlignment="1">
      <alignment horizontal="center" vertical="center" wrapText="1"/>
    </xf>
    <xf numFmtId="17" fontId="14" fillId="2" borderId="1" xfId="0" applyNumberFormat="1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vertical="center" wrapText="1"/>
    </xf>
    <xf numFmtId="9" fontId="14" fillId="2" borderId="1" xfId="5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right" vertical="center"/>
    </xf>
    <xf numFmtId="4" fontId="14" fillId="2" borderId="1" xfId="4" applyNumberFormat="1" applyFont="1" applyFill="1" applyBorder="1" applyAlignment="1">
      <alignment horizontal="right" vertical="center"/>
    </xf>
    <xf numFmtId="4" fontId="14" fillId="2" borderId="1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23" fillId="2" borderId="1" xfId="0" applyNumberFormat="1" applyFont="1" applyFill="1" applyBorder="1" applyAlignment="1">
      <alignment horizontal="right" vertical="center"/>
    </xf>
    <xf numFmtId="4" fontId="23" fillId="2" borderId="1" xfId="0" applyNumberFormat="1" applyFont="1" applyFill="1" applyBorder="1" applyAlignment="1">
      <alignment horizontal="right" vertical="center" wrapText="1"/>
    </xf>
    <xf numFmtId="9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right" vertical="center"/>
    </xf>
    <xf numFmtId="0" fontId="2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7" fontId="15" fillId="2" borderId="1" xfId="0" applyNumberFormat="1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right" vertical="center" wrapText="1"/>
    </xf>
    <xf numFmtId="4" fontId="22" fillId="2" borderId="1" xfId="0" applyNumberFormat="1" applyFont="1" applyFill="1" applyBorder="1" applyAlignment="1">
      <alignment horizontal="right" vertical="center"/>
    </xf>
    <xf numFmtId="9" fontId="15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horizontal="right" vertical="center"/>
    </xf>
    <xf numFmtId="0" fontId="14" fillId="2" borderId="1" xfId="0" applyNumberFormat="1" applyFont="1" applyFill="1" applyBorder="1" applyAlignment="1">
      <alignment horizontal="left" vertical="center" wrapText="1"/>
    </xf>
    <xf numFmtId="167" fontId="14" fillId="2" borderId="1" xfId="0" applyNumberFormat="1" applyFont="1" applyFill="1" applyBorder="1" applyAlignment="1">
      <alignment horizontal="center" vertical="center"/>
    </xf>
    <xf numFmtId="4" fontId="14" fillId="2" borderId="1" xfId="7" applyNumberFormat="1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center" vertical="center"/>
    </xf>
    <xf numFmtId="0" fontId="14" fillId="2" borderId="5" xfId="0" applyNumberFormat="1" applyFont="1" applyFill="1" applyBorder="1" applyAlignment="1">
      <alignment horizontal="center" vertical="center" wrapText="1"/>
    </xf>
    <xf numFmtId="0" fontId="14" fillId="2" borderId="5" xfId="0" applyNumberFormat="1" applyFont="1" applyFill="1" applyBorder="1" applyAlignment="1">
      <alignment horizontal="left" vertical="center" wrapText="1"/>
    </xf>
    <xf numFmtId="167" fontId="14" fillId="2" borderId="5" xfId="0" applyNumberFormat="1" applyFont="1" applyFill="1" applyBorder="1" applyAlignment="1">
      <alignment horizontal="center" vertical="center" wrapText="1"/>
    </xf>
    <xf numFmtId="4" fontId="23" fillId="2" borderId="5" xfId="0" applyNumberFormat="1" applyFont="1" applyFill="1" applyBorder="1" applyAlignment="1">
      <alignment horizontal="right" vertical="center" wrapText="1"/>
    </xf>
    <xf numFmtId="4" fontId="23" fillId="2" borderId="5" xfId="0" applyNumberFormat="1" applyFont="1" applyFill="1" applyBorder="1" applyAlignment="1">
      <alignment horizontal="right" vertical="center"/>
    </xf>
    <xf numFmtId="9" fontId="14" fillId="2" borderId="5" xfId="0" applyNumberFormat="1" applyFont="1" applyFill="1" applyBorder="1" applyAlignment="1">
      <alignment horizontal="center" vertical="center"/>
    </xf>
    <xf numFmtId="4" fontId="14" fillId="2" borderId="5" xfId="0" applyNumberFormat="1" applyFont="1" applyFill="1" applyBorder="1" applyAlignment="1">
      <alignment horizontal="right" vertical="center" wrapText="1"/>
    </xf>
    <xf numFmtId="4" fontId="14" fillId="2" borderId="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right" vertical="center" wrapText="1"/>
    </xf>
    <xf numFmtId="0" fontId="14" fillId="2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41" xfId="0" applyNumberFormat="1" applyFont="1" applyFill="1" applyBorder="1" applyAlignment="1">
      <alignment horizontal="center" vertical="center" wrapText="1"/>
    </xf>
    <xf numFmtId="0" fontId="14" fillId="2" borderId="41" xfId="0" applyNumberFormat="1" applyFont="1" applyFill="1" applyBorder="1" applyAlignment="1">
      <alignment vertical="center" wrapText="1"/>
    </xf>
    <xf numFmtId="167" fontId="14" fillId="2" borderId="41" xfId="0" applyNumberFormat="1" applyFont="1" applyFill="1" applyBorder="1" applyAlignment="1">
      <alignment horizontal="center" vertical="center" wrapText="1"/>
    </xf>
    <xf numFmtId="9" fontId="14" fillId="2" borderId="41" xfId="0" applyNumberFormat="1" applyFont="1" applyFill="1" applyBorder="1" applyAlignment="1">
      <alignment horizontal="center" vertical="center"/>
    </xf>
    <xf numFmtId="4" fontId="14" fillId="2" borderId="41" xfId="0" applyNumberFormat="1" applyFont="1" applyFill="1" applyBorder="1" applyAlignment="1">
      <alignment horizontal="right" vertical="center" wrapText="1"/>
    </xf>
    <xf numFmtId="4" fontId="14" fillId="2" borderId="39" xfId="0" applyNumberFormat="1" applyFont="1" applyFill="1" applyBorder="1" applyAlignment="1">
      <alignment horizontal="right" vertical="center"/>
    </xf>
    <xf numFmtId="4" fontId="14" fillId="2" borderId="1" xfId="7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horizontal="right" vertical="center" wrapText="1"/>
    </xf>
    <xf numFmtId="4" fontId="20" fillId="2" borderId="1" xfId="0" applyNumberFormat="1" applyFont="1" applyFill="1" applyBorder="1" applyAlignment="1">
      <alignment horizontal="right" vertical="center"/>
    </xf>
    <xf numFmtId="0" fontId="2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4" fontId="21" fillId="2" borderId="5" xfId="0" applyNumberFormat="1" applyFont="1" applyFill="1" applyBorder="1" applyAlignment="1">
      <alignment horizontal="right" vertical="center" wrapText="1"/>
    </xf>
    <xf numFmtId="4" fontId="21" fillId="2" borderId="5" xfId="0" applyNumberFormat="1" applyFont="1" applyFill="1" applyBorder="1" applyAlignment="1">
      <alignment vertical="center" wrapText="1"/>
    </xf>
    <xf numFmtId="4" fontId="21" fillId="2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9" fontId="15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7" fontId="15" fillId="0" borderId="1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167" fontId="14" fillId="0" borderId="1" xfId="0" applyNumberFormat="1" applyFont="1" applyFill="1" applyBorder="1" applyAlignment="1">
      <alignment horizontal="center" vertical="center" wrapText="1"/>
    </xf>
    <xf numFmtId="167" fontId="14" fillId="0" borderId="4" xfId="0" applyNumberFormat="1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/>
    </xf>
    <xf numFmtId="9" fontId="14" fillId="0" borderId="4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 wrapText="1"/>
    </xf>
    <xf numFmtId="167" fontId="14" fillId="0" borderId="5" xfId="0" applyNumberFormat="1" applyFont="1" applyFill="1" applyBorder="1" applyAlignment="1">
      <alignment horizontal="center" vertical="center" wrapText="1"/>
    </xf>
    <xf numFmtId="9" fontId="15" fillId="0" borderId="5" xfId="0" applyNumberFormat="1" applyFont="1" applyFill="1" applyBorder="1" applyAlignment="1">
      <alignment horizontal="center" vertical="center"/>
    </xf>
    <xf numFmtId="9" fontId="14" fillId="0" borderId="5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167" fontId="15" fillId="0" borderId="5" xfId="0" applyNumberFormat="1" applyFont="1" applyFill="1" applyBorder="1" applyAlignment="1">
      <alignment horizontal="center" vertical="center" wrapText="1"/>
    </xf>
    <xf numFmtId="4" fontId="22" fillId="0" borderId="1" xfId="0" applyNumberFormat="1" applyFont="1" applyFill="1" applyBorder="1" applyAlignment="1">
      <alignment horizontal="right" vertical="center" wrapText="1"/>
    </xf>
    <xf numFmtId="4" fontId="23" fillId="2" borderId="41" xfId="0" applyNumberFormat="1" applyFont="1" applyFill="1" applyBorder="1" applyAlignment="1">
      <alignment horizontal="right" vertical="center" wrapText="1"/>
    </xf>
    <xf numFmtId="4" fontId="23" fillId="2" borderId="41" xfId="0" applyNumberFormat="1" applyFont="1" applyFill="1" applyBorder="1" applyAlignment="1">
      <alignment horizontal="right" vertical="center"/>
    </xf>
    <xf numFmtId="4" fontId="23" fillId="2" borderId="1" xfId="7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/>
    </xf>
    <xf numFmtId="4" fontId="23" fillId="0" borderId="4" xfId="0" applyNumberFormat="1" applyFont="1" applyFill="1" applyBorder="1" applyAlignment="1">
      <alignment horizontal="right" vertical="center" wrapText="1"/>
    </xf>
    <xf numFmtId="4" fontId="22" fillId="0" borderId="5" xfId="0" applyNumberFormat="1" applyFont="1" applyFill="1" applyBorder="1" applyAlignment="1">
      <alignment horizontal="right" vertical="center" wrapText="1"/>
    </xf>
    <xf numFmtId="4" fontId="22" fillId="0" borderId="5" xfId="0" applyNumberFormat="1" applyFont="1" applyFill="1" applyBorder="1" applyAlignment="1">
      <alignment horizontal="right" vertical="center"/>
    </xf>
    <xf numFmtId="4" fontId="23" fillId="0" borderId="5" xfId="0" applyNumberFormat="1" applyFont="1" applyFill="1" applyBorder="1" applyAlignment="1">
      <alignment horizontal="right" vertical="center" wrapText="1"/>
    </xf>
    <xf numFmtId="4" fontId="23" fillId="0" borderId="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4" fontId="15" fillId="2" borderId="4" xfId="0" applyNumberFormat="1" applyFont="1" applyFill="1" applyBorder="1" applyAlignment="1">
      <alignment horizontal="right" vertical="center" wrapText="1"/>
    </xf>
    <xf numFmtId="4" fontId="15" fillId="2" borderId="4" xfId="0" applyNumberFormat="1" applyFont="1" applyFill="1" applyBorder="1" applyAlignment="1">
      <alignment horizontal="right" vertical="center"/>
    </xf>
    <xf numFmtId="2" fontId="15" fillId="2" borderId="1" xfId="0" applyNumberFormat="1" applyFont="1" applyFill="1" applyBorder="1" applyAlignment="1">
      <alignment horizontal="right" vertical="center" wrapText="1"/>
    </xf>
    <xf numFmtId="4" fontId="14" fillId="0" borderId="5" xfId="0" applyNumberFormat="1" applyFont="1" applyFill="1" applyBorder="1" applyAlignment="1">
      <alignment horizontal="right" vertical="center"/>
    </xf>
    <xf numFmtId="4" fontId="14" fillId="0" borderId="4" xfId="0" applyNumberFormat="1" applyFont="1" applyFill="1" applyBorder="1" applyAlignment="1">
      <alignment horizontal="right" vertical="center"/>
    </xf>
    <xf numFmtId="2" fontId="15" fillId="0" borderId="5" xfId="0" applyNumberFormat="1" applyFont="1" applyFill="1" applyBorder="1" applyAlignment="1">
      <alignment horizontal="right" vertical="center"/>
    </xf>
    <xf numFmtId="2" fontId="15" fillId="0" borderId="1" xfId="0" applyNumberFormat="1" applyFont="1" applyFill="1" applyBorder="1" applyAlignment="1">
      <alignment horizontal="right" vertical="center"/>
    </xf>
    <xf numFmtId="2" fontId="14" fillId="0" borderId="1" xfId="0" applyNumberFormat="1" applyFont="1" applyFill="1" applyBorder="1" applyAlignment="1">
      <alignment horizontal="right" vertical="center"/>
    </xf>
    <xf numFmtId="2" fontId="14" fillId="0" borderId="5" xfId="0" applyNumberFormat="1" applyFont="1" applyFill="1" applyBorder="1" applyAlignment="1">
      <alignment horizontal="right" vertical="center"/>
    </xf>
    <xf numFmtId="2" fontId="14" fillId="0" borderId="4" xfId="0" applyNumberFormat="1" applyFont="1" applyFill="1" applyBorder="1" applyAlignment="1">
      <alignment horizontal="right" vertical="center"/>
    </xf>
    <xf numFmtId="4" fontId="22" fillId="2" borderId="4" xfId="0" applyNumberFormat="1" applyFont="1" applyFill="1" applyBorder="1" applyAlignment="1">
      <alignment horizontal="right" vertical="center" wrapText="1"/>
    </xf>
    <xf numFmtId="4" fontId="22" fillId="2" borderId="4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vertical="center" wrapText="1"/>
    </xf>
    <xf numFmtId="167" fontId="14" fillId="2" borderId="4" xfId="0" applyNumberFormat="1" applyFont="1" applyFill="1" applyBorder="1" applyAlignment="1">
      <alignment horizontal="center" vertical="center" wrapText="1"/>
    </xf>
    <xf numFmtId="4" fontId="23" fillId="2" borderId="4" xfId="0" applyNumberFormat="1" applyFont="1" applyFill="1" applyBorder="1" applyAlignment="1">
      <alignment horizontal="right" vertical="center" wrapText="1"/>
    </xf>
    <xf numFmtId="9" fontId="14" fillId="2" borderId="4" xfId="0" applyNumberFormat="1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vertical="center" wrapText="1"/>
    </xf>
    <xf numFmtId="0" fontId="15" fillId="2" borderId="41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vertical="center" wrapText="1"/>
    </xf>
    <xf numFmtId="167" fontId="15" fillId="2" borderId="41" xfId="0" applyNumberFormat="1" applyFont="1" applyFill="1" applyBorder="1" applyAlignment="1">
      <alignment horizontal="center" vertical="center" wrapText="1"/>
    </xf>
    <xf numFmtId="4" fontId="22" fillId="2" borderId="41" xfId="0" applyNumberFormat="1" applyFont="1" applyFill="1" applyBorder="1" applyAlignment="1">
      <alignment horizontal="right" vertical="center" wrapText="1"/>
    </xf>
    <xf numFmtId="9" fontId="15" fillId="2" borderId="41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167" fontId="15" fillId="2" borderId="4" xfId="0" applyNumberFormat="1" applyFont="1" applyFill="1" applyBorder="1" applyAlignment="1">
      <alignment horizontal="center" vertical="center" wrapText="1"/>
    </xf>
    <xf numFmtId="9" fontId="15" fillId="2" borderId="4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2" fillId="2" borderId="5" xfId="0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2" fillId="2" borderId="1" xfId="0" applyNumberFormat="1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2" fillId="2" borderId="4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left" vertical="center" wrapText="1"/>
    </xf>
    <xf numFmtId="166" fontId="14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right" vertical="center"/>
    </xf>
    <xf numFmtId="0" fontId="15" fillId="2" borderId="4" xfId="0" applyNumberFormat="1" applyFont="1" applyFill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horizontal="center" vertical="center" wrapText="1"/>
    </xf>
    <xf numFmtId="1" fontId="15" fillId="2" borderId="4" xfId="0" applyNumberFormat="1" applyFont="1" applyFill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horizontal="left" vertical="center" wrapText="1"/>
    </xf>
    <xf numFmtId="166" fontId="15" fillId="2" borderId="4" xfId="0" applyNumberFormat="1" applyFont="1" applyFill="1" applyBorder="1" applyAlignment="1">
      <alignment horizontal="center" vertical="center" wrapText="1"/>
    </xf>
    <xf numFmtId="2" fontId="15" fillId="2" borderId="4" xfId="0" applyNumberFormat="1" applyFont="1" applyFill="1" applyBorder="1" applyAlignment="1">
      <alignment horizontal="right" vertical="center"/>
    </xf>
    <xf numFmtId="0" fontId="15" fillId="2" borderId="41" xfId="0" applyNumberFormat="1" applyFont="1" applyFill="1" applyBorder="1" applyAlignment="1">
      <alignment horizontal="center" vertical="center" wrapText="1"/>
    </xf>
    <xf numFmtId="4" fontId="15" fillId="2" borderId="41" xfId="0" applyNumberFormat="1" applyFont="1" applyFill="1" applyBorder="1" applyAlignment="1">
      <alignment horizontal="center" vertical="center" wrapText="1"/>
    </xf>
    <xf numFmtId="1" fontId="15" fillId="2" borderId="41" xfId="0" applyNumberFormat="1" applyFont="1" applyFill="1" applyBorder="1" applyAlignment="1">
      <alignment horizontal="center" vertical="center" wrapText="1"/>
    </xf>
    <xf numFmtId="4" fontId="15" fillId="2" borderId="41" xfId="0" applyNumberFormat="1" applyFont="1" applyFill="1" applyBorder="1" applyAlignment="1">
      <alignment horizontal="left" vertical="center" wrapText="1"/>
    </xf>
    <xf numFmtId="166" fontId="15" fillId="2" borderId="41" xfId="0" applyNumberFormat="1" applyFont="1" applyFill="1" applyBorder="1" applyAlignment="1">
      <alignment horizontal="center" vertical="center" wrapText="1"/>
    </xf>
    <xf numFmtId="2" fontId="15" fillId="2" borderId="41" xfId="0" applyNumberFormat="1" applyFont="1" applyFill="1" applyBorder="1" applyAlignment="1">
      <alignment horizontal="right" vertical="center"/>
    </xf>
    <xf numFmtId="4" fontId="15" fillId="2" borderId="41" xfId="0" applyNumberFormat="1" applyFont="1" applyFill="1" applyBorder="1" applyAlignment="1">
      <alignment horizontal="right" vertical="center" wrapText="1"/>
    </xf>
    <xf numFmtId="4" fontId="15" fillId="2" borderId="41" xfId="0" applyNumberFormat="1" applyFont="1" applyFill="1" applyBorder="1" applyAlignment="1">
      <alignment horizontal="right" vertical="center"/>
    </xf>
    <xf numFmtId="4" fontId="32" fillId="2" borderId="1" xfId="0" applyNumberFormat="1" applyFont="1" applyFill="1" applyBorder="1" applyAlignment="1">
      <alignment horizontal="center" vertical="center" wrapText="1"/>
    </xf>
    <xf numFmtId="1" fontId="32" fillId="2" borderId="1" xfId="0" applyNumberFormat="1" applyFont="1" applyFill="1" applyBorder="1" applyAlignment="1">
      <alignment horizontal="center" vertical="center" wrapText="1"/>
    </xf>
    <xf numFmtId="4" fontId="32" fillId="2" borderId="1" xfId="0" applyNumberFormat="1" applyFont="1" applyFill="1" applyBorder="1" applyAlignment="1">
      <alignment horizontal="left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right" vertical="center" wrapText="1"/>
    </xf>
    <xf numFmtId="4" fontId="35" fillId="2" borderId="1" xfId="0" applyNumberFormat="1" applyFont="1" applyFill="1" applyBorder="1" applyAlignment="1">
      <alignment horizontal="right" vertical="center" wrapText="1"/>
    </xf>
    <xf numFmtId="9" fontId="0" fillId="2" borderId="1" xfId="0" applyNumberForma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right" vertical="center"/>
    </xf>
    <xf numFmtId="4" fontId="32" fillId="2" borderId="5" xfId="0" applyNumberFormat="1" applyFont="1" applyFill="1" applyBorder="1" applyAlignment="1">
      <alignment horizontal="center" vertical="center" wrapText="1"/>
    </xf>
    <xf numFmtId="1" fontId="32" fillId="2" borderId="5" xfId="0" applyNumberFormat="1" applyFont="1" applyFill="1" applyBorder="1" applyAlignment="1">
      <alignment horizontal="center" vertical="center" wrapText="1"/>
    </xf>
    <xf numFmtId="4" fontId="32" fillId="2" borderId="5" xfId="0" applyNumberFormat="1" applyFont="1" applyFill="1" applyBorder="1" applyAlignment="1">
      <alignment horizontal="left" vertical="center" wrapText="1"/>
    </xf>
    <xf numFmtId="166" fontId="32" fillId="2" borderId="5" xfId="0" applyNumberFormat="1" applyFont="1" applyFill="1" applyBorder="1" applyAlignment="1">
      <alignment horizontal="center" vertical="center" wrapText="1"/>
    </xf>
    <xf numFmtId="4" fontId="20" fillId="2" borderId="5" xfId="0" applyNumberFormat="1" applyFont="1" applyFill="1" applyBorder="1" applyAlignment="1">
      <alignment horizontal="right" vertical="center" wrapText="1"/>
    </xf>
    <xf numFmtId="4" fontId="35" fillId="2" borderId="5" xfId="0" applyNumberFormat="1" applyFont="1" applyFill="1" applyBorder="1" applyAlignment="1">
      <alignment horizontal="right" vertical="center" wrapText="1"/>
    </xf>
    <xf numFmtId="9" fontId="0" fillId="2" borderId="5" xfId="0" applyNumberFormat="1" applyFill="1" applyBorder="1" applyAlignment="1">
      <alignment horizontal="center" vertical="center"/>
    </xf>
    <xf numFmtId="2" fontId="0" fillId="2" borderId="5" xfId="0" applyNumberFormat="1" applyFont="1" applyFill="1" applyBorder="1" applyAlignment="1">
      <alignment horizontal="right" vertical="center"/>
    </xf>
    <xf numFmtId="4" fontId="15" fillId="2" borderId="5" xfId="0" applyNumberFormat="1" applyFont="1" applyFill="1" applyBorder="1" applyAlignment="1">
      <alignment horizontal="right" vertical="center" wrapText="1"/>
    </xf>
    <xf numFmtId="4" fontId="16" fillId="2" borderId="5" xfId="8" applyNumberFormat="1" applyFont="1" applyFill="1" applyBorder="1" applyAlignment="1">
      <alignment horizontal="right" vertical="center"/>
    </xf>
    <xf numFmtId="4" fontId="15" fillId="2" borderId="5" xfId="0" applyNumberFormat="1" applyFont="1" applyFill="1" applyBorder="1" applyAlignment="1">
      <alignment horizontal="right" vertical="center"/>
    </xf>
    <xf numFmtId="4" fontId="36" fillId="2" borderId="5" xfId="0" applyNumberFormat="1" applyFont="1" applyFill="1" applyBorder="1" applyAlignment="1">
      <alignment horizontal="right" vertical="center" wrapText="1"/>
    </xf>
    <xf numFmtId="9" fontId="31" fillId="2" borderId="1" xfId="0" applyNumberFormat="1" applyFont="1" applyFill="1" applyBorder="1" applyAlignment="1">
      <alignment horizontal="center" vertical="center"/>
    </xf>
    <xf numFmtId="2" fontId="31" fillId="2" borderId="1" xfId="0" applyNumberFormat="1" applyFont="1" applyFill="1" applyBorder="1" applyAlignment="1">
      <alignment horizontal="right" vertical="center"/>
    </xf>
    <xf numFmtId="2" fontId="32" fillId="2" borderId="1" xfId="0" applyNumberFormat="1" applyFont="1" applyFill="1" applyBorder="1" applyAlignment="1">
      <alignment horizontal="right" vertical="center" wrapText="1"/>
    </xf>
    <xf numFmtId="4" fontId="32" fillId="2" borderId="1" xfId="0" applyNumberFormat="1" applyFont="1" applyFill="1" applyBorder="1" applyAlignment="1">
      <alignment horizontal="right" vertical="center" wrapText="1"/>
    </xf>
    <xf numFmtId="4" fontId="32" fillId="2" borderId="1" xfId="0" applyNumberFormat="1" applyFont="1" applyFill="1" applyBorder="1" applyAlignment="1">
      <alignment horizontal="right" vertical="center"/>
    </xf>
    <xf numFmtId="4" fontId="16" fillId="2" borderId="1" xfId="8" applyNumberFormat="1" applyFont="1" applyFill="1" applyBorder="1" applyAlignment="1">
      <alignment horizontal="right" vertical="center"/>
    </xf>
    <xf numFmtId="4" fontId="32" fillId="2" borderId="4" xfId="0" applyNumberFormat="1" applyFont="1" applyFill="1" applyBorder="1" applyAlignment="1">
      <alignment horizontal="center" vertical="center" wrapText="1"/>
    </xf>
    <xf numFmtId="1" fontId="32" fillId="2" borderId="4" xfId="0" applyNumberFormat="1" applyFont="1" applyFill="1" applyBorder="1" applyAlignment="1">
      <alignment horizontal="center" vertical="center" wrapText="1"/>
    </xf>
    <xf numFmtId="4" fontId="32" fillId="2" borderId="4" xfId="0" applyNumberFormat="1" applyFont="1" applyFill="1" applyBorder="1" applyAlignment="1">
      <alignment horizontal="left" vertical="center" wrapText="1"/>
    </xf>
    <xf numFmtId="166" fontId="32" fillId="2" borderId="4" xfId="0" applyNumberFormat="1" applyFont="1" applyFill="1" applyBorder="1" applyAlignment="1">
      <alignment horizontal="center" vertical="center" wrapText="1"/>
    </xf>
    <xf numFmtId="4" fontId="20" fillId="2" borderId="4" xfId="0" applyNumberFormat="1" applyFont="1" applyFill="1" applyBorder="1" applyAlignment="1">
      <alignment horizontal="right" vertical="center" wrapText="1"/>
    </xf>
    <xf numFmtId="9" fontId="0" fillId="2" borderId="4" xfId="0" applyNumberFormat="1" applyFill="1" applyBorder="1" applyAlignment="1">
      <alignment horizontal="center" vertical="center"/>
    </xf>
    <xf numFmtId="2" fontId="32" fillId="2" borderId="4" xfId="0" applyNumberFormat="1" applyFont="1" applyFill="1" applyBorder="1" applyAlignment="1">
      <alignment horizontal="right" vertical="center" wrapText="1"/>
    </xf>
    <xf numFmtId="4" fontId="32" fillId="2" borderId="4" xfId="0" applyNumberFormat="1" applyFont="1" applyFill="1" applyBorder="1" applyAlignment="1">
      <alignment horizontal="right" vertical="center" wrapText="1"/>
    </xf>
    <xf numFmtId="4" fontId="32" fillId="2" borderId="4" xfId="0" applyNumberFormat="1" applyFont="1" applyFill="1" applyBorder="1" applyAlignment="1">
      <alignment horizontal="right" vertical="center"/>
    </xf>
    <xf numFmtId="2" fontId="0" fillId="2" borderId="4" xfId="0" applyNumberFormat="1" applyFont="1" applyFill="1" applyBorder="1" applyAlignment="1">
      <alignment horizontal="right" vertical="center"/>
    </xf>
    <xf numFmtId="0" fontId="32" fillId="0" borderId="1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center" vertical="center" wrapText="1"/>
    </xf>
    <xf numFmtId="1" fontId="32" fillId="0" borderId="1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left" vertical="center" wrapText="1"/>
    </xf>
    <xf numFmtId="166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2" fontId="15" fillId="0" borderId="0" xfId="0" applyNumberFormat="1" applyFont="1" applyFill="1" applyAlignment="1">
      <alignment horizontal="right" vertical="center"/>
    </xf>
    <xf numFmtId="4" fontId="29" fillId="2" borderId="1" xfId="0" applyNumberFormat="1" applyFont="1" applyFill="1" applyBorder="1" applyAlignment="1">
      <alignment horizontal="right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vertical="center" wrapText="1"/>
    </xf>
    <xf numFmtId="167" fontId="32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right" vertical="center" wrapText="1"/>
    </xf>
    <xf numFmtId="4" fontId="20" fillId="0" borderId="5" xfId="0" applyNumberFormat="1" applyFont="1" applyFill="1" applyBorder="1" applyAlignment="1">
      <alignment horizontal="right" vertical="center" wrapText="1"/>
    </xf>
    <xf numFmtId="4" fontId="20" fillId="0" borderId="5" xfId="0" applyNumberFormat="1" applyFont="1" applyFill="1" applyBorder="1" applyAlignment="1">
      <alignment horizontal="right" vertical="center"/>
    </xf>
    <xf numFmtId="9" fontId="32" fillId="0" borderId="1" xfId="0" applyNumberFormat="1" applyFont="1" applyFill="1" applyBorder="1" applyAlignment="1">
      <alignment horizontal="center" vertical="center"/>
    </xf>
    <xf numFmtId="2" fontId="32" fillId="0" borderId="1" xfId="0" applyNumberFormat="1" applyFont="1" applyFill="1" applyBorder="1" applyAlignment="1">
      <alignment horizontal="right" vertical="center"/>
    </xf>
    <xf numFmtId="4" fontId="32" fillId="0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horizontal="center" vertical="center"/>
    </xf>
    <xf numFmtId="0" fontId="0" fillId="2" borderId="0" xfId="0" applyFont="1" applyFill="1"/>
    <xf numFmtId="0" fontId="0" fillId="0" borderId="1" xfId="0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right" vertical="center"/>
    </xf>
    <xf numFmtId="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/>
    <xf numFmtId="4" fontId="35" fillId="0" borderId="5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center" vertical="center"/>
    </xf>
    <xf numFmtId="2" fontId="32" fillId="0" borderId="1" xfId="0" applyNumberFormat="1" applyFont="1" applyFill="1" applyBorder="1" applyAlignment="1">
      <alignment horizontal="right" vertical="center" wrapText="1"/>
    </xf>
    <xf numFmtId="4" fontId="32" fillId="0" borderId="1" xfId="0" applyNumberFormat="1" applyFont="1" applyFill="1" applyBorder="1" applyAlignment="1">
      <alignment horizontal="righ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 shrinkToFit="1"/>
    </xf>
    <xf numFmtId="0" fontId="28" fillId="0" borderId="0" xfId="0" applyFont="1" applyFill="1" applyAlignment="1">
      <alignment horizontal="left"/>
    </xf>
    <xf numFmtId="0" fontId="29" fillId="0" borderId="0" xfId="0" applyFont="1" applyFill="1" applyAlignment="1">
      <alignment horizontal="left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</cellXfs>
  <cellStyles count="9">
    <cellStyle name="Dziesiętny 2" xfId="4"/>
    <cellStyle name="Neutralny" xfId="8" builtinId="28"/>
    <cellStyle name="Normalny" xfId="0" builtinId="0"/>
    <cellStyle name="Normalny 2" xfId="3"/>
    <cellStyle name="Normalny 2 2" xfId="6"/>
    <cellStyle name="Normalny 3" xfId="1"/>
    <cellStyle name="Procentowy" xfId="5" builtinId="5"/>
    <cellStyle name="Procentowy 2" xfId="2"/>
    <cellStyle name="Walutowy" xfId="7" builtinId="4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Z44"/>
  <sheetViews>
    <sheetView tabSelected="1" view="pageBreakPreview" zoomScaleNormal="100" zoomScaleSheetLayoutView="100" workbookViewId="0">
      <selection activeCell="F2" sqref="F2:N6"/>
    </sheetView>
  </sheetViews>
  <sheetFormatPr defaultColWidth="9.140625" defaultRowHeight="15" x14ac:dyDescent="0.25"/>
  <cols>
    <col min="1" max="1" width="35.140625" style="14" customWidth="1"/>
    <col min="2" max="2" width="10.7109375" style="14" customWidth="1"/>
    <col min="3" max="5" width="20.7109375" style="14" customWidth="1"/>
    <col min="6" max="17" width="15.7109375" style="14" customWidth="1"/>
    <col min="18" max="18" width="9.140625" style="14"/>
    <col min="19" max="19" width="11.7109375" style="14" bestFit="1" customWidth="1"/>
    <col min="20" max="16384" width="9.140625" style="3"/>
  </cols>
  <sheetData>
    <row r="1" spans="1:26" s="10" customFormat="1" ht="30" customHeight="1" thickBot="1" x14ac:dyDescent="0.35">
      <c r="A1" s="7" t="s">
        <v>209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9"/>
      <c r="U1" s="9"/>
      <c r="V1" s="9"/>
      <c r="W1" s="9"/>
      <c r="X1" s="9"/>
      <c r="Y1" s="9"/>
      <c r="Z1" s="9"/>
    </row>
    <row r="2" spans="1:26" x14ac:dyDescent="0.25">
      <c r="A2" s="11"/>
      <c r="B2" s="11"/>
      <c r="C2" s="11"/>
      <c r="D2" s="11"/>
      <c r="E2" s="11"/>
      <c r="F2" s="430" t="s">
        <v>18</v>
      </c>
      <c r="G2" s="431"/>
      <c r="H2" s="431"/>
      <c r="I2" s="431"/>
      <c r="J2" s="431"/>
      <c r="K2" s="431"/>
      <c r="L2" s="431"/>
      <c r="M2" s="431"/>
      <c r="N2" s="432"/>
      <c r="O2" s="11"/>
      <c r="P2" s="11"/>
      <c r="Q2" s="11"/>
      <c r="R2" s="11"/>
      <c r="S2" s="11"/>
      <c r="T2" s="12"/>
      <c r="U2" s="12"/>
      <c r="V2" s="12"/>
      <c r="W2" s="12"/>
      <c r="X2" s="12"/>
      <c r="Y2" s="12"/>
      <c r="Z2" s="12"/>
    </row>
    <row r="3" spans="1:26" x14ac:dyDescent="0.25">
      <c r="A3" s="13"/>
      <c r="B3" s="11"/>
      <c r="C3" s="11"/>
      <c r="D3" s="11"/>
      <c r="E3" s="11"/>
      <c r="F3" s="433"/>
      <c r="G3" s="434"/>
      <c r="H3" s="434"/>
      <c r="I3" s="434"/>
      <c r="J3" s="434"/>
      <c r="K3" s="434"/>
      <c r="L3" s="434"/>
      <c r="M3" s="434"/>
      <c r="N3" s="435"/>
      <c r="Z3" s="12"/>
    </row>
    <row r="4" spans="1:26" x14ac:dyDescent="0.25">
      <c r="A4" s="15" t="s">
        <v>210</v>
      </c>
      <c r="B4" s="16"/>
      <c r="C4" s="16"/>
      <c r="D4" s="16"/>
      <c r="E4" s="16"/>
      <c r="F4" s="433"/>
      <c r="G4" s="434"/>
      <c r="H4" s="434"/>
      <c r="I4" s="434"/>
      <c r="J4" s="434"/>
      <c r="K4" s="434"/>
      <c r="L4" s="434"/>
      <c r="M4" s="434"/>
      <c r="N4" s="435"/>
      <c r="Z4" s="17"/>
    </row>
    <row r="5" spans="1:26" x14ac:dyDescent="0.25">
      <c r="A5" s="16"/>
      <c r="B5" s="16"/>
      <c r="C5" s="16"/>
      <c r="D5" s="16"/>
      <c r="E5" s="16"/>
      <c r="F5" s="433"/>
      <c r="G5" s="434"/>
      <c r="H5" s="434"/>
      <c r="I5" s="434"/>
      <c r="J5" s="434"/>
      <c r="K5" s="434"/>
      <c r="L5" s="434"/>
      <c r="M5" s="434"/>
      <c r="N5" s="435"/>
      <c r="Z5" s="12"/>
    </row>
    <row r="6" spans="1:26" x14ac:dyDescent="0.25">
      <c r="A6" s="15" t="s">
        <v>47</v>
      </c>
      <c r="B6" s="16"/>
      <c r="C6" s="16"/>
      <c r="D6" s="16"/>
      <c r="E6" s="16"/>
      <c r="F6" s="433"/>
      <c r="G6" s="434"/>
      <c r="H6" s="434"/>
      <c r="I6" s="434"/>
      <c r="J6" s="434"/>
      <c r="K6" s="434"/>
      <c r="L6" s="434"/>
      <c r="M6" s="434"/>
      <c r="N6" s="435"/>
      <c r="Z6" s="17"/>
    </row>
    <row r="7" spans="1:26" ht="35.25" customHeight="1" thickBot="1" x14ac:dyDescent="0.3">
      <c r="A7" s="16"/>
      <c r="B7" s="16"/>
      <c r="C7" s="16"/>
      <c r="D7" s="16"/>
      <c r="E7" s="16"/>
      <c r="F7" s="481" t="s">
        <v>159</v>
      </c>
      <c r="G7" s="436"/>
      <c r="H7" s="436"/>
      <c r="I7" s="436"/>
      <c r="J7" s="436"/>
      <c r="K7" s="436"/>
      <c r="L7" s="436"/>
      <c r="M7" s="436"/>
      <c r="N7" s="437"/>
      <c r="Z7" s="12"/>
    </row>
    <row r="8" spans="1:26" x14ac:dyDescent="0.25">
      <c r="A8" s="16"/>
      <c r="B8" s="16"/>
      <c r="C8" s="16"/>
      <c r="D8" s="16"/>
      <c r="E8" s="16"/>
      <c r="F8" s="18"/>
      <c r="G8" s="18"/>
      <c r="H8" s="18"/>
      <c r="I8" s="18"/>
      <c r="J8" s="18"/>
      <c r="K8" s="18"/>
      <c r="L8" s="18"/>
      <c r="M8" s="18"/>
      <c r="N8" s="18"/>
      <c r="Z8" s="12"/>
    </row>
    <row r="9" spans="1:26" ht="20.100000000000001" customHeight="1" thickBot="1" x14ac:dyDescent="0.3">
      <c r="A9" s="15" t="s">
        <v>0</v>
      </c>
      <c r="B9" s="16"/>
      <c r="C9" s="16"/>
      <c r="D9" s="16"/>
      <c r="E9" s="16"/>
      <c r="F9" s="18"/>
      <c r="G9" s="18"/>
      <c r="H9" s="18"/>
      <c r="I9" s="18"/>
      <c r="J9" s="18"/>
      <c r="K9" s="18"/>
      <c r="L9" s="18"/>
      <c r="M9" s="18"/>
      <c r="N9" s="18"/>
      <c r="Z9" s="12"/>
    </row>
    <row r="10" spans="1:26" ht="20.100000000000001" customHeight="1" x14ac:dyDescent="0.25">
      <c r="A10" s="438" t="s">
        <v>1</v>
      </c>
      <c r="B10" s="440" t="s">
        <v>34</v>
      </c>
      <c r="C10" s="442" t="s">
        <v>19</v>
      </c>
      <c r="D10" s="444" t="s">
        <v>20</v>
      </c>
      <c r="E10" s="446" t="s">
        <v>21</v>
      </c>
      <c r="F10" s="77"/>
      <c r="G10" s="64"/>
      <c r="H10" s="65"/>
      <c r="I10" s="64"/>
      <c r="J10" s="65" t="s">
        <v>12</v>
      </c>
      <c r="K10" s="64"/>
      <c r="L10" s="64"/>
      <c r="M10" s="64"/>
      <c r="N10" s="65"/>
      <c r="O10" s="65"/>
      <c r="P10" s="65"/>
      <c r="Q10" s="66"/>
      <c r="R10" s="31"/>
      <c r="S10" s="31"/>
      <c r="T10" s="2"/>
      <c r="U10" s="2"/>
      <c r="V10" s="2"/>
      <c r="W10" s="2"/>
      <c r="Z10" s="12"/>
    </row>
    <row r="11" spans="1:26" s="1" customFormat="1" ht="20.100000000000001" customHeight="1" thickBot="1" x14ac:dyDescent="0.3">
      <c r="A11" s="439"/>
      <c r="B11" s="441"/>
      <c r="C11" s="443"/>
      <c r="D11" s="445"/>
      <c r="E11" s="447"/>
      <c r="F11" s="83">
        <v>2019</v>
      </c>
      <c r="G11" s="84">
        <v>2020</v>
      </c>
      <c r="H11" s="84">
        <v>2021</v>
      </c>
      <c r="I11" s="84">
        <v>2022</v>
      </c>
      <c r="J11" s="84">
        <v>2023</v>
      </c>
      <c r="K11" s="84">
        <v>2024</v>
      </c>
      <c r="L11" s="84">
        <v>2025</v>
      </c>
      <c r="M11" s="84">
        <v>2026</v>
      </c>
      <c r="N11" s="84">
        <v>2027</v>
      </c>
      <c r="O11" s="84">
        <v>2028</v>
      </c>
      <c r="P11" s="84">
        <v>2029</v>
      </c>
      <c r="Q11" s="85">
        <v>2030</v>
      </c>
      <c r="R11" s="18"/>
      <c r="S11" s="18"/>
      <c r="T11" s="18"/>
      <c r="U11" s="18"/>
      <c r="V11" s="18"/>
      <c r="W11" s="18"/>
      <c r="X11" s="19"/>
      <c r="Y11" s="19"/>
      <c r="Z11" s="19"/>
    </row>
    <row r="12" spans="1:26" ht="39.950000000000003" customHeight="1" thickTop="1" x14ac:dyDescent="0.25">
      <c r="A12" s="165" t="s">
        <v>36</v>
      </c>
      <c r="B12" s="86">
        <f>COUNTIF('pow podst'!K3:K64,"&gt;0")</f>
        <v>62</v>
      </c>
      <c r="C12" s="87">
        <f>SUM('pow podst'!J3:J64)</f>
        <v>415070497.13999987</v>
      </c>
      <c r="D12" s="88">
        <f>SUM('pow podst'!L3:L64)</f>
        <v>204059452.43599999</v>
      </c>
      <c r="E12" s="89">
        <f>SUM('pow podst'!K3:K64)</f>
        <v>211011044.70399994</v>
      </c>
      <c r="F12" s="90">
        <f>SUM('pow podst'!N3:N64)</f>
        <v>0</v>
      </c>
      <c r="G12" s="87">
        <f>SUM('pow podst'!O3:O64)</f>
        <v>0</v>
      </c>
      <c r="H12" s="87">
        <f>SUM('pow podst'!P3:P64)</f>
        <v>0</v>
      </c>
      <c r="I12" s="87">
        <f>SUM('pow podst'!Q3:Q64)</f>
        <v>0</v>
      </c>
      <c r="J12" s="87">
        <f>SUM('pow podst'!R3:R64)</f>
        <v>0</v>
      </c>
      <c r="K12" s="87">
        <f>SUM('pow podst'!S3:S64)</f>
        <v>14342710.399999999</v>
      </c>
      <c r="L12" s="87">
        <f>SUM('pow podst'!T3:T64)</f>
        <v>27436126.663999997</v>
      </c>
      <c r="M12" s="87">
        <f>SUM('pow podst'!U3:U64)</f>
        <v>110678740.34999999</v>
      </c>
      <c r="N12" s="87">
        <f>SUM('pow podst'!V3:V64)</f>
        <v>38845930.704999998</v>
      </c>
      <c r="O12" s="87">
        <f>SUM('pow podst'!W3:W64)</f>
        <v>19707536.584999997</v>
      </c>
      <c r="P12" s="87">
        <f>SUM('pow podst'!X3:X64)</f>
        <v>0</v>
      </c>
      <c r="Q12" s="166">
        <f>SUM('pow podst'!Y3:Y64)</f>
        <v>0</v>
      </c>
      <c r="R12" s="20" t="b">
        <f>C12=(D12+E12)</f>
        <v>1</v>
      </c>
      <c r="S12" s="39" t="b">
        <f>E12=SUM(F12:Q12)</f>
        <v>1</v>
      </c>
      <c r="T12" s="21"/>
      <c r="U12" s="21"/>
      <c r="V12" s="22"/>
      <c r="W12" s="22"/>
      <c r="X12" s="23"/>
      <c r="Y12" s="12"/>
      <c r="Z12" s="12"/>
    </row>
    <row r="13" spans="1:26" ht="39.950000000000003" customHeight="1" x14ac:dyDescent="0.25">
      <c r="A13" s="167" t="s">
        <v>37</v>
      </c>
      <c r="B13" s="113">
        <f>COUNTIFS('pow podst'!K3:K64,"&gt;0",'pow podst'!C3:C64,"K")</f>
        <v>24</v>
      </c>
      <c r="C13" s="114">
        <f>SUMIF('pow podst'!C3:C64,"K",'pow podst'!J3:J64)</f>
        <v>188680073.86000001</v>
      </c>
      <c r="D13" s="115">
        <f>SUMIF('pow podst'!C3:C64,"K",'pow podst'!L3:L64)</f>
        <v>90276617.016000003</v>
      </c>
      <c r="E13" s="47">
        <f>SUMIF('pow podst'!C3:C64,"K",'pow podst'!K3:K64)</f>
        <v>98403456.843999997</v>
      </c>
      <c r="F13" s="122">
        <f>SUMIF('pow podst'!C3:C64,"K",'pow podst'!N3:N64)</f>
        <v>0</v>
      </c>
      <c r="G13" s="114">
        <f>SUMIF('pow podst'!C3:C64,"K",'pow podst'!O3:O64)</f>
        <v>0</v>
      </c>
      <c r="H13" s="114">
        <f>SUMIF('pow podst'!C3:C64,"K",'pow podst'!P3:P64)</f>
        <v>0</v>
      </c>
      <c r="I13" s="114">
        <f>SUMIF('pow podst'!C3:C64,"K",'pow podst'!Q3:Q64)</f>
        <v>0</v>
      </c>
      <c r="J13" s="114">
        <f>SUMIF('pow podst'!C3:C64,"K",'pow podst'!R3:R64)</f>
        <v>0</v>
      </c>
      <c r="K13" s="114">
        <f>SUMIF('pow podst'!C3:C64,"K",'pow podst'!S3:S64)</f>
        <v>14342710.399999999</v>
      </c>
      <c r="L13" s="114">
        <f>SUMIF('pow podst'!C3:C64,"K",'pow podst'!T3:T64)</f>
        <v>27436126.663999997</v>
      </c>
      <c r="M13" s="114">
        <f>SUMIF('pow podst'!C3:C64,"K",'pow podst'!U3:U64)</f>
        <v>43358692.270000011</v>
      </c>
      <c r="N13" s="114">
        <f>SUMIF('pow podst'!C3:C64,"K",'pow podst'!V3:V64)</f>
        <v>11082867.129999999</v>
      </c>
      <c r="O13" s="114">
        <f>SUMIF('pow podst'!C3:C64,"K",'pow podst'!W3:W64)</f>
        <v>2183060.38</v>
      </c>
      <c r="P13" s="114">
        <f>SUMIF('pow podst'!D3:D64,"K",'pow podst'!X3:X64)</f>
        <v>0</v>
      </c>
      <c r="Q13" s="168">
        <f>SUMIF('pow podst'!E3:E64,"K",'pow podst'!Y3:Y64)</f>
        <v>0</v>
      </c>
      <c r="R13" s="20" t="b">
        <f t="shared" ref="R13:R36" si="0">C13=(D13+E13)</f>
        <v>1</v>
      </c>
      <c r="S13" s="39" t="b">
        <f t="shared" ref="S13:S36" si="1">E13=SUM(F13:Q13)</f>
        <v>1</v>
      </c>
      <c r="T13" s="21"/>
      <c r="U13" s="21"/>
      <c r="V13" s="22"/>
      <c r="W13" s="22"/>
      <c r="X13" s="23"/>
      <c r="Y13" s="12"/>
      <c r="Z13" s="12"/>
    </row>
    <row r="14" spans="1:26" ht="39.950000000000003" customHeight="1" x14ac:dyDescent="0.25">
      <c r="A14" s="169" t="s">
        <v>38</v>
      </c>
      <c r="B14" s="116">
        <f>COUNTIFS('pow podst'!K3:K64,"&gt;0",'pow podst'!C3:C64,"N")</f>
        <v>22</v>
      </c>
      <c r="C14" s="117">
        <f>SUMIF('pow podst'!C3:C64,"N",'pow podst'!J3:J64)</f>
        <v>106107942.44</v>
      </c>
      <c r="D14" s="118">
        <f>SUMIF('pow podst'!C3:C64,"N",'pow podst'!L3:L64)</f>
        <v>53641594.989999995</v>
      </c>
      <c r="E14" s="46">
        <f>SUMIF('pow podst'!C3:C64,"N",'pow podst'!K3:K64)</f>
        <v>52466347.45000001</v>
      </c>
      <c r="F14" s="123">
        <f>SUMIF('pow podst'!C3:C64,"N",'pow podst'!N3:N64)</f>
        <v>0</v>
      </c>
      <c r="G14" s="117">
        <f>SUMIF('pow podst'!C3:C64,"N",'pow podst'!O3:O64)</f>
        <v>0</v>
      </c>
      <c r="H14" s="117">
        <f>SUMIF('pow podst'!C3:C64,"N",'pow podst'!P3:P64)</f>
        <v>0</v>
      </c>
      <c r="I14" s="117">
        <f>SUMIF('pow podst'!C3:C64,"N",'pow podst'!Q3:Q64)</f>
        <v>0</v>
      </c>
      <c r="J14" s="117">
        <f>SUMIF('pow podst'!C3:C64,"N",'pow podst'!R3:R64)</f>
        <v>0</v>
      </c>
      <c r="K14" s="117">
        <f>SUMIF('pow podst'!C3:C64,"N",'pow podst'!S3:S64)</f>
        <v>0</v>
      </c>
      <c r="L14" s="117">
        <f>SUMIF('pow podst'!C3:C64,"N",'pow podst'!T3:T64)</f>
        <v>0</v>
      </c>
      <c r="M14" s="117">
        <f>SUMIF('pow podst'!C3:C64,"N",'pow podst'!U3:U64)</f>
        <v>52466347.45000001</v>
      </c>
      <c r="N14" s="117">
        <f>SUMIF('pow podst'!C3:C64,"N",'pow podst'!V3:V64)</f>
        <v>0</v>
      </c>
      <c r="O14" s="117">
        <f>SUMIF('pow podst'!C3:C64,"N",'pow podst'!W3:W64)</f>
        <v>0</v>
      </c>
      <c r="P14" s="117">
        <f>SUMIF('pow podst'!D3:D64,"N",'pow podst'!X3:X64)</f>
        <v>0</v>
      </c>
      <c r="Q14" s="170">
        <f>SUMIF('pow podst'!E3:E64,"N",'pow podst'!Y3:Y64)</f>
        <v>0</v>
      </c>
      <c r="R14" s="20" t="b">
        <f t="shared" si="0"/>
        <v>1</v>
      </c>
      <c r="S14" s="39" t="b">
        <f t="shared" si="1"/>
        <v>1</v>
      </c>
      <c r="T14" s="21"/>
      <c r="U14" s="21"/>
      <c r="V14" s="22"/>
      <c r="W14" s="22"/>
      <c r="X14" s="23"/>
      <c r="Y14" s="12"/>
      <c r="Z14" s="12"/>
    </row>
    <row r="15" spans="1:26" ht="39.950000000000003" customHeight="1" thickBot="1" x14ac:dyDescent="0.3">
      <c r="A15" s="171" t="s">
        <v>39</v>
      </c>
      <c r="B15" s="119">
        <f>COUNTIFS('pow podst'!K3:K64,"&gt;0",'pow podst'!C3:C64,"W")</f>
        <v>16</v>
      </c>
      <c r="C15" s="120">
        <f>SUMIF('pow podst'!C3:C64,"W",'pow podst'!J3:J64)</f>
        <v>120282480.83999999</v>
      </c>
      <c r="D15" s="121">
        <f>SUMIF('pow podst'!C3:C64,"W",'pow podst'!L3:L64)</f>
        <v>60141240.43</v>
      </c>
      <c r="E15" s="91">
        <f>SUMIF('pow podst'!C3:C64,"W",'pow podst'!K3:K64)</f>
        <v>60141240.409999996</v>
      </c>
      <c r="F15" s="124">
        <f>SUMIF('pow podst'!C3:C64,"W",'pow podst'!N3:N64)</f>
        <v>0</v>
      </c>
      <c r="G15" s="120">
        <f>SUMIF('pow podst'!C3:C64,"W",'pow podst'!O3:O64)</f>
        <v>0</v>
      </c>
      <c r="H15" s="120">
        <f>SUMIF('pow podst'!C3:C64,"W",'pow podst'!P3:P64)</f>
        <v>0</v>
      </c>
      <c r="I15" s="120">
        <f>SUMIF('pow podst'!C3:C64,"W",'pow podst'!Q3:Q64)</f>
        <v>0</v>
      </c>
      <c r="J15" s="120">
        <f>SUMIF('pow podst'!C3:C64,"W",'pow podst'!R3:R64)</f>
        <v>0</v>
      </c>
      <c r="K15" s="120">
        <f>SUMIF('pow podst'!C3:C64,"W",'pow podst'!S3:S64)</f>
        <v>0</v>
      </c>
      <c r="L15" s="120">
        <f>SUMIF('pow podst'!C3:C64,"W",'pow podst'!T3:T64)</f>
        <v>0</v>
      </c>
      <c r="M15" s="120">
        <f>SUMIF('pow podst'!C3:C64,"W",'pow podst'!U3:U64)</f>
        <v>14853700.630000001</v>
      </c>
      <c r="N15" s="120">
        <f>SUMIF('pow podst'!C3:C64,"W",'pow podst'!V3:V64)</f>
        <v>27763063.574999999</v>
      </c>
      <c r="O15" s="120">
        <f>SUMIF('pow podst'!C3:C64,"W",'pow podst'!W3:W64)</f>
        <v>17524476.204999998</v>
      </c>
      <c r="P15" s="120">
        <f>SUMIF('pow podst'!D3:D64,"W",'pow podst'!X3:X64)</f>
        <v>0</v>
      </c>
      <c r="Q15" s="172">
        <f>SUMIF('pow podst'!E3:E64,"W",'pow podst'!Y3:Y64)</f>
        <v>0</v>
      </c>
      <c r="R15" s="20" t="b">
        <f t="shared" si="0"/>
        <v>1</v>
      </c>
      <c r="S15" s="39" t="b">
        <f t="shared" si="1"/>
        <v>1</v>
      </c>
      <c r="T15" s="21"/>
      <c r="U15" s="21"/>
      <c r="V15" s="22"/>
      <c r="W15" s="22"/>
      <c r="X15" s="23"/>
      <c r="Y15" s="12"/>
      <c r="Z15" s="12"/>
    </row>
    <row r="16" spans="1:26" ht="39.950000000000003" customHeight="1" thickTop="1" x14ac:dyDescent="0.25">
      <c r="A16" s="165" t="s">
        <v>40</v>
      </c>
      <c r="B16" s="86">
        <f>COUNTIF('gm podst'!L3:L91,"&gt;0")</f>
        <v>89</v>
      </c>
      <c r="C16" s="87">
        <f>SUM('gm podst'!K3:K91)</f>
        <v>341702671.58000004</v>
      </c>
      <c r="D16" s="88">
        <f>SUM('gm podst'!M3:M91)</f>
        <v>166913660.36200002</v>
      </c>
      <c r="E16" s="89">
        <f>SUM('gm podst'!L3:L91)</f>
        <v>174789011.21800005</v>
      </c>
      <c r="F16" s="125">
        <f>SUM('gm podst'!O3:O91)</f>
        <v>0</v>
      </c>
      <c r="G16" s="126">
        <f>SUM('gm podst'!P3:P91)</f>
        <v>0</v>
      </c>
      <c r="H16" s="126">
        <f>SUM('gm podst'!Q3:Q91)</f>
        <v>0</v>
      </c>
      <c r="I16" s="126">
        <f>SUM('gm podst'!R3:R91)</f>
        <v>0</v>
      </c>
      <c r="J16" s="126">
        <f>SUM('gm podst'!S3:S91)</f>
        <v>0</v>
      </c>
      <c r="K16" s="126">
        <f>SUM('gm podst'!T3:T91)</f>
        <v>8712391.3900000006</v>
      </c>
      <c r="L16" s="126">
        <f>SUM('gm podst'!U3:U91)</f>
        <v>23807782.248000003</v>
      </c>
      <c r="M16" s="126">
        <f>SUM('gm podst'!V3:V91)</f>
        <v>102024377.00500001</v>
      </c>
      <c r="N16" s="126">
        <f>SUM('gm podst'!W3:W91)</f>
        <v>36645068.355000004</v>
      </c>
      <c r="O16" s="126">
        <f>SUM('gm podst'!X3:X91)</f>
        <v>3599392.2199999997</v>
      </c>
      <c r="P16" s="126">
        <f>SUM('gm podst'!Y3:Y91)</f>
        <v>0</v>
      </c>
      <c r="Q16" s="173">
        <f>SUM('gm podst'!Z3:Z91)</f>
        <v>0</v>
      </c>
      <c r="R16" s="20" t="b">
        <f t="shared" si="0"/>
        <v>1</v>
      </c>
      <c r="S16" s="39" t="b">
        <f t="shared" si="1"/>
        <v>1</v>
      </c>
      <c r="T16" s="21"/>
      <c r="U16" s="21"/>
      <c r="V16" s="22"/>
      <c r="W16" s="22"/>
      <c r="X16" s="22"/>
      <c r="Y16" s="22"/>
      <c r="Z16" s="22"/>
    </row>
    <row r="17" spans="1:26" ht="39.950000000000003" customHeight="1" x14ac:dyDescent="0.25">
      <c r="A17" s="167" t="s">
        <v>37</v>
      </c>
      <c r="B17" s="113">
        <f>COUNTIFS('gm podst'!L3:L91,"&gt;0",'gm podst'!C3:C91,"K")</f>
        <v>25</v>
      </c>
      <c r="C17" s="114">
        <f>SUMIF('gm podst'!C3:C91,"K",'gm podst'!K3:K91)</f>
        <v>152139809.79000002</v>
      </c>
      <c r="D17" s="115">
        <f>SUMIF('gm podst'!C3:C91,"K",'gm podst'!M3:M91)</f>
        <v>71779181.90200001</v>
      </c>
      <c r="E17" s="47">
        <f>SUMIF('gm podst'!C3:C91,"K",'gm podst'!L3:L91)</f>
        <v>80360627.888000011</v>
      </c>
      <c r="F17" s="122">
        <f>SUMIF('gm podst'!C3:C91,"K",'gm podst'!O3:O91)</f>
        <v>0</v>
      </c>
      <c r="G17" s="114">
        <f>SUMIF('gm podst'!C3:C91,"K",'gm podst'!P3:P91)</f>
        <v>0</v>
      </c>
      <c r="H17" s="114">
        <f>SUMIF('gm podst'!C3:C91,"K",'gm podst'!Q3:Q91)</f>
        <v>0</v>
      </c>
      <c r="I17" s="114">
        <f>SUMIF('gm podst'!C3:C91,"K",'gm podst'!R3:R91)</f>
        <v>0</v>
      </c>
      <c r="J17" s="114">
        <f>SUMIF('gm podst'!C3:C91,"K",'gm podst'!S3:S91)</f>
        <v>0</v>
      </c>
      <c r="K17" s="114">
        <f>SUMIF('gm podst'!C3:C91,"K",'gm podst'!T3:T91)</f>
        <v>8712391.3900000006</v>
      </c>
      <c r="L17" s="114">
        <f>SUMIF('gm podst'!C3:C91,"K",'gm podst'!U3:U91)</f>
        <v>23807782.248000003</v>
      </c>
      <c r="M17" s="114">
        <f>SUMIF('gm podst'!C3:C91,"K",'gm podst'!V3:V91)</f>
        <v>28045728.82</v>
      </c>
      <c r="N17" s="114">
        <f>SUMIF('gm podst'!C3:C91,"K",'gm podst'!W3:W91)</f>
        <v>19794725.43</v>
      </c>
      <c r="O17" s="114">
        <f>SUMIF('gm podst'!C3:C91,"K",'gm podst'!X3:X91)</f>
        <v>0</v>
      </c>
      <c r="P17" s="114">
        <f>SUMIF('gm podst'!D3:D91,"K",'gm podst'!Y3:Y91)</f>
        <v>0</v>
      </c>
      <c r="Q17" s="168">
        <f>SUMIF('gm podst'!E3:E91,"K",'gm podst'!Z3:Z91)</f>
        <v>0</v>
      </c>
      <c r="R17" s="20" t="b">
        <f t="shared" si="0"/>
        <v>1</v>
      </c>
      <c r="S17" s="39" t="b">
        <f t="shared" si="1"/>
        <v>1</v>
      </c>
      <c r="T17" s="21"/>
      <c r="U17" s="21"/>
      <c r="V17" s="22"/>
      <c r="W17" s="22"/>
      <c r="X17" s="22"/>
      <c r="Y17" s="22"/>
      <c r="Z17" s="22"/>
    </row>
    <row r="18" spans="1:26" ht="39.950000000000003" customHeight="1" x14ac:dyDescent="0.25">
      <c r="A18" s="169" t="s">
        <v>38</v>
      </c>
      <c r="B18" s="116">
        <f>COUNTIFS('gm podst'!L3:L91,"&gt;0",'gm podst'!C3:C91,"N")</f>
        <v>51</v>
      </c>
      <c r="C18" s="117">
        <f>SUMIF('gm podst'!C3:C91,"N",'gm podst'!K3:K91)</f>
        <v>131436614.48</v>
      </c>
      <c r="D18" s="118">
        <f>SUMIF('gm podst'!C3:C91,"N",'gm podst'!M3:M91)</f>
        <v>66071354.789999999</v>
      </c>
      <c r="E18" s="46">
        <f>SUMIF('gm podst'!C3:C91,"N",'gm podst'!L3:L91)</f>
        <v>65365259.689999998</v>
      </c>
      <c r="F18" s="123">
        <f>SUMIF('gm podst'!C3:C91,"N",'gm podst'!O3:O91)</f>
        <v>0</v>
      </c>
      <c r="G18" s="117">
        <f>SUMIF('gm podst'!C3:C91,"N",'gm podst'!P3:P91)</f>
        <v>0</v>
      </c>
      <c r="H18" s="117">
        <f>SUMIF('gm podst'!C3:C91,"N",'gm podst'!Q3:Q91)</f>
        <v>0</v>
      </c>
      <c r="I18" s="117">
        <f>SUMIF('gm podst'!C3:C91,"N",'gm podst'!R3:R91)</f>
        <v>0</v>
      </c>
      <c r="J18" s="117">
        <f>SUMIF('gm podst'!C3:C91,"N",'gm podst'!S3:S91)</f>
        <v>0</v>
      </c>
      <c r="K18" s="117">
        <f>SUMIF('gm podst'!C3:C91,"N",'gm podst'!T3:T91)</f>
        <v>0</v>
      </c>
      <c r="L18" s="117">
        <f>SUMIF('gm podst'!C3:C91,"N",'gm podst'!U3:U91)</f>
        <v>0</v>
      </c>
      <c r="M18" s="117">
        <f>SUMIF('gm podst'!C3:C91,"N",'gm podst'!V3:V91)</f>
        <v>65365259.689999998</v>
      </c>
      <c r="N18" s="117">
        <f>SUMIF('gm podst'!C3:C91,"N",'gm podst'!W3:W91)</f>
        <v>0</v>
      </c>
      <c r="O18" s="117">
        <f>SUMIF('gm podst'!C3:C91,"N",'gm podst'!X3:X91)</f>
        <v>0</v>
      </c>
      <c r="P18" s="117">
        <f>SUMIF('gm podst'!D3:D91,"N",'gm podst'!Y3:Y91)</f>
        <v>0</v>
      </c>
      <c r="Q18" s="170">
        <f>SUMIF('gm podst'!E3:E91,"N",'gm podst'!Z3:Z91)</f>
        <v>0</v>
      </c>
      <c r="R18" s="20" t="b">
        <f t="shared" si="0"/>
        <v>1</v>
      </c>
      <c r="S18" s="39" t="b">
        <f t="shared" si="1"/>
        <v>1</v>
      </c>
      <c r="T18" s="21"/>
      <c r="U18" s="21"/>
      <c r="V18" s="22"/>
      <c r="W18" s="22"/>
      <c r="X18" s="22"/>
      <c r="Y18" s="22"/>
      <c r="Z18" s="22"/>
    </row>
    <row r="19" spans="1:26" ht="39.950000000000003" customHeight="1" thickBot="1" x14ac:dyDescent="0.3">
      <c r="A19" s="171" t="s">
        <v>39</v>
      </c>
      <c r="B19" s="119">
        <f>COUNTIFS('gm podst'!L3:L91,"&gt;0",'gm podst'!C3:C91,"W")</f>
        <v>13</v>
      </c>
      <c r="C19" s="120">
        <f>SUMIF('gm podst'!C3:C91,"W",'gm podst'!K3:K91)</f>
        <v>58126247.309999995</v>
      </c>
      <c r="D19" s="121">
        <f>SUMIF('gm podst'!C3:C91,"W",'gm podst'!M3:M91)</f>
        <v>29063123.669999998</v>
      </c>
      <c r="E19" s="91">
        <f>SUMIF('gm podst'!C3:C91,"W",'gm podst'!L3:L91)</f>
        <v>29063123.640000001</v>
      </c>
      <c r="F19" s="124">
        <f>SUMIF('gm podst'!C3:C91,"W",'gm podst'!O3:O91)</f>
        <v>0</v>
      </c>
      <c r="G19" s="120">
        <f>SUMIF('gm podst'!C3:C91,"W",'gm podst'!P3:P91)</f>
        <v>0</v>
      </c>
      <c r="H19" s="120">
        <f>SUMIF('gm podst'!C3:C91,"W",'gm podst'!Q3:Q91)</f>
        <v>0</v>
      </c>
      <c r="I19" s="120">
        <f>SUMIF('gm podst'!C3:C91,"W",'gm podst'!R3:R91)</f>
        <v>0</v>
      </c>
      <c r="J19" s="120">
        <f>SUMIF('gm podst'!C3:C91,"W",'gm podst'!S3:S91)</f>
        <v>0</v>
      </c>
      <c r="K19" s="120">
        <f>SUMIF('gm podst'!C3:C91,"W",'gm podst'!T3:T91)</f>
        <v>0</v>
      </c>
      <c r="L19" s="120">
        <f>SUMIF('gm podst'!C3:C91,"W",'gm podst'!U3:U91)</f>
        <v>0</v>
      </c>
      <c r="M19" s="120">
        <f>SUMIF('gm podst'!C3:C91,"W",'gm podst'!V3:V91)</f>
        <v>8613388.495000001</v>
      </c>
      <c r="N19" s="120">
        <f>SUMIF('gm podst'!C3:C91,"W",'gm podst'!W3:W91)</f>
        <v>16850342.925000001</v>
      </c>
      <c r="O19" s="120">
        <f>SUMIF('gm podst'!C3:C91,"W",'gm podst'!X3:X91)</f>
        <v>3599392.2199999997</v>
      </c>
      <c r="P19" s="120">
        <f>SUMIF('gm podst'!D3:D91,"W",'gm podst'!Y3:Y91)</f>
        <v>0</v>
      </c>
      <c r="Q19" s="172">
        <f>SUMIF('gm podst'!E3:E91,"W",'gm podst'!Z3:Z91)</f>
        <v>0</v>
      </c>
      <c r="R19" s="20" t="b">
        <f t="shared" si="0"/>
        <v>1</v>
      </c>
      <c r="S19" s="39" t="b">
        <f t="shared" si="1"/>
        <v>1</v>
      </c>
      <c r="T19" s="21"/>
      <c r="U19" s="21"/>
      <c r="V19" s="22"/>
      <c r="W19" s="22"/>
      <c r="X19" s="22"/>
      <c r="Y19" s="22"/>
      <c r="Z19" s="22"/>
    </row>
    <row r="20" spans="1:26" s="26" customFormat="1" ht="39.950000000000003" customHeight="1" thickTop="1" x14ac:dyDescent="0.25">
      <c r="A20" s="174" t="s">
        <v>41</v>
      </c>
      <c r="B20" s="92">
        <f>B12+B16</f>
        <v>151</v>
      </c>
      <c r="C20" s="93">
        <f>C12+C16</f>
        <v>756773168.71999991</v>
      </c>
      <c r="D20" s="94">
        <f t="shared" ref="C20:O22" si="2">D12+D16</f>
        <v>370973112.79799998</v>
      </c>
      <c r="E20" s="95">
        <f t="shared" si="2"/>
        <v>385800055.92199999</v>
      </c>
      <c r="F20" s="96">
        <f t="shared" si="2"/>
        <v>0</v>
      </c>
      <c r="G20" s="93">
        <f t="shared" si="2"/>
        <v>0</v>
      </c>
      <c r="H20" s="93">
        <f t="shared" si="2"/>
        <v>0</v>
      </c>
      <c r="I20" s="93">
        <f t="shared" si="2"/>
        <v>0</v>
      </c>
      <c r="J20" s="93">
        <f t="shared" si="2"/>
        <v>0</v>
      </c>
      <c r="K20" s="93">
        <f t="shared" si="2"/>
        <v>23055101.789999999</v>
      </c>
      <c r="L20" s="93">
        <f t="shared" si="2"/>
        <v>51243908.912</v>
      </c>
      <c r="M20" s="93">
        <f t="shared" si="2"/>
        <v>212703117.35500002</v>
      </c>
      <c r="N20" s="93">
        <f t="shared" si="2"/>
        <v>75490999.060000002</v>
      </c>
      <c r="O20" s="93">
        <f t="shared" si="2"/>
        <v>23306928.804999996</v>
      </c>
      <c r="P20" s="93">
        <f t="shared" ref="P20:Q20" si="3">P12+P16</f>
        <v>0</v>
      </c>
      <c r="Q20" s="175">
        <f t="shared" si="3"/>
        <v>0</v>
      </c>
      <c r="R20" s="20" t="b">
        <f t="shared" si="0"/>
        <v>1</v>
      </c>
      <c r="S20" s="39" t="b">
        <f t="shared" si="1"/>
        <v>1</v>
      </c>
      <c r="T20" s="24"/>
      <c r="U20" s="24"/>
      <c r="V20" s="25"/>
      <c r="W20" s="25"/>
      <c r="X20" s="25"/>
      <c r="Y20" s="25"/>
      <c r="Z20" s="25"/>
    </row>
    <row r="21" spans="1:26" s="26" customFormat="1" ht="39.950000000000003" customHeight="1" x14ac:dyDescent="0.25">
      <c r="A21" s="176" t="s">
        <v>37</v>
      </c>
      <c r="B21" s="68">
        <f>B13+B17</f>
        <v>49</v>
      </c>
      <c r="C21" s="60">
        <f t="shared" si="2"/>
        <v>340819883.65000004</v>
      </c>
      <c r="D21" s="73">
        <f t="shared" si="2"/>
        <v>162055798.91800001</v>
      </c>
      <c r="E21" s="47">
        <f t="shared" si="2"/>
        <v>178764084.73199999</v>
      </c>
      <c r="F21" s="78">
        <f t="shared" si="2"/>
        <v>0</v>
      </c>
      <c r="G21" s="60">
        <f t="shared" si="2"/>
        <v>0</v>
      </c>
      <c r="H21" s="60">
        <f t="shared" si="2"/>
        <v>0</v>
      </c>
      <c r="I21" s="60">
        <f t="shared" si="2"/>
        <v>0</v>
      </c>
      <c r="J21" s="60">
        <f t="shared" si="2"/>
        <v>0</v>
      </c>
      <c r="K21" s="60">
        <f t="shared" si="2"/>
        <v>23055101.789999999</v>
      </c>
      <c r="L21" s="60">
        <f t="shared" si="2"/>
        <v>51243908.912</v>
      </c>
      <c r="M21" s="60">
        <f t="shared" si="2"/>
        <v>71404421.090000004</v>
      </c>
      <c r="N21" s="60">
        <f t="shared" si="2"/>
        <v>30877592.559999999</v>
      </c>
      <c r="O21" s="60">
        <f t="shared" si="2"/>
        <v>2183060.38</v>
      </c>
      <c r="P21" s="60">
        <f t="shared" ref="P21:Q21" si="4">P13+P17</f>
        <v>0</v>
      </c>
      <c r="Q21" s="177">
        <f t="shared" si="4"/>
        <v>0</v>
      </c>
      <c r="R21" s="20" t="b">
        <f t="shared" si="0"/>
        <v>1</v>
      </c>
      <c r="S21" s="39" t="b">
        <f>E21=SUM(F21:Q21)</f>
        <v>1</v>
      </c>
      <c r="T21" s="24"/>
      <c r="U21" s="24"/>
      <c r="V21" s="25"/>
      <c r="W21" s="25"/>
      <c r="X21" s="25"/>
      <c r="Y21" s="25"/>
      <c r="Z21" s="25"/>
    </row>
    <row r="22" spans="1:26" s="26" customFormat="1" ht="39.950000000000003" customHeight="1" x14ac:dyDescent="0.25">
      <c r="A22" s="178" t="s">
        <v>38</v>
      </c>
      <c r="B22" s="69">
        <f>B14+B18</f>
        <v>73</v>
      </c>
      <c r="C22" s="63">
        <f t="shared" si="2"/>
        <v>237544556.92000002</v>
      </c>
      <c r="D22" s="74">
        <f t="shared" si="2"/>
        <v>119712949.78</v>
      </c>
      <c r="E22" s="46">
        <f t="shared" si="2"/>
        <v>117831607.14000002</v>
      </c>
      <c r="F22" s="79">
        <f t="shared" si="2"/>
        <v>0</v>
      </c>
      <c r="G22" s="63">
        <f t="shared" si="2"/>
        <v>0</v>
      </c>
      <c r="H22" s="63">
        <f t="shared" si="2"/>
        <v>0</v>
      </c>
      <c r="I22" s="63">
        <f t="shared" si="2"/>
        <v>0</v>
      </c>
      <c r="J22" s="63">
        <f t="shared" si="2"/>
        <v>0</v>
      </c>
      <c r="K22" s="63">
        <f t="shared" si="2"/>
        <v>0</v>
      </c>
      <c r="L22" s="63">
        <f t="shared" si="2"/>
        <v>0</v>
      </c>
      <c r="M22" s="63">
        <f t="shared" si="2"/>
        <v>117831607.14000002</v>
      </c>
      <c r="N22" s="63">
        <f t="shared" si="2"/>
        <v>0</v>
      </c>
      <c r="O22" s="63">
        <f t="shared" si="2"/>
        <v>0</v>
      </c>
      <c r="P22" s="63">
        <f t="shared" ref="P22:Q22" si="5">P14+P18</f>
        <v>0</v>
      </c>
      <c r="Q22" s="179">
        <f t="shared" si="5"/>
        <v>0</v>
      </c>
      <c r="R22" s="20" t="b">
        <f t="shared" si="0"/>
        <v>1</v>
      </c>
      <c r="S22" s="39" t="b">
        <f t="shared" si="1"/>
        <v>1</v>
      </c>
      <c r="T22" s="24"/>
      <c r="U22" s="24"/>
      <c r="V22" s="25"/>
      <c r="W22" s="25"/>
      <c r="X22" s="25"/>
      <c r="Y22" s="25"/>
      <c r="Z22" s="25"/>
    </row>
    <row r="23" spans="1:26" s="26" customFormat="1" ht="39.950000000000003" customHeight="1" thickBot="1" x14ac:dyDescent="0.3">
      <c r="A23" s="180" t="s">
        <v>39</v>
      </c>
      <c r="B23" s="97">
        <f>B15+B19</f>
        <v>29</v>
      </c>
      <c r="C23" s="98">
        <f t="shared" ref="C23:O23" si="6">C15+C19</f>
        <v>178408728.14999998</v>
      </c>
      <c r="D23" s="99">
        <f t="shared" si="6"/>
        <v>89204364.099999994</v>
      </c>
      <c r="E23" s="91">
        <f t="shared" si="6"/>
        <v>89204364.049999997</v>
      </c>
      <c r="F23" s="100">
        <f t="shared" si="6"/>
        <v>0</v>
      </c>
      <c r="G23" s="98">
        <f t="shared" si="6"/>
        <v>0</v>
      </c>
      <c r="H23" s="98">
        <f t="shared" si="6"/>
        <v>0</v>
      </c>
      <c r="I23" s="98">
        <f t="shared" si="6"/>
        <v>0</v>
      </c>
      <c r="J23" s="98">
        <f t="shared" si="6"/>
        <v>0</v>
      </c>
      <c r="K23" s="98">
        <f t="shared" si="6"/>
        <v>0</v>
      </c>
      <c r="L23" s="98">
        <f t="shared" si="6"/>
        <v>0</v>
      </c>
      <c r="M23" s="98">
        <f t="shared" si="6"/>
        <v>23467089.125</v>
      </c>
      <c r="N23" s="98">
        <f t="shared" si="6"/>
        <v>44613406.5</v>
      </c>
      <c r="O23" s="98">
        <f t="shared" si="6"/>
        <v>21123868.424999997</v>
      </c>
      <c r="P23" s="98">
        <f t="shared" ref="P23:Q23" si="7">P15+P19</f>
        <v>0</v>
      </c>
      <c r="Q23" s="181">
        <f t="shared" si="7"/>
        <v>0</v>
      </c>
      <c r="R23" s="20" t="b">
        <f t="shared" si="0"/>
        <v>1</v>
      </c>
      <c r="S23" s="39" t="b">
        <f t="shared" si="1"/>
        <v>1</v>
      </c>
      <c r="T23" s="24"/>
      <c r="U23" s="24"/>
      <c r="V23" s="25"/>
      <c r="W23" s="25"/>
      <c r="X23" s="25"/>
      <c r="Y23" s="25"/>
      <c r="Z23" s="25"/>
    </row>
    <row r="24" spans="1:26" ht="39.950000000000003" customHeight="1" thickTop="1" x14ac:dyDescent="0.25">
      <c r="A24" s="165" t="s">
        <v>2</v>
      </c>
      <c r="B24" s="86">
        <f>COUNTIF('pow rez'!K3:K32,"&gt;0")</f>
        <v>30</v>
      </c>
      <c r="C24" s="87">
        <f>SUM('pow rez'!J3:J32)</f>
        <v>236045353.72999999</v>
      </c>
      <c r="D24" s="88">
        <f>SUM('pow rez'!L3:L32)</f>
        <v>118617767.03000002</v>
      </c>
      <c r="E24" s="89">
        <f>SUM('pow rez'!K3:K32)</f>
        <v>117427586.69999999</v>
      </c>
      <c r="F24" s="90">
        <f>SUM('pow rez'!N3:N32)</f>
        <v>0</v>
      </c>
      <c r="G24" s="87">
        <f>SUM('pow rez'!O3:O32)</f>
        <v>0</v>
      </c>
      <c r="H24" s="87">
        <f>SUM('pow rez'!P3:P32)</f>
        <v>0</v>
      </c>
      <c r="I24" s="87">
        <f>SUM('pow rez'!Q3:Q32)</f>
        <v>0</v>
      </c>
      <c r="J24" s="87">
        <f>SUM('pow rez'!R3:R32)</f>
        <v>0</v>
      </c>
      <c r="K24" s="87">
        <f>SUM('pow rez'!S3:S32)</f>
        <v>0</v>
      </c>
      <c r="L24" s="87">
        <f>SUM('pow rez'!T3:T32)</f>
        <v>0</v>
      </c>
      <c r="M24" s="87">
        <f>SUM('pow rez'!U3:U32)</f>
        <v>74230368.719999999</v>
      </c>
      <c r="N24" s="87">
        <f>SUM('pow rez'!V3:V32)</f>
        <v>24850564.48</v>
      </c>
      <c r="O24" s="87">
        <f>SUM('pow rez'!W3:W32)</f>
        <v>16641153.5</v>
      </c>
      <c r="P24" s="87">
        <f>SUM('pow rez'!X3:X32)</f>
        <v>1705500</v>
      </c>
      <c r="Q24" s="166">
        <f>SUM('pow rez'!Y3:Y32)</f>
        <v>0</v>
      </c>
      <c r="R24" s="20" t="b">
        <f t="shared" si="0"/>
        <v>1</v>
      </c>
      <c r="S24" s="39" t="b">
        <f t="shared" si="1"/>
        <v>1</v>
      </c>
      <c r="T24" s="21"/>
      <c r="U24" s="21"/>
      <c r="V24" s="22"/>
      <c r="W24" s="22"/>
      <c r="X24" s="22"/>
      <c r="Y24" s="22"/>
      <c r="Z24" s="22"/>
    </row>
    <row r="25" spans="1:26" ht="39.950000000000003" customHeight="1" x14ac:dyDescent="0.25">
      <c r="A25" s="169" t="s">
        <v>38</v>
      </c>
      <c r="B25" s="116">
        <f>COUNTIFS('pow rez'!K3:K32,"&gt;0",'pow rez'!C3:C32,"N")</f>
        <v>19</v>
      </c>
      <c r="C25" s="117">
        <f>SUMIF('pow rez'!C3:C32,"N",'pow rez'!J3:J32)</f>
        <v>112196482.06</v>
      </c>
      <c r="D25" s="118">
        <f>SUMIF('pow rez'!C3:C32,"N",'pow rez'!L3:L32)</f>
        <v>56098241.039999999</v>
      </c>
      <c r="E25" s="46">
        <f>SUMIF('pow rez'!C3:C32,"N",'pow rez'!K3:K32)</f>
        <v>56098241.019999996</v>
      </c>
      <c r="F25" s="123">
        <f>SUMIF('pow rez'!C3:C32,"N",'pow rez'!N3:N32)</f>
        <v>0</v>
      </c>
      <c r="G25" s="117">
        <f>SUMIF('pow rez'!C3:C32,"N",'pow rez'!O3:O32)</f>
        <v>0</v>
      </c>
      <c r="H25" s="117">
        <f>SUMIF('pow rez'!C3:C32,"N",'pow rez'!P3:P32)</f>
        <v>0</v>
      </c>
      <c r="I25" s="117">
        <f>SUMIF('pow rez'!C3:C32,"N",'pow rez'!Q3:Q32)</f>
        <v>0</v>
      </c>
      <c r="J25" s="117">
        <f>SUMIF('pow rez'!C3:C32,"N",'pow rez'!R3:R32)</f>
        <v>0</v>
      </c>
      <c r="K25" s="117">
        <f>SUMIF('pow rez'!C3:C32,"N",'pow rez'!S3:S32)</f>
        <v>0</v>
      </c>
      <c r="L25" s="117">
        <f>SUMIF('pow rez'!C3:C32,"N",'pow rez'!T3:T32)</f>
        <v>0</v>
      </c>
      <c r="M25" s="117">
        <f>SUMIF('pow rez'!C3:C32,"N",'pow rez'!U3:U32)</f>
        <v>56098241.019999996</v>
      </c>
      <c r="N25" s="117">
        <f>SUMIF('pow rez'!C3:C32,"N",'pow rez'!V3:V32)</f>
        <v>0</v>
      </c>
      <c r="O25" s="117">
        <f>SUMIF('pow rez'!C3:C32,"N",'pow rez'!W3:W32)</f>
        <v>0</v>
      </c>
      <c r="P25" s="117">
        <f>SUMIF('pow rez'!D3:D32,"N",'pow rez'!X3:X32)</f>
        <v>0</v>
      </c>
      <c r="Q25" s="170">
        <f>SUMIF('pow rez'!E3:E32,"N",'pow rez'!Y3:Y32)</f>
        <v>0</v>
      </c>
      <c r="R25" s="20" t="b">
        <f t="shared" si="0"/>
        <v>1</v>
      </c>
      <c r="S25" s="39" t="b">
        <f t="shared" si="1"/>
        <v>1</v>
      </c>
      <c r="T25" s="21"/>
      <c r="U25" s="21"/>
      <c r="V25" s="22"/>
      <c r="W25" s="22"/>
      <c r="X25" s="22"/>
      <c r="Y25" s="22"/>
      <c r="Z25" s="22"/>
    </row>
    <row r="26" spans="1:26" ht="39.950000000000003" customHeight="1" thickBot="1" x14ac:dyDescent="0.3">
      <c r="A26" s="171" t="s">
        <v>39</v>
      </c>
      <c r="B26" s="119">
        <f>COUNTIFS('pow rez'!K3:K32,"&gt;0",'pow rez'!C3:C32,"W")</f>
        <v>11</v>
      </c>
      <c r="C26" s="120">
        <f>SUMIF('pow rez'!C3:C32,"W",'pow rez'!J3:J32)</f>
        <v>123848871.67</v>
      </c>
      <c r="D26" s="121">
        <f>SUMIF('pow rez'!C3:C32,"W",'pow rez'!L3:L32)</f>
        <v>62519525.990000002</v>
      </c>
      <c r="E26" s="91">
        <f>SUMIF('pow rez'!C3:C32,"W",'pow rez'!K3:K32)</f>
        <v>61329345.68</v>
      </c>
      <c r="F26" s="124">
        <f>SUMIF('pow rez'!C3:C32,"W",'pow rez'!N3:N32)</f>
        <v>0</v>
      </c>
      <c r="G26" s="120">
        <f>SUMIF('pow rez'!C3:C32,"W",'pow rez'!O3:O32)</f>
        <v>0</v>
      </c>
      <c r="H26" s="120">
        <f>SUMIF('pow rez'!C3:C32,"W",'pow rez'!P3:P32)</f>
        <v>0</v>
      </c>
      <c r="I26" s="120">
        <f>SUMIF('pow rez'!C3:C32,"W",'pow rez'!Q3:Q32)</f>
        <v>0</v>
      </c>
      <c r="J26" s="120">
        <f>SUMIF('pow rez'!C3:C32,"W",'pow rez'!R3:R32)</f>
        <v>0</v>
      </c>
      <c r="K26" s="120">
        <f>SUMIF('pow rez'!C3:C32,"W",'pow rez'!S3:S32)</f>
        <v>0</v>
      </c>
      <c r="L26" s="120">
        <f>SUMIF('pow rez'!C3:C32,"W",'pow rez'!T3:T32)</f>
        <v>0</v>
      </c>
      <c r="M26" s="120">
        <f>SUMIF('pow rez'!C3:C32,"W",'pow rez'!U3:U32)</f>
        <v>18132127.700000003</v>
      </c>
      <c r="N26" s="120">
        <f>SUMIF('pow rez'!C3:C32,"W",'pow rez'!V3:V32)</f>
        <v>24850564.48</v>
      </c>
      <c r="O26" s="120">
        <f>SUMIF('pow rez'!C3:C32,"W",'pow rez'!W3:W32)</f>
        <v>16641153.5</v>
      </c>
      <c r="P26" s="120">
        <f>SUMIF('pow rez'!C3:C32,"W",'pow rez'!X3:X32)</f>
        <v>1705500</v>
      </c>
      <c r="Q26" s="172">
        <f>SUMIF('pow rez'!E3:E32,"W",'pow rez'!Y3:Y32)</f>
        <v>0</v>
      </c>
      <c r="R26" s="20" t="b">
        <f t="shared" si="0"/>
        <v>1</v>
      </c>
      <c r="S26" s="39" t="b">
        <f>E26=SUM(F26:Q26)</f>
        <v>1</v>
      </c>
      <c r="T26" s="21"/>
      <c r="U26" s="21"/>
      <c r="V26" s="22"/>
      <c r="W26" s="22"/>
      <c r="X26" s="22"/>
      <c r="Y26" s="22"/>
      <c r="Z26" s="22"/>
    </row>
    <row r="27" spans="1:26" ht="39.950000000000003" customHeight="1" thickTop="1" x14ac:dyDescent="0.25">
      <c r="A27" s="165" t="s">
        <v>3</v>
      </c>
      <c r="B27" s="86">
        <f>COUNTIF('gm rez'!L3:L38,"&gt;0")</f>
        <v>36</v>
      </c>
      <c r="C27" s="87">
        <f>SUM('gm rez'!K3:K38)</f>
        <v>164358706.35000002</v>
      </c>
      <c r="D27" s="88">
        <f>SUM('gm rez'!M3:M38)</f>
        <v>82844635.230000004</v>
      </c>
      <c r="E27" s="89">
        <f>SUM('gm rez'!L3:L38)</f>
        <v>81514071.120000005</v>
      </c>
      <c r="F27" s="90">
        <f>SUM('gm rez'!O3:O38)</f>
        <v>0</v>
      </c>
      <c r="G27" s="87">
        <f>SUM('gm rez'!P3:P38)</f>
        <v>0</v>
      </c>
      <c r="H27" s="87">
        <f>SUM('gm rez'!Q3:Q38)</f>
        <v>0</v>
      </c>
      <c r="I27" s="87">
        <f>SUM('gm rez'!R3:R38)</f>
        <v>0</v>
      </c>
      <c r="J27" s="87">
        <f>SUM('gm rez'!S3:S38)</f>
        <v>0</v>
      </c>
      <c r="K27" s="87">
        <f>SUM('gm rez'!T3:T38)</f>
        <v>0</v>
      </c>
      <c r="L27" s="87">
        <f>SUM('gm rez'!U3:U38)</f>
        <v>0</v>
      </c>
      <c r="M27" s="87">
        <f>SUM('gm rez'!V3:V38)</f>
        <v>67695967.859999999</v>
      </c>
      <c r="N27" s="87">
        <f>SUM('gm rez'!W3:W38)</f>
        <v>13569568.34</v>
      </c>
      <c r="O27" s="87">
        <f>SUM('gm rez'!X3:X38)</f>
        <v>248534.92</v>
      </c>
      <c r="P27" s="87">
        <f>SUM('gm rez'!Y3:Y38)</f>
        <v>0</v>
      </c>
      <c r="Q27" s="166">
        <f>SUM('gm rez'!Z3:Z38)</f>
        <v>0</v>
      </c>
      <c r="R27" s="20" t="b">
        <f t="shared" si="0"/>
        <v>1</v>
      </c>
      <c r="S27" s="39" t="b">
        <f t="shared" si="1"/>
        <v>1</v>
      </c>
      <c r="T27" s="27"/>
      <c r="U27" s="27"/>
      <c r="V27" s="28"/>
      <c r="W27" s="28"/>
      <c r="X27" s="23"/>
      <c r="Y27" s="12"/>
      <c r="Z27" s="12"/>
    </row>
    <row r="28" spans="1:26" ht="39.950000000000003" customHeight="1" x14ac:dyDescent="0.25">
      <c r="A28" s="169" t="s">
        <v>38</v>
      </c>
      <c r="B28" s="116">
        <f>COUNTIFS('gm rez'!L3:L38,"&gt;0",'gm rez'!C3:C38,"N")</f>
        <v>26</v>
      </c>
      <c r="C28" s="117">
        <f>SUMIF('gm rez'!C3:C38,"N",'gm rez'!K3:K38)</f>
        <v>121742312.52999999</v>
      </c>
      <c r="D28" s="118">
        <f>SUMIF('gm rez'!C3:C38,"N",'gm rez'!M3:M38)</f>
        <v>61536438.309999995</v>
      </c>
      <c r="E28" s="46">
        <f>SUMIF('gm rez'!C3:C38,"N",'gm rez'!L3:L38)</f>
        <v>60205874.219999991</v>
      </c>
      <c r="F28" s="123">
        <f>SUMIF('gm rez'!C3:C38,"N",'gm rez'!O3:O38)</f>
        <v>0</v>
      </c>
      <c r="G28" s="117">
        <f>SUMIF('gm rez'!C3:C38,"N",'gm rez'!P3:P38)</f>
        <v>0</v>
      </c>
      <c r="H28" s="117">
        <f>SUMIF('gm rez'!C3:C38,"N",'gm rez'!Q3:Q38)</f>
        <v>0</v>
      </c>
      <c r="I28" s="117">
        <f>SUMIF('gm rez'!C3:C38,"N",'gm rez'!R3:R38)</f>
        <v>0</v>
      </c>
      <c r="J28" s="117">
        <f>SUMIF('gm rez'!C3:C38,"N",'gm rez'!S3:S38)</f>
        <v>0</v>
      </c>
      <c r="K28" s="117">
        <f>SUMIF('gm rez'!C3:C38,"N",'gm rez'!T3:T38)</f>
        <v>0</v>
      </c>
      <c r="L28" s="117">
        <f>SUMIF('gm rez'!C3:C38,"N",'gm rez'!U3:U38)</f>
        <v>0</v>
      </c>
      <c r="M28" s="117">
        <f>SUMIF('gm rez'!C3:C38,"N",'gm rez'!V3:V38)</f>
        <v>60205874.219999991</v>
      </c>
      <c r="N28" s="117">
        <f>SUMIF('gm rez'!C3:C38,"N",'gm rez'!W3:W38)</f>
        <v>0</v>
      </c>
      <c r="O28" s="117">
        <f>SUMIF('gm rez'!C3:C38,"N",'gm rez'!X3:X38)</f>
        <v>0</v>
      </c>
      <c r="P28" s="117">
        <f>SUMIF('gm rez'!D3:D38,"N",'gm rez'!Y3:Y38)</f>
        <v>0</v>
      </c>
      <c r="Q28" s="170">
        <f>SUMIF('gm rez'!E3:E38,"N",'gm rez'!Z3:Z38)</f>
        <v>0</v>
      </c>
      <c r="R28" s="20" t="b">
        <f t="shared" si="0"/>
        <v>1</v>
      </c>
      <c r="S28" s="39" t="b">
        <f t="shared" si="1"/>
        <v>1</v>
      </c>
      <c r="T28" s="27"/>
      <c r="U28" s="27"/>
      <c r="V28" s="28"/>
      <c r="W28" s="28"/>
      <c r="X28" s="23"/>
      <c r="Y28" s="12"/>
      <c r="Z28" s="12"/>
    </row>
    <row r="29" spans="1:26" ht="39.950000000000003" customHeight="1" thickBot="1" x14ac:dyDescent="0.3">
      <c r="A29" s="171" t="s">
        <v>39</v>
      </c>
      <c r="B29" s="119">
        <f>COUNTIFS('gm rez'!L3:L38,"&gt;0",'gm rez'!C3:C38,"W")</f>
        <v>10</v>
      </c>
      <c r="C29" s="120">
        <f>SUMIF('gm rez'!C3:C38,"W",'gm rez'!K3:K38)</f>
        <v>42616393.819999993</v>
      </c>
      <c r="D29" s="121">
        <f>SUMIF('gm rez'!C3:C38,"W",'gm rez'!M3:M38)</f>
        <v>21308196.919999998</v>
      </c>
      <c r="E29" s="91">
        <f>SUMIF('gm rez'!C3:C38,"W",'gm rez'!L3:L38)</f>
        <v>21308196.899999999</v>
      </c>
      <c r="F29" s="124">
        <f>SUMIF('gm rez'!C3:C38,"W",'gm rez'!O3:O38)</f>
        <v>0</v>
      </c>
      <c r="G29" s="120">
        <f>SUMIF('gm rez'!C3:C38,"W",'gm rez'!P3:P38)</f>
        <v>0</v>
      </c>
      <c r="H29" s="120">
        <f>SUMIF('gm rez'!C3:C38,"W",'gm rez'!Q3:Q38)</f>
        <v>0</v>
      </c>
      <c r="I29" s="120">
        <f>SUMIF('gm rez'!C3:C38,"W",'gm rez'!R3:R38)</f>
        <v>0</v>
      </c>
      <c r="J29" s="120">
        <f>SUMIF('gm rez'!C3:C38,"W",'gm rez'!S3:S38)</f>
        <v>0</v>
      </c>
      <c r="K29" s="120">
        <f>SUMIF('gm rez'!C3:C38,"W",'gm rez'!T3:T38)</f>
        <v>0</v>
      </c>
      <c r="L29" s="120">
        <f>SUMIF('gm rez'!C3:C38,"W",'gm rez'!U3:U38)</f>
        <v>0</v>
      </c>
      <c r="M29" s="120">
        <f>SUMIF('gm rez'!C3:C38,"W",'gm rez'!V3:V38)</f>
        <v>7490093.6399999997</v>
      </c>
      <c r="N29" s="120">
        <f>SUMIF('gm rez'!C3:C38,"W",'gm rez'!W3:W38)</f>
        <v>13569568.34</v>
      </c>
      <c r="O29" s="120">
        <f>SUMIF('gm rez'!C3:C38,"W",'gm rez'!X3:X38)</f>
        <v>248534.92</v>
      </c>
      <c r="P29" s="120">
        <f>SUMIF('gm rez'!D3:D38,"W",'gm rez'!Y3:Y38)</f>
        <v>0</v>
      </c>
      <c r="Q29" s="172">
        <f>SUMIF('gm rez'!E3:E38,"W",'gm rez'!Z3:Z38)</f>
        <v>0</v>
      </c>
      <c r="R29" s="20" t="b">
        <f t="shared" si="0"/>
        <v>1</v>
      </c>
      <c r="S29" s="39" t="b">
        <f t="shared" si="1"/>
        <v>1</v>
      </c>
      <c r="T29" s="27"/>
      <c r="U29" s="27"/>
      <c r="V29" s="28"/>
      <c r="W29" s="28"/>
      <c r="X29" s="23"/>
      <c r="Y29" s="12"/>
      <c r="Z29" s="12"/>
    </row>
    <row r="30" spans="1:26" ht="39.950000000000003" customHeight="1" thickTop="1" x14ac:dyDescent="0.25">
      <c r="A30" s="131" t="s">
        <v>22</v>
      </c>
      <c r="B30" s="132">
        <f>B24+B27</f>
        <v>66</v>
      </c>
      <c r="C30" s="133">
        <f t="shared" ref="C30:O30" si="8">C24+C27</f>
        <v>400404060.08000004</v>
      </c>
      <c r="D30" s="134">
        <f t="shared" si="8"/>
        <v>201462402.26000002</v>
      </c>
      <c r="E30" s="135">
        <f t="shared" si="8"/>
        <v>198941657.81999999</v>
      </c>
      <c r="F30" s="136">
        <f t="shared" si="8"/>
        <v>0</v>
      </c>
      <c r="G30" s="133">
        <f t="shared" si="8"/>
        <v>0</v>
      </c>
      <c r="H30" s="133">
        <f t="shared" si="8"/>
        <v>0</v>
      </c>
      <c r="I30" s="133">
        <f t="shared" si="8"/>
        <v>0</v>
      </c>
      <c r="J30" s="133">
        <f t="shared" si="8"/>
        <v>0</v>
      </c>
      <c r="K30" s="133">
        <f t="shared" si="8"/>
        <v>0</v>
      </c>
      <c r="L30" s="133">
        <f t="shared" si="8"/>
        <v>0</v>
      </c>
      <c r="M30" s="133">
        <f t="shared" si="8"/>
        <v>141926336.57999998</v>
      </c>
      <c r="N30" s="133">
        <f t="shared" si="8"/>
        <v>38420132.82</v>
      </c>
      <c r="O30" s="133">
        <f t="shared" si="8"/>
        <v>16889688.420000002</v>
      </c>
      <c r="P30" s="133">
        <f t="shared" ref="P30:Q30" si="9">P24+P27</f>
        <v>1705500</v>
      </c>
      <c r="Q30" s="137">
        <f t="shared" si="9"/>
        <v>0</v>
      </c>
      <c r="R30" s="20" t="b">
        <f t="shared" si="0"/>
        <v>1</v>
      </c>
      <c r="S30" s="39" t="b">
        <f t="shared" si="1"/>
        <v>1</v>
      </c>
      <c r="T30" s="29"/>
      <c r="U30" s="29"/>
      <c r="V30" s="2"/>
      <c r="W30" s="2"/>
    </row>
    <row r="31" spans="1:26" ht="39.950000000000003" customHeight="1" x14ac:dyDescent="0.25">
      <c r="A31" s="72" t="s">
        <v>38</v>
      </c>
      <c r="B31" s="70">
        <f t="shared" ref="B31:O31" si="10">B25+B28</f>
        <v>45</v>
      </c>
      <c r="C31" s="61">
        <f t="shared" si="10"/>
        <v>233938794.58999997</v>
      </c>
      <c r="D31" s="75">
        <f t="shared" si="10"/>
        <v>117634679.34999999</v>
      </c>
      <c r="E31" s="46">
        <f t="shared" si="10"/>
        <v>116304115.23999998</v>
      </c>
      <c r="F31" s="80">
        <f t="shared" si="10"/>
        <v>0</v>
      </c>
      <c r="G31" s="61">
        <f t="shared" si="10"/>
        <v>0</v>
      </c>
      <c r="H31" s="61">
        <f t="shared" si="10"/>
        <v>0</v>
      </c>
      <c r="I31" s="61">
        <f t="shared" si="10"/>
        <v>0</v>
      </c>
      <c r="J31" s="61">
        <f t="shared" si="10"/>
        <v>0</v>
      </c>
      <c r="K31" s="61">
        <f t="shared" si="10"/>
        <v>0</v>
      </c>
      <c r="L31" s="61">
        <f t="shared" si="10"/>
        <v>0</v>
      </c>
      <c r="M31" s="61">
        <f t="shared" si="10"/>
        <v>116304115.23999998</v>
      </c>
      <c r="N31" s="61">
        <f t="shared" si="10"/>
        <v>0</v>
      </c>
      <c r="O31" s="61">
        <f t="shared" si="10"/>
        <v>0</v>
      </c>
      <c r="P31" s="61">
        <f t="shared" ref="P31:Q31" si="11">P25+P28</f>
        <v>0</v>
      </c>
      <c r="Q31" s="67">
        <f t="shared" si="11"/>
        <v>0</v>
      </c>
      <c r="R31" s="20" t="b">
        <f t="shared" si="0"/>
        <v>1</v>
      </c>
      <c r="S31" s="39" t="b">
        <f t="shared" si="1"/>
        <v>1</v>
      </c>
      <c r="T31" s="29"/>
      <c r="U31" s="29"/>
      <c r="V31" s="2"/>
      <c r="W31" s="2"/>
    </row>
    <row r="32" spans="1:26" ht="39.950000000000003" customHeight="1" thickBot="1" x14ac:dyDescent="0.3">
      <c r="A32" s="101" t="s">
        <v>39</v>
      </c>
      <c r="B32" s="102">
        <f t="shared" ref="B32:O32" si="12">B26+B29</f>
        <v>21</v>
      </c>
      <c r="C32" s="103">
        <f t="shared" si="12"/>
        <v>166465265.49000001</v>
      </c>
      <c r="D32" s="104">
        <f t="shared" si="12"/>
        <v>83827722.909999996</v>
      </c>
      <c r="E32" s="105">
        <f t="shared" si="12"/>
        <v>82637542.579999998</v>
      </c>
      <c r="F32" s="106">
        <f t="shared" si="12"/>
        <v>0</v>
      </c>
      <c r="G32" s="103">
        <f t="shared" si="12"/>
        <v>0</v>
      </c>
      <c r="H32" s="103">
        <f t="shared" si="12"/>
        <v>0</v>
      </c>
      <c r="I32" s="103">
        <f t="shared" si="12"/>
        <v>0</v>
      </c>
      <c r="J32" s="103">
        <f t="shared" si="12"/>
        <v>0</v>
      </c>
      <c r="K32" s="103">
        <f t="shared" si="12"/>
        <v>0</v>
      </c>
      <c r="L32" s="103">
        <f t="shared" si="12"/>
        <v>0</v>
      </c>
      <c r="M32" s="103">
        <f t="shared" si="12"/>
        <v>25622221.340000004</v>
      </c>
      <c r="N32" s="103">
        <f t="shared" si="12"/>
        <v>38420132.82</v>
      </c>
      <c r="O32" s="103">
        <f t="shared" si="12"/>
        <v>16889688.420000002</v>
      </c>
      <c r="P32" s="103">
        <f t="shared" ref="P32:Q32" si="13">P26+P29</f>
        <v>1705500</v>
      </c>
      <c r="Q32" s="107">
        <f t="shared" si="13"/>
        <v>0</v>
      </c>
      <c r="R32" s="20" t="b">
        <f t="shared" si="0"/>
        <v>1</v>
      </c>
      <c r="S32" s="39" t="b">
        <f t="shared" si="1"/>
        <v>1</v>
      </c>
      <c r="T32" s="29"/>
      <c r="U32" s="29"/>
      <c r="V32" s="2"/>
      <c r="W32" s="2"/>
    </row>
    <row r="33" spans="1:23" ht="39.950000000000003" customHeight="1" thickTop="1" x14ac:dyDescent="0.25">
      <c r="A33" s="182" t="s">
        <v>33</v>
      </c>
      <c r="B33" s="108">
        <f>B20+B30</f>
        <v>217</v>
      </c>
      <c r="C33" s="109">
        <f t="shared" ref="C33:O33" si="14">C20+C30</f>
        <v>1157177228.8</v>
      </c>
      <c r="D33" s="110">
        <f t="shared" si="14"/>
        <v>572435515.05799997</v>
      </c>
      <c r="E33" s="111">
        <f t="shared" si="14"/>
        <v>584741713.74199998</v>
      </c>
      <c r="F33" s="112">
        <f t="shared" si="14"/>
        <v>0</v>
      </c>
      <c r="G33" s="109">
        <f t="shared" si="14"/>
        <v>0</v>
      </c>
      <c r="H33" s="109">
        <f t="shared" si="14"/>
        <v>0</v>
      </c>
      <c r="I33" s="109">
        <f t="shared" si="14"/>
        <v>0</v>
      </c>
      <c r="J33" s="109">
        <f t="shared" si="14"/>
        <v>0</v>
      </c>
      <c r="K33" s="109">
        <f t="shared" si="14"/>
        <v>23055101.789999999</v>
      </c>
      <c r="L33" s="109">
        <f t="shared" si="14"/>
        <v>51243908.912</v>
      </c>
      <c r="M33" s="109">
        <f t="shared" si="14"/>
        <v>354629453.935</v>
      </c>
      <c r="N33" s="109">
        <f t="shared" si="14"/>
        <v>113911131.88</v>
      </c>
      <c r="O33" s="109">
        <f t="shared" si="14"/>
        <v>40196617.224999994</v>
      </c>
      <c r="P33" s="109">
        <f t="shared" ref="P33:Q33" si="15">P20+P30</f>
        <v>1705500</v>
      </c>
      <c r="Q33" s="183">
        <f t="shared" si="15"/>
        <v>0</v>
      </c>
      <c r="R33" s="20" t="b">
        <f t="shared" si="0"/>
        <v>1</v>
      </c>
      <c r="S33" s="39" t="b">
        <f t="shared" si="1"/>
        <v>1</v>
      </c>
      <c r="T33" s="29"/>
      <c r="U33" s="29"/>
      <c r="V33" s="2"/>
      <c r="W33" s="2"/>
    </row>
    <row r="34" spans="1:23" ht="39.950000000000003" customHeight="1" x14ac:dyDescent="0.25">
      <c r="A34" s="184" t="s">
        <v>37</v>
      </c>
      <c r="B34" s="127">
        <f>B21</f>
        <v>49</v>
      </c>
      <c r="C34" s="128">
        <f t="shared" ref="C34:O34" si="16">C21</f>
        <v>340819883.65000004</v>
      </c>
      <c r="D34" s="129">
        <f t="shared" si="16"/>
        <v>162055798.91800001</v>
      </c>
      <c r="E34" s="47">
        <f t="shared" si="16"/>
        <v>178764084.73199999</v>
      </c>
      <c r="F34" s="130">
        <f t="shared" si="16"/>
        <v>0</v>
      </c>
      <c r="G34" s="128">
        <f t="shared" si="16"/>
        <v>0</v>
      </c>
      <c r="H34" s="128">
        <f t="shared" si="16"/>
        <v>0</v>
      </c>
      <c r="I34" s="128">
        <f t="shared" si="16"/>
        <v>0</v>
      </c>
      <c r="J34" s="128">
        <f t="shared" si="16"/>
        <v>0</v>
      </c>
      <c r="K34" s="128">
        <f t="shared" si="16"/>
        <v>23055101.789999999</v>
      </c>
      <c r="L34" s="128">
        <f t="shared" si="16"/>
        <v>51243908.912</v>
      </c>
      <c r="M34" s="128">
        <f t="shared" si="16"/>
        <v>71404421.090000004</v>
      </c>
      <c r="N34" s="128">
        <f t="shared" si="16"/>
        <v>30877592.559999999</v>
      </c>
      <c r="O34" s="128">
        <f t="shared" si="16"/>
        <v>2183060.38</v>
      </c>
      <c r="P34" s="128">
        <f t="shared" ref="P34:Q34" si="17">P21</f>
        <v>0</v>
      </c>
      <c r="Q34" s="185">
        <f t="shared" si="17"/>
        <v>0</v>
      </c>
      <c r="R34" s="20" t="b">
        <f t="shared" si="0"/>
        <v>1</v>
      </c>
      <c r="S34" s="39" t="b">
        <f t="shared" si="1"/>
        <v>1</v>
      </c>
      <c r="T34" s="29"/>
      <c r="U34" s="29"/>
      <c r="V34" s="2"/>
      <c r="W34" s="2"/>
    </row>
    <row r="35" spans="1:23" ht="39.950000000000003" customHeight="1" x14ac:dyDescent="0.25">
      <c r="A35" s="186" t="s">
        <v>38</v>
      </c>
      <c r="B35" s="71">
        <f>B22+B31</f>
        <v>118</v>
      </c>
      <c r="C35" s="62">
        <f t="shared" ref="C35:O35" si="18">C22+C31</f>
        <v>471483351.50999999</v>
      </c>
      <c r="D35" s="76">
        <f t="shared" si="18"/>
        <v>237347629.13</v>
      </c>
      <c r="E35" s="82">
        <f t="shared" si="18"/>
        <v>234135722.38</v>
      </c>
      <c r="F35" s="81">
        <f t="shared" si="18"/>
        <v>0</v>
      </c>
      <c r="G35" s="62">
        <f t="shared" si="18"/>
        <v>0</v>
      </c>
      <c r="H35" s="62">
        <f t="shared" si="18"/>
        <v>0</v>
      </c>
      <c r="I35" s="62">
        <f t="shared" si="18"/>
        <v>0</v>
      </c>
      <c r="J35" s="62">
        <f t="shared" si="18"/>
        <v>0</v>
      </c>
      <c r="K35" s="62">
        <f t="shared" si="18"/>
        <v>0</v>
      </c>
      <c r="L35" s="62">
        <f t="shared" si="18"/>
        <v>0</v>
      </c>
      <c r="M35" s="62">
        <f t="shared" si="18"/>
        <v>234135722.38</v>
      </c>
      <c r="N35" s="62">
        <f t="shared" si="18"/>
        <v>0</v>
      </c>
      <c r="O35" s="62">
        <f t="shared" si="18"/>
        <v>0</v>
      </c>
      <c r="P35" s="62">
        <f t="shared" ref="P35:Q35" si="19">P22+P31</f>
        <v>0</v>
      </c>
      <c r="Q35" s="187">
        <f t="shared" si="19"/>
        <v>0</v>
      </c>
      <c r="R35" s="20" t="b">
        <f t="shared" si="0"/>
        <v>1</v>
      </c>
      <c r="S35" s="39" t="b">
        <f t="shared" si="1"/>
        <v>1</v>
      </c>
      <c r="T35" s="29"/>
      <c r="U35" s="29"/>
      <c r="V35" s="2"/>
      <c r="W35" s="2"/>
    </row>
    <row r="36" spans="1:23" ht="39.950000000000003" customHeight="1" thickBot="1" x14ac:dyDescent="0.3">
      <c r="A36" s="188" t="s">
        <v>39</v>
      </c>
      <c r="B36" s="189">
        <f>B23+B32</f>
        <v>50</v>
      </c>
      <c r="C36" s="190">
        <f t="shared" ref="C36:O36" si="20">C23+C32</f>
        <v>344873993.63999999</v>
      </c>
      <c r="D36" s="191">
        <f t="shared" si="20"/>
        <v>173032087.00999999</v>
      </c>
      <c r="E36" s="192">
        <f t="shared" si="20"/>
        <v>171841906.63</v>
      </c>
      <c r="F36" s="193">
        <f t="shared" si="20"/>
        <v>0</v>
      </c>
      <c r="G36" s="190">
        <f t="shared" si="20"/>
        <v>0</v>
      </c>
      <c r="H36" s="190">
        <f t="shared" si="20"/>
        <v>0</v>
      </c>
      <c r="I36" s="190">
        <f t="shared" si="20"/>
        <v>0</v>
      </c>
      <c r="J36" s="190">
        <f t="shared" si="20"/>
        <v>0</v>
      </c>
      <c r="K36" s="190">
        <f t="shared" si="20"/>
        <v>0</v>
      </c>
      <c r="L36" s="190">
        <f t="shared" si="20"/>
        <v>0</v>
      </c>
      <c r="M36" s="190">
        <f t="shared" si="20"/>
        <v>49089310.465000004</v>
      </c>
      <c r="N36" s="190">
        <f t="shared" si="20"/>
        <v>83033539.319999993</v>
      </c>
      <c r="O36" s="190">
        <f t="shared" si="20"/>
        <v>38013556.844999999</v>
      </c>
      <c r="P36" s="190">
        <f t="shared" ref="P36:Q36" si="21">P23+P32</f>
        <v>1705500</v>
      </c>
      <c r="Q36" s="194">
        <f t="shared" si="21"/>
        <v>0</v>
      </c>
      <c r="R36" s="20" t="b">
        <f t="shared" si="0"/>
        <v>1</v>
      </c>
      <c r="S36" s="39" t="b">
        <f t="shared" si="1"/>
        <v>1</v>
      </c>
      <c r="T36" s="29"/>
      <c r="U36" s="29"/>
      <c r="V36" s="2"/>
      <c r="W36" s="2"/>
    </row>
    <row r="37" spans="1:23" x14ac:dyDescent="0.25">
      <c r="A37" s="30"/>
      <c r="B37" s="30" t="b">
        <f>B12+B16=B20</f>
        <v>1</v>
      </c>
      <c r="C37" s="30" t="b">
        <f t="shared" ref="C37:Q37" si="22">C12+C16=C20</f>
        <v>1</v>
      </c>
      <c r="D37" s="30" t="b">
        <f t="shared" si="22"/>
        <v>1</v>
      </c>
      <c r="E37" s="30" t="b">
        <f t="shared" si="22"/>
        <v>1</v>
      </c>
      <c r="F37" s="30" t="b">
        <f t="shared" si="22"/>
        <v>1</v>
      </c>
      <c r="G37" s="30" t="b">
        <f t="shared" si="22"/>
        <v>1</v>
      </c>
      <c r="H37" s="30" t="b">
        <f t="shared" si="22"/>
        <v>1</v>
      </c>
      <c r="I37" s="30" t="b">
        <f t="shared" si="22"/>
        <v>1</v>
      </c>
      <c r="J37" s="30" t="b">
        <f t="shared" si="22"/>
        <v>1</v>
      </c>
      <c r="K37" s="30" t="b">
        <f t="shared" si="22"/>
        <v>1</v>
      </c>
      <c r="L37" s="30" t="b">
        <f t="shared" si="22"/>
        <v>1</v>
      </c>
      <c r="M37" s="30" t="b">
        <f t="shared" si="22"/>
        <v>1</v>
      </c>
      <c r="N37" s="30" t="b">
        <f t="shared" si="22"/>
        <v>1</v>
      </c>
      <c r="O37" s="30" t="b">
        <f t="shared" si="22"/>
        <v>1</v>
      </c>
      <c r="P37" s="30" t="b">
        <f t="shared" si="22"/>
        <v>1</v>
      </c>
      <c r="Q37" s="30" t="b">
        <f t="shared" si="22"/>
        <v>1</v>
      </c>
      <c r="R37" s="30"/>
      <c r="S37" s="30"/>
      <c r="T37" s="29"/>
      <c r="U37" s="29"/>
      <c r="V37" s="2"/>
      <c r="W37" s="2"/>
    </row>
    <row r="38" spans="1:23" x14ac:dyDescent="0.25">
      <c r="A38" s="30"/>
      <c r="B38" s="30" t="b">
        <f>B13+B17=B21</f>
        <v>1</v>
      </c>
      <c r="C38" s="30" t="b">
        <f t="shared" ref="C38:Q38" si="23">C13+C17=C21</f>
        <v>1</v>
      </c>
      <c r="D38" s="30" t="b">
        <f t="shared" si="23"/>
        <v>1</v>
      </c>
      <c r="E38" s="30" t="b">
        <f t="shared" si="23"/>
        <v>1</v>
      </c>
      <c r="F38" s="30" t="b">
        <f t="shared" si="23"/>
        <v>1</v>
      </c>
      <c r="G38" s="30" t="b">
        <f t="shared" si="23"/>
        <v>1</v>
      </c>
      <c r="H38" s="30" t="b">
        <f t="shared" si="23"/>
        <v>1</v>
      </c>
      <c r="I38" s="30" t="b">
        <f t="shared" si="23"/>
        <v>1</v>
      </c>
      <c r="J38" s="30" t="b">
        <f t="shared" si="23"/>
        <v>1</v>
      </c>
      <c r="K38" s="30" t="b">
        <f t="shared" si="23"/>
        <v>1</v>
      </c>
      <c r="L38" s="30" t="b">
        <f t="shared" si="23"/>
        <v>1</v>
      </c>
      <c r="M38" s="30" t="b">
        <f t="shared" si="23"/>
        <v>1</v>
      </c>
      <c r="N38" s="30" t="b">
        <f t="shared" si="23"/>
        <v>1</v>
      </c>
      <c r="O38" s="30" t="b">
        <f t="shared" si="23"/>
        <v>1</v>
      </c>
      <c r="P38" s="30" t="b">
        <f t="shared" si="23"/>
        <v>1</v>
      </c>
      <c r="Q38" s="30" t="b">
        <f t="shared" si="23"/>
        <v>1</v>
      </c>
      <c r="R38" s="30"/>
      <c r="S38" s="30"/>
      <c r="T38" s="29"/>
      <c r="U38" s="29"/>
      <c r="V38" s="2"/>
      <c r="W38" s="2"/>
    </row>
    <row r="39" spans="1:23" x14ac:dyDescent="0.25">
      <c r="A39" s="30"/>
      <c r="B39" s="30" t="b">
        <f>B14+B18=B22</f>
        <v>1</v>
      </c>
      <c r="C39" s="30" t="b">
        <f t="shared" ref="C39:Q39" si="24">C14+C18=C22</f>
        <v>1</v>
      </c>
      <c r="D39" s="30" t="b">
        <f t="shared" si="24"/>
        <v>1</v>
      </c>
      <c r="E39" s="30" t="b">
        <f t="shared" si="24"/>
        <v>1</v>
      </c>
      <c r="F39" s="30" t="b">
        <f t="shared" si="24"/>
        <v>1</v>
      </c>
      <c r="G39" s="30" t="b">
        <f t="shared" si="24"/>
        <v>1</v>
      </c>
      <c r="H39" s="30" t="b">
        <f t="shared" si="24"/>
        <v>1</v>
      </c>
      <c r="I39" s="30" t="b">
        <f t="shared" si="24"/>
        <v>1</v>
      </c>
      <c r="J39" s="30" t="b">
        <f t="shared" si="24"/>
        <v>1</v>
      </c>
      <c r="K39" s="30" t="b">
        <f t="shared" si="24"/>
        <v>1</v>
      </c>
      <c r="L39" s="30" t="b">
        <f t="shared" si="24"/>
        <v>1</v>
      </c>
      <c r="M39" s="30" t="b">
        <f t="shared" si="24"/>
        <v>1</v>
      </c>
      <c r="N39" s="30" t="b">
        <f t="shared" si="24"/>
        <v>1</v>
      </c>
      <c r="O39" s="30" t="b">
        <f t="shared" si="24"/>
        <v>1</v>
      </c>
      <c r="P39" s="30" t="b">
        <f t="shared" si="24"/>
        <v>1</v>
      </c>
      <c r="Q39" s="30" t="b">
        <f t="shared" si="24"/>
        <v>1</v>
      </c>
      <c r="R39" s="30"/>
      <c r="S39" s="30"/>
      <c r="T39" s="29"/>
      <c r="U39" s="29"/>
      <c r="V39" s="2"/>
      <c r="W39" s="2"/>
    </row>
    <row r="40" spans="1:23" x14ac:dyDescent="0.25">
      <c r="A40" s="30"/>
      <c r="B40" s="30" t="b">
        <f>B15+B19=B23</f>
        <v>1</v>
      </c>
      <c r="C40" s="30" t="b">
        <f t="shared" ref="C40:Q40" si="25">C15+C19=C23</f>
        <v>1</v>
      </c>
      <c r="D40" s="30" t="b">
        <f t="shared" si="25"/>
        <v>1</v>
      </c>
      <c r="E40" s="30" t="b">
        <f t="shared" si="25"/>
        <v>1</v>
      </c>
      <c r="F40" s="30" t="b">
        <f t="shared" si="25"/>
        <v>1</v>
      </c>
      <c r="G40" s="30" t="b">
        <f t="shared" si="25"/>
        <v>1</v>
      </c>
      <c r="H40" s="30" t="b">
        <f t="shared" si="25"/>
        <v>1</v>
      </c>
      <c r="I40" s="30" t="b">
        <f t="shared" si="25"/>
        <v>1</v>
      </c>
      <c r="J40" s="30" t="b">
        <f t="shared" si="25"/>
        <v>1</v>
      </c>
      <c r="K40" s="30" t="b">
        <f t="shared" si="25"/>
        <v>1</v>
      </c>
      <c r="L40" s="30" t="b">
        <f t="shared" si="25"/>
        <v>1</v>
      </c>
      <c r="M40" s="30" t="b">
        <f t="shared" si="25"/>
        <v>1</v>
      </c>
      <c r="N40" s="30" t="b">
        <f t="shared" si="25"/>
        <v>1</v>
      </c>
      <c r="O40" s="30" t="b">
        <f t="shared" si="25"/>
        <v>1</v>
      </c>
      <c r="P40" s="30" t="b">
        <f t="shared" si="25"/>
        <v>1</v>
      </c>
      <c r="Q40" s="30" t="b">
        <f t="shared" si="25"/>
        <v>1</v>
      </c>
      <c r="R40" s="30"/>
      <c r="S40" s="30"/>
      <c r="T40" s="29"/>
      <c r="U40" s="29"/>
      <c r="V40" s="2"/>
      <c r="W40" s="2"/>
    </row>
    <row r="41" spans="1:23" x14ac:dyDescent="0.25">
      <c r="A41" s="31"/>
      <c r="B41" s="31" t="b">
        <f>B24+B27=B30</f>
        <v>1</v>
      </c>
      <c r="C41" s="31" t="b">
        <f t="shared" ref="C41:Q41" si="26">C24+C27=C30</f>
        <v>1</v>
      </c>
      <c r="D41" s="31" t="b">
        <f t="shared" si="26"/>
        <v>1</v>
      </c>
      <c r="E41" s="31" t="b">
        <f t="shared" si="26"/>
        <v>1</v>
      </c>
      <c r="F41" s="31" t="b">
        <f t="shared" si="26"/>
        <v>1</v>
      </c>
      <c r="G41" s="31" t="b">
        <f t="shared" si="26"/>
        <v>1</v>
      </c>
      <c r="H41" s="31" t="b">
        <f t="shared" si="26"/>
        <v>1</v>
      </c>
      <c r="I41" s="31" t="b">
        <f t="shared" si="26"/>
        <v>1</v>
      </c>
      <c r="J41" s="31" t="b">
        <f t="shared" si="26"/>
        <v>1</v>
      </c>
      <c r="K41" s="31" t="b">
        <f t="shared" si="26"/>
        <v>1</v>
      </c>
      <c r="L41" s="31" t="b">
        <f t="shared" si="26"/>
        <v>1</v>
      </c>
      <c r="M41" s="31" t="b">
        <f t="shared" si="26"/>
        <v>1</v>
      </c>
      <c r="N41" s="31" t="b">
        <f t="shared" si="26"/>
        <v>1</v>
      </c>
      <c r="O41" s="31" t="b">
        <f t="shared" si="26"/>
        <v>1</v>
      </c>
      <c r="P41" s="31" t="b">
        <f t="shared" si="26"/>
        <v>1</v>
      </c>
      <c r="Q41" s="31" t="b">
        <f t="shared" si="26"/>
        <v>1</v>
      </c>
      <c r="R41" s="31"/>
      <c r="S41" s="31"/>
      <c r="T41" s="2"/>
      <c r="U41" s="2"/>
      <c r="V41" s="2"/>
      <c r="W41" s="2"/>
    </row>
    <row r="42" spans="1:23" x14ac:dyDescent="0.25">
      <c r="A42" s="31"/>
      <c r="B42" s="31" t="b">
        <f>B28+B25=B31</f>
        <v>1</v>
      </c>
      <c r="C42" s="31" t="b">
        <f t="shared" ref="C42:Q42" si="27">C28+C25=C31</f>
        <v>1</v>
      </c>
      <c r="D42" s="31" t="b">
        <f t="shared" si="27"/>
        <v>1</v>
      </c>
      <c r="E42" s="31" t="b">
        <f t="shared" si="27"/>
        <v>1</v>
      </c>
      <c r="F42" s="31" t="b">
        <f t="shared" si="27"/>
        <v>1</v>
      </c>
      <c r="G42" s="31" t="b">
        <f t="shared" si="27"/>
        <v>1</v>
      </c>
      <c r="H42" s="31" t="b">
        <f t="shared" si="27"/>
        <v>1</v>
      </c>
      <c r="I42" s="31" t="b">
        <f t="shared" si="27"/>
        <v>1</v>
      </c>
      <c r="J42" s="31" t="b">
        <f t="shared" si="27"/>
        <v>1</v>
      </c>
      <c r="K42" s="31" t="b">
        <f t="shared" si="27"/>
        <v>1</v>
      </c>
      <c r="L42" s="31" t="b">
        <f>L28+L25=L31</f>
        <v>1</v>
      </c>
      <c r="M42" s="31" t="b">
        <f t="shared" si="27"/>
        <v>1</v>
      </c>
      <c r="N42" s="31" t="b">
        <f t="shared" si="27"/>
        <v>1</v>
      </c>
      <c r="O42" s="31" t="b">
        <f t="shared" si="27"/>
        <v>1</v>
      </c>
      <c r="P42" s="31" t="b">
        <f t="shared" si="27"/>
        <v>1</v>
      </c>
      <c r="Q42" s="31" t="b">
        <f t="shared" si="27"/>
        <v>1</v>
      </c>
      <c r="R42" s="31"/>
      <c r="S42" s="31"/>
      <c r="T42" s="2"/>
      <c r="U42" s="2"/>
      <c r="V42" s="2"/>
      <c r="W42" s="2"/>
    </row>
    <row r="43" spans="1:23" x14ac:dyDescent="0.25">
      <c r="A43" s="31"/>
      <c r="B43" s="31" t="b">
        <f>B26+B29=B32</f>
        <v>1</v>
      </c>
      <c r="C43" s="31" t="b">
        <f t="shared" ref="C43:Q43" si="28">C26+C29=C32</f>
        <v>1</v>
      </c>
      <c r="D43" s="31" t="b">
        <f t="shared" si="28"/>
        <v>1</v>
      </c>
      <c r="E43" s="31" t="b">
        <f t="shared" si="28"/>
        <v>1</v>
      </c>
      <c r="F43" s="31" t="b">
        <f t="shared" si="28"/>
        <v>1</v>
      </c>
      <c r="G43" s="31" t="b">
        <f t="shared" si="28"/>
        <v>1</v>
      </c>
      <c r="H43" s="31" t="b">
        <f t="shared" si="28"/>
        <v>1</v>
      </c>
      <c r="I43" s="31" t="b">
        <f t="shared" si="28"/>
        <v>1</v>
      </c>
      <c r="J43" s="31" t="b">
        <f t="shared" si="28"/>
        <v>1</v>
      </c>
      <c r="K43" s="31" t="b">
        <f t="shared" si="28"/>
        <v>1</v>
      </c>
      <c r="L43" s="31" t="b">
        <f t="shared" si="28"/>
        <v>1</v>
      </c>
      <c r="M43" s="31" t="b">
        <f t="shared" si="28"/>
        <v>1</v>
      </c>
      <c r="N43" s="31" t="b">
        <f t="shared" si="28"/>
        <v>1</v>
      </c>
      <c r="O43" s="31" t="b">
        <f t="shared" si="28"/>
        <v>1</v>
      </c>
      <c r="P43" s="31" t="b">
        <f t="shared" si="28"/>
        <v>1</v>
      </c>
      <c r="Q43" s="31" t="b">
        <f t="shared" si="28"/>
        <v>1</v>
      </c>
      <c r="R43" s="31"/>
      <c r="S43" s="31"/>
      <c r="T43" s="2"/>
      <c r="U43" s="2"/>
      <c r="V43" s="2"/>
      <c r="W43" s="2"/>
    </row>
    <row r="44" spans="1:23" x14ac:dyDescent="0.25">
      <c r="B44" s="14" t="b">
        <f>B20+B30=B33</f>
        <v>1</v>
      </c>
      <c r="C44" s="14" t="b">
        <f t="shared" ref="C44:Q44" si="29">C20+C30=C33</f>
        <v>1</v>
      </c>
      <c r="D44" s="14" t="b">
        <f t="shared" si="29"/>
        <v>1</v>
      </c>
      <c r="E44" s="14" t="b">
        <f t="shared" si="29"/>
        <v>1</v>
      </c>
      <c r="F44" s="14" t="b">
        <f t="shared" si="29"/>
        <v>1</v>
      </c>
      <c r="G44" s="14" t="b">
        <f t="shared" si="29"/>
        <v>1</v>
      </c>
      <c r="H44" s="14" t="b">
        <f t="shared" si="29"/>
        <v>1</v>
      </c>
      <c r="I44" s="14" t="b">
        <f t="shared" si="29"/>
        <v>1</v>
      </c>
      <c r="J44" s="14" t="b">
        <f t="shared" si="29"/>
        <v>1</v>
      </c>
      <c r="K44" s="14" t="b">
        <f t="shared" si="29"/>
        <v>1</v>
      </c>
      <c r="L44" s="14" t="b">
        <f t="shared" si="29"/>
        <v>1</v>
      </c>
      <c r="M44" s="14" t="b">
        <f t="shared" si="29"/>
        <v>1</v>
      </c>
      <c r="N44" s="14" t="b">
        <f t="shared" si="29"/>
        <v>1</v>
      </c>
      <c r="O44" s="14" t="b">
        <f t="shared" si="29"/>
        <v>1</v>
      </c>
      <c r="P44" s="14" t="b">
        <f t="shared" si="29"/>
        <v>1</v>
      </c>
      <c r="Q44" s="14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2" orientation="landscape" r:id="rId1"/>
  <headerFooter>
    <oddHeader>&amp;L&amp;K000000Województwo podlaskie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4"/>
  <sheetViews>
    <sheetView showGridLines="0" view="pageBreakPreview" zoomScaleNormal="78" zoomScaleSheetLayoutView="100" workbookViewId="0">
      <selection activeCell="L64" sqref="L64"/>
    </sheetView>
  </sheetViews>
  <sheetFormatPr defaultColWidth="9.140625" defaultRowHeight="15" x14ac:dyDescent="0.25"/>
  <cols>
    <col min="1" max="2" width="7.28515625" style="3" customWidth="1"/>
    <col min="3" max="3" width="17.28515625" style="1" customWidth="1"/>
    <col min="4" max="4" width="20.85546875" style="3" customWidth="1"/>
    <col min="5" max="5" width="15.85546875" style="3" customWidth="1"/>
    <col min="6" max="6" width="65.7109375" style="3" customWidth="1"/>
    <col min="7" max="7" width="9.42578125" style="3" customWidth="1"/>
    <col min="8" max="8" width="13.28515625" style="3" customWidth="1"/>
    <col min="9" max="9" width="13.7109375" style="3" customWidth="1"/>
    <col min="10" max="10" width="15.85546875" style="4" customWidth="1"/>
    <col min="11" max="12" width="15.85546875" style="3" customWidth="1"/>
    <col min="13" max="13" width="15.28515625" style="1" bestFit="1" customWidth="1"/>
    <col min="14" max="18" width="15.85546875" style="3" customWidth="1"/>
    <col min="19" max="20" width="15.5703125" style="3" customWidth="1"/>
    <col min="21" max="25" width="15.7109375" style="3" customWidth="1"/>
    <col min="26" max="26" width="15.7109375" style="40" customWidth="1"/>
    <col min="27" max="28" width="15.7109375" style="1" customWidth="1"/>
    <col min="29" max="29" width="15.7109375" style="40" customWidth="1"/>
    <col min="30" max="16384" width="9.140625" style="3"/>
  </cols>
  <sheetData>
    <row r="1" spans="1:35" ht="31.5" customHeight="1" x14ac:dyDescent="0.25">
      <c r="A1" s="452" t="s">
        <v>4</v>
      </c>
      <c r="B1" s="452" t="s">
        <v>5</v>
      </c>
      <c r="C1" s="448" t="s">
        <v>43</v>
      </c>
      <c r="D1" s="450" t="s">
        <v>6</v>
      </c>
      <c r="E1" s="450" t="s">
        <v>32</v>
      </c>
      <c r="F1" s="450" t="s">
        <v>7</v>
      </c>
      <c r="G1" s="452" t="s">
        <v>26</v>
      </c>
      <c r="H1" s="452" t="s">
        <v>8</v>
      </c>
      <c r="I1" s="452" t="s">
        <v>23</v>
      </c>
      <c r="J1" s="452" t="s">
        <v>9</v>
      </c>
      <c r="K1" s="452" t="s">
        <v>16</v>
      </c>
      <c r="L1" s="450" t="s">
        <v>13</v>
      </c>
      <c r="M1" s="452" t="s">
        <v>11</v>
      </c>
      <c r="N1" s="456" t="s">
        <v>12</v>
      </c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1"/>
    </row>
    <row r="2" spans="1:35" ht="31.5" customHeight="1" x14ac:dyDescent="0.25">
      <c r="A2" s="452"/>
      <c r="B2" s="452"/>
      <c r="C2" s="449"/>
      <c r="D2" s="451"/>
      <c r="E2" s="451"/>
      <c r="F2" s="451"/>
      <c r="G2" s="452"/>
      <c r="H2" s="452"/>
      <c r="I2" s="452"/>
      <c r="J2" s="452"/>
      <c r="K2" s="452"/>
      <c r="L2" s="451"/>
      <c r="M2" s="452"/>
      <c r="N2" s="235">
        <v>2019</v>
      </c>
      <c r="O2" s="235">
        <v>2020</v>
      </c>
      <c r="P2" s="235">
        <v>2021</v>
      </c>
      <c r="Q2" s="235">
        <v>2022</v>
      </c>
      <c r="R2" s="235">
        <v>2023</v>
      </c>
      <c r="S2" s="235">
        <v>2024</v>
      </c>
      <c r="T2" s="235">
        <v>2025</v>
      </c>
      <c r="U2" s="235">
        <v>2026</v>
      </c>
      <c r="V2" s="235">
        <v>2027</v>
      </c>
      <c r="W2" s="235">
        <v>2028</v>
      </c>
      <c r="X2" s="235">
        <v>2029</v>
      </c>
      <c r="Y2" s="235">
        <v>2030</v>
      </c>
      <c r="Z2" s="1" t="s">
        <v>28</v>
      </c>
      <c r="AA2" s="1" t="s">
        <v>29</v>
      </c>
      <c r="AB2" s="1" t="s">
        <v>30</v>
      </c>
      <c r="AC2" s="41" t="s">
        <v>31</v>
      </c>
    </row>
    <row r="3" spans="1:35" s="139" customFormat="1" ht="44.25" customHeight="1" x14ac:dyDescent="0.2">
      <c r="A3" s="199">
        <v>1</v>
      </c>
      <c r="B3" s="199">
        <v>90</v>
      </c>
      <c r="C3" s="199" t="s">
        <v>64</v>
      </c>
      <c r="D3" s="199" t="s">
        <v>69</v>
      </c>
      <c r="E3" s="199">
        <v>2013</v>
      </c>
      <c r="F3" s="208" t="s">
        <v>70</v>
      </c>
      <c r="G3" s="200" t="s">
        <v>66</v>
      </c>
      <c r="H3" s="201">
        <v>7.2169999999999996</v>
      </c>
      <c r="I3" s="199" t="s">
        <v>71</v>
      </c>
      <c r="J3" s="210">
        <v>23928917.879999999</v>
      </c>
      <c r="K3" s="209">
        <f t="shared" ref="K3:K4" si="0">ROUNDDOWN(J3*M3,2)</f>
        <v>14357350.720000001</v>
      </c>
      <c r="L3" s="210">
        <f t="shared" ref="L3:L8" si="1">J3-K3</f>
        <v>9571567.1599999983</v>
      </c>
      <c r="M3" s="211">
        <v>0.6</v>
      </c>
      <c r="N3" s="205">
        <v>0</v>
      </c>
      <c r="O3" s="205">
        <v>0</v>
      </c>
      <c r="P3" s="236">
        <v>0</v>
      </c>
      <c r="Q3" s="207">
        <v>0</v>
      </c>
      <c r="R3" s="207">
        <v>0</v>
      </c>
      <c r="S3" s="207">
        <v>1923683.9</v>
      </c>
      <c r="T3" s="205">
        <v>5969319.4100000001</v>
      </c>
      <c r="U3" s="205">
        <v>6464347.4100000001</v>
      </c>
      <c r="V3" s="207">
        <v>0</v>
      </c>
      <c r="W3" s="207">
        <v>0</v>
      </c>
      <c r="X3" s="207">
        <v>0</v>
      </c>
      <c r="Y3" s="207">
        <v>0</v>
      </c>
      <c r="Z3" s="1" t="b">
        <f t="shared" ref="Z3:Z23" si="2">K3=SUM(N3:Y3)</f>
        <v>1</v>
      </c>
      <c r="AA3" s="42">
        <f t="shared" ref="AA3:AA23" si="3">ROUND(K3/J3,4)</f>
        <v>0.6</v>
      </c>
      <c r="AB3" s="43" t="b">
        <f t="shared" ref="AB3:AB23" si="4">AA3=M3</f>
        <v>1</v>
      </c>
      <c r="AC3" s="43" t="b">
        <f t="shared" ref="AC3:AC23" si="5">J3=K3+L3</f>
        <v>1</v>
      </c>
      <c r="AD3" s="138"/>
      <c r="AE3" s="138"/>
      <c r="AF3" s="138"/>
      <c r="AG3" s="138"/>
      <c r="AH3" s="138"/>
      <c r="AI3" s="138"/>
    </row>
    <row r="4" spans="1:35" s="141" customFormat="1" ht="36.75" customHeight="1" x14ac:dyDescent="0.2">
      <c r="A4" s="199">
        <v>2</v>
      </c>
      <c r="B4" s="199">
        <v>95</v>
      </c>
      <c r="C4" s="199" t="s">
        <v>64</v>
      </c>
      <c r="D4" s="199" t="s">
        <v>69</v>
      </c>
      <c r="E4" s="199">
        <v>2013</v>
      </c>
      <c r="F4" s="208" t="s">
        <v>72</v>
      </c>
      <c r="G4" s="200" t="s">
        <v>66</v>
      </c>
      <c r="H4" s="201">
        <v>6</v>
      </c>
      <c r="I4" s="199" t="s">
        <v>73</v>
      </c>
      <c r="J4" s="210">
        <v>22556994.600000001</v>
      </c>
      <c r="K4" s="209">
        <f t="shared" si="0"/>
        <v>13534196.76</v>
      </c>
      <c r="L4" s="210">
        <f t="shared" si="1"/>
        <v>9022797.8400000017</v>
      </c>
      <c r="M4" s="211">
        <v>0.6</v>
      </c>
      <c r="N4" s="205">
        <v>0</v>
      </c>
      <c r="O4" s="205">
        <v>0</v>
      </c>
      <c r="P4" s="236">
        <v>0</v>
      </c>
      <c r="Q4" s="207">
        <v>0</v>
      </c>
      <c r="R4" s="207">
        <v>0</v>
      </c>
      <c r="S4" s="205">
        <v>2181246.25</v>
      </c>
      <c r="T4" s="205">
        <v>4515237.91</v>
      </c>
      <c r="U4" s="205">
        <v>6837712.5999999996</v>
      </c>
      <c r="V4" s="207">
        <v>0</v>
      </c>
      <c r="W4" s="207">
        <v>0</v>
      </c>
      <c r="X4" s="207">
        <v>0</v>
      </c>
      <c r="Y4" s="207">
        <v>0</v>
      </c>
      <c r="Z4" s="1" t="b">
        <f t="shared" si="2"/>
        <v>1</v>
      </c>
      <c r="AA4" s="42">
        <f t="shared" si="3"/>
        <v>0.6</v>
      </c>
      <c r="AB4" s="43" t="b">
        <f t="shared" si="4"/>
        <v>1</v>
      </c>
      <c r="AC4" s="43" t="b">
        <f t="shared" si="5"/>
        <v>1</v>
      </c>
      <c r="AD4" s="140"/>
      <c r="AE4" s="140"/>
      <c r="AF4" s="140"/>
      <c r="AG4" s="140"/>
      <c r="AH4" s="140"/>
      <c r="AI4" s="140"/>
    </row>
    <row r="5" spans="1:35" ht="36.75" customHeight="1" x14ac:dyDescent="0.25">
      <c r="A5" s="199">
        <v>3</v>
      </c>
      <c r="B5" s="199">
        <v>93</v>
      </c>
      <c r="C5" s="199" t="s">
        <v>64</v>
      </c>
      <c r="D5" s="199" t="s">
        <v>155</v>
      </c>
      <c r="E5" s="199">
        <v>2013</v>
      </c>
      <c r="F5" s="208" t="s">
        <v>74</v>
      </c>
      <c r="G5" s="200" t="s">
        <v>66</v>
      </c>
      <c r="H5" s="201">
        <v>4.3499999999999996</v>
      </c>
      <c r="I5" s="199" t="s">
        <v>73</v>
      </c>
      <c r="J5" s="210">
        <v>13967808.92</v>
      </c>
      <c r="K5" s="209">
        <f>ROUNDDOWN(J5*M5,2)</f>
        <v>8380685.3499999996</v>
      </c>
      <c r="L5" s="210">
        <f t="shared" si="1"/>
        <v>5587123.5700000003</v>
      </c>
      <c r="M5" s="211">
        <v>0.6</v>
      </c>
      <c r="N5" s="205">
        <v>0</v>
      </c>
      <c r="O5" s="205">
        <v>0</v>
      </c>
      <c r="P5" s="236">
        <v>0</v>
      </c>
      <c r="Q5" s="207">
        <v>0</v>
      </c>
      <c r="R5" s="207">
        <v>0</v>
      </c>
      <c r="S5" s="205">
        <v>1863478.8</v>
      </c>
      <c r="T5" s="205">
        <v>3854171.1</v>
      </c>
      <c r="U5" s="205">
        <v>2663035.4500000002</v>
      </c>
      <c r="V5" s="207">
        <v>0</v>
      </c>
      <c r="W5" s="207">
        <v>0</v>
      </c>
      <c r="X5" s="207">
        <v>0</v>
      </c>
      <c r="Y5" s="207">
        <v>0</v>
      </c>
      <c r="Z5" s="1" t="b">
        <f t="shared" si="2"/>
        <v>1</v>
      </c>
      <c r="AA5" s="42">
        <f t="shared" si="3"/>
        <v>0.6</v>
      </c>
      <c r="AB5" s="43" t="b">
        <f t="shared" si="4"/>
        <v>1</v>
      </c>
      <c r="AC5" s="43" t="b">
        <f t="shared" si="5"/>
        <v>1</v>
      </c>
      <c r="AD5" s="2"/>
      <c r="AE5" s="2"/>
      <c r="AF5" s="2"/>
      <c r="AG5" s="2"/>
      <c r="AH5" s="2"/>
      <c r="AI5" s="2"/>
    </row>
    <row r="6" spans="1:35" s="144" customFormat="1" ht="36.75" customHeight="1" x14ac:dyDescent="0.25">
      <c r="A6" s="199">
        <v>4</v>
      </c>
      <c r="B6" s="199">
        <v>253</v>
      </c>
      <c r="C6" s="199" t="s">
        <v>64</v>
      </c>
      <c r="D6" s="199" t="s">
        <v>161</v>
      </c>
      <c r="E6" s="199">
        <v>2011</v>
      </c>
      <c r="F6" s="208" t="s">
        <v>75</v>
      </c>
      <c r="G6" s="200" t="s">
        <v>66</v>
      </c>
      <c r="H6" s="201">
        <v>3.53</v>
      </c>
      <c r="I6" s="202" t="s">
        <v>162</v>
      </c>
      <c r="J6" s="210">
        <v>4015000</v>
      </c>
      <c r="K6" s="209">
        <f>ROUNDDOWN(J6*M6,2)</f>
        <v>2409000</v>
      </c>
      <c r="L6" s="210">
        <f t="shared" si="1"/>
        <v>1606000</v>
      </c>
      <c r="M6" s="211">
        <v>0.6</v>
      </c>
      <c r="N6" s="205">
        <v>0</v>
      </c>
      <c r="O6" s="205">
        <v>0</v>
      </c>
      <c r="P6" s="236">
        <v>0</v>
      </c>
      <c r="Q6" s="207">
        <v>0</v>
      </c>
      <c r="R6" s="207">
        <v>0</v>
      </c>
      <c r="S6" s="207">
        <v>1294432.5900000001</v>
      </c>
      <c r="T6" s="205">
        <v>1114567.4099999999</v>
      </c>
      <c r="U6" s="207">
        <v>0</v>
      </c>
      <c r="V6" s="207">
        <v>0</v>
      </c>
      <c r="W6" s="207">
        <v>0</v>
      </c>
      <c r="X6" s="207">
        <v>0</v>
      </c>
      <c r="Y6" s="207">
        <v>0</v>
      </c>
      <c r="Z6" s="1" t="b">
        <f t="shared" si="2"/>
        <v>1</v>
      </c>
      <c r="AA6" s="42">
        <f t="shared" si="3"/>
        <v>0.6</v>
      </c>
      <c r="AB6" s="43" t="b">
        <f t="shared" si="4"/>
        <v>1</v>
      </c>
      <c r="AC6" s="43" t="b">
        <f t="shared" si="5"/>
        <v>1</v>
      </c>
      <c r="AD6" s="143"/>
      <c r="AE6" s="143"/>
      <c r="AF6" s="143"/>
      <c r="AG6" s="143"/>
      <c r="AH6" s="143"/>
      <c r="AI6" s="143"/>
    </row>
    <row r="7" spans="1:35" s="144" customFormat="1" ht="36.75" customHeight="1" x14ac:dyDescent="0.25">
      <c r="A7" s="199">
        <v>5</v>
      </c>
      <c r="B7" s="199">
        <v>248</v>
      </c>
      <c r="C7" s="199" t="s">
        <v>64</v>
      </c>
      <c r="D7" s="199" t="s">
        <v>161</v>
      </c>
      <c r="E7" s="199">
        <v>2011</v>
      </c>
      <c r="F7" s="208" t="s">
        <v>76</v>
      </c>
      <c r="G7" s="200" t="s">
        <v>66</v>
      </c>
      <c r="H7" s="201">
        <v>2.58</v>
      </c>
      <c r="I7" s="202" t="s">
        <v>162</v>
      </c>
      <c r="J7" s="210">
        <v>3234555</v>
      </c>
      <c r="K7" s="209">
        <f>ROUNDDOWN(J7*M7,2)</f>
        <v>1940733</v>
      </c>
      <c r="L7" s="210">
        <f t="shared" si="1"/>
        <v>1293822</v>
      </c>
      <c r="M7" s="211">
        <v>0.6</v>
      </c>
      <c r="N7" s="205">
        <v>0</v>
      </c>
      <c r="O7" s="205">
        <v>0</v>
      </c>
      <c r="P7" s="236">
        <v>0</v>
      </c>
      <c r="Q7" s="207">
        <v>0</v>
      </c>
      <c r="R7" s="207">
        <v>0</v>
      </c>
      <c r="S7" s="207">
        <f>K7</f>
        <v>1940733</v>
      </c>
      <c r="T7" s="205">
        <v>0</v>
      </c>
      <c r="U7" s="207">
        <v>0</v>
      </c>
      <c r="V7" s="207">
        <v>0</v>
      </c>
      <c r="W7" s="207">
        <v>0</v>
      </c>
      <c r="X7" s="207">
        <v>0</v>
      </c>
      <c r="Y7" s="207">
        <v>0</v>
      </c>
      <c r="Z7" s="1" t="b">
        <f t="shared" si="2"/>
        <v>1</v>
      </c>
      <c r="AA7" s="42">
        <f t="shared" si="3"/>
        <v>0.6</v>
      </c>
      <c r="AB7" s="43" t="b">
        <f t="shared" si="4"/>
        <v>1</v>
      </c>
      <c r="AC7" s="43" t="b">
        <f t="shared" si="5"/>
        <v>1</v>
      </c>
      <c r="AD7" s="143"/>
      <c r="AE7" s="143"/>
      <c r="AF7" s="143"/>
      <c r="AG7" s="143"/>
      <c r="AH7" s="143"/>
      <c r="AI7" s="143"/>
    </row>
    <row r="8" spans="1:35" s="144" customFormat="1" ht="36.75" customHeight="1" x14ac:dyDescent="0.25">
      <c r="A8" s="298" t="s">
        <v>485</v>
      </c>
      <c r="B8" s="199">
        <v>198</v>
      </c>
      <c r="C8" s="199" t="s">
        <v>64</v>
      </c>
      <c r="D8" s="199" t="s">
        <v>166</v>
      </c>
      <c r="E8" s="199">
        <v>2002</v>
      </c>
      <c r="F8" s="208" t="s">
        <v>77</v>
      </c>
      <c r="G8" s="200" t="s">
        <v>66</v>
      </c>
      <c r="H8" s="201">
        <v>2.2349999999999999</v>
      </c>
      <c r="I8" s="202" t="s">
        <v>165</v>
      </c>
      <c r="J8" s="210">
        <v>6041943.8899999997</v>
      </c>
      <c r="K8" s="209">
        <v>2757300</v>
      </c>
      <c r="L8" s="210">
        <f t="shared" si="1"/>
        <v>3284643.8899999997</v>
      </c>
      <c r="M8" s="211">
        <v>0.6</v>
      </c>
      <c r="N8" s="205">
        <v>0</v>
      </c>
      <c r="O8" s="205">
        <v>0</v>
      </c>
      <c r="P8" s="236">
        <v>0</v>
      </c>
      <c r="Q8" s="207">
        <v>0</v>
      </c>
      <c r="R8" s="207">
        <v>0</v>
      </c>
      <c r="S8" s="207">
        <v>12000</v>
      </c>
      <c r="T8" s="205">
        <v>0</v>
      </c>
      <c r="U8" s="205">
        <v>2745300</v>
      </c>
      <c r="V8" s="207">
        <v>0</v>
      </c>
      <c r="W8" s="207">
        <v>0</v>
      </c>
      <c r="X8" s="207">
        <v>0</v>
      </c>
      <c r="Y8" s="207">
        <v>0</v>
      </c>
      <c r="Z8" s="1" t="b">
        <f t="shared" si="2"/>
        <v>1</v>
      </c>
      <c r="AA8" s="42">
        <f t="shared" si="3"/>
        <v>0.45639999999999997</v>
      </c>
      <c r="AB8" s="43" t="b">
        <f t="shared" si="4"/>
        <v>0</v>
      </c>
      <c r="AC8" s="43" t="b">
        <f t="shared" si="5"/>
        <v>1</v>
      </c>
      <c r="AD8" s="143"/>
      <c r="AE8" s="143"/>
      <c r="AF8" s="143"/>
      <c r="AG8" s="143"/>
      <c r="AH8" s="143"/>
      <c r="AI8" s="143"/>
    </row>
    <row r="9" spans="1:35" s="144" customFormat="1" ht="36.75" customHeight="1" x14ac:dyDescent="0.25">
      <c r="A9" s="298" t="s">
        <v>486</v>
      </c>
      <c r="B9" s="199">
        <v>266</v>
      </c>
      <c r="C9" s="199" t="s">
        <v>64</v>
      </c>
      <c r="D9" s="199" t="s">
        <v>153</v>
      </c>
      <c r="E9" s="199">
        <v>2003</v>
      </c>
      <c r="F9" s="208" t="s">
        <v>484</v>
      </c>
      <c r="G9" s="200" t="s">
        <v>66</v>
      </c>
      <c r="H9" s="201">
        <v>2.2149999999999999</v>
      </c>
      <c r="I9" s="202" t="s">
        <v>154</v>
      </c>
      <c r="J9" s="210">
        <v>5818178.8399999999</v>
      </c>
      <c r="K9" s="209">
        <f>(J9*M9)-1163635.77</f>
        <v>2327271.534</v>
      </c>
      <c r="L9" s="210">
        <f>J9-K9</f>
        <v>3490907.3059999999</v>
      </c>
      <c r="M9" s="211">
        <v>0.6</v>
      </c>
      <c r="N9" s="205">
        <v>0</v>
      </c>
      <c r="O9" s="205">
        <v>0</v>
      </c>
      <c r="P9" s="236">
        <v>0</v>
      </c>
      <c r="Q9" s="207">
        <v>0</v>
      </c>
      <c r="R9" s="207">
        <v>0</v>
      </c>
      <c r="S9" s="207">
        <v>1163635.77</v>
      </c>
      <c r="T9" s="207">
        <f>K9-S9-U9</f>
        <v>3.9999999571591616E-3</v>
      </c>
      <c r="U9" s="207">
        <v>1163635.76</v>
      </c>
      <c r="V9" s="207">
        <v>0</v>
      </c>
      <c r="W9" s="207">
        <v>0</v>
      </c>
      <c r="X9" s="207">
        <v>0</v>
      </c>
      <c r="Y9" s="207">
        <v>0</v>
      </c>
      <c r="Z9" s="1" t="b">
        <f t="shared" si="2"/>
        <v>1</v>
      </c>
      <c r="AA9" s="42">
        <f t="shared" si="3"/>
        <v>0.4</v>
      </c>
      <c r="AB9" s="43" t="b">
        <f t="shared" si="4"/>
        <v>0</v>
      </c>
      <c r="AC9" s="43" t="b">
        <f t="shared" si="5"/>
        <v>1</v>
      </c>
      <c r="AD9" s="143"/>
      <c r="AE9" s="143"/>
      <c r="AF9" s="143"/>
      <c r="AG9" s="143"/>
      <c r="AH9" s="143"/>
      <c r="AI9" s="143"/>
    </row>
    <row r="10" spans="1:35" s="164" customFormat="1" ht="36.75" customHeight="1" x14ac:dyDescent="0.25">
      <c r="A10" s="298" t="s">
        <v>487</v>
      </c>
      <c r="B10" s="199">
        <v>94</v>
      </c>
      <c r="C10" s="199" t="s">
        <v>64</v>
      </c>
      <c r="D10" s="199" t="s">
        <v>155</v>
      </c>
      <c r="E10" s="199">
        <v>2013</v>
      </c>
      <c r="F10" s="208" t="s">
        <v>78</v>
      </c>
      <c r="G10" s="200" t="s">
        <v>66</v>
      </c>
      <c r="H10" s="201">
        <v>2.1</v>
      </c>
      <c r="I10" s="199" t="s">
        <v>71</v>
      </c>
      <c r="J10" s="210">
        <v>7560214</v>
      </c>
      <c r="K10" s="209">
        <f>ROUNDDOWN(J10*M10,2)-2158571.45</f>
        <v>2377556.9500000002</v>
      </c>
      <c r="L10" s="210">
        <f t="shared" ref="L10:L12" si="6">J10-K10</f>
        <v>5182657.05</v>
      </c>
      <c r="M10" s="211">
        <v>0.6</v>
      </c>
      <c r="N10" s="205">
        <v>0</v>
      </c>
      <c r="O10" s="205">
        <v>0</v>
      </c>
      <c r="P10" s="236">
        <v>0</v>
      </c>
      <c r="Q10" s="207">
        <v>0</v>
      </c>
      <c r="R10" s="207">
        <v>0</v>
      </c>
      <c r="S10" s="205">
        <v>1396591.25</v>
      </c>
      <c r="T10" s="205">
        <f>K10-S10-U10</f>
        <v>0</v>
      </c>
      <c r="U10" s="205">
        <v>980965.7</v>
      </c>
      <c r="V10" s="207">
        <v>0</v>
      </c>
      <c r="W10" s="207">
        <v>0</v>
      </c>
      <c r="X10" s="207">
        <v>0</v>
      </c>
      <c r="Y10" s="207">
        <v>0</v>
      </c>
      <c r="Z10" s="1" t="b">
        <f t="shared" si="2"/>
        <v>1</v>
      </c>
      <c r="AA10" s="42">
        <f t="shared" si="3"/>
        <v>0.3145</v>
      </c>
      <c r="AB10" s="43" t="b">
        <f t="shared" si="4"/>
        <v>0</v>
      </c>
      <c r="AC10" s="43" t="b">
        <f t="shared" si="5"/>
        <v>1</v>
      </c>
      <c r="AD10" s="163"/>
      <c r="AE10" s="163"/>
      <c r="AF10" s="163"/>
      <c r="AG10" s="163"/>
      <c r="AH10" s="163"/>
      <c r="AI10" s="163"/>
    </row>
    <row r="11" spans="1:35" s="44" customFormat="1" ht="36.75" customHeight="1" x14ac:dyDescent="0.25">
      <c r="A11" s="298" t="s">
        <v>488</v>
      </c>
      <c r="B11" s="199">
        <v>91</v>
      </c>
      <c r="C11" s="199" t="s">
        <v>64</v>
      </c>
      <c r="D11" s="199" t="s">
        <v>155</v>
      </c>
      <c r="E11" s="199">
        <v>2013</v>
      </c>
      <c r="F11" s="208" t="s">
        <v>79</v>
      </c>
      <c r="G11" s="200" t="s">
        <v>66</v>
      </c>
      <c r="H11" s="201">
        <v>1.75</v>
      </c>
      <c r="I11" s="199" t="s">
        <v>71</v>
      </c>
      <c r="J11" s="210">
        <v>5134364.4000000004</v>
      </c>
      <c r="K11" s="209">
        <f>ROUNDDOWN(J11*M11,2)-1321307.41</f>
        <v>1759311.2300000002</v>
      </c>
      <c r="L11" s="210">
        <f t="shared" si="6"/>
        <v>3375053.17</v>
      </c>
      <c r="M11" s="211">
        <v>0.6</v>
      </c>
      <c r="N11" s="205">
        <v>0</v>
      </c>
      <c r="O11" s="205">
        <v>0</v>
      </c>
      <c r="P11" s="236">
        <v>0</v>
      </c>
      <c r="Q11" s="207">
        <v>0</v>
      </c>
      <c r="R11" s="207">
        <v>0</v>
      </c>
      <c r="S11" s="205">
        <v>1139282.04</v>
      </c>
      <c r="T11" s="205">
        <f>K11-U11-S11</f>
        <v>0</v>
      </c>
      <c r="U11" s="205">
        <v>620029.18999999994</v>
      </c>
      <c r="V11" s="207">
        <v>0</v>
      </c>
      <c r="W11" s="207">
        <v>0</v>
      </c>
      <c r="X11" s="207">
        <v>0</v>
      </c>
      <c r="Y11" s="207">
        <v>0</v>
      </c>
      <c r="Z11" s="1" t="b">
        <f t="shared" si="2"/>
        <v>1</v>
      </c>
      <c r="AA11" s="42">
        <f t="shared" si="3"/>
        <v>0.3427</v>
      </c>
      <c r="AB11" s="43" t="b">
        <f t="shared" si="4"/>
        <v>0</v>
      </c>
      <c r="AC11" s="43" t="b">
        <f t="shared" si="5"/>
        <v>1</v>
      </c>
      <c r="AD11" s="2"/>
      <c r="AE11" s="145"/>
      <c r="AF11" s="145"/>
      <c r="AG11" s="145"/>
      <c r="AH11" s="145"/>
      <c r="AI11" s="145"/>
    </row>
    <row r="12" spans="1:35" s="145" customFormat="1" ht="36.75" customHeight="1" x14ac:dyDescent="0.25">
      <c r="A12" s="298" t="s">
        <v>489</v>
      </c>
      <c r="B12" s="199">
        <v>84</v>
      </c>
      <c r="C12" s="198" t="s">
        <v>64</v>
      </c>
      <c r="D12" s="199" t="s">
        <v>167</v>
      </c>
      <c r="E12" s="199">
        <v>2007</v>
      </c>
      <c r="F12" s="208" t="s">
        <v>80</v>
      </c>
      <c r="G12" s="200" t="s">
        <v>65</v>
      </c>
      <c r="H12" s="201">
        <v>0.4</v>
      </c>
      <c r="I12" s="199" t="s">
        <v>162</v>
      </c>
      <c r="J12" s="210">
        <v>776399.9</v>
      </c>
      <c r="K12" s="209">
        <f>(J12*M12)-165839.94</f>
        <v>300000</v>
      </c>
      <c r="L12" s="210">
        <f t="shared" si="6"/>
        <v>476399.9</v>
      </c>
      <c r="M12" s="211">
        <v>0.6</v>
      </c>
      <c r="N12" s="205">
        <v>0</v>
      </c>
      <c r="O12" s="205">
        <v>0</v>
      </c>
      <c r="P12" s="236">
        <v>0</v>
      </c>
      <c r="Q12" s="207">
        <v>0</v>
      </c>
      <c r="R12" s="207">
        <v>0</v>
      </c>
      <c r="S12" s="205">
        <f>500000*M12</f>
        <v>300000</v>
      </c>
      <c r="T12" s="205">
        <f>(J12*M12-S12)-165839.94</f>
        <v>0</v>
      </c>
      <c r="U12" s="207">
        <v>0</v>
      </c>
      <c r="V12" s="207">
        <v>0</v>
      </c>
      <c r="W12" s="207">
        <v>0</v>
      </c>
      <c r="X12" s="207">
        <v>0</v>
      </c>
      <c r="Y12" s="207">
        <v>0</v>
      </c>
      <c r="Z12" s="1" t="b">
        <f t="shared" si="2"/>
        <v>1</v>
      </c>
      <c r="AA12" s="42">
        <f t="shared" si="3"/>
        <v>0.38640000000000002</v>
      </c>
      <c r="AB12" s="43" t="b">
        <f t="shared" si="4"/>
        <v>0</v>
      </c>
      <c r="AC12" s="43" t="b">
        <f t="shared" si="5"/>
        <v>1</v>
      </c>
      <c r="AD12" s="2"/>
    </row>
    <row r="13" spans="1:35" s="148" customFormat="1" ht="36.75" customHeight="1" x14ac:dyDescent="0.25">
      <c r="A13" s="199">
        <v>11</v>
      </c>
      <c r="B13" s="199">
        <v>201</v>
      </c>
      <c r="C13" s="199" t="s">
        <v>64</v>
      </c>
      <c r="D13" s="199" t="s">
        <v>68</v>
      </c>
      <c r="E13" s="199">
        <v>2002</v>
      </c>
      <c r="F13" s="208" t="s">
        <v>81</v>
      </c>
      <c r="G13" s="200" t="s">
        <v>66</v>
      </c>
      <c r="H13" s="201">
        <v>0.17399999999999999</v>
      </c>
      <c r="I13" s="202" t="s">
        <v>82</v>
      </c>
      <c r="J13" s="210">
        <v>11040024.74</v>
      </c>
      <c r="K13" s="209">
        <f>ROUNDDOWN(J13*M13,2)</f>
        <v>6624014.8399999999</v>
      </c>
      <c r="L13" s="210">
        <f>J13-K13</f>
        <v>4416009.9000000004</v>
      </c>
      <c r="M13" s="211">
        <v>0.6</v>
      </c>
      <c r="N13" s="205">
        <v>0</v>
      </c>
      <c r="O13" s="205">
        <v>0</v>
      </c>
      <c r="P13" s="236">
        <v>0</v>
      </c>
      <c r="Q13" s="207">
        <v>0</v>
      </c>
      <c r="R13" s="207">
        <v>0</v>
      </c>
      <c r="S13" s="205">
        <v>6555.83</v>
      </c>
      <c r="T13" s="205">
        <v>0</v>
      </c>
      <c r="U13" s="205">
        <v>6617459.0099999998</v>
      </c>
      <c r="V13" s="207">
        <v>0</v>
      </c>
      <c r="W13" s="207">
        <v>0</v>
      </c>
      <c r="X13" s="207">
        <v>0</v>
      </c>
      <c r="Y13" s="207">
        <v>0</v>
      </c>
      <c r="Z13" s="1" t="b">
        <f t="shared" si="2"/>
        <v>1</v>
      </c>
      <c r="AA13" s="42">
        <f t="shared" si="3"/>
        <v>0.6</v>
      </c>
      <c r="AB13" s="43" t="b">
        <f t="shared" si="4"/>
        <v>1</v>
      </c>
      <c r="AC13" s="43" t="b">
        <f t="shared" si="5"/>
        <v>1</v>
      </c>
      <c r="AD13" s="147"/>
      <c r="AE13" s="147"/>
      <c r="AF13" s="147"/>
      <c r="AG13" s="147"/>
      <c r="AH13" s="147"/>
      <c r="AI13" s="147"/>
    </row>
    <row r="14" spans="1:35" s="150" customFormat="1" ht="36.75" customHeight="1" x14ac:dyDescent="0.25">
      <c r="A14" s="298" t="s">
        <v>490</v>
      </c>
      <c r="B14" s="199">
        <v>189</v>
      </c>
      <c r="C14" s="199" t="s">
        <v>64</v>
      </c>
      <c r="D14" s="199" t="s">
        <v>166</v>
      </c>
      <c r="E14" s="199">
        <v>2002</v>
      </c>
      <c r="F14" s="208" t="s">
        <v>83</v>
      </c>
      <c r="G14" s="200" t="s">
        <v>66</v>
      </c>
      <c r="H14" s="201">
        <v>2.3410000000000002</v>
      </c>
      <c r="I14" s="202" t="s">
        <v>168</v>
      </c>
      <c r="J14" s="210">
        <v>12470127.619999999</v>
      </c>
      <c r="K14" s="209">
        <f>ROUNDDOWN(J14*M14,2)-1358776.57</f>
        <v>6123300</v>
      </c>
      <c r="L14" s="210">
        <f t="shared" ref="L14" si="7">J14-K14</f>
        <v>6346827.6199999992</v>
      </c>
      <c r="M14" s="211">
        <v>0.6</v>
      </c>
      <c r="N14" s="205">
        <v>0</v>
      </c>
      <c r="O14" s="205">
        <v>0</v>
      </c>
      <c r="P14" s="207">
        <v>0</v>
      </c>
      <c r="Q14" s="207">
        <v>0</v>
      </c>
      <c r="R14" s="205">
        <v>0</v>
      </c>
      <c r="S14" s="207">
        <f>20000*M14</f>
        <v>12000</v>
      </c>
      <c r="T14" s="205">
        <f>1358776.57-1358776.57</f>
        <v>0</v>
      </c>
      <c r="U14" s="205">
        <f>10185500*M14</f>
        <v>6111300</v>
      </c>
      <c r="V14" s="207">
        <v>0</v>
      </c>
      <c r="W14" s="207">
        <v>0</v>
      </c>
      <c r="X14" s="207">
        <v>0</v>
      </c>
      <c r="Y14" s="207">
        <v>0</v>
      </c>
      <c r="Z14" s="1" t="b">
        <f t="shared" si="2"/>
        <v>1</v>
      </c>
      <c r="AA14" s="42">
        <f t="shared" si="3"/>
        <v>0.49099999999999999</v>
      </c>
      <c r="AB14" s="43" t="b">
        <f t="shared" si="4"/>
        <v>0</v>
      </c>
      <c r="AC14" s="43" t="b">
        <f t="shared" si="5"/>
        <v>1</v>
      </c>
      <c r="AD14" s="149"/>
      <c r="AE14" s="149"/>
      <c r="AF14" s="149"/>
      <c r="AG14" s="149"/>
      <c r="AH14" s="149"/>
      <c r="AI14" s="149"/>
    </row>
    <row r="15" spans="1:35" s="150" customFormat="1" ht="36.75" customHeight="1" x14ac:dyDescent="0.25">
      <c r="A15" s="298" t="s">
        <v>491</v>
      </c>
      <c r="B15" s="199">
        <v>264</v>
      </c>
      <c r="C15" s="199" t="s">
        <v>64</v>
      </c>
      <c r="D15" s="199" t="s">
        <v>84</v>
      </c>
      <c r="E15" s="199">
        <v>2003</v>
      </c>
      <c r="F15" s="208" t="s">
        <v>85</v>
      </c>
      <c r="G15" s="200" t="s">
        <v>66</v>
      </c>
      <c r="H15" s="201">
        <v>2.2450000000000001</v>
      </c>
      <c r="I15" s="202" t="s">
        <v>86</v>
      </c>
      <c r="J15" s="210">
        <v>5545355</v>
      </c>
      <c r="K15" s="209">
        <f>ROUNDDOWN(J15*M15,2)-1109071.06</f>
        <v>2218141.94</v>
      </c>
      <c r="L15" s="210">
        <f>J15-K15</f>
        <v>3327213.06</v>
      </c>
      <c r="M15" s="211">
        <v>0.6</v>
      </c>
      <c r="N15" s="205">
        <v>0</v>
      </c>
      <c r="O15" s="205">
        <v>0</v>
      </c>
      <c r="P15" s="207">
        <v>0</v>
      </c>
      <c r="Q15" s="207">
        <v>0</v>
      </c>
      <c r="R15" s="205">
        <v>0</v>
      </c>
      <c r="S15" s="207">
        <v>1109070.97</v>
      </c>
      <c r="T15" s="207">
        <f>(3327213-S15-U15)-1109071.06</f>
        <v>0</v>
      </c>
      <c r="U15" s="207">
        <v>1109070.97</v>
      </c>
      <c r="V15" s="207">
        <v>0</v>
      </c>
      <c r="W15" s="207">
        <v>0</v>
      </c>
      <c r="X15" s="207">
        <v>0</v>
      </c>
      <c r="Y15" s="207">
        <v>0</v>
      </c>
      <c r="Z15" s="1" t="b">
        <f t="shared" si="2"/>
        <v>1</v>
      </c>
      <c r="AA15" s="42">
        <f t="shared" si="3"/>
        <v>0.4</v>
      </c>
      <c r="AB15" s="43" t="b">
        <f t="shared" si="4"/>
        <v>0</v>
      </c>
      <c r="AC15" s="43" t="b">
        <f t="shared" si="5"/>
        <v>1</v>
      </c>
      <c r="AD15" s="149"/>
      <c r="AE15" s="149"/>
      <c r="AF15" s="149"/>
      <c r="AG15" s="149"/>
      <c r="AH15" s="149"/>
      <c r="AI15" s="149"/>
    </row>
    <row r="16" spans="1:35" ht="36.75" customHeight="1" x14ac:dyDescent="0.25">
      <c r="A16" s="198">
        <v>14</v>
      </c>
      <c r="B16" s="213">
        <v>184</v>
      </c>
      <c r="C16" s="213" t="s">
        <v>64</v>
      </c>
      <c r="D16" s="213" t="s">
        <v>180</v>
      </c>
      <c r="E16" s="213">
        <v>2013</v>
      </c>
      <c r="F16" s="237" t="s">
        <v>98</v>
      </c>
      <c r="G16" s="213" t="s">
        <v>67</v>
      </c>
      <c r="H16" s="201">
        <v>3.6549999999999998</v>
      </c>
      <c r="I16" s="213" t="s">
        <v>179</v>
      </c>
      <c r="J16" s="210">
        <v>4090325.39</v>
      </c>
      <c r="K16" s="209">
        <f t="shared" ref="K16:K20" si="8">ROUNDDOWN(J16*M16,2)</f>
        <v>2045162.69</v>
      </c>
      <c r="L16" s="209">
        <f t="shared" ref="L16:L20" si="9">J16-K16</f>
        <v>2045162.7000000002</v>
      </c>
      <c r="M16" s="211">
        <v>0.5</v>
      </c>
      <c r="N16" s="207">
        <v>0</v>
      </c>
      <c r="O16" s="207">
        <v>0</v>
      </c>
      <c r="P16" s="207">
        <v>0</v>
      </c>
      <c r="Q16" s="207">
        <v>0</v>
      </c>
      <c r="R16" s="207">
        <v>0</v>
      </c>
      <c r="S16" s="207">
        <v>0</v>
      </c>
      <c r="T16" s="207">
        <v>362516.79</v>
      </c>
      <c r="U16" s="207">
        <v>7221.45</v>
      </c>
      <c r="V16" s="207">
        <v>1083217.52</v>
      </c>
      <c r="W16" s="207">
        <v>592206.93000000005</v>
      </c>
      <c r="X16" s="207">
        <v>0</v>
      </c>
      <c r="Y16" s="205">
        <v>0</v>
      </c>
      <c r="Z16" s="1" t="b">
        <f t="shared" si="2"/>
        <v>1</v>
      </c>
      <c r="AA16" s="42">
        <f t="shared" si="3"/>
        <v>0.5</v>
      </c>
      <c r="AB16" s="43" t="b">
        <f t="shared" si="4"/>
        <v>1</v>
      </c>
      <c r="AC16" s="43" t="b">
        <f t="shared" si="5"/>
        <v>1</v>
      </c>
    </row>
    <row r="17" spans="1:29" ht="46.5" customHeight="1" x14ac:dyDescent="0.25">
      <c r="A17" s="198">
        <v>15</v>
      </c>
      <c r="B17" s="213">
        <v>307</v>
      </c>
      <c r="C17" s="213" t="s">
        <v>64</v>
      </c>
      <c r="D17" s="213" t="s">
        <v>153</v>
      </c>
      <c r="E17" s="213">
        <v>2008</v>
      </c>
      <c r="F17" s="237" t="s">
        <v>99</v>
      </c>
      <c r="G17" s="213" t="s">
        <v>65</v>
      </c>
      <c r="H17" s="201">
        <v>3.0350000000000001</v>
      </c>
      <c r="I17" s="213" t="s">
        <v>106</v>
      </c>
      <c r="J17" s="209">
        <v>6425046.46</v>
      </c>
      <c r="K17" s="209">
        <f t="shared" si="8"/>
        <v>3212523.23</v>
      </c>
      <c r="L17" s="209">
        <f t="shared" si="9"/>
        <v>3212523.23</v>
      </c>
      <c r="M17" s="211">
        <v>0.5</v>
      </c>
      <c r="N17" s="205">
        <v>0</v>
      </c>
      <c r="O17" s="205">
        <v>0</v>
      </c>
      <c r="P17" s="205">
        <v>0</v>
      </c>
      <c r="Q17" s="205">
        <v>0</v>
      </c>
      <c r="R17" s="207">
        <v>0</v>
      </c>
      <c r="S17" s="207">
        <v>0</v>
      </c>
      <c r="T17" s="207">
        <v>1072250.9099999999</v>
      </c>
      <c r="U17" s="207">
        <v>1069117.96</v>
      </c>
      <c r="V17" s="207">
        <v>1071154.3600000001</v>
      </c>
      <c r="W17" s="207">
        <v>0</v>
      </c>
      <c r="X17" s="207">
        <v>0</v>
      </c>
      <c r="Y17" s="205">
        <v>0</v>
      </c>
      <c r="Z17" s="1" t="b">
        <f t="shared" si="2"/>
        <v>1</v>
      </c>
      <c r="AA17" s="42">
        <f t="shared" si="3"/>
        <v>0.5</v>
      </c>
      <c r="AB17" s="43" t="b">
        <f t="shared" si="4"/>
        <v>1</v>
      </c>
      <c r="AC17" s="43" t="b">
        <f t="shared" si="5"/>
        <v>1</v>
      </c>
    </row>
    <row r="18" spans="1:29" ht="36.75" customHeight="1" x14ac:dyDescent="0.25">
      <c r="A18" s="198">
        <v>16</v>
      </c>
      <c r="B18" s="213">
        <v>185</v>
      </c>
      <c r="C18" s="213" t="s">
        <v>64</v>
      </c>
      <c r="D18" s="213" t="s">
        <v>155</v>
      </c>
      <c r="E18" s="213">
        <v>2013</v>
      </c>
      <c r="F18" s="237" t="s">
        <v>101</v>
      </c>
      <c r="G18" s="213" t="s">
        <v>67</v>
      </c>
      <c r="H18" s="201">
        <v>8.1150000000000002</v>
      </c>
      <c r="I18" s="213" t="s">
        <v>178</v>
      </c>
      <c r="J18" s="210">
        <v>8796538.5500000007</v>
      </c>
      <c r="K18" s="209">
        <f t="shared" si="8"/>
        <v>4398269.2699999996</v>
      </c>
      <c r="L18" s="209">
        <f t="shared" si="9"/>
        <v>4398269.2800000012</v>
      </c>
      <c r="M18" s="211">
        <v>0.5</v>
      </c>
      <c r="N18" s="207">
        <v>0</v>
      </c>
      <c r="O18" s="207">
        <v>0</v>
      </c>
      <c r="P18" s="207">
        <v>0</v>
      </c>
      <c r="Q18" s="207">
        <v>0</v>
      </c>
      <c r="R18" s="207">
        <v>0</v>
      </c>
      <c r="S18" s="207">
        <v>0</v>
      </c>
      <c r="T18" s="207">
        <v>1400908.89</v>
      </c>
      <c r="U18" s="207">
        <v>6997.55</v>
      </c>
      <c r="V18" s="207">
        <v>1399509.38</v>
      </c>
      <c r="W18" s="207">
        <v>1590853.45</v>
      </c>
      <c r="X18" s="207">
        <v>0</v>
      </c>
      <c r="Y18" s="205">
        <v>0</v>
      </c>
      <c r="Z18" s="1" t="b">
        <f t="shared" si="2"/>
        <v>1</v>
      </c>
      <c r="AA18" s="42">
        <f t="shared" si="3"/>
        <v>0.5</v>
      </c>
      <c r="AB18" s="43" t="b">
        <f t="shared" si="4"/>
        <v>1</v>
      </c>
      <c r="AC18" s="43" t="b">
        <f t="shared" si="5"/>
        <v>1</v>
      </c>
    </row>
    <row r="19" spans="1:29" ht="36.75" customHeight="1" x14ac:dyDescent="0.25">
      <c r="A19" s="198">
        <v>17</v>
      </c>
      <c r="B19" s="213">
        <v>154</v>
      </c>
      <c r="C19" s="213" t="s">
        <v>64</v>
      </c>
      <c r="D19" s="213" t="s">
        <v>181</v>
      </c>
      <c r="E19" s="213">
        <v>2010</v>
      </c>
      <c r="F19" s="237" t="s">
        <v>102</v>
      </c>
      <c r="G19" s="213" t="s">
        <v>65</v>
      </c>
      <c r="H19" s="201">
        <v>4.2</v>
      </c>
      <c r="I19" s="213" t="s">
        <v>182</v>
      </c>
      <c r="J19" s="209">
        <v>6865003.7400000002</v>
      </c>
      <c r="K19" s="209">
        <f t="shared" si="8"/>
        <v>3432501.87</v>
      </c>
      <c r="L19" s="209">
        <f t="shared" si="9"/>
        <v>3432501.87</v>
      </c>
      <c r="M19" s="211">
        <v>0.5</v>
      </c>
      <c r="N19" s="207">
        <v>0</v>
      </c>
      <c r="O19" s="207">
        <v>0</v>
      </c>
      <c r="P19" s="207">
        <v>0</v>
      </c>
      <c r="Q19" s="207">
        <v>0</v>
      </c>
      <c r="R19" s="207">
        <v>0</v>
      </c>
      <c r="S19" s="207">
        <v>0</v>
      </c>
      <c r="T19" s="207">
        <v>1373034.25</v>
      </c>
      <c r="U19" s="207">
        <v>2059467.62</v>
      </c>
      <c r="V19" s="207">
        <v>0</v>
      </c>
      <c r="W19" s="207">
        <v>0</v>
      </c>
      <c r="X19" s="207">
        <v>0</v>
      </c>
      <c r="Y19" s="205">
        <v>0</v>
      </c>
      <c r="Z19" s="1" t="b">
        <f t="shared" si="2"/>
        <v>1</v>
      </c>
      <c r="AA19" s="42">
        <f t="shared" si="3"/>
        <v>0.5</v>
      </c>
      <c r="AB19" s="43" t="b">
        <f t="shared" si="4"/>
        <v>1</v>
      </c>
      <c r="AC19" s="43" t="b">
        <f t="shared" si="5"/>
        <v>1</v>
      </c>
    </row>
    <row r="20" spans="1:29" ht="36.75" customHeight="1" x14ac:dyDescent="0.25">
      <c r="A20" s="198">
        <v>18</v>
      </c>
      <c r="B20" s="213">
        <v>122</v>
      </c>
      <c r="C20" s="213" t="s">
        <v>64</v>
      </c>
      <c r="D20" s="213" t="s">
        <v>183</v>
      </c>
      <c r="E20" s="213">
        <v>2014</v>
      </c>
      <c r="F20" s="237" t="s">
        <v>103</v>
      </c>
      <c r="G20" s="213" t="s">
        <v>66</v>
      </c>
      <c r="H20" s="224">
        <v>2.14</v>
      </c>
      <c r="I20" s="213" t="s">
        <v>184</v>
      </c>
      <c r="J20" s="209">
        <v>7372807.2599999998</v>
      </c>
      <c r="K20" s="209">
        <f t="shared" si="8"/>
        <v>3686403.63</v>
      </c>
      <c r="L20" s="209">
        <f t="shared" si="9"/>
        <v>3686403.63</v>
      </c>
      <c r="M20" s="211">
        <v>0.5</v>
      </c>
      <c r="N20" s="205">
        <v>0</v>
      </c>
      <c r="O20" s="205">
        <v>0</v>
      </c>
      <c r="P20" s="205">
        <v>0</v>
      </c>
      <c r="Q20" s="205">
        <v>0</v>
      </c>
      <c r="R20" s="207">
        <v>0</v>
      </c>
      <c r="S20" s="207">
        <v>0</v>
      </c>
      <c r="T20" s="207">
        <v>3600151.79</v>
      </c>
      <c r="U20" s="207">
        <v>86251.839999999997</v>
      </c>
      <c r="V20" s="207">
        <v>0</v>
      </c>
      <c r="W20" s="207">
        <v>0</v>
      </c>
      <c r="X20" s="207">
        <v>0</v>
      </c>
      <c r="Y20" s="205">
        <v>0</v>
      </c>
      <c r="Z20" s="1" t="b">
        <f t="shared" si="2"/>
        <v>1</v>
      </c>
      <c r="AA20" s="42">
        <f t="shared" si="3"/>
        <v>0.5</v>
      </c>
      <c r="AB20" s="43" t="b">
        <f t="shared" si="4"/>
        <v>1</v>
      </c>
      <c r="AC20" s="43" t="b">
        <f t="shared" si="5"/>
        <v>1</v>
      </c>
    </row>
    <row r="21" spans="1:29" ht="36.75" customHeight="1" x14ac:dyDescent="0.25">
      <c r="A21" s="198">
        <v>19</v>
      </c>
      <c r="B21" s="213">
        <v>238</v>
      </c>
      <c r="C21" s="213" t="s">
        <v>64</v>
      </c>
      <c r="D21" s="213" t="s">
        <v>196</v>
      </c>
      <c r="E21" s="213">
        <v>2007</v>
      </c>
      <c r="F21" s="237" t="s">
        <v>104</v>
      </c>
      <c r="G21" s="213" t="s">
        <v>65</v>
      </c>
      <c r="H21" s="224">
        <v>1.45</v>
      </c>
      <c r="I21" s="213" t="s">
        <v>195</v>
      </c>
      <c r="J21" s="209">
        <v>3507000</v>
      </c>
      <c r="K21" s="209">
        <v>1753000</v>
      </c>
      <c r="L21" s="209">
        <f>J21-K21</f>
        <v>1754000</v>
      </c>
      <c r="M21" s="211">
        <v>0.5</v>
      </c>
      <c r="N21" s="205">
        <v>0</v>
      </c>
      <c r="O21" s="205">
        <v>0</v>
      </c>
      <c r="P21" s="205">
        <v>0</v>
      </c>
      <c r="Q21" s="205">
        <v>0</v>
      </c>
      <c r="R21" s="207">
        <v>0</v>
      </c>
      <c r="S21" s="207">
        <v>0</v>
      </c>
      <c r="T21" s="207">
        <v>2500</v>
      </c>
      <c r="U21" s="207">
        <v>75000</v>
      </c>
      <c r="V21" s="207">
        <v>1675500</v>
      </c>
      <c r="W21" s="207">
        <v>0</v>
      </c>
      <c r="X21" s="207">
        <v>0</v>
      </c>
      <c r="Y21" s="205">
        <v>0</v>
      </c>
      <c r="Z21" s="1" t="b">
        <f t="shared" si="2"/>
        <v>1</v>
      </c>
      <c r="AA21" s="42">
        <f t="shared" si="3"/>
        <v>0.49990000000000001</v>
      </c>
      <c r="AB21" s="43" t="b">
        <f t="shared" si="4"/>
        <v>0</v>
      </c>
      <c r="AC21" s="43" t="b">
        <f t="shared" si="5"/>
        <v>1</v>
      </c>
    </row>
    <row r="22" spans="1:29" s="142" customFormat="1" ht="36.75" customHeight="1" x14ac:dyDescent="0.25">
      <c r="A22" s="239">
        <v>20</v>
      </c>
      <c r="B22" s="240">
        <v>192</v>
      </c>
      <c r="C22" s="213" t="s">
        <v>64</v>
      </c>
      <c r="D22" s="240" t="s">
        <v>155</v>
      </c>
      <c r="E22" s="240">
        <v>2013</v>
      </c>
      <c r="F22" s="241" t="s">
        <v>105</v>
      </c>
      <c r="G22" s="240" t="s">
        <v>66</v>
      </c>
      <c r="H22" s="242">
        <v>0.45400000000000001</v>
      </c>
      <c r="I22" s="240" t="s">
        <v>188</v>
      </c>
      <c r="J22" s="288">
        <v>3512116.79</v>
      </c>
      <c r="K22" s="289">
        <f t="shared" ref="K22:K23" si="10">ROUNDDOWN(J22*M22,2)</f>
        <v>1756058.39</v>
      </c>
      <c r="L22" s="289">
        <f t="shared" ref="L22:L23" si="11">J22-K22</f>
        <v>1756058.4000000001</v>
      </c>
      <c r="M22" s="243">
        <v>0.5</v>
      </c>
      <c r="N22" s="244">
        <v>0</v>
      </c>
      <c r="O22" s="244">
        <v>0</v>
      </c>
      <c r="P22" s="244">
        <v>0</v>
      </c>
      <c r="Q22" s="244">
        <v>0</v>
      </c>
      <c r="R22" s="244">
        <v>0</v>
      </c>
      <c r="S22" s="244">
        <v>0</v>
      </c>
      <c r="T22" s="244">
        <v>110576.39</v>
      </c>
      <c r="U22" s="244">
        <v>4387.95</v>
      </c>
      <c r="V22" s="244">
        <v>1641094.05</v>
      </c>
      <c r="W22" s="244">
        <v>0</v>
      </c>
      <c r="X22" s="244">
        <v>0</v>
      </c>
      <c r="Y22" s="245">
        <v>0</v>
      </c>
      <c r="Z22" s="1" t="b">
        <f t="shared" si="2"/>
        <v>1</v>
      </c>
      <c r="AA22" s="42">
        <f t="shared" si="3"/>
        <v>0.5</v>
      </c>
      <c r="AB22" s="43" t="b">
        <f t="shared" si="4"/>
        <v>1</v>
      </c>
      <c r="AC22" s="43" t="b">
        <f t="shared" si="5"/>
        <v>1</v>
      </c>
    </row>
    <row r="23" spans="1:29" s="142" customFormat="1" ht="48.75" customHeight="1" x14ac:dyDescent="0.25">
      <c r="A23" s="198">
        <v>21</v>
      </c>
      <c r="B23" s="213">
        <v>318</v>
      </c>
      <c r="C23" s="213" t="s">
        <v>64</v>
      </c>
      <c r="D23" s="213" t="s">
        <v>55</v>
      </c>
      <c r="E23" s="213">
        <v>2011</v>
      </c>
      <c r="F23" s="208" t="s">
        <v>191</v>
      </c>
      <c r="G23" s="213" t="s">
        <v>66</v>
      </c>
      <c r="H23" s="224">
        <v>0.37</v>
      </c>
      <c r="I23" s="213" t="s">
        <v>107</v>
      </c>
      <c r="J23" s="290">
        <v>782500</v>
      </c>
      <c r="K23" s="209">
        <f t="shared" si="10"/>
        <v>391250</v>
      </c>
      <c r="L23" s="209">
        <f t="shared" si="11"/>
        <v>391250</v>
      </c>
      <c r="M23" s="211">
        <v>0.5</v>
      </c>
      <c r="N23" s="246">
        <v>0</v>
      </c>
      <c r="O23" s="246">
        <v>0</v>
      </c>
      <c r="P23" s="246">
        <v>0</v>
      </c>
      <c r="Q23" s="246">
        <v>0</v>
      </c>
      <c r="R23" s="207">
        <v>0</v>
      </c>
      <c r="S23" s="225">
        <v>0</v>
      </c>
      <c r="T23" s="207">
        <v>116250</v>
      </c>
      <c r="U23" s="207">
        <v>150000</v>
      </c>
      <c r="V23" s="207">
        <v>125000</v>
      </c>
      <c r="W23" s="207">
        <v>0</v>
      </c>
      <c r="X23" s="207">
        <v>0</v>
      </c>
      <c r="Y23" s="205">
        <v>0</v>
      </c>
      <c r="Z23" s="1" t="b">
        <f t="shared" si="2"/>
        <v>1</v>
      </c>
      <c r="AA23" s="42">
        <f t="shared" si="3"/>
        <v>0.5</v>
      </c>
      <c r="AB23" s="43" t="b">
        <f t="shared" si="4"/>
        <v>1</v>
      </c>
      <c r="AC23" s="43" t="b">
        <f t="shared" si="5"/>
        <v>1</v>
      </c>
    </row>
    <row r="24" spans="1:29" s="142" customFormat="1" ht="48.75" customHeight="1" x14ac:dyDescent="0.25">
      <c r="A24" s="198">
        <v>22</v>
      </c>
      <c r="B24" s="213">
        <v>303</v>
      </c>
      <c r="C24" s="213" t="s">
        <v>64</v>
      </c>
      <c r="D24" s="213" t="s">
        <v>49</v>
      </c>
      <c r="E24" s="213">
        <v>2004</v>
      </c>
      <c r="F24" s="208" t="s">
        <v>199</v>
      </c>
      <c r="G24" s="213" t="s">
        <v>66</v>
      </c>
      <c r="H24" s="224">
        <v>4.327</v>
      </c>
      <c r="I24" s="213" t="s">
        <v>100</v>
      </c>
      <c r="J24" s="210">
        <v>12524350.880000001</v>
      </c>
      <c r="K24" s="209">
        <f t="shared" ref="K24" si="12">ROUNDDOWN(J24*M24,2)</f>
        <v>6262175.4400000004</v>
      </c>
      <c r="L24" s="209">
        <f t="shared" ref="L24" si="13">J24-K24</f>
        <v>6262175.4400000004</v>
      </c>
      <c r="M24" s="211">
        <v>0.5</v>
      </c>
      <c r="N24" s="207">
        <v>0</v>
      </c>
      <c r="O24" s="207">
        <v>0</v>
      </c>
      <c r="P24" s="207">
        <v>0</v>
      </c>
      <c r="Q24" s="207">
        <v>0</v>
      </c>
      <c r="R24" s="207">
        <v>0</v>
      </c>
      <c r="S24" s="207">
        <v>0</v>
      </c>
      <c r="T24" s="207">
        <v>2087391.81</v>
      </c>
      <c r="U24" s="207">
        <v>2087391.81</v>
      </c>
      <c r="V24" s="207">
        <v>2087391.82</v>
      </c>
      <c r="W24" s="207">
        <v>0</v>
      </c>
      <c r="X24" s="207">
        <v>0</v>
      </c>
      <c r="Y24" s="205">
        <v>0</v>
      </c>
      <c r="Z24" s="1" t="b">
        <f t="shared" ref="Z24:Z64" si="14">K24=SUM(N24:Y24)</f>
        <v>1</v>
      </c>
      <c r="AA24" s="42">
        <f t="shared" ref="AA24:AA64" si="15">ROUND(K24/J24,4)</f>
        <v>0.5</v>
      </c>
      <c r="AB24" s="43" t="b">
        <f t="shared" ref="AB24:AB64" si="16">AA24=M24</f>
        <v>1</v>
      </c>
      <c r="AC24" s="43" t="b">
        <f t="shared" ref="AC24:AC64" si="17">J24=K24+L24</f>
        <v>1</v>
      </c>
    </row>
    <row r="25" spans="1:29" s="142" customFormat="1" ht="48.75" customHeight="1" x14ac:dyDescent="0.25">
      <c r="A25" s="198">
        <v>23</v>
      </c>
      <c r="B25" s="213">
        <v>319</v>
      </c>
      <c r="C25" s="213" t="s">
        <v>64</v>
      </c>
      <c r="D25" s="213" t="s">
        <v>55</v>
      </c>
      <c r="E25" s="213">
        <v>2011</v>
      </c>
      <c r="F25" s="237" t="s">
        <v>108</v>
      </c>
      <c r="G25" s="213" t="s">
        <v>65</v>
      </c>
      <c r="H25" s="201">
        <v>3.11</v>
      </c>
      <c r="I25" s="213" t="s">
        <v>107</v>
      </c>
      <c r="J25" s="210">
        <v>6502000</v>
      </c>
      <c r="K25" s="209">
        <f>ROUNDDOWN(J25*M25,2)</f>
        <v>3251000</v>
      </c>
      <c r="L25" s="209">
        <f>J25-K25</f>
        <v>3251000</v>
      </c>
      <c r="M25" s="211">
        <v>0.5</v>
      </c>
      <c r="N25" s="207">
        <v>0</v>
      </c>
      <c r="O25" s="207">
        <v>0</v>
      </c>
      <c r="P25" s="207">
        <v>0</v>
      </c>
      <c r="Q25" s="207">
        <v>0</v>
      </c>
      <c r="R25" s="207">
        <v>0</v>
      </c>
      <c r="S25" s="207">
        <v>0</v>
      </c>
      <c r="T25" s="207">
        <f>1251000</f>
        <v>1251000</v>
      </c>
      <c r="U25" s="207">
        <v>1000000</v>
      </c>
      <c r="V25" s="207">
        <v>1000000</v>
      </c>
      <c r="W25" s="207">
        <v>0</v>
      </c>
      <c r="X25" s="207">
        <v>0</v>
      </c>
      <c r="Y25" s="205">
        <v>0</v>
      </c>
      <c r="Z25" s="1" t="b">
        <f t="shared" si="14"/>
        <v>1</v>
      </c>
      <c r="AA25" s="42">
        <f t="shared" si="15"/>
        <v>0.5</v>
      </c>
      <c r="AB25" s="43" t="b">
        <f t="shared" si="16"/>
        <v>1</v>
      </c>
      <c r="AC25" s="43" t="b">
        <f t="shared" si="17"/>
        <v>1</v>
      </c>
    </row>
    <row r="26" spans="1:29" s="142" customFormat="1" ht="48.75" customHeight="1" x14ac:dyDescent="0.25">
      <c r="A26" s="198">
        <v>24</v>
      </c>
      <c r="B26" s="213">
        <v>315</v>
      </c>
      <c r="C26" s="213" t="s">
        <v>64</v>
      </c>
      <c r="D26" s="213" t="s">
        <v>55</v>
      </c>
      <c r="E26" s="213">
        <v>2011</v>
      </c>
      <c r="F26" s="237" t="s">
        <v>109</v>
      </c>
      <c r="G26" s="213" t="s">
        <v>66</v>
      </c>
      <c r="H26" s="201">
        <v>2.8319999999999999</v>
      </c>
      <c r="I26" s="213" t="s">
        <v>107</v>
      </c>
      <c r="J26" s="210">
        <v>6212500</v>
      </c>
      <c r="K26" s="209">
        <f t="shared" ref="K26" si="18">ROUNDDOWN(J26*M26,2)</f>
        <v>3106250</v>
      </c>
      <c r="L26" s="209">
        <f t="shared" ref="L26" si="19">J26-K26</f>
        <v>3106250</v>
      </c>
      <c r="M26" s="211">
        <v>0.5</v>
      </c>
      <c r="N26" s="207">
        <v>0</v>
      </c>
      <c r="O26" s="207">
        <v>0</v>
      </c>
      <c r="P26" s="207">
        <v>0</v>
      </c>
      <c r="Q26" s="207">
        <v>0</v>
      </c>
      <c r="R26" s="207">
        <v>0</v>
      </c>
      <c r="S26" s="207">
        <v>0</v>
      </c>
      <c r="T26" s="207">
        <v>606250</v>
      </c>
      <c r="U26" s="207">
        <v>1500000</v>
      </c>
      <c r="V26" s="207">
        <v>1000000</v>
      </c>
      <c r="W26" s="207">
        <v>0</v>
      </c>
      <c r="X26" s="207">
        <v>0</v>
      </c>
      <c r="Y26" s="205">
        <v>0</v>
      </c>
      <c r="Z26" s="1" t="b">
        <f t="shared" si="14"/>
        <v>1</v>
      </c>
      <c r="AA26" s="42">
        <f t="shared" si="15"/>
        <v>0.5</v>
      </c>
      <c r="AB26" s="43" t="b">
        <f t="shared" si="16"/>
        <v>1</v>
      </c>
      <c r="AC26" s="43" t="b">
        <f t="shared" si="17"/>
        <v>1</v>
      </c>
    </row>
    <row r="27" spans="1:29" s="142" customFormat="1" ht="48.75" customHeight="1" x14ac:dyDescent="0.25">
      <c r="A27" s="196">
        <v>25</v>
      </c>
      <c r="B27" s="196">
        <v>130</v>
      </c>
      <c r="C27" s="196" t="s">
        <v>114</v>
      </c>
      <c r="D27" s="216" t="s">
        <v>48</v>
      </c>
      <c r="E27" s="216">
        <v>2002</v>
      </c>
      <c r="F27" s="313" t="s">
        <v>211</v>
      </c>
      <c r="G27" s="216" t="s">
        <v>66</v>
      </c>
      <c r="H27" s="217">
        <v>0.60299999999999998</v>
      </c>
      <c r="I27" s="216" t="s">
        <v>212</v>
      </c>
      <c r="J27" s="218">
        <v>5119671.76</v>
      </c>
      <c r="K27" s="218">
        <f>ROUNDDOWN(J27*M27,2)</f>
        <v>2559835.88</v>
      </c>
      <c r="L27" s="219">
        <f>J27-K27</f>
        <v>2559835.88</v>
      </c>
      <c r="M27" s="220">
        <v>0.5</v>
      </c>
      <c r="N27" s="222">
        <v>0</v>
      </c>
      <c r="O27" s="222">
        <v>0</v>
      </c>
      <c r="P27" s="222">
        <v>0</v>
      </c>
      <c r="Q27" s="222">
        <v>0</v>
      </c>
      <c r="R27" s="222">
        <v>0</v>
      </c>
      <c r="S27" s="222">
        <v>0</v>
      </c>
      <c r="T27" s="221">
        <v>0</v>
      </c>
      <c r="U27" s="221">
        <f>K27</f>
        <v>2559835.88</v>
      </c>
      <c r="V27" s="221">
        <v>0</v>
      </c>
      <c r="W27" s="221">
        <v>0</v>
      </c>
      <c r="X27" s="221">
        <v>0</v>
      </c>
      <c r="Y27" s="222">
        <v>0</v>
      </c>
      <c r="Z27" s="1" t="b">
        <f t="shared" si="14"/>
        <v>1</v>
      </c>
      <c r="AA27" s="42">
        <f t="shared" si="15"/>
        <v>0.5</v>
      </c>
      <c r="AB27" s="43" t="b">
        <f t="shared" si="16"/>
        <v>1</v>
      </c>
      <c r="AC27" s="43" t="b">
        <f t="shared" si="17"/>
        <v>1</v>
      </c>
    </row>
    <row r="28" spans="1:29" s="142" customFormat="1" ht="48.75" customHeight="1" x14ac:dyDescent="0.25">
      <c r="A28" s="198">
        <v>26</v>
      </c>
      <c r="B28" s="198">
        <v>70</v>
      </c>
      <c r="C28" s="198" t="s">
        <v>483</v>
      </c>
      <c r="D28" s="199" t="s">
        <v>202</v>
      </c>
      <c r="E28" s="199">
        <v>2009</v>
      </c>
      <c r="F28" s="314" t="s">
        <v>213</v>
      </c>
      <c r="G28" s="199" t="s">
        <v>65</v>
      </c>
      <c r="H28" s="201">
        <v>0.52300000000000002</v>
      </c>
      <c r="I28" s="199" t="s">
        <v>214</v>
      </c>
      <c r="J28" s="210">
        <v>2278000</v>
      </c>
      <c r="K28" s="210">
        <f t="shared" ref="K28:K63" si="20">ROUNDDOWN(J28*M28,2)</f>
        <v>1139000</v>
      </c>
      <c r="L28" s="209">
        <f t="shared" ref="L28:L64" si="21">J28-K28</f>
        <v>1139000</v>
      </c>
      <c r="M28" s="211">
        <v>0.5</v>
      </c>
      <c r="N28" s="207">
        <v>0</v>
      </c>
      <c r="O28" s="207">
        <v>0</v>
      </c>
      <c r="P28" s="207">
        <v>0</v>
      </c>
      <c r="Q28" s="207">
        <v>0</v>
      </c>
      <c r="R28" s="207">
        <v>0</v>
      </c>
      <c r="S28" s="207">
        <v>0</v>
      </c>
      <c r="T28" s="207">
        <v>0</v>
      </c>
      <c r="U28" s="207">
        <f>670000*M28</f>
        <v>335000</v>
      </c>
      <c r="V28" s="207">
        <f>1608000*M28</f>
        <v>804000</v>
      </c>
      <c r="W28" s="207">
        <v>0</v>
      </c>
      <c r="X28" s="207">
        <v>0</v>
      </c>
      <c r="Y28" s="205">
        <v>0</v>
      </c>
      <c r="Z28" s="1" t="b">
        <f t="shared" si="14"/>
        <v>1</v>
      </c>
      <c r="AA28" s="42">
        <f t="shared" si="15"/>
        <v>0.5</v>
      </c>
      <c r="AB28" s="43" t="b">
        <f t="shared" si="16"/>
        <v>1</v>
      </c>
      <c r="AC28" s="43" t="b">
        <f t="shared" si="17"/>
        <v>1</v>
      </c>
    </row>
    <row r="29" spans="1:29" s="142" customFormat="1" ht="48.75" customHeight="1" x14ac:dyDescent="0.25">
      <c r="A29" s="198">
        <v>27</v>
      </c>
      <c r="B29" s="198">
        <v>313</v>
      </c>
      <c r="C29" s="198" t="s">
        <v>483</v>
      </c>
      <c r="D29" s="199" t="s">
        <v>200</v>
      </c>
      <c r="E29" s="199">
        <v>2001000</v>
      </c>
      <c r="F29" s="314" t="s">
        <v>215</v>
      </c>
      <c r="G29" s="199" t="s">
        <v>66</v>
      </c>
      <c r="H29" s="201">
        <v>6.33</v>
      </c>
      <c r="I29" s="199" t="s">
        <v>216</v>
      </c>
      <c r="J29" s="210">
        <v>12252860</v>
      </c>
      <c r="K29" s="210">
        <f t="shared" si="20"/>
        <v>6126430</v>
      </c>
      <c r="L29" s="209">
        <f t="shared" si="21"/>
        <v>6126430</v>
      </c>
      <c r="M29" s="211">
        <v>0.5</v>
      </c>
      <c r="N29" s="207">
        <v>0</v>
      </c>
      <c r="O29" s="207">
        <v>0</v>
      </c>
      <c r="P29" s="207">
        <v>0</v>
      </c>
      <c r="Q29" s="207">
        <v>0</v>
      </c>
      <c r="R29" s="207">
        <v>0</v>
      </c>
      <c r="S29" s="207">
        <v>0</v>
      </c>
      <c r="T29" s="207">
        <v>0</v>
      </c>
      <c r="U29" s="207">
        <f>3871361*M29</f>
        <v>1935680.5</v>
      </c>
      <c r="V29" s="207">
        <f>5226338*M29</f>
        <v>2613169</v>
      </c>
      <c r="W29" s="207">
        <f>3155161*M29</f>
        <v>1577580.5</v>
      </c>
      <c r="X29" s="207">
        <v>0</v>
      </c>
      <c r="Y29" s="205">
        <v>0</v>
      </c>
      <c r="Z29" s="1" t="b">
        <f t="shared" si="14"/>
        <v>1</v>
      </c>
      <c r="AA29" s="42">
        <f t="shared" si="15"/>
        <v>0.5</v>
      </c>
      <c r="AB29" s="43" t="b">
        <f t="shared" si="16"/>
        <v>1</v>
      </c>
      <c r="AC29" s="43" t="b">
        <f t="shared" si="17"/>
        <v>1</v>
      </c>
    </row>
    <row r="30" spans="1:29" s="142" customFormat="1" ht="48.75" customHeight="1" x14ac:dyDescent="0.25">
      <c r="A30" s="196">
        <v>28</v>
      </c>
      <c r="B30" s="196">
        <v>72</v>
      </c>
      <c r="C30" s="196" t="s">
        <v>114</v>
      </c>
      <c r="D30" s="216" t="s">
        <v>202</v>
      </c>
      <c r="E30" s="216">
        <v>2009</v>
      </c>
      <c r="F30" s="313" t="s">
        <v>217</v>
      </c>
      <c r="G30" s="216" t="s">
        <v>65</v>
      </c>
      <c r="H30" s="217">
        <v>1.77</v>
      </c>
      <c r="I30" s="216" t="s">
        <v>218</v>
      </c>
      <c r="J30" s="218">
        <v>2688000</v>
      </c>
      <c r="K30" s="218">
        <f t="shared" si="20"/>
        <v>1344000</v>
      </c>
      <c r="L30" s="219">
        <f t="shared" si="21"/>
        <v>1344000</v>
      </c>
      <c r="M30" s="220">
        <v>0.5</v>
      </c>
      <c r="N30" s="221">
        <v>0</v>
      </c>
      <c r="O30" s="221">
        <v>0</v>
      </c>
      <c r="P30" s="221">
        <v>0</v>
      </c>
      <c r="Q30" s="221">
        <v>0</v>
      </c>
      <c r="R30" s="221">
        <v>0</v>
      </c>
      <c r="S30" s="221">
        <v>0</v>
      </c>
      <c r="T30" s="221">
        <v>0</v>
      </c>
      <c r="U30" s="221">
        <f>K30</f>
        <v>1344000</v>
      </c>
      <c r="V30" s="221">
        <v>0</v>
      </c>
      <c r="W30" s="221">
        <v>0</v>
      </c>
      <c r="X30" s="221">
        <v>0</v>
      </c>
      <c r="Y30" s="222">
        <v>0</v>
      </c>
      <c r="Z30" s="1" t="b">
        <f t="shared" si="14"/>
        <v>1</v>
      </c>
      <c r="AA30" s="42">
        <f t="shared" si="15"/>
        <v>0.5</v>
      </c>
      <c r="AB30" s="43" t="b">
        <f t="shared" si="16"/>
        <v>1</v>
      </c>
      <c r="AC30" s="43" t="b">
        <f t="shared" si="17"/>
        <v>1</v>
      </c>
    </row>
    <row r="31" spans="1:29" s="142" customFormat="1" ht="48.75" customHeight="1" x14ac:dyDescent="0.25">
      <c r="A31" s="196">
        <v>29</v>
      </c>
      <c r="B31" s="196">
        <v>374</v>
      </c>
      <c r="C31" s="196" t="s">
        <v>114</v>
      </c>
      <c r="D31" s="216" t="s">
        <v>56</v>
      </c>
      <c r="E31" s="216">
        <v>2013</v>
      </c>
      <c r="F31" s="313" t="s">
        <v>219</v>
      </c>
      <c r="G31" s="216" t="s">
        <v>67</v>
      </c>
      <c r="H31" s="217">
        <v>1.2649999999999999</v>
      </c>
      <c r="I31" s="216" t="s">
        <v>220</v>
      </c>
      <c r="J31" s="218">
        <v>1964750</v>
      </c>
      <c r="K31" s="218">
        <f t="shared" si="20"/>
        <v>982375</v>
      </c>
      <c r="L31" s="219">
        <f t="shared" si="21"/>
        <v>982375</v>
      </c>
      <c r="M31" s="220">
        <v>0.5</v>
      </c>
      <c r="N31" s="221">
        <v>0</v>
      </c>
      <c r="O31" s="221">
        <v>0</v>
      </c>
      <c r="P31" s="221">
        <v>0</v>
      </c>
      <c r="Q31" s="221">
        <v>0</v>
      </c>
      <c r="R31" s="221">
        <v>0</v>
      </c>
      <c r="S31" s="221">
        <v>0</v>
      </c>
      <c r="T31" s="221">
        <v>0</v>
      </c>
      <c r="U31" s="221">
        <f>K31</f>
        <v>982375</v>
      </c>
      <c r="V31" s="221">
        <v>0</v>
      </c>
      <c r="W31" s="221">
        <v>0</v>
      </c>
      <c r="X31" s="221">
        <v>0</v>
      </c>
      <c r="Y31" s="222">
        <v>0</v>
      </c>
      <c r="Z31" s="1" t="b">
        <f t="shared" si="14"/>
        <v>1</v>
      </c>
      <c r="AA31" s="42">
        <f t="shared" si="15"/>
        <v>0.5</v>
      </c>
      <c r="AB31" s="43" t="b">
        <f t="shared" si="16"/>
        <v>1</v>
      </c>
      <c r="AC31" s="43" t="b">
        <f t="shared" si="17"/>
        <v>1</v>
      </c>
    </row>
    <row r="32" spans="1:29" s="142" customFormat="1" ht="48.75" customHeight="1" x14ac:dyDescent="0.25">
      <c r="A32" s="198">
        <v>30</v>
      </c>
      <c r="B32" s="198">
        <v>331</v>
      </c>
      <c r="C32" s="198" t="s">
        <v>483</v>
      </c>
      <c r="D32" s="199" t="s">
        <v>52</v>
      </c>
      <c r="E32" s="199">
        <v>2007</v>
      </c>
      <c r="F32" s="314" t="s">
        <v>221</v>
      </c>
      <c r="G32" s="199" t="s">
        <v>66</v>
      </c>
      <c r="H32" s="201">
        <v>0.75</v>
      </c>
      <c r="I32" s="199" t="s">
        <v>222</v>
      </c>
      <c r="J32" s="210">
        <v>7006000</v>
      </c>
      <c r="K32" s="210">
        <f t="shared" si="20"/>
        <v>3503000</v>
      </c>
      <c r="L32" s="209">
        <f t="shared" si="21"/>
        <v>3503000</v>
      </c>
      <c r="M32" s="211">
        <v>0.5</v>
      </c>
      <c r="N32" s="207">
        <v>0</v>
      </c>
      <c r="O32" s="207">
        <v>0</v>
      </c>
      <c r="P32" s="207">
        <v>0</v>
      </c>
      <c r="Q32" s="207">
        <v>0</v>
      </c>
      <c r="R32" s="207">
        <v>0</v>
      </c>
      <c r="S32" s="207">
        <v>0</v>
      </c>
      <c r="T32" s="207">
        <v>0</v>
      </c>
      <c r="U32" s="207">
        <f>5000*M32</f>
        <v>2500</v>
      </c>
      <c r="V32" s="207">
        <f>500000*M32</f>
        <v>250000</v>
      </c>
      <c r="W32" s="207">
        <f>6501000*M32</f>
        <v>3250500</v>
      </c>
      <c r="X32" s="207">
        <v>0</v>
      </c>
      <c r="Y32" s="205">
        <v>0</v>
      </c>
      <c r="Z32" s="1" t="b">
        <f t="shared" si="14"/>
        <v>1</v>
      </c>
      <c r="AA32" s="42">
        <f t="shared" si="15"/>
        <v>0.5</v>
      </c>
      <c r="AB32" s="43" t="b">
        <f t="shared" si="16"/>
        <v>1</v>
      </c>
      <c r="AC32" s="43" t="b">
        <f t="shared" si="17"/>
        <v>1</v>
      </c>
    </row>
    <row r="33" spans="1:29" s="142" customFormat="1" ht="48.75" customHeight="1" x14ac:dyDescent="0.25">
      <c r="A33" s="198">
        <v>31</v>
      </c>
      <c r="B33" s="198">
        <v>251</v>
      </c>
      <c r="C33" s="198" t="s">
        <v>483</v>
      </c>
      <c r="D33" s="199" t="s">
        <v>139</v>
      </c>
      <c r="E33" s="199">
        <v>2063011</v>
      </c>
      <c r="F33" s="314" t="s">
        <v>223</v>
      </c>
      <c r="G33" s="199" t="s">
        <v>65</v>
      </c>
      <c r="H33" s="201">
        <v>0.9</v>
      </c>
      <c r="I33" s="199" t="s">
        <v>224</v>
      </c>
      <c r="J33" s="210">
        <v>5242020</v>
      </c>
      <c r="K33" s="210">
        <f t="shared" si="20"/>
        <v>2621010</v>
      </c>
      <c r="L33" s="209">
        <f t="shared" si="21"/>
        <v>2621010</v>
      </c>
      <c r="M33" s="211">
        <v>0.5</v>
      </c>
      <c r="N33" s="207">
        <v>0</v>
      </c>
      <c r="O33" s="207">
        <v>0</v>
      </c>
      <c r="P33" s="207">
        <v>0</v>
      </c>
      <c r="Q33" s="207">
        <v>0</v>
      </c>
      <c r="R33" s="207">
        <v>0</v>
      </c>
      <c r="S33" s="207">
        <v>0</v>
      </c>
      <c r="T33" s="207">
        <v>0</v>
      </c>
      <c r="U33" s="207">
        <f>1572606*M33</f>
        <v>786303</v>
      </c>
      <c r="V33" s="207">
        <f>3669414*M33</f>
        <v>1834707</v>
      </c>
      <c r="W33" s="207">
        <v>0</v>
      </c>
      <c r="X33" s="207">
        <v>0</v>
      </c>
      <c r="Y33" s="205">
        <v>0</v>
      </c>
      <c r="Z33" s="1" t="b">
        <f t="shared" si="14"/>
        <v>1</v>
      </c>
      <c r="AA33" s="42">
        <f t="shared" si="15"/>
        <v>0.5</v>
      </c>
      <c r="AB33" s="43" t="b">
        <f t="shared" si="16"/>
        <v>1</v>
      </c>
      <c r="AC33" s="43" t="b">
        <f t="shared" si="17"/>
        <v>1</v>
      </c>
    </row>
    <row r="34" spans="1:29" s="142" customFormat="1" ht="48.75" customHeight="1" x14ac:dyDescent="0.25">
      <c r="A34" s="196">
        <v>32</v>
      </c>
      <c r="B34" s="196">
        <v>172</v>
      </c>
      <c r="C34" s="196" t="s">
        <v>114</v>
      </c>
      <c r="D34" s="216" t="s">
        <v>50</v>
      </c>
      <c r="E34" s="216">
        <v>2004</v>
      </c>
      <c r="F34" s="313" t="s">
        <v>225</v>
      </c>
      <c r="G34" s="216" t="s">
        <v>65</v>
      </c>
      <c r="H34" s="217">
        <v>0.57199999999999995</v>
      </c>
      <c r="I34" s="216" t="s">
        <v>226</v>
      </c>
      <c r="J34" s="218">
        <v>3737930.45</v>
      </c>
      <c r="K34" s="218">
        <f t="shared" si="20"/>
        <v>1868965.22</v>
      </c>
      <c r="L34" s="219">
        <f t="shared" si="21"/>
        <v>1868965.2300000002</v>
      </c>
      <c r="M34" s="220">
        <v>0.5</v>
      </c>
      <c r="N34" s="221">
        <v>0</v>
      </c>
      <c r="O34" s="221">
        <v>0</v>
      </c>
      <c r="P34" s="221">
        <v>0</v>
      </c>
      <c r="Q34" s="221">
        <v>0</v>
      </c>
      <c r="R34" s="221">
        <v>0</v>
      </c>
      <c r="S34" s="221">
        <v>0</v>
      </c>
      <c r="T34" s="221">
        <v>0</v>
      </c>
      <c r="U34" s="221">
        <f>K34</f>
        <v>1868965.22</v>
      </c>
      <c r="V34" s="221">
        <v>0</v>
      </c>
      <c r="W34" s="221">
        <v>0</v>
      </c>
      <c r="X34" s="221">
        <v>0</v>
      </c>
      <c r="Y34" s="222">
        <v>0</v>
      </c>
      <c r="Z34" s="1" t="b">
        <f t="shared" si="14"/>
        <v>1</v>
      </c>
      <c r="AA34" s="42">
        <f t="shared" si="15"/>
        <v>0.5</v>
      </c>
      <c r="AB34" s="43" t="b">
        <f t="shared" si="16"/>
        <v>1</v>
      </c>
      <c r="AC34" s="43" t="b">
        <f t="shared" si="17"/>
        <v>1</v>
      </c>
    </row>
    <row r="35" spans="1:29" s="142" customFormat="1" ht="48.75" customHeight="1" x14ac:dyDescent="0.25">
      <c r="A35" s="198">
        <v>33</v>
      </c>
      <c r="B35" s="198">
        <v>180</v>
      </c>
      <c r="C35" s="198" t="s">
        <v>483</v>
      </c>
      <c r="D35" s="199" t="s">
        <v>54</v>
      </c>
      <c r="E35" s="199">
        <v>2010</v>
      </c>
      <c r="F35" s="314" t="s">
        <v>227</v>
      </c>
      <c r="G35" s="199" t="s">
        <v>67</v>
      </c>
      <c r="H35" s="201">
        <v>7.2880000000000003</v>
      </c>
      <c r="I35" s="199" t="s">
        <v>228</v>
      </c>
      <c r="J35" s="210">
        <v>11441391.83</v>
      </c>
      <c r="K35" s="210">
        <f t="shared" si="20"/>
        <v>5720695.9100000001</v>
      </c>
      <c r="L35" s="209">
        <f t="shared" si="21"/>
        <v>5720695.9199999999</v>
      </c>
      <c r="M35" s="211">
        <v>0.5</v>
      </c>
      <c r="N35" s="207">
        <v>0</v>
      </c>
      <c r="O35" s="207">
        <v>0</v>
      </c>
      <c r="P35" s="207">
        <v>0</v>
      </c>
      <c r="Q35" s="207">
        <v>0</v>
      </c>
      <c r="R35" s="207">
        <v>0</v>
      </c>
      <c r="S35" s="207">
        <v>0</v>
      </c>
      <c r="T35" s="207">
        <v>0</v>
      </c>
      <c r="U35" s="207">
        <f>ROUNDDOWN(3432417.55*M35,2)</f>
        <v>1716208.77</v>
      </c>
      <c r="V35" s="207">
        <f>8008974.28*M35</f>
        <v>4004487.14</v>
      </c>
      <c r="W35" s="207">
        <v>0</v>
      </c>
      <c r="X35" s="207">
        <v>0</v>
      </c>
      <c r="Y35" s="205">
        <v>0</v>
      </c>
      <c r="Z35" s="1" t="b">
        <f t="shared" si="14"/>
        <v>1</v>
      </c>
      <c r="AA35" s="42">
        <f t="shared" si="15"/>
        <v>0.5</v>
      </c>
      <c r="AB35" s="43" t="b">
        <f t="shared" si="16"/>
        <v>1</v>
      </c>
      <c r="AC35" s="43" t="b">
        <f t="shared" si="17"/>
        <v>1</v>
      </c>
    </row>
    <row r="36" spans="1:29" s="142" customFormat="1" ht="48.75" customHeight="1" x14ac:dyDescent="0.25">
      <c r="A36" s="196">
        <v>34</v>
      </c>
      <c r="B36" s="196">
        <v>124</v>
      </c>
      <c r="C36" s="196" t="s">
        <v>114</v>
      </c>
      <c r="D36" s="216" t="s">
        <v>48</v>
      </c>
      <c r="E36" s="216">
        <v>2002</v>
      </c>
      <c r="F36" s="313" t="s">
        <v>229</v>
      </c>
      <c r="G36" s="216" t="s">
        <v>66</v>
      </c>
      <c r="H36" s="217">
        <v>1.5</v>
      </c>
      <c r="I36" s="216" t="s">
        <v>212</v>
      </c>
      <c r="J36" s="218">
        <v>5054000</v>
      </c>
      <c r="K36" s="218">
        <f t="shared" si="20"/>
        <v>2527000</v>
      </c>
      <c r="L36" s="219">
        <f t="shared" si="21"/>
        <v>2527000</v>
      </c>
      <c r="M36" s="220">
        <v>0.5</v>
      </c>
      <c r="N36" s="221">
        <v>0</v>
      </c>
      <c r="O36" s="221">
        <v>0</v>
      </c>
      <c r="P36" s="221">
        <v>0</v>
      </c>
      <c r="Q36" s="221">
        <v>0</v>
      </c>
      <c r="R36" s="221">
        <v>0</v>
      </c>
      <c r="S36" s="221">
        <v>0</v>
      </c>
      <c r="T36" s="221">
        <v>0</v>
      </c>
      <c r="U36" s="221">
        <f>K36</f>
        <v>2527000</v>
      </c>
      <c r="V36" s="221">
        <v>0</v>
      </c>
      <c r="W36" s="221">
        <v>0</v>
      </c>
      <c r="X36" s="221">
        <v>0</v>
      </c>
      <c r="Y36" s="222">
        <v>0</v>
      </c>
      <c r="Z36" s="1" t="b">
        <f t="shared" si="14"/>
        <v>1</v>
      </c>
      <c r="AA36" s="42">
        <f t="shared" si="15"/>
        <v>0.5</v>
      </c>
      <c r="AB36" s="43" t="b">
        <f t="shared" si="16"/>
        <v>1</v>
      </c>
      <c r="AC36" s="43" t="b">
        <f t="shared" si="17"/>
        <v>1</v>
      </c>
    </row>
    <row r="37" spans="1:29" s="142" customFormat="1" ht="48.75" customHeight="1" x14ac:dyDescent="0.25">
      <c r="A37" s="196">
        <v>35</v>
      </c>
      <c r="B37" s="196">
        <v>12</v>
      </c>
      <c r="C37" s="196" t="s">
        <v>114</v>
      </c>
      <c r="D37" s="216" t="s">
        <v>203</v>
      </c>
      <c r="E37" s="216">
        <v>2012</v>
      </c>
      <c r="F37" s="313" t="s">
        <v>230</v>
      </c>
      <c r="G37" s="216" t="s">
        <v>65</v>
      </c>
      <c r="H37" s="217">
        <v>1.4490000000000001</v>
      </c>
      <c r="I37" s="216" t="s">
        <v>231</v>
      </c>
      <c r="J37" s="218">
        <v>8050000</v>
      </c>
      <c r="K37" s="218">
        <f t="shared" si="20"/>
        <v>4025000</v>
      </c>
      <c r="L37" s="219">
        <f t="shared" si="21"/>
        <v>4025000</v>
      </c>
      <c r="M37" s="220">
        <v>0.5</v>
      </c>
      <c r="N37" s="221">
        <v>0</v>
      </c>
      <c r="O37" s="221">
        <v>0</v>
      </c>
      <c r="P37" s="221">
        <v>0</v>
      </c>
      <c r="Q37" s="221">
        <v>0</v>
      </c>
      <c r="R37" s="221">
        <v>0</v>
      </c>
      <c r="S37" s="221">
        <v>0</v>
      </c>
      <c r="T37" s="221">
        <v>0</v>
      </c>
      <c r="U37" s="221">
        <f>K37</f>
        <v>4025000</v>
      </c>
      <c r="V37" s="221">
        <v>0</v>
      </c>
      <c r="W37" s="221">
        <v>0</v>
      </c>
      <c r="X37" s="221">
        <v>0</v>
      </c>
      <c r="Y37" s="222">
        <v>0</v>
      </c>
      <c r="Z37" s="1" t="b">
        <f t="shared" si="14"/>
        <v>1</v>
      </c>
      <c r="AA37" s="42">
        <f t="shared" si="15"/>
        <v>0.5</v>
      </c>
      <c r="AB37" s="43" t="b">
        <f t="shared" si="16"/>
        <v>1</v>
      </c>
      <c r="AC37" s="43" t="b">
        <f t="shared" si="17"/>
        <v>1</v>
      </c>
    </row>
    <row r="38" spans="1:29" s="142" customFormat="1" ht="48.75" customHeight="1" x14ac:dyDescent="0.25">
      <c r="A38" s="196">
        <v>36</v>
      </c>
      <c r="B38" s="196">
        <v>156</v>
      </c>
      <c r="C38" s="196" t="s">
        <v>114</v>
      </c>
      <c r="D38" s="216" t="s">
        <v>57</v>
      </c>
      <c r="E38" s="216">
        <v>2014</v>
      </c>
      <c r="F38" s="313" t="s">
        <v>232</v>
      </c>
      <c r="G38" s="216" t="s">
        <v>66</v>
      </c>
      <c r="H38" s="217">
        <v>0.16400000000000001</v>
      </c>
      <c r="I38" s="216" t="s">
        <v>233</v>
      </c>
      <c r="J38" s="218">
        <v>6036000</v>
      </c>
      <c r="K38" s="218">
        <f t="shared" si="20"/>
        <v>3018000</v>
      </c>
      <c r="L38" s="219">
        <f t="shared" si="21"/>
        <v>3018000</v>
      </c>
      <c r="M38" s="220">
        <v>0.5</v>
      </c>
      <c r="N38" s="221">
        <v>0</v>
      </c>
      <c r="O38" s="221">
        <v>0</v>
      </c>
      <c r="P38" s="221">
        <v>0</v>
      </c>
      <c r="Q38" s="221">
        <v>0</v>
      </c>
      <c r="R38" s="221">
        <v>0</v>
      </c>
      <c r="S38" s="221">
        <v>0</v>
      </c>
      <c r="T38" s="221">
        <v>0</v>
      </c>
      <c r="U38" s="221">
        <f>K38</f>
        <v>3018000</v>
      </c>
      <c r="V38" s="221">
        <v>0</v>
      </c>
      <c r="W38" s="221">
        <v>0</v>
      </c>
      <c r="X38" s="221">
        <v>0</v>
      </c>
      <c r="Y38" s="222">
        <v>0</v>
      </c>
      <c r="Z38" s="1" t="b">
        <f t="shared" si="14"/>
        <v>1</v>
      </c>
      <c r="AA38" s="42">
        <f t="shared" si="15"/>
        <v>0.5</v>
      </c>
      <c r="AB38" s="43" t="b">
        <f t="shared" si="16"/>
        <v>1</v>
      </c>
      <c r="AC38" s="43" t="b">
        <f t="shared" si="17"/>
        <v>1</v>
      </c>
    </row>
    <row r="39" spans="1:29" s="142" customFormat="1" ht="48.75" customHeight="1" x14ac:dyDescent="0.25">
      <c r="A39" s="196">
        <v>37</v>
      </c>
      <c r="B39" s="196">
        <v>174</v>
      </c>
      <c r="C39" s="196" t="s">
        <v>114</v>
      </c>
      <c r="D39" s="216" t="s">
        <v>50</v>
      </c>
      <c r="E39" s="216">
        <v>2004</v>
      </c>
      <c r="F39" s="313" t="s">
        <v>234</v>
      </c>
      <c r="G39" s="216" t="s">
        <v>66</v>
      </c>
      <c r="H39" s="217">
        <v>3.589</v>
      </c>
      <c r="I39" s="216" t="s">
        <v>235</v>
      </c>
      <c r="J39" s="218">
        <v>6822100</v>
      </c>
      <c r="K39" s="218">
        <f t="shared" si="20"/>
        <v>3411050</v>
      </c>
      <c r="L39" s="219">
        <f t="shared" si="21"/>
        <v>3411050</v>
      </c>
      <c r="M39" s="220">
        <v>0.5</v>
      </c>
      <c r="N39" s="221">
        <v>0</v>
      </c>
      <c r="O39" s="221">
        <v>0</v>
      </c>
      <c r="P39" s="221">
        <v>0</v>
      </c>
      <c r="Q39" s="221">
        <v>0</v>
      </c>
      <c r="R39" s="221">
        <v>0</v>
      </c>
      <c r="S39" s="221">
        <v>0</v>
      </c>
      <c r="T39" s="221">
        <v>0</v>
      </c>
      <c r="U39" s="221">
        <f>K39</f>
        <v>3411050</v>
      </c>
      <c r="V39" s="221">
        <v>0</v>
      </c>
      <c r="W39" s="221">
        <v>0</v>
      </c>
      <c r="X39" s="221">
        <v>0</v>
      </c>
      <c r="Y39" s="222">
        <v>0</v>
      </c>
      <c r="Z39" s="1" t="b">
        <f t="shared" si="14"/>
        <v>1</v>
      </c>
      <c r="AA39" s="42">
        <f t="shared" si="15"/>
        <v>0.5</v>
      </c>
      <c r="AB39" s="43" t="b">
        <f t="shared" si="16"/>
        <v>1</v>
      </c>
      <c r="AC39" s="43" t="b">
        <f t="shared" si="17"/>
        <v>1</v>
      </c>
    </row>
    <row r="40" spans="1:29" s="142" customFormat="1" ht="48.75" customHeight="1" x14ac:dyDescent="0.25">
      <c r="A40" s="198">
        <v>38</v>
      </c>
      <c r="B40" s="198">
        <v>376</v>
      </c>
      <c r="C40" s="198" t="s">
        <v>483</v>
      </c>
      <c r="D40" s="199" t="s">
        <v>56</v>
      </c>
      <c r="E40" s="199">
        <v>2013</v>
      </c>
      <c r="F40" s="314" t="s">
        <v>236</v>
      </c>
      <c r="G40" s="199" t="s">
        <v>66</v>
      </c>
      <c r="H40" s="201">
        <v>0.7</v>
      </c>
      <c r="I40" s="199" t="s">
        <v>237</v>
      </c>
      <c r="J40" s="210">
        <v>4004000</v>
      </c>
      <c r="K40" s="210">
        <f t="shared" si="20"/>
        <v>2002000</v>
      </c>
      <c r="L40" s="209">
        <f t="shared" si="21"/>
        <v>2002000</v>
      </c>
      <c r="M40" s="211">
        <v>0.5</v>
      </c>
      <c r="N40" s="207">
        <v>0</v>
      </c>
      <c r="O40" s="207">
        <v>0</v>
      </c>
      <c r="P40" s="207">
        <v>0</v>
      </c>
      <c r="Q40" s="207">
        <v>0</v>
      </c>
      <c r="R40" s="207">
        <v>0</v>
      </c>
      <c r="S40" s="207">
        <v>0</v>
      </c>
      <c r="T40" s="207">
        <v>0</v>
      </c>
      <c r="U40" s="207">
        <f>404000*M40</f>
        <v>202000</v>
      </c>
      <c r="V40" s="207">
        <f>3600000*M40</f>
        <v>1800000</v>
      </c>
      <c r="W40" s="207">
        <v>0</v>
      </c>
      <c r="X40" s="207">
        <v>0</v>
      </c>
      <c r="Y40" s="205">
        <v>0</v>
      </c>
      <c r="Z40" s="1" t="b">
        <f t="shared" si="14"/>
        <v>1</v>
      </c>
      <c r="AA40" s="42">
        <f t="shared" si="15"/>
        <v>0.5</v>
      </c>
      <c r="AB40" s="43" t="b">
        <f t="shared" si="16"/>
        <v>1</v>
      </c>
      <c r="AC40" s="43" t="b">
        <f t="shared" si="17"/>
        <v>1</v>
      </c>
    </row>
    <row r="41" spans="1:29" s="142" customFormat="1" ht="48.75" customHeight="1" x14ac:dyDescent="0.25">
      <c r="A41" s="198">
        <v>39</v>
      </c>
      <c r="B41" s="198">
        <v>425</v>
      </c>
      <c r="C41" s="198" t="s">
        <v>483</v>
      </c>
      <c r="D41" s="199" t="s">
        <v>55</v>
      </c>
      <c r="E41" s="199">
        <v>2011</v>
      </c>
      <c r="F41" s="314" t="s">
        <v>238</v>
      </c>
      <c r="G41" s="199" t="s">
        <v>66</v>
      </c>
      <c r="H41" s="201">
        <v>13.5</v>
      </c>
      <c r="I41" s="199" t="s">
        <v>239</v>
      </c>
      <c r="J41" s="210">
        <v>21114500</v>
      </c>
      <c r="K41" s="210">
        <f t="shared" si="20"/>
        <v>10557250</v>
      </c>
      <c r="L41" s="209">
        <f t="shared" si="21"/>
        <v>10557250</v>
      </c>
      <c r="M41" s="211">
        <v>0.5</v>
      </c>
      <c r="N41" s="207">
        <v>0</v>
      </c>
      <c r="O41" s="207">
        <v>0</v>
      </c>
      <c r="P41" s="207">
        <v>0</v>
      </c>
      <c r="Q41" s="207">
        <v>0</v>
      </c>
      <c r="R41" s="207">
        <v>0</v>
      </c>
      <c r="S41" s="207">
        <v>0</v>
      </c>
      <c r="T41" s="207">
        <v>0</v>
      </c>
      <c r="U41" s="207">
        <f>1053000*M41</f>
        <v>526500</v>
      </c>
      <c r="V41" s="207">
        <f>10003500*M41</f>
        <v>5001750</v>
      </c>
      <c r="W41" s="207">
        <f>10058000*M41</f>
        <v>5029000</v>
      </c>
      <c r="X41" s="207">
        <v>0</v>
      </c>
      <c r="Y41" s="205">
        <v>0</v>
      </c>
      <c r="Z41" s="1" t="b">
        <f t="shared" si="14"/>
        <v>1</v>
      </c>
      <c r="AA41" s="42">
        <f t="shared" si="15"/>
        <v>0.5</v>
      </c>
      <c r="AB41" s="43" t="b">
        <f t="shared" si="16"/>
        <v>1</v>
      </c>
      <c r="AC41" s="43" t="b">
        <f t="shared" si="17"/>
        <v>1</v>
      </c>
    </row>
    <row r="42" spans="1:29" s="142" customFormat="1" ht="48.75" customHeight="1" x14ac:dyDescent="0.25">
      <c r="A42" s="196">
        <v>40</v>
      </c>
      <c r="B42" s="196">
        <v>171</v>
      </c>
      <c r="C42" s="196" t="s">
        <v>114</v>
      </c>
      <c r="D42" s="216" t="s">
        <v>50</v>
      </c>
      <c r="E42" s="216">
        <v>2004</v>
      </c>
      <c r="F42" s="313" t="s">
        <v>240</v>
      </c>
      <c r="G42" s="216" t="s">
        <v>65</v>
      </c>
      <c r="H42" s="217">
        <v>4.04</v>
      </c>
      <c r="I42" s="216" t="s">
        <v>226</v>
      </c>
      <c r="J42" s="218">
        <v>11327144.199999999</v>
      </c>
      <c r="K42" s="218">
        <f t="shared" si="20"/>
        <v>5663572.0999999996</v>
      </c>
      <c r="L42" s="219">
        <f t="shared" si="21"/>
        <v>5663572.0999999996</v>
      </c>
      <c r="M42" s="220">
        <v>0.5</v>
      </c>
      <c r="N42" s="221">
        <v>0</v>
      </c>
      <c r="O42" s="221">
        <v>0</v>
      </c>
      <c r="P42" s="221">
        <v>0</v>
      </c>
      <c r="Q42" s="221">
        <v>0</v>
      </c>
      <c r="R42" s="221">
        <v>0</v>
      </c>
      <c r="S42" s="221">
        <v>0</v>
      </c>
      <c r="T42" s="221">
        <v>0</v>
      </c>
      <c r="U42" s="221">
        <f>K42</f>
        <v>5663572.0999999996</v>
      </c>
      <c r="V42" s="221">
        <v>0</v>
      </c>
      <c r="W42" s="221">
        <v>0</v>
      </c>
      <c r="X42" s="221">
        <v>0</v>
      </c>
      <c r="Y42" s="222">
        <v>0</v>
      </c>
      <c r="Z42" s="1" t="b">
        <f t="shared" si="14"/>
        <v>1</v>
      </c>
      <c r="AA42" s="42">
        <f t="shared" si="15"/>
        <v>0.5</v>
      </c>
      <c r="AB42" s="43" t="b">
        <f t="shared" si="16"/>
        <v>1</v>
      </c>
      <c r="AC42" s="43" t="b">
        <f t="shared" si="17"/>
        <v>1</v>
      </c>
    </row>
    <row r="43" spans="1:29" s="142" customFormat="1" ht="48.75" customHeight="1" x14ac:dyDescent="0.25">
      <c r="A43" s="196">
        <v>41</v>
      </c>
      <c r="B43" s="196">
        <v>179</v>
      </c>
      <c r="C43" s="196" t="s">
        <v>114</v>
      </c>
      <c r="D43" s="216" t="s">
        <v>54</v>
      </c>
      <c r="E43" s="216">
        <v>2010</v>
      </c>
      <c r="F43" s="313" t="s">
        <v>241</v>
      </c>
      <c r="G43" s="216" t="s">
        <v>65</v>
      </c>
      <c r="H43" s="217">
        <v>2.3679999999999999</v>
      </c>
      <c r="I43" s="216" t="s">
        <v>242</v>
      </c>
      <c r="J43" s="218">
        <v>4381842.9000000004</v>
      </c>
      <c r="K43" s="218">
        <f t="shared" si="20"/>
        <v>2190921.4500000002</v>
      </c>
      <c r="L43" s="219">
        <f t="shared" si="21"/>
        <v>2190921.4500000002</v>
      </c>
      <c r="M43" s="220">
        <v>0.5</v>
      </c>
      <c r="N43" s="221">
        <v>0</v>
      </c>
      <c r="O43" s="221">
        <v>0</v>
      </c>
      <c r="P43" s="221">
        <v>0</v>
      </c>
      <c r="Q43" s="221">
        <v>0</v>
      </c>
      <c r="R43" s="221">
        <v>0</v>
      </c>
      <c r="S43" s="221">
        <v>0</v>
      </c>
      <c r="T43" s="221">
        <v>0</v>
      </c>
      <c r="U43" s="221">
        <f>K43</f>
        <v>2190921.4500000002</v>
      </c>
      <c r="V43" s="221">
        <v>0</v>
      </c>
      <c r="W43" s="221">
        <v>0</v>
      </c>
      <c r="X43" s="221">
        <v>0</v>
      </c>
      <c r="Y43" s="222">
        <v>0</v>
      </c>
      <c r="Z43" s="1" t="b">
        <f t="shared" si="14"/>
        <v>1</v>
      </c>
      <c r="AA43" s="42">
        <f t="shared" si="15"/>
        <v>0.5</v>
      </c>
      <c r="AB43" s="43" t="b">
        <f t="shared" si="16"/>
        <v>1</v>
      </c>
      <c r="AC43" s="43" t="b">
        <f t="shared" si="17"/>
        <v>1</v>
      </c>
    </row>
    <row r="44" spans="1:29" s="142" customFormat="1" ht="48.75" customHeight="1" x14ac:dyDescent="0.25">
      <c r="A44" s="196">
        <v>42</v>
      </c>
      <c r="B44" s="196">
        <v>20</v>
      </c>
      <c r="C44" s="196" t="s">
        <v>114</v>
      </c>
      <c r="D44" s="216" t="s">
        <v>203</v>
      </c>
      <c r="E44" s="216">
        <v>2012</v>
      </c>
      <c r="F44" s="313" t="s">
        <v>243</v>
      </c>
      <c r="G44" s="216" t="s">
        <v>65</v>
      </c>
      <c r="H44" s="217">
        <v>2</v>
      </c>
      <c r="I44" s="216" t="s">
        <v>231</v>
      </c>
      <c r="J44" s="218">
        <v>6100000</v>
      </c>
      <c r="K44" s="218">
        <f t="shared" si="20"/>
        <v>3050000</v>
      </c>
      <c r="L44" s="219">
        <f t="shared" si="21"/>
        <v>3050000</v>
      </c>
      <c r="M44" s="220">
        <v>0.5</v>
      </c>
      <c r="N44" s="221">
        <v>0</v>
      </c>
      <c r="O44" s="221">
        <v>0</v>
      </c>
      <c r="P44" s="221">
        <v>0</v>
      </c>
      <c r="Q44" s="221">
        <v>0</v>
      </c>
      <c r="R44" s="221">
        <v>0</v>
      </c>
      <c r="S44" s="221">
        <v>0</v>
      </c>
      <c r="T44" s="221">
        <v>0</v>
      </c>
      <c r="U44" s="221">
        <f>K44</f>
        <v>3050000</v>
      </c>
      <c r="V44" s="221">
        <v>0</v>
      </c>
      <c r="W44" s="221">
        <v>0</v>
      </c>
      <c r="X44" s="221">
        <v>0</v>
      </c>
      <c r="Y44" s="222">
        <v>0</v>
      </c>
      <c r="Z44" s="1" t="b">
        <f t="shared" si="14"/>
        <v>1</v>
      </c>
      <c r="AA44" s="42">
        <f t="shared" si="15"/>
        <v>0.5</v>
      </c>
      <c r="AB44" s="43" t="b">
        <f t="shared" si="16"/>
        <v>1</v>
      </c>
      <c r="AC44" s="43" t="b">
        <f t="shared" si="17"/>
        <v>1</v>
      </c>
    </row>
    <row r="45" spans="1:29" s="142" customFormat="1" ht="48.75" customHeight="1" x14ac:dyDescent="0.25">
      <c r="A45" s="198">
        <v>43</v>
      </c>
      <c r="B45" s="198">
        <v>158</v>
      </c>
      <c r="C45" s="198" t="s">
        <v>483</v>
      </c>
      <c r="D45" s="199" t="s">
        <v>57</v>
      </c>
      <c r="E45" s="199">
        <v>2014</v>
      </c>
      <c r="F45" s="314" t="s">
        <v>244</v>
      </c>
      <c r="G45" s="199" t="s">
        <v>66</v>
      </c>
      <c r="H45" s="201">
        <v>1.2</v>
      </c>
      <c r="I45" s="199" t="s">
        <v>245</v>
      </c>
      <c r="J45" s="210">
        <v>8481000</v>
      </c>
      <c r="K45" s="210">
        <f t="shared" si="20"/>
        <v>4240500</v>
      </c>
      <c r="L45" s="209">
        <f t="shared" si="21"/>
        <v>4240500</v>
      </c>
      <c r="M45" s="211">
        <v>0.5</v>
      </c>
      <c r="N45" s="207">
        <v>0</v>
      </c>
      <c r="O45" s="207">
        <v>0</v>
      </c>
      <c r="P45" s="207">
        <v>0</v>
      </c>
      <c r="Q45" s="207">
        <v>0</v>
      </c>
      <c r="R45" s="207">
        <v>0</v>
      </c>
      <c r="S45" s="207">
        <v>0</v>
      </c>
      <c r="T45" s="207">
        <v>0</v>
      </c>
      <c r="U45" s="207">
        <f>7000000*M45</f>
        <v>3500000</v>
      </c>
      <c r="V45" s="207">
        <f>1481000*M45</f>
        <v>740500</v>
      </c>
      <c r="W45" s="207">
        <v>0</v>
      </c>
      <c r="X45" s="207">
        <v>0</v>
      </c>
      <c r="Y45" s="205">
        <v>0</v>
      </c>
      <c r="Z45" s="1" t="b">
        <f t="shared" si="14"/>
        <v>1</v>
      </c>
      <c r="AA45" s="42">
        <f t="shared" si="15"/>
        <v>0.5</v>
      </c>
      <c r="AB45" s="43" t="b">
        <f t="shared" si="16"/>
        <v>1</v>
      </c>
      <c r="AC45" s="43" t="b">
        <f t="shared" si="17"/>
        <v>1</v>
      </c>
    </row>
    <row r="46" spans="1:29" s="142" customFormat="1" ht="48.75" customHeight="1" x14ac:dyDescent="0.25">
      <c r="A46" s="198">
        <v>44</v>
      </c>
      <c r="B46" s="198">
        <v>269</v>
      </c>
      <c r="C46" s="198" t="s">
        <v>483</v>
      </c>
      <c r="D46" s="199" t="s">
        <v>49</v>
      </c>
      <c r="E46" s="199">
        <v>2003</v>
      </c>
      <c r="F46" s="314" t="s">
        <v>246</v>
      </c>
      <c r="G46" s="199" t="s">
        <v>67</v>
      </c>
      <c r="H46" s="201">
        <v>0.95</v>
      </c>
      <c r="I46" s="199" t="s">
        <v>247</v>
      </c>
      <c r="J46" s="210">
        <v>1946412.34</v>
      </c>
      <c r="K46" s="210">
        <f t="shared" si="20"/>
        <v>973206.17</v>
      </c>
      <c r="L46" s="209">
        <f t="shared" si="21"/>
        <v>973206.17</v>
      </c>
      <c r="M46" s="211">
        <v>0.5</v>
      </c>
      <c r="N46" s="207">
        <v>0</v>
      </c>
      <c r="O46" s="207">
        <v>0</v>
      </c>
      <c r="P46" s="207">
        <v>0</v>
      </c>
      <c r="Q46" s="207">
        <v>0</v>
      </c>
      <c r="R46" s="207">
        <v>0</v>
      </c>
      <c r="S46" s="207">
        <v>0</v>
      </c>
      <c r="T46" s="207">
        <v>0</v>
      </c>
      <c r="U46" s="207">
        <f>976206.17*M46</f>
        <v>488103.08500000002</v>
      </c>
      <c r="V46" s="207">
        <f>970206.17*M46</f>
        <v>485103.08500000002</v>
      </c>
      <c r="W46" s="207">
        <v>0</v>
      </c>
      <c r="X46" s="207">
        <v>0</v>
      </c>
      <c r="Y46" s="205">
        <v>0</v>
      </c>
      <c r="Z46" s="1" t="b">
        <f t="shared" si="14"/>
        <v>1</v>
      </c>
      <c r="AA46" s="42">
        <f t="shared" si="15"/>
        <v>0.5</v>
      </c>
      <c r="AB46" s="43" t="b">
        <f t="shared" si="16"/>
        <v>1</v>
      </c>
      <c r="AC46" s="43" t="b">
        <f t="shared" si="17"/>
        <v>1</v>
      </c>
    </row>
    <row r="47" spans="1:29" s="142" customFormat="1" ht="48.75" customHeight="1" x14ac:dyDescent="0.25">
      <c r="A47" s="196">
        <v>45</v>
      </c>
      <c r="B47" s="196">
        <v>120</v>
      </c>
      <c r="C47" s="196" t="s">
        <v>114</v>
      </c>
      <c r="D47" s="216" t="s">
        <v>48</v>
      </c>
      <c r="E47" s="216">
        <v>2002</v>
      </c>
      <c r="F47" s="313" t="s">
        <v>248</v>
      </c>
      <c r="G47" s="216" t="s">
        <v>66</v>
      </c>
      <c r="H47" s="217">
        <v>0.82099999999999995</v>
      </c>
      <c r="I47" s="216" t="s">
        <v>212</v>
      </c>
      <c r="J47" s="218">
        <v>6064000</v>
      </c>
      <c r="K47" s="218">
        <f t="shared" si="20"/>
        <v>3032000</v>
      </c>
      <c r="L47" s="219">
        <f t="shared" si="21"/>
        <v>3032000</v>
      </c>
      <c r="M47" s="220">
        <v>0.5</v>
      </c>
      <c r="N47" s="221">
        <v>0</v>
      </c>
      <c r="O47" s="221">
        <v>0</v>
      </c>
      <c r="P47" s="221">
        <v>0</v>
      </c>
      <c r="Q47" s="221">
        <v>0</v>
      </c>
      <c r="R47" s="221">
        <v>0</v>
      </c>
      <c r="S47" s="221">
        <v>0</v>
      </c>
      <c r="T47" s="221">
        <v>0</v>
      </c>
      <c r="U47" s="221">
        <f>K47</f>
        <v>3032000</v>
      </c>
      <c r="V47" s="221">
        <v>0</v>
      </c>
      <c r="W47" s="221">
        <v>0</v>
      </c>
      <c r="X47" s="221">
        <v>0</v>
      </c>
      <c r="Y47" s="222">
        <v>0</v>
      </c>
      <c r="Z47" s="1" t="b">
        <f t="shared" si="14"/>
        <v>1</v>
      </c>
      <c r="AA47" s="42">
        <f t="shared" si="15"/>
        <v>0.5</v>
      </c>
      <c r="AB47" s="43" t="b">
        <f t="shared" si="16"/>
        <v>1</v>
      </c>
      <c r="AC47" s="43" t="b">
        <f t="shared" si="17"/>
        <v>1</v>
      </c>
    </row>
    <row r="48" spans="1:29" s="142" customFormat="1" ht="48.75" customHeight="1" x14ac:dyDescent="0.25">
      <c r="A48" s="196">
        <v>46</v>
      </c>
      <c r="B48" s="196">
        <v>204</v>
      </c>
      <c r="C48" s="196" t="s">
        <v>114</v>
      </c>
      <c r="D48" s="216" t="s">
        <v>51</v>
      </c>
      <c r="E48" s="216">
        <v>2006</v>
      </c>
      <c r="F48" s="313" t="s">
        <v>249</v>
      </c>
      <c r="G48" s="216" t="s">
        <v>65</v>
      </c>
      <c r="H48" s="217">
        <v>1.62</v>
      </c>
      <c r="I48" s="216" t="s">
        <v>233</v>
      </c>
      <c r="J48" s="218">
        <v>13197229</v>
      </c>
      <c r="K48" s="218">
        <f t="shared" si="20"/>
        <v>6598614.5</v>
      </c>
      <c r="L48" s="219">
        <f t="shared" si="21"/>
        <v>6598614.5</v>
      </c>
      <c r="M48" s="220">
        <v>0.5</v>
      </c>
      <c r="N48" s="221">
        <v>0</v>
      </c>
      <c r="O48" s="221">
        <v>0</v>
      </c>
      <c r="P48" s="221">
        <v>0</v>
      </c>
      <c r="Q48" s="221">
        <v>0</v>
      </c>
      <c r="R48" s="221">
        <v>0</v>
      </c>
      <c r="S48" s="221">
        <v>0</v>
      </c>
      <c r="T48" s="221">
        <v>0</v>
      </c>
      <c r="U48" s="221">
        <f>K48</f>
        <v>6598614.5</v>
      </c>
      <c r="V48" s="221">
        <v>0</v>
      </c>
      <c r="W48" s="221">
        <v>0</v>
      </c>
      <c r="X48" s="221">
        <v>0</v>
      </c>
      <c r="Y48" s="222">
        <v>0</v>
      </c>
      <c r="Z48" s="1" t="b">
        <f t="shared" si="14"/>
        <v>1</v>
      </c>
      <c r="AA48" s="42">
        <f t="shared" si="15"/>
        <v>0.5</v>
      </c>
      <c r="AB48" s="43" t="b">
        <f t="shared" si="16"/>
        <v>1</v>
      </c>
      <c r="AC48" s="43" t="b">
        <f t="shared" si="17"/>
        <v>1</v>
      </c>
    </row>
    <row r="49" spans="1:29" s="142" customFormat="1" ht="48.75" customHeight="1" x14ac:dyDescent="0.25">
      <c r="A49" s="196">
        <v>47</v>
      </c>
      <c r="B49" s="196">
        <v>155</v>
      </c>
      <c r="C49" s="196" t="s">
        <v>114</v>
      </c>
      <c r="D49" s="216" t="s">
        <v>57</v>
      </c>
      <c r="E49" s="216">
        <v>2014</v>
      </c>
      <c r="F49" s="313" t="s">
        <v>250</v>
      </c>
      <c r="G49" s="216" t="s">
        <v>65</v>
      </c>
      <c r="H49" s="217">
        <v>0.62</v>
      </c>
      <c r="I49" s="216" t="s">
        <v>233</v>
      </c>
      <c r="J49" s="218">
        <v>3021000</v>
      </c>
      <c r="K49" s="218">
        <f t="shared" si="20"/>
        <v>1510500</v>
      </c>
      <c r="L49" s="219">
        <f t="shared" si="21"/>
        <v>1510500</v>
      </c>
      <c r="M49" s="220">
        <v>0.5</v>
      </c>
      <c r="N49" s="221">
        <v>0</v>
      </c>
      <c r="O49" s="221">
        <v>0</v>
      </c>
      <c r="P49" s="221">
        <v>0</v>
      </c>
      <c r="Q49" s="221">
        <v>0</v>
      </c>
      <c r="R49" s="221">
        <v>0</v>
      </c>
      <c r="S49" s="221">
        <v>0</v>
      </c>
      <c r="T49" s="221">
        <v>0</v>
      </c>
      <c r="U49" s="221">
        <f>K49</f>
        <v>1510500</v>
      </c>
      <c r="V49" s="221">
        <v>0</v>
      </c>
      <c r="W49" s="221">
        <v>0</v>
      </c>
      <c r="X49" s="221">
        <v>0</v>
      </c>
      <c r="Y49" s="222">
        <v>0</v>
      </c>
      <c r="Z49" s="1" t="b">
        <f t="shared" si="14"/>
        <v>1</v>
      </c>
      <c r="AA49" s="42">
        <f t="shared" si="15"/>
        <v>0.5</v>
      </c>
      <c r="AB49" s="43" t="b">
        <f t="shared" si="16"/>
        <v>1</v>
      </c>
      <c r="AC49" s="43" t="b">
        <f t="shared" si="17"/>
        <v>1</v>
      </c>
    </row>
    <row r="50" spans="1:29" s="142" customFormat="1" ht="48.75" customHeight="1" x14ac:dyDescent="0.25">
      <c r="A50" s="198">
        <v>48</v>
      </c>
      <c r="B50" s="198">
        <v>178</v>
      </c>
      <c r="C50" s="198" t="s">
        <v>483</v>
      </c>
      <c r="D50" s="199" t="s">
        <v>54</v>
      </c>
      <c r="E50" s="199">
        <v>2010</v>
      </c>
      <c r="F50" s="314" t="s">
        <v>251</v>
      </c>
      <c r="G50" s="199" t="s">
        <v>65</v>
      </c>
      <c r="H50" s="201">
        <v>4.4829999999999997</v>
      </c>
      <c r="I50" s="199" t="s">
        <v>228</v>
      </c>
      <c r="J50" s="210">
        <v>9408710.3800000008</v>
      </c>
      <c r="K50" s="210">
        <f t="shared" si="20"/>
        <v>4704355.1900000004</v>
      </c>
      <c r="L50" s="209">
        <f t="shared" si="21"/>
        <v>4704355.1900000004</v>
      </c>
      <c r="M50" s="211">
        <v>0.5</v>
      </c>
      <c r="N50" s="207">
        <v>0</v>
      </c>
      <c r="O50" s="207">
        <v>0</v>
      </c>
      <c r="P50" s="207">
        <v>0</v>
      </c>
      <c r="Q50" s="207">
        <v>0</v>
      </c>
      <c r="R50" s="207">
        <v>0</v>
      </c>
      <c r="S50" s="207">
        <v>0</v>
      </c>
      <c r="T50" s="207">
        <v>0</v>
      </c>
      <c r="U50" s="207">
        <f>2822613.11*M50</f>
        <v>1411306.5549999999</v>
      </c>
      <c r="V50" s="207">
        <f>6586097.27*M50</f>
        <v>3293048.6349999998</v>
      </c>
      <c r="W50" s="207">
        <v>0</v>
      </c>
      <c r="X50" s="207">
        <v>0</v>
      </c>
      <c r="Y50" s="205">
        <v>0</v>
      </c>
      <c r="Z50" s="1" t="b">
        <f t="shared" si="14"/>
        <v>1</v>
      </c>
      <c r="AA50" s="42">
        <f t="shared" si="15"/>
        <v>0.5</v>
      </c>
      <c r="AB50" s="43" t="b">
        <f t="shared" si="16"/>
        <v>1</v>
      </c>
      <c r="AC50" s="43" t="b">
        <f t="shared" si="17"/>
        <v>1</v>
      </c>
    </row>
    <row r="51" spans="1:29" s="142" customFormat="1" ht="48.75" customHeight="1" x14ac:dyDescent="0.25">
      <c r="A51" s="198">
        <v>49</v>
      </c>
      <c r="B51" s="198">
        <v>266</v>
      </c>
      <c r="C51" s="198" t="s">
        <v>483</v>
      </c>
      <c r="D51" s="199" t="s">
        <v>49</v>
      </c>
      <c r="E51" s="199">
        <v>2003</v>
      </c>
      <c r="F51" s="314" t="s">
        <v>252</v>
      </c>
      <c r="G51" s="199" t="s">
        <v>66</v>
      </c>
      <c r="H51" s="201">
        <v>4.3600000000000003</v>
      </c>
      <c r="I51" s="199" t="s">
        <v>253</v>
      </c>
      <c r="J51" s="210">
        <v>10966390</v>
      </c>
      <c r="K51" s="210">
        <f t="shared" si="20"/>
        <v>5483195</v>
      </c>
      <c r="L51" s="209">
        <f t="shared" si="21"/>
        <v>5483195</v>
      </c>
      <c r="M51" s="211">
        <v>0.5</v>
      </c>
      <c r="N51" s="207">
        <v>0</v>
      </c>
      <c r="O51" s="207">
        <v>0</v>
      </c>
      <c r="P51" s="207">
        <v>0</v>
      </c>
      <c r="Q51" s="207">
        <v>0</v>
      </c>
      <c r="R51" s="207">
        <v>0</v>
      </c>
      <c r="S51" s="207">
        <v>0</v>
      </c>
      <c r="T51" s="207">
        <v>0</v>
      </c>
      <c r="U51" s="207">
        <f>3657063.34*M51</f>
        <v>1828531.67</v>
      </c>
      <c r="V51" s="207">
        <f>3654963.33*M51</f>
        <v>1827481.665</v>
      </c>
      <c r="W51" s="207">
        <f>3654363.33*M51</f>
        <v>1827181.665</v>
      </c>
      <c r="X51" s="207">
        <v>0</v>
      </c>
      <c r="Y51" s="205">
        <v>0</v>
      </c>
      <c r="Z51" s="1" t="b">
        <f t="shared" si="14"/>
        <v>1</v>
      </c>
      <c r="AA51" s="42">
        <f t="shared" si="15"/>
        <v>0.5</v>
      </c>
      <c r="AB51" s="43" t="b">
        <f t="shared" si="16"/>
        <v>1</v>
      </c>
      <c r="AC51" s="43" t="b">
        <f t="shared" si="17"/>
        <v>1</v>
      </c>
    </row>
    <row r="52" spans="1:29" s="142" customFormat="1" ht="48.75" customHeight="1" x14ac:dyDescent="0.25">
      <c r="A52" s="196">
        <v>50</v>
      </c>
      <c r="B52" s="196">
        <v>167</v>
      </c>
      <c r="C52" s="196" t="s">
        <v>114</v>
      </c>
      <c r="D52" s="216" t="s">
        <v>53</v>
      </c>
      <c r="E52" s="216">
        <v>2008</v>
      </c>
      <c r="F52" s="313" t="s">
        <v>254</v>
      </c>
      <c r="G52" s="216" t="s">
        <v>66</v>
      </c>
      <c r="H52" s="217">
        <v>2.41</v>
      </c>
      <c r="I52" s="216" t="s">
        <v>255</v>
      </c>
      <c r="J52" s="218">
        <v>5003500</v>
      </c>
      <c r="K52" s="218">
        <f t="shared" si="20"/>
        <v>2501750</v>
      </c>
      <c r="L52" s="219">
        <f t="shared" si="21"/>
        <v>2501750</v>
      </c>
      <c r="M52" s="220">
        <v>0.5</v>
      </c>
      <c r="N52" s="221">
        <v>0</v>
      </c>
      <c r="O52" s="221">
        <v>0</v>
      </c>
      <c r="P52" s="221">
        <v>0</v>
      </c>
      <c r="Q52" s="221">
        <v>0</v>
      </c>
      <c r="R52" s="221">
        <v>0</v>
      </c>
      <c r="S52" s="221">
        <v>0</v>
      </c>
      <c r="T52" s="221">
        <v>0</v>
      </c>
      <c r="U52" s="221">
        <f>K52</f>
        <v>2501750</v>
      </c>
      <c r="V52" s="221">
        <v>0</v>
      </c>
      <c r="W52" s="221">
        <v>0</v>
      </c>
      <c r="X52" s="221">
        <v>0</v>
      </c>
      <c r="Y52" s="222">
        <v>0</v>
      </c>
      <c r="Z52" s="1" t="b">
        <f t="shared" si="14"/>
        <v>1</v>
      </c>
      <c r="AA52" s="42">
        <f t="shared" si="15"/>
        <v>0.5</v>
      </c>
      <c r="AB52" s="43" t="b">
        <f t="shared" si="16"/>
        <v>1</v>
      </c>
      <c r="AC52" s="43" t="b">
        <f t="shared" si="17"/>
        <v>1</v>
      </c>
    </row>
    <row r="53" spans="1:29" s="142" customFormat="1" ht="48.75" customHeight="1" x14ac:dyDescent="0.25">
      <c r="A53" s="196">
        <v>51</v>
      </c>
      <c r="B53" s="196">
        <v>282</v>
      </c>
      <c r="C53" s="196" t="s">
        <v>114</v>
      </c>
      <c r="D53" s="216" t="s">
        <v>201</v>
      </c>
      <c r="E53" s="216">
        <v>2005</v>
      </c>
      <c r="F53" s="313" t="s">
        <v>256</v>
      </c>
      <c r="G53" s="216" t="s">
        <v>67</v>
      </c>
      <c r="H53" s="217">
        <v>2.19</v>
      </c>
      <c r="I53" s="216" t="s">
        <v>257</v>
      </c>
      <c r="J53" s="218">
        <v>759750</v>
      </c>
      <c r="K53" s="218">
        <f t="shared" si="20"/>
        <v>379875</v>
      </c>
      <c r="L53" s="219">
        <f t="shared" si="21"/>
        <v>379875</v>
      </c>
      <c r="M53" s="220">
        <v>0.5</v>
      </c>
      <c r="N53" s="221">
        <v>0</v>
      </c>
      <c r="O53" s="221">
        <v>0</v>
      </c>
      <c r="P53" s="221">
        <v>0</v>
      </c>
      <c r="Q53" s="221">
        <v>0</v>
      </c>
      <c r="R53" s="221">
        <v>0</v>
      </c>
      <c r="S53" s="221">
        <v>0</v>
      </c>
      <c r="T53" s="221">
        <v>0</v>
      </c>
      <c r="U53" s="221">
        <f>K53</f>
        <v>379875</v>
      </c>
      <c r="V53" s="221">
        <v>0</v>
      </c>
      <c r="W53" s="221">
        <v>0</v>
      </c>
      <c r="X53" s="221">
        <v>0</v>
      </c>
      <c r="Y53" s="222">
        <v>0</v>
      </c>
      <c r="Z53" s="1" t="b">
        <f t="shared" si="14"/>
        <v>1</v>
      </c>
      <c r="AA53" s="42">
        <f t="shared" si="15"/>
        <v>0.5</v>
      </c>
      <c r="AB53" s="43" t="b">
        <f t="shared" si="16"/>
        <v>1</v>
      </c>
      <c r="AC53" s="43" t="b">
        <f t="shared" si="17"/>
        <v>1</v>
      </c>
    </row>
    <row r="54" spans="1:29" s="142" customFormat="1" ht="48.75" customHeight="1" x14ac:dyDescent="0.25">
      <c r="A54" s="198">
        <v>52</v>
      </c>
      <c r="B54" s="198">
        <v>267</v>
      </c>
      <c r="C54" s="198" t="s">
        <v>483</v>
      </c>
      <c r="D54" s="199" t="s">
        <v>49</v>
      </c>
      <c r="E54" s="199">
        <v>2003</v>
      </c>
      <c r="F54" s="314" t="s">
        <v>258</v>
      </c>
      <c r="G54" s="199" t="s">
        <v>66</v>
      </c>
      <c r="H54" s="201">
        <v>1.8</v>
      </c>
      <c r="I54" s="199" t="s">
        <v>259</v>
      </c>
      <c r="J54" s="210">
        <v>6817000</v>
      </c>
      <c r="K54" s="210">
        <f t="shared" si="20"/>
        <v>3408500</v>
      </c>
      <c r="L54" s="209">
        <f t="shared" si="21"/>
        <v>3408500</v>
      </c>
      <c r="M54" s="211">
        <v>0.5</v>
      </c>
      <c r="N54" s="207">
        <v>0</v>
      </c>
      <c r="O54" s="207">
        <v>0</v>
      </c>
      <c r="P54" s="207">
        <v>0</v>
      </c>
      <c r="Q54" s="207">
        <v>0</v>
      </c>
      <c r="R54" s="207">
        <v>0</v>
      </c>
      <c r="S54" s="207">
        <v>0</v>
      </c>
      <c r="T54" s="207">
        <v>0</v>
      </c>
      <c r="U54" s="207">
        <f>2277170*M54</f>
        <v>1138585</v>
      </c>
      <c r="V54" s="207">
        <f>2270670*M54</f>
        <v>1135335</v>
      </c>
      <c r="W54" s="207">
        <f>2269160*M54</f>
        <v>1134580</v>
      </c>
      <c r="X54" s="207">
        <v>0</v>
      </c>
      <c r="Y54" s="205">
        <v>0</v>
      </c>
      <c r="Z54" s="1" t="b">
        <f t="shared" si="14"/>
        <v>1</v>
      </c>
      <c r="AA54" s="42">
        <f t="shared" si="15"/>
        <v>0.5</v>
      </c>
      <c r="AB54" s="43" t="b">
        <f t="shared" si="16"/>
        <v>1</v>
      </c>
      <c r="AC54" s="43" t="b">
        <f t="shared" si="17"/>
        <v>1</v>
      </c>
    </row>
    <row r="55" spans="1:29" s="142" customFormat="1" ht="48.75" customHeight="1" x14ac:dyDescent="0.25">
      <c r="A55" s="196">
        <v>53</v>
      </c>
      <c r="B55" s="196">
        <v>166</v>
      </c>
      <c r="C55" s="196" t="s">
        <v>114</v>
      </c>
      <c r="D55" s="216" t="s">
        <v>53</v>
      </c>
      <c r="E55" s="216">
        <v>2008</v>
      </c>
      <c r="F55" s="313" t="s">
        <v>260</v>
      </c>
      <c r="G55" s="216" t="s">
        <v>66</v>
      </c>
      <c r="H55" s="217">
        <v>1.611</v>
      </c>
      <c r="I55" s="216" t="s">
        <v>255</v>
      </c>
      <c r="J55" s="218">
        <v>4786158.92</v>
      </c>
      <c r="K55" s="218">
        <f t="shared" si="20"/>
        <v>2393079.46</v>
      </c>
      <c r="L55" s="219">
        <f t="shared" si="21"/>
        <v>2393079.46</v>
      </c>
      <c r="M55" s="220">
        <v>0.5</v>
      </c>
      <c r="N55" s="221">
        <v>0</v>
      </c>
      <c r="O55" s="221">
        <v>0</v>
      </c>
      <c r="P55" s="221">
        <v>0</v>
      </c>
      <c r="Q55" s="221">
        <v>0</v>
      </c>
      <c r="R55" s="221">
        <v>0</v>
      </c>
      <c r="S55" s="221">
        <v>0</v>
      </c>
      <c r="T55" s="221">
        <v>0</v>
      </c>
      <c r="U55" s="221">
        <f>K55</f>
        <v>2393079.46</v>
      </c>
      <c r="V55" s="221">
        <v>0</v>
      </c>
      <c r="W55" s="221">
        <v>0</v>
      </c>
      <c r="X55" s="221">
        <v>0</v>
      </c>
      <c r="Y55" s="222">
        <v>0</v>
      </c>
      <c r="Z55" s="1" t="b">
        <f t="shared" si="14"/>
        <v>1</v>
      </c>
      <c r="AA55" s="42">
        <f t="shared" si="15"/>
        <v>0.5</v>
      </c>
      <c r="AB55" s="43" t="b">
        <f t="shared" si="16"/>
        <v>1</v>
      </c>
      <c r="AC55" s="43" t="b">
        <f t="shared" si="17"/>
        <v>1</v>
      </c>
    </row>
    <row r="56" spans="1:29" s="142" customFormat="1" ht="48.75" customHeight="1" x14ac:dyDescent="0.25">
      <c r="A56" s="196">
        <v>54</v>
      </c>
      <c r="B56" s="196">
        <v>182</v>
      </c>
      <c r="C56" s="196" t="s">
        <v>114</v>
      </c>
      <c r="D56" s="216" t="s">
        <v>53</v>
      </c>
      <c r="E56" s="216">
        <v>2008</v>
      </c>
      <c r="F56" s="313" t="s">
        <v>261</v>
      </c>
      <c r="G56" s="216" t="s">
        <v>66</v>
      </c>
      <c r="H56" s="217">
        <v>1.6</v>
      </c>
      <c r="I56" s="216" t="s">
        <v>255</v>
      </c>
      <c r="J56" s="218">
        <v>3503500</v>
      </c>
      <c r="K56" s="218">
        <f t="shared" si="20"/>
        <v>1751750</v>
      </c>
      <c r="L56" s="219">
        <f t="shared" si="21"/>
        <v>1751750</v>
      </c>
      <c r="M56" s="220">
        <v>0.5</v>
      </c>
      <c r="N56" s="221">
        <v>0</v>
      </c>
      <c r="O56" s="221">
        <v>0</v>
      </c>
      <c r="P56" s="221">
        <v>0</v>
      </c>
      <c r="Q56" s="221">
        <v>0</v>
      </c>
      <c r="R56" s="221">
        <v>0</v>
      </c>
      <c r="S56" s="221">
        <v>0</v>
      </c>
      <c r="T56" s="221">
        <v>0</v>
      </c>
      <c r="U56" s="221">
        <f>K56</f>
        <v>1751750</v>
      </c>
      <c r="V56" s="221">
        <v>0</v>
      </c>
      <c r="W56" s="221">
        <v>0</v>
      </c>
      <c r="X56" s="221">
        <v>0</v>
      </c>
      <c r="Y56" s="222">
        <v>0</v>
      </c>
      <c r="Z56" s="1" t="b">
        <f t="shared" si="14"/>
        <v>1</v>
      </c>
      <c r="AA56" s="42">
        <f t="shared" si="15"/>
        <v>0.5</v>
      </c>
      <c r="AB56" s="43" t="b">
        <f t="shared" si="16"/>
        <v>1</v>
      </c>
      <c r="AC56" s="43" t="b">
        <f t="shared" si="17"/>
        <v>1</v>
      </c>
    </row>
    <row r="57" spans="1:29" s="142" customFormat="1" ht="48.75" customHeight="1" x14ac:dyDescent="0.25">
      <c r="A57" s="299">
        <v>55</v>
      </c>
      <c r="B57" s="299">
        <v>271</v>
      </c>
      <c r="C57" s="299" t="s">
        <v>483</v>
      </c>
      <c r="D57" s="315" t="s">
        <v>49</v>
      </c>
      <c r="E57" s="315">
        <v>2003</v>
      </c>
      <c r="F57" s="316" t="s">
        <v>262</v>
      </c>
      <c r="G57" s="315" t="s">
        <v>65</v>
      </c>
      <c r="H57" s="317">
        <v>1.38</v>
      </c>
      <c r="I57" s="315" t="s">
        <v>247</v>
      </c>
      <c r="J57" s="318">
        <v>2497928.21</v>
      </c>
      <c r="K57" s="210">
        <f t="shared" si="20"/>
        <v>1248964.1000000001</v>
      </c>
      <c r="L57" s="209">
        <f t="shared" si="21"/>
        <v>1248964.1099999999</v>
      </c>
      <c r="M57" s="319">
        <v>0.5</v>
      </c>
      <c r="N57" s="207">
        <v>0</v>
      </c>
      <c r="O57" s="207">
        <v>0</v>
      </c>
      <c r="P57" s="207">
        <v>0</v>
      </c>
      <c r="Q57" s="207">
        <v>0</v>
      </c>
      <c r="R57" s="207">
        <v>0</v>
      </c>
      <c r="S57" s="207">
        <v>0</v>
      </c>
      <c r="T57" s="207">
        <v>0</v>
      </c>
      <c r="U57" s="207">
        <f>1251964.1*M57</f>
        <v>625982.05000000005</v>
      </c>
      <c r="V57" s="207">
        <f>ROUNDDOWN(1245964.11*M57,2)</f>
        <v>622982.05000000005</v>
      </c>
      <c r="W57" s="207">
        <v>0</v>
      </c>
      <c r="X57" s="207">
        <v>0</v>
      </c>
      <c r="Y57" s="205">
        <v>0</v>
      </c>
      <c r="Z57" s="1" t="b">
        <f t="shared" si="14"/>
        <v>1</v>
      </c>
      <c r="AA57" s="42">
        <f t="shared" si="15"/>
        <v>0.5</v>
      </c>
      <c r="AB57" s="43" t="b">
        <f t="shared" si="16"/>
        <v>1</v>
      </c>
      <c r="AC57" s="43" t="b">
        <f t="shared" si="17"/>
        <v>1</v>
      </c>
    </row>
    <row r="58" spans="1:29" s="142" customFormat="1" ht="48.75" customHeight="1" x14ac:dyDescent="0.25">
      <c r="A58" s="196">
        <v>56</v>
      </c>
      <c r="B58" s="196">
        <v>73</v>
      </c>
      <c r="C58" s="196" t="s">
        <v>114</v>
      </c>
      <c r="D58" s="216" t="s">
        <v>202</v>
      </c>
      <c r="E58" s="216">
        <v>2009</v>
      </c>
      <c r="F58" s="313" t="s">
        <v>263</v>
      </c>
      <c r="G58" s="216" t="s">
        <v>65</v>
      </c>
      <c r="H58" s="217">
        <v>1.2310000000000001</v>
      </c>
      <c r="I58" s="216" t="s">
        <v>264</v>
      </c>
      <c r="J58" s="218">
        <v>2028000</v>
      </c>
      <c r="K58" s="218">
        <f t="shared" si="20"/>
        <v>1014000</v>
      </c>
      <c r="L58" s="219">
        <f t="shared" si="21"/>
        <v>1014000</v>
      </c>
      <c r="M58" s="220">
        <v>0.5</v>
      </c>
      <c r="N58" s="221">
        <v>0</v>
      </c>
      <c r="O58" s="221">
        <v>0</v>
      </c>
      <c r="P58" s="221">
        <v>0</v>
      </c>
      <c r="Q58" s="221">
        <v>0</v>
      </c>
      <c r="R58" s="221">
        <v>0</v>
      </c>
      <c r="S58" s="221">
        <v>0</v>
      </c>
      <c r="T58" s="221">
        <v>0</v>
      </c>
      <c r="U58" s="221">
        <f>K58</f>
        <v>1014000</v>
      </c>
      <c r="V58" s="221">
        <v>0</v>
      </c>
      <c r="W58" s="221">
        <v>0</v>
      </c>
      <c r="X58" s="221">
        <v>0</v>
      </c>
      <c r="Y58" s="222">
        <v>0</v>
      </c>
      <c r="Z58" s="1" t="b">
        <f t="shared" si="14"/>
        <v>1</v>
      </c>
      <c r="AA58" s="42">
        <f t="shared" si="15"/>
        <v>0.5</v>
      </c>
      <c r="AB58" s="43" t="b">
        <f t="shared" si="16"/>
        <v>1</v>
      </c>
      <c r="AC58" s="43" t="b">
        <f t="shared" si="17"/>
        <v>1</v>
      </c>
    </row>
    <row r="59" spans="1:29" s="142" customFormat="1" ht="48.75" customHeight="1" x14ac:dyDescent="0.25">
      <c r="A59" s="198">
        <v>57</v>
      </c>
      <c r="B59" s="198">
        <v>370</v>
      </c>
      <c r="C59" s="198" t="s">
        <v>483</v>
      </c>
      <c r="D59" s="199" t="s">
        <v>56</v>
      </c>
      <c r="E59" s="199">
        <v>2013</v>
      </c>
      <c r="F59" s="314" t="s">
        <v>265</v>
      </c>
      <c r="G59" s="199" t="s">
        <v>66</v>
      </c>
      <c r="H59" s="201">
        <v>1.2050000000000001</v>
      </c>
      <c r="I59" s="199" t="s">
        <v>237</v>
      </c>
      <c r="J59" s="210">
        <v>3004000</v>
      </c>
      <c r="K59" s="210">
        <f t="shared" si="20"/>
        <v>1502000</v>
      </c>
      <c r="L59" s="209">
        <f t="shared" si="21"/>
        <v>1502000</v>
      </c>
      <c r="M59" s="211">
        <v>0.5</v>
      </c>
      <c r="N59" s="207">
        <v>0</v>
      </c>
      <c r="O59" s="207">
        <v>0</v>
      </c>
      <c r="P59" s="207">
        <v>0</v>
      </c>
      <c r="Q59" s="207">
        <v>0</v>
      </c>
      <c r="R59" s="207">
        <v>0</v>
      </c>
      <c r="S59" s="207">
        <v>0</v>
      </c>
      <c r="T59" s="207">
        <v>0</v>
      </c>
      <c r="U59" s="207">
        <f>304000*M59</f>
        <v>152000</v>
      </c>
      <c r="V59" s="207">
        <f>2700000*M59</f>
        <v>1350000</v>
      </c>
      <c r="W59" s="207">
        <v>0</v>
      </c>
      <c r="X59" s="207">
        <v>0</v>
      </c>
      <c r="Y59" s="205">
        <v>0</v>
      </c>
      <c r="Z59" s="1" t="b">
        <f t="shared" si="14"/>
        <v>1</v>
      </c>
      <c r="AA59" s="42">
        <f t="shared" si="15"/>
        <v>0.5</v>
      </c>
      <c r="AB59" s="43" t="b">
        <f t="shared" si="16"/>
        <v>1</v>
      </c>
      <c r="AC59" s="43" t="b">
        <f t="shared" si="17"/>
        <v>1</v>
      </c>
    </row>
    <row r="60" spans="1:29" s="142" customFormat="1" ht="48.75" customHeight="1" x14ac:dyDescent="0.25">
      <c r="A60" s="239">
        <v>58</v>
      </c>
      <c r="B60" s="239">
        <v>333</v>
      </c>
      <c r="C60" s="239" t="s">
        <v>483</v>
      </c>
      <c r="D60" s="320" t="s">
        <v>52</v>
      </c>
      <c r="E60" s="320">
        <v>2007</v>
      </c>
      <c r="F60" s="321" t="s">
        <v>266</v>
      </c>
      <c r="G60" s="320" t="s">
        <v>66</v>
      </c>
      <c r="H60" s="242">
        <v>0.78</v>
      </c>
      <c r="I60" s="320" t="s">
        <v>253</v>
      </c>
      <c r="J60" s="288">
        <v>10716268.08</v>
      </c>
      <c r="K60" s="210">
        <f t="shared" si="20"/>
        <v>5358134.04</v>
      </c>
      <c r="L60" s="209">
        <f t="shared" si="21"/>
        <v>5358134.04</v>
      </c>
      <c r="M60" s="243">
        <v>0.5</v>
      </c>
      <c r="N60" s="207">
        <v>0</v>
      </c>
      <c r="O60" s="207">
        <v>0</v>
      </c>
      <c r="P60" s="207">
        <v>0</v>
      </c>
      <c r="Q60" s="207">
        <v>0</v>
      </c>
      <c r="R60" s="207">
        <v>0</v>
      </c>
      <c r="S60" s="207">
        <v>0</v>
      </c>
      <c r="T60" s="207">
        <v>0</v>
      </c>
      <c r="U60" s="207">
        <f>305000*M60</f>
        <v>152500</v>
      </c>
      <c r="V60" s="207">
        <f>1000000*M60</f>
        <v>500000</v>
      </c>
      <c r="W60" s="207">
        <f>9411268.08*M60</f>
        <v>4705634.04</v>
      </c>
      <c r="X60" s="207">
        <v>0</v>
      </c>
      <c r="Y60" s="205">
        <v>0</v>
      </c>
      <c r="Z60" s="1" t="b">
        <f t="shared" si="14"/>
        <v>1</v>
      </c>
      <c r="AA60" s="42">
        <f t="shared" si="15"/>
        <v>0.5</v>
      </c>
      <c r="AB60" s="43" t="b">
        <f t="shared" si="16"/>
        <v>1</v>
      </c>
      <c r="AC60" s="43" t="b">
        <f t="shared" si="17"/>
        <v>1</v>
      </c>
    </row>
    <row r="61" spans="1:29" s="142" customFormat="1" ht="48.75" customHeight="1" x14ac:dyDescent="0.25">
      <c r="A61" s="198">
        <v>59</v>
      </c>
      <c r="B61" s="198">
        <v>328</v>
      </c>
      <c r="C61" s="198" t="s">
        <v>483</v>
      </c>
      <c r="D61" s="199" t="s">
        <v>52</v>
      </c>
      <c r="E61" s="199">
        <v>2007</v>
      </c>
      <c r="F61" s="314" t="s">
        <v>267</v>
      </c>
      <c r="G61" s="199" t="s">
        <v>66</v>
      </c>
      <c r="H61" s="201">
        <v>0.6</v>
      </c>
      <c r="I61" s="199" t="s">
        <v>268</v>
      </c>
      <c r="J61" s="210">
        <v>3106000</v>
      </c>
      <c r="K61" s="210">
        <f t="shared" si="20"/>
        <v>1553000</v>
      </c>
      <c r="L61" s="209">
        <f t="shared" si="21"/>
        <v>1553000</v>
      </c>
      <c r="M61" s="211">
        <v>0.5</v>
      </c>
      <c r="N61" s="207">
        <v>0</v>
      </c>
      <c r="O61" s="207">
        <v>0</v>
      </c>
      <c r="P61" s="207">
        <v>0</v>
      </c>
      <c r="Q61" s="207">
        <v>0</v>
      </c>
      <c r="R61" s="207">
        <v>0</v>
      </c>
      <c r="S61" s="207">
        <v>0</v>
      </c>
      <c r="T61" s="207">
        <v>0</v>
      </c>
      <c r="U61" s="207">
        <f>105000*M61</f>
        <v>52500</v>
      </c>
      <c r="V61" s="207">
        <f>3001000*M61</f>
        <v>1500500</v>
      </c>
      <c r="W61" s="207">
        <v>0</v>
      </c>
      <c r="X61" s="207">
        <v>0</v>
      </c>
      <c r="Y61" s="205">
        <v>0</v>
      </c>
      <c r="Z61" s="1" t="b">
        <f t="shared" si="14"/>
        <v>1</v>
      </c>
      <c r="AA61" s="42">
        <f t="shared" si="15"/>
        <v>0.5</v>
      </c>
      <c r="AB61" s="43" t="b">
        <f t="shared" si="16"/>
        <v>1</v>
      </c>
      <c r="AC61" s="43" t="b">
        <f t="shared" si="17"/>
        <v>1</v>
      </c>
    </row>
    <row r="62" spans="1:29" s="142" customFormat="1" ht="48.75" customHeight="1" x14ac:dyDescent="0.25">
      <c r="A62" s="322">
        <v>60</v>
      </c>
      <c r="B62" s="322">
        <v>280</v>
      </c>
      <c r="C62" s="322" t="s">
        <v>114</v>
      </c>
      <c r="D62" s="323" t="s">
        <v>201</v>
      </c>
      <c r="E62" s="323">
        <v>2005</v>
      </c>
      <c r="F62" s="324" t="s">
        <v>269</v>
      </c>
      <c r="G62" s="323" t="s">
        <v>66</v>
      </c>
      <c r="H62" s="325">
        <v>0.41499999999999998</v>
      </c>
      <c r="I62" s="323" t="s">
        <v>257</v>
      </c>
      <c r="J62" s="326">
        <v>934917.21</v>
      </c>
      <c r="K62" s="218">
        <f t="shared" si="20"/>
        <v>467458.6</v>
      </c>
      <c r="L62" s="219">
        <f t="shared" si="21"/>
        <v>467458.61</v>
      </c>
      <c r="M62" s="327">
        <v>0.5</v>
      </c>
      <c r="N62" s="221">
        <v>0</v>
      </c>
      <c r="O62" s="221">
        <v>0</v>
      </c>
      <c r="P62" s="221">
        <v>0</v>
      </c>
      <c r="Q62" s="221">
        <v>0</v>
      </c>
      <c r="R62" s="221">
        <v>0</v>
      </c>
      <c r="S62" s="221">
        <v>0</v>
      </c>
      <c r="T62" s="221">
        <v>0</v>
      </c>
      <c r="U62" s="221">
        <f>K62</f>
        <v>467458.6</v>
      </c>
      <c r="V62" s="221">
        <v>0</v>
      </c>
      <c r="W62" s="221">
        <v>0</v>
      </c>
      <c r="X62" s="221">
        <v>0</v>
      </c>
      <c r="Y62" s="222">
        <v>0</v>
      </c>
      <c r="Z62" s="1" t="b">
        <f t="shared" si="14"/>
        <v>1</v>
      </c>
      <c r="AA62" s="42">
        <f t="shared" si="15"/>
        <v>0.5</v>
      </c>
      <c r="AB62" s="43" t="b">
        <f t="shared" si="16"/>
        <v>1</v>
      </c>
      <c r="AC62" s="43" t="b">
        <f t="shared" si="17"/>
        <v>1</v>
      </c>
    </row>
    <row r="63" spans="1:29" s="420" customFormat="1" ht="48.75" customHeight="1" x14ac:dyDescent="0.25">
      <c r="A63" s="406">
        <v>61</v>
      </c>
      <c r="B63" s="406">
        <v>322</v>
      </c>
      <c r="C63" s="406" t="s">
        <v>114</v>
      </c>
      <c r="D63" s="409" t="s">
        <v>200</v>
      </c>
      <c r="E63" s="409">
        <v>2001</v>
      </c>
      <c r="F63" s="410" t="s">
        <v>289</v>
      </c>
      <c r="G63" s="409" t="s">
        <v>67</v>
      </c>
      <c r="H63" s="411">
        <v>4.93</v>
      </c>
      <c r="I63" s="409" t="s">
        <v>242</v>
      </c>
      <c r="J63" s="412">
        <v>3470086</v>
      </c>
      <c r="K63" s="413">
        <f t="shared" si="20"/>
        <v>1735043</v>
      </c>
      <c r="L63" s="414">
        <f t="shared" si="21"/>
        <v>1735043</v>
      </c>
      <c r="M63" s="415">
        <v>0.5</v>
      </c>
      <c r="N63" s="416">
        <v>0</v>
      </c>
      <c r="O63" s="416">
        <v>0</v>
      </c>
      <c r="P63" s="416">
        <v>0</v>
      </c>
      <c r="Q63" s="416">
        <v>0</v>
      </c>
      <c r="R63" s="416">
        <v>0</v>
      </c>
      <c r="S63" s="416">
        <v>0</v>
      </c>
      <c r="T63" s="416">
        <v>0</v>
      </c>
      <c r="U63" s="417">
        <f>K63</f>
        <v>1735043</v>
      </c>
      <c r="V63" s="417">
        <v>0</v>
      </c>
      <c r="W63" s="417">
        <v>0</v>
      </c>
      <c r="X63" s="417">
        <v>0</v>
      </c>
      <c r="Y63" s="417">
        <v>0</v>
      </c>
      <c r="Z63" s="418" t="b">
        <f t="shared" ref="Z63" si="22">K63=SUM(N63:Y63)</f>
        <v>1</v>
      </c>
      <c r="AA63" s="42">
        <f t="shared" ref="AA63" si="23">ROUND(K63/J63,4)</f>
        <v>0.5</v>
      </c>
      <c r="AB63" s="419" t="b">
        <f t="shared" ref="AB63" si="24">AA63=M63</f>
        <v>1</v>
      </c>
      <c r="AC63" s="419" t="b">
        <f t="shared" ref="AC63" si="25">J63=K63+L63</f>
        <v>1</v>
      </c>
    </row>
    <row r="64" spans="1:29" s="142" customFormat="1" ht="48.75" customHeight="1" x14ac:dyDescent="0.25">
      <c r="A64" s="328" t="s">
        <v>501</v>
      </c>
      <c r="B64" s="328">
        <v>321</v>
      </c>
      <c r="C64" s="328" t="s">
        <v>114</v>
      </c>
      <c r="D64" s="329" t="s">
        <v>200</v>
      </c>
      <c r="E64" s="329">
        <v>2001</v>
      </c>
      <c r="F64" s="330" t="s">
        <v>270</v>
      </c>
      <c r="G64" s="329" t="s">
        <v>67</v>
      </c>
      <c r="H64" s="331">
        <v>2.92</v>
      </c>
      <c r="I64" s="329" t="s">
        <v>271</v>
      </c>
      <c r="J64" s="311">
        <v>2058362</v>
      </c>
      <c r="K64" s="311">
        <f>ROUNDDOWN(J64*M64,2)-587623.76</f>
        <v>441557.24</v>
      </c>
      <c r="L64" s="312">
        <f t="shared" si="21"/>
        <v>1616804.76</v>
      </c>
      <c r="M64" s="332">
        <v>0.5</v>
      </c>
      <c r="N64" s="301">
        <v>0</v>
      </c>
      <c r="O64" s="301">
        <v>0</v>
      </c>
      <c r="P64" s="301">
        <v>0</v>
      </c>
      <c r="Q64" s="301">
        <v>0</v>
      </c>
      <c r="R64" s="301">
        <v>0</v>
      </c>
      <c r="S64" s="301">
        <v>0</v>
      </c>
      <c r="T64" s="301">
        <v>0</v>
      </c>
      <c r="U64" s="301">
        <f>K64</f>
        <v>441557.24</v>
      </c>
      <c r="V64" s="301">
        <v>0</v>
      </c>
      <c r="W64" s="301">
        <v>0</v>
      </c>
      <c r="X64" s="301">
        <v>0</v>
      </c>
      <c r="Y64" s="302">
        <v>0</v>
      </c>
      <c r="Z64" s="1" t="b">
        <f t="shared" si="14"/>
        <v>1</v>
      </c>
      <c r="AA64" s="42">
        <f t="shared" si="15"/>
        <v>0.2145</v>
      </c>
      <c r="AB64" s="43" t="b">
        <f t="shared" si="16"/>
        <v>0</v>
      </c>
      <c r="AC64" s="43" t="b">
        <f t="shared" si="17"/>
        <v>1</v>
      </c>
    </row>
    <row r="65" spans="1:29" ht="20.100000000000001" customHeight="1" x14ac:dyDescent="0.25">
      <c r="A65" s="458" t="s">
        <v>44</v>
      </c>
      <c r="B65" s="458"/>
      <c r="C65" s="458"/>
      <c r="D65" s="458"/>
      <c r="E65" s="458"/>
      <c r="F65" s="458"/>
      <c r="G65" s="458"/>
      <c r="H65" s="48">
        <f>SUM(H3:H64)</f>
        <v>157.262</v>
      </c>
      <c r="I65" s="247" t="s">
        <v>14</v>
      </c>
      <c r="J65" s="248">
        <f>SUM(J3:J64)</f>
        <v>415070497.13999987</v>
      </c>
      <c r="K65" s="248">
        <f>SUM(K3:K64)</f>
        <v>211011044.70399994</v>
      </c>
      <c r="L65" s="248">
        <f>SUM(L3:L64)</f>
        <v>204059452.43599999</v>
      </c>
      <c r="M65" s="52" t="s">
        <v>14</v>
      </c>
      <c r="N65" s="248">
        <f t="shared" ref="N65:Y65" si="26">SUM(N3:N64)</f>
        <v>0</v>
      </c>
      <c r="O65" s="248">
        <f t="shared" si="26"/>
        <v>0</v>
      </c>
      <c r="P65" s="249">
        <f t="shared" si="26"/>
        <v>0</v>
      </c>
      <c r="Q65" s="249">
        <f t="shared" si="26"/>
        <v>0</v>
      </c>
      <c r="R65" s="249">
        <f t="shared" si="26"/>
        <v>0</v>
      </c>
      <c r="S65" s="249">
        <f t="shared" si="26"/>
        <v>14342710.399999999</v>
      </c>
      <c r="T65" s="249">
        <f t="shared" si="26"/>
        <v>27436126.663999997</v>
      </c>
      <c r="U65" s="249">
        <f t="shared" si="26"/>
        <v>110678740.34999999</v>
      </c>
      <c r="V65" s="249">
        <f t="shared" si="26"/>
        <v>38845930.704999998</v>
      </c>
      <c r="W65" s="249">
        <f t="shared" si="26"/>
        <v>19707536.584999997</v>
      </c>
      <c r="X65" s="249">
        <f t="shared" si="26"/>
        <v>0</v>
      </c>
      <c r="Y65" s="249">
        <f t="shared" si="26"/>
        <v>0</v>
      </c>
      <c r="Z65" s="1" t="b">
        <f t="shared" ref="Z65:Z68" si="27">K65=SUM(N65:Y65)</f>
        <v>1</v>
      </c>
      <c r="AA65" s="42">
        <f t="shared" ref="AA65:AA67" si="28">ROUND(K65/J65,4)</f>
        <v>0.50839999999999996</v>
      </c>
      <c r="AB65" s="43" t="s">
        <v>14</v>
      </c>
      <c r="AC65" s="43" t="b">
        <f t="shared" ref="AC65:AC67" si="29">J65=K65+L65</f>
        <v>1</v>
      </c>
    </row>
    <row r="66" spans="1:29" ht="20.100000000000001" customHeight="1" x14ac:dyDescent="0.25">
      <c r="A66" s="453" t="s">
        <v>37</v>
      </c>
      <c r="B66" s="453"/>
      <c r="C66" s="453"/>
      <c r="D66" s="453"/>
      <c r="E66" s="453"/>
      <c r="F66" s="453"/>
      <c r="G66" s="453"/>
      <c r="H66" s="54">
        <f>SUMIF($C$3:$C$64,"K",H3:H64)</f>
        <v>70.825000000000003</v>
      </c>
      <c r="I66" s="250" t="s">
        <v>14</v>
      </c>
      <c r="J66" s="210">
        <f>SUMIF($C$3:$C$64,"K",J3:J64)</f>
        <v>188680073.86000001</v>
      </c>
      <c r="K66" s="210">
        <f>SUMIF($C$3:$C$64,"K",K3:K64)</f>
        <v>98403456.843999997</v>
      </c>
      <c r="L66" s="210">
        <f>SUMIF($C$3:$C$64,"K",L3:L64)</f>
        <v>90276617.016000003</v>
      </c>
      <c r="M66" s="58" t="s">
        <v>14</v>
      </c>
      <c r="N66" s="210">
        <f t="shared" ref="N66:Y66" si="30">SUMIF($C$3:$C$64,"K",N3:N64)</f>
        <v>0</v>
      </c>
      <c r="O66" s="210">
        <f t="shared" si="30"/>
        <v>0</v>
      </c>
      <c r="P66" s="209">
        <f t="shared" si="30"/>
        <v>0</v>
      </c>
      <c r="Q66" s="209">
        <f t="shared" si="30"/>
        <v>0</v>
      </c>
      <c r="R66" s="209">
        <f t="shared" si="30"/>
        <v>0</v>
      </c>
      <c r="S66" s="209">
        <f t="shared" si="30"/>
        <v>14342710.399999999</v>
      </c>
      <c r="T66" s="209">
        <f t="shared" si="30"/>
        <v>27436126.663999997</v>
      </c>
      <c r="U66" s="209">
        <f t="shared" si="30"/>
        <v>43358692.270000011</v>
      </c>
      <c r="V66" s="209">
        <f t="shared" si="30"/>
        <v>11082867.129999999</v>
      </c>
      <c r="W66" s="209">
        <f t="shared" si="30"/>
        <v>2183060.38</v>
      </c>
      <c r="X66" s="209">
        <f t="shared" si="30"/>
        <v>0</v>
      </c>
      <c r="Y66" s="209">
        <f t="shared" si="30"/>
        <v>0</v>
      </c>
      <c r="Z66" s="1" t="b">
        <f t="shared" si="27"/>
        <v>1</v>
      </c>
      <c r="AA66" s="42">
        <f t="shared" ref="AA66" si="31">ROUND(K66/J66,4)</f>
        <v>0.52149999999999996</v>
      </c>
      <c r="AB66" s="43" t="s">
        <v>14</v>
      </c>
      <c r="AC66" s="43" t="b">
        <f t="shared" ref="AC66" si="32">J66=K66+L66</f>
        <v>1</v>
      </c>
    </row>
    <row r="67" spans="1:29" ht="20.100000000000001" customHeight="1" x14ac:dyDescent="0.25">
      <c r="A67" s="458" t="s">
        <v>38</v>
      </c>
      <c r="B67" s="458"/>
      <c r="C67" s="458"/>
      <c r="D67" s="458"/>
      <c r="E67" s="458"/>
      <c r="F67" s="458"/>
      <c r="G67" s="458"/>
      <c r="H67" s="48">
        <f>SUMIF($C$3:$C$64,"N",H3:H64)</f>
        <v>39.688000000000002</v>
      </c>
      <c r="I67" s="247" t="s">
        <v>14</v>
      </c>
      <c r="J67" s="248">
        <f>SUMIF($C$3:$C$64,"N",J3:J64)</f>
        <v>106107942.44</v>
      </c>
      <c r="K67" s="248">
        <f>SUMIF($C$3:$C$64,"N",K3:K64)</f>
        <v>52466347.45000001</v>
      </c>
      <c r="L67" s="248">
        <f>SUMIF($C$3:$C$64,"N",L3:L64)</f>
        <v>53641594.989999995</v>
      </c>
      <c r="M67" s="52" t="s">
        <v>14</v>
      </c>
      <c r="N67" s="248">
        <f t="shared" ref="N67:Y67" si="33">SUMIF($C$3:$C$64,"N",N3:N64)</f>
        <v>0</v>
      </c>
      <c r="O67" s="248">
        <f t="shared" si="33"/>
        <v>0</v>
      </c>
      <c r="P67" s="249">
        <f t="shared" si="33"/>
        <v>0</v>
      </c>
      <c r="Q67" s="249">
        <f t="shared" si="33"/>
        <v>0</v>
      </c>
      <c r="R67" s="249">
        <f t="shared" si="33"/>
        <v>0</v>
      </c>
      <c r="S67" s="249">
        <f t="shared" si="33"/>
        <v>0</v>
      </c>
      <c r="T67" s="249">
        <f t="shared" si="33"/>
        <v>0</v>
      </c>
      <c r="U67" s="249">
        <f t="shared" si="33"/>
        <v>52466347.45000001</v>
      </c>
      <c r="V67" s="249">
        <f t="shared" si="33"/>
        <v>0</v>
      </c>
      <c r="W67" s="249">
        <f t="shared" si="33"/>
        <v>0</v>
      </c>
      <c r="X67" s="249">
        <f t="shared" si="33"/>
        <v>0</v>
      </c>
      <c r="Y67" s="249">
        <f t="shared" si="33"/>
        <v>0</v>
      </c>
      <c r="Z67" s="1" t="b">
        <f t="shared" si="27"/>
        <v>1</v>
      </c>
      <c r="AA67" s="42">
        <f t="shared" si="28"/>
        <v>0.4945</v>
      </c>
      <c r="AB67" s="43" t="s">
        <v>14</v>
      </c>
      <c r="AC67" s="43" t="b">
        <f t="shared" si="29"/>
        <v>1</v>
      </c>
    </row>
    <row r="68" spans="1:29" ht="20.100000000000001" customHeight="1" x14ac:dyDescent="0.25">
      <c r="A68" s="453" t="s">
        <v>39</v>
      </c>
      <c r="B68" s="453"/>
      <c r="C68" s="453"/>
      <c r="D68" s="453"/>
      <c r="E68" s="453"/>
      <c r="F68" s="453"/>
      <c r="G68" s="453"/>
      <c r="H68" s="54">
        <f>SUMIF($C$3:$C$64,"W",H3:H64)</f>
        <v>46.748999999999995</v>
      </c>
      <c r="I68" s="250" t="s">
        <v>14</v>
      </c>
      <c r="J68" s="210">
        <f>SUMIF($C$3:$C$64,"W",J3:J64)</f>
        <v>120282480.83999999</v>
      </c>
      <c r="K68" s="210">
        <f>SUMIF($C$3:$C$64,"W",K3:K64)</f>
        <v>60141240.409999996</v>
      </c>
      <c r="L68" s="210">
        <f>SUMIF($C$3:$C$64,"W",L3:L64)</f>
        <v>60141240.43</v>
      </c>
      <c r="M68" s="58" t="s">
        <v>14</v>
      </c>
      <c r="N68" s="210">
        <f t="shared" ref="N68:Y68" si="34">SUMIF($C$3:$C$64,"W",N3:N64)</f>
        <v>0</v>
      </c>
      <c r="O68" s="210">
        <f t="shared" si="34"/>
        <v>0</v>
      </c>
      <c r="P68" s="209">
        <f t="shared" si="34"/>
        <v>0</v>
      </c>
      <c r="Q68" s="209">
        <f t="shared" si="34"/>
        <v>0</v>
      </c>
      <c r="R68" s="209">
        <f t="shared" si="34"/>
        <v>0</v>
      </c>
      <c r="S68" s="209">
        <f t="shared" si="34"/>
        <v>0</v>
      </c>
      <c r="T68" s="209">
        <f t="shared" si="34"/>
        <v>0</v>
      </c>
      <c r="U68" s="209">
        <f t="shared" si="34"/>
        <v>14853700.630000001</v>
      </c>
      <c r="V68" s="209">
        <f t="shared" si="34"/>
        <v>27763063.574999999</v>
      </c>
      <c r="W68" s="209">
        <f t="shared" si="34"/>
        <v>17524476.204999998</v>
      </c>
      <c r="X68" s="209">
        <f t="shared" si="34"/>
        <v>0</v>
      </c>
      <c r="Y68" s="209">
        <f t="shared" si="34"/>
        <v>0</v>
      </c>
      <c r="Z68" s="1" t="b">
        <f t="shared" si="27"/>
        <v>1</v>
      </c>
      <c r="AA68" s="42">
        <f t="shared" ref="AA68" si="35">ROUND(K68/J68,4)</f>
        <v>0.5</v>
      </c>
      <c r="AB68" s="43" t="s">
        <v>14</v>
      </c>
      <c r="AC68" s="43" t="b">
        <f t="shared" ref="AC68" si="36">J68=K68+L68</f>
        <v>1</v>
      </c>
    </row>
    <row r="69" spans="1:29" x14ac:dyDescent="0.25">
      <c r="A69" s="35"/>
      <c r="B69" s="35"/>
      <c r="C69" s="154"/>
      <c r="D69" s="35"/>
      <c r="E69" s="35"/>
      <c r="F69" s="35"/>
      <c r="G69" s="35"/>
    </row>
    <row r="70" spans="1:29" x14ac:dyDescent="0.25">
      <c r="A70" s="33" t="s">
        <v>24</v>
      </c>
      <c r="B70" s="33"/>
      <c r="C70" s="152"/>
      <c r="D70" s="33"/>
      <c r="E70" s="33"/>
      <c r="F70" s="33"/>
      <c r="G70" s="33"/>
      <c r="H70" s="14"/>
      <c r="I70" s="14"/>
      <c r="J70" s="6"/>
      <c r="K70" s="14"/>
      <c r="L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"/>
      <c r="AC70" s="43"/>
    </row>
    <row r="71" spans="1:29" x14ac:dyDescent="0.25">
      <c r="A71" s="34" t="s">
        <v>25</v>
      </c>
      <c r="B71" s="34"/>
      <c r="C71" s="153"/>
      <c r="D71" s="34"/>
      <c r="E71" s="34"/>
      <c r="F71" s="34"/>
      <c r="G71" s="34"/>
      <c r="H71" s="14"/>
      <c r="I71" s="14"/>
      <c r="J71" s="30"/>
      <c r="K71" s="14"/>
      <c r="L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"/>
    </row>
    <row r="72" spans="1:29" x14ac:dyDescent="0.25">
      <c r="A72" s="33" t="s">
        <v>42</v>
      </c>
      <c r="B72" s="35"/>
      <c r="C72" s="154"/>
      <c r="D72" s="35"/>
      <c r="E72" s="35"/>
      <c r="F72" s="35"/>
      <c r="G72" s="35"/>
      <c r="J72" s="29"/>
    </row>
    <row r="73" spans="1:29" x14ac:dyDescent="0.25">
      <c r="A73" s="454" t="s">
        <v>151</v>
      </c>
      <c r="B73" s="454"/>
      <c r="C73" s="454"/>
      <c r="D73" s="454"/>
      <c r="E73" s="454"/>
      <c r="F73" s="454"/>
      <c r="G73" s="454"/>
      <c r="H73" s="454"/>
      <c r="I73" s="454"/>
      <c r="J73" s="454"/>
      <c r="K73" s="454"/>
      <c r="L73" s="454"/>
      <c r="M73" s="454"/>
      <c r="N73" s="454"/>
      <c r="O73" s="454"/>
      <c r="P73" s="454"/>
      <c r="Q73" s="454"/>
      <c r="R73" s="454"/>
    </row>
    <row r="74" spans="1:29" ht="32.25" customHeight="1" x14ac:dyDescent="0.25">
      <c r="A74" s="455" t="s">
        <v>152</v>
      </c>
      <c r="B74" s="455"/>
      <c r="C74" s="455"/>
      <c r="D74" s="455"/>
      <c r="E74" s="455"/>
      <c r="F74" s="455"/>
      <c r="G74" s="455"/>
      <c r="H74" s="455"/>
      <c r="I74" s="455"/>
      <c r="J74" s="455"/>
      <c r="K74" s="455"/>
      <c r="L74" s="455"/>
      <c r="M74" s="455"/>
      <c r="N74" s="455"/>
      <c r="O74" s="455"/>
      <c r="P74" s="455"/>
      <c r="Q74" s="455"/>
      <c r="R74" s="155"/>
    </row>
  </sheetData>
  <mergeCells count="20">
    <mergeCell ref="A74:Q74"/>
    <mergeCell ref="H1:H2"/>
    <mergeCell ref="I1:I2"/>
    <mergeCell ref="J1:J2"/>
    <mergeCell ref="K1:K2"/>
    <mergeCell ref="N1:Y1"/>
    <mergeCell ref="L1:L2"/>
    <mergeCell ref="M1:M2"/>
    <mergeCell ref="D1:D2"/>
    <mergeCell ref="A68:G68"/>
    <mergeCell ref="A67:G67"/>
    <mergeCell ref="E1:E2"/>
    <mergeCell ref="A65:G65"/>
    <mergeCell ref="A1:A2"/>
    <mergeCell ref="B1:B2"/>
    <mergeCell ref="C1:C2"/>
    <mergeCell ref="F1:F2"/>
    <mergeCell ref="G1:G2"/>
    <mergeCell ref="A66:G66"/>
    <mergeCell ref="A73:R73"/>
  </mergeCells>
  <conditionalFormatting sqref="Z3:AB68">
    <cfRule type="containsText" dxfId="12" priority="3" operator="containsText" text="fałsz">
      <formula>NOT(ISERROR(SEARCH("fałsz",Z3)))</formula>
    </cfRule>
  </conditionalFormatting>
  <conditionalFormatting sqref="Z3:AC68">
    <cfRule type="cellIs" dxfId="11" priority="1" operator="equal">
      <formula>FALSE</formula>
    </cfRule>
  </conditionalFormatting>
  <conditionalFormatting sqref="AC70">
    <cfRule type="cellIs" dxfId="10" priority="11" operator="equal">
      <formula>FALSE</formula>
    </cfRule>
  </conditionalFormatting>
  <dataValidations count="3">
    <dataValidation type="list" allowBlank="1" showInputMessage="1" showErrorMessage="1" sqref="C3:C11 IY3:IY11 SU3:SU11 ACQ3:ACQ11 AMM3:AMM11 AWI3:AWI11 BGE3:BGE11 BQA3:BQA11 BZW3:BZW11 CJS3:CJS11 CTO3:CTO11 DDK3:DDK11 DNG3:DNG11 DXC3:DXC11 EGY3:EGY11 EQU3:EQU11 FAQ3:FAQ11 FKM3:FKM11 FUI3:FUI11 GEE3:GEE11 GOA3:GOA11 GXW3:GXW11 HHS3:HHS11 HRO3:HRO11 IBK3:IBK11 ILG3:ILG11 IVC3:IVC11 JEY3:JEY11 JOU3:JOU11 JYQ3:JYQ11 KIM3:KIM11 KSI3:KSI11 LCE3:LCE11 LMA3:LMA11 LVW3:LVW11 MFS3:MFS11 MPO3:MPO11 MZK3:MZK11 NJG3:NJG11 NTC3:NTC11 OCY3:OCY11 OMU3:OMU11 OWQ3:OWQ11 PGM3:PGM11 PQI3:PQI11 QAE3:QAE11 QKA3:QKA11 QTW3:QTW11 RDS3:RDS11 RNO3:RNO11 RXK3:RXK11 SHG3:SHG11 SRC3:SRC11 TAY3:TAY11 TKU3:TKU11 TUQ3:TUQ11 UEM3:UEM11 UOI3:UOI11 UYE3:UYE11 VIA3:VIA11 VRW3:VRW11 WBS3:WBS11 WLO3:WLO11 WVK3:WVK11 WVK13:WVK15 IY13:IY15 SU13:SU15 ACQ13:ACQ15 AMM13:AMM15 AWI13:AWI15 BGE13:BGE15 BQA13:BQA15 BZW13:BZW15 CJS13:CJS15 CTO13:CTO15 DDK13:DDK15 DNG13:DNG15 DXC13:DXC15 EGY13:EGY15 EQU13:EQU15 FAQ13:FAQ15 FKM13:FKM15 FUI13:FUI15 GEE13:GEE15 GOA13:GOA15 GXW13:GXW15 HHS13:HHS15 HRO13:HRO15 IBK13:IBK15 ILG13:ILG15 IVC13:IVC15 JEY13:JEY15 JOU13:JOU15 JYQ13:JYQ15 KIM13:KIM15 KSI13:KSI15 LCE13:LCE15 LMA13:LMA15 LVW13:LVW15 MFS13:MFS15 MPO13:MPO15 MZK13:MZK15 NJG13:NJG15 NTC13:NTC15 OCY13:OCY15 OMU13:OMU15 OWQ13:OWQ15 PGM13:PGM15 PQI13:PQI15 QAE13:QAE15 QKA13:QKA15 QTW13:QTW15 RDS13:RDS15 RNO13:RNO15 RXK13:RXK15 SHG13:SHG15 SRC13:SRC15 TAY13:TAY15 TKU13:TKU15 TUQ13:TUQ15 UEM13:UEM15 UOI13:UOI15 UYE13:UYE15 VIA13:VIA15 VRW13:VRW15 WBS13:WBS15 WLO13:WLO15 C13:C27">
      <formula1>"N,K,W"</formula1>
    </dataValidation>
    <dataValidation type="list" allowBlank="1" showInputMessage="1" showErrorMessage="1" sqref="WVO3:WVO10 JC3:JC10 SY3:SY10 ACU3:ACU10 AMQ3:AMQ10 AWM3:AWM10 BGI3:BGI10 BQE3:BQE10 CAA3:CAA10 CJW3:CJW10 CTS3:CTS10 DDO3:DDO10 DNK3:DNK10 DXG3:DXG10 EHC3:EHC10 EQY3:EQY10 FAU3:FAU10 FKQ3:FKQ10 FUM3:FUM10 GEI3:GEI10 GOE3:GOE10 GYA3:GYA10 HHW3:HHW10 HRS3:HRS10 IBO3:IBO10 ILK3:ILK10 IVG3:IVG10 JFC3:JFC10 JOY3:JOY10 JYU3:JYU10 KIQ3:KIQ10 KSM3:KSM10 LCI3:LCI10 LME3:LME10 LWA3:LWA10 MFW3:MFW10 MPS3:MPS10 MZO3:MZO10 NJK3:NJK10 NTG3:NTG10 ODC3:ODC10 OMY3:OMY10 OWU3:OWU10 PGQ3:PGQ10 PQM3:PQM10 QAI3:QAI10 QKE3:QKE10 QUA3:QUA10 RDW3:RDW10 RNS3:RNS10 RXO3:RXO10 SHK3:SHK10 SRG3:SRG10 TBC3:TBC10 TKY3:TKY10 TUU3:TUU10 UEQ3:UEQ10 UOM3:UOM10 UYI3:UYI10 VIE3:VIE10 VSA3:VSA10 WBW3:WBW10 WLS3:WLS10 G3:G10">
      <formula1>"B,P,R"</formula1>
    </dataValidation>
    <dataValidation type="list" allowBlank="1" showInputMessage="1" showErrorMessage="1" sqref="C28:C64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8" fitToHeight="0" orientation="landscape" r:id="rId1"/>
  <headerFooter>
    <oddHeader>&amp;LWojewództwo podlaskie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1"/>
  <sheetViews>
    <sheetView showGridLines="0" view="pageBreakPreview" zoomScaleNormal="100" zoomScaleSheetLayoutView="100" workbookViewId="0">
      <selection sqref="A1:A2"/>
    </sheetView>
  </sheetViews>
  <sheetFormatPr defaultColWidth="9.140625" defaultRowHeight="15" x14ac:dyDescent="0.25"/>
  <cols>
    <col min="1" max="2" width="7.28515625" style="3" customWidth="1"/>
    <col min="3" max="3" width="17.28515625" style="3" customWidth="1"/>
    <col min="4" max="4" width="19.42578125" style="3" customWidth="1"/>
    <col min="5" max="5" width="15.7109375" style="3" customWidth="1"/>
    <col min="6" max="6" width="19.5703125" style="3" customWidth="1"/>
    <col min="7" max="7" width="65.7109375" style="3" customWidth="1"/>
    <col min="8" max="8" width="9.42578125" style="3" customWidth="1"/>
    <col min="9" max="9" width="13.28515625" style="3" customWidth="1"/>
    <col min="10" max="10" width="13.7109375" style="3" customWidth="1"/>
    <col min="11" max="11" width="15.7109375" style="4" customWidth="1"/>
    <col min="12" max="12" width="17.28515625" style="3" customWidth="1"/>
    <col min="13" max="13" width="15.7109375" style="3" customWidth="1"/>
    <col min="14" max="14" width="15.7109375" style="1" customWidth="1"/>
    <col min="15" max="21" width="15.85546875" style="3" customWidth="1"/>
    <col min="22" max="26" width="15.7109375" style="3" customWidth="1"/>
    <col min="27" max="29" width="15.7109375" style="14" customWidth="1"/>
    <col min="30" max="30" width="15.7109375" style="3" customWidth="1"/>
    <col min="31" max="16384" width="9.140625" style="3"/>
  </cols>
  <sheetData>
    <row r="1" spans="1:30" ht="20.100000000000001" customHeight="1" x14ac:dyDescent="0.25">
      <c r="A1" s="463" t="s">
        <v>4</v>
      </c>
      <c r="B1" s="463" t="s">
        <v>5</v>
      </c>
      <c r="C1" s="459" t="s">
        <v>43</v>
      </c>
      <c r="D1" s="461" t="s">
        <v>6</v>
      </c>
      <c r="E1" s="463" t="s">
        <v>32</v>
      </c>
      <c r="F1" s="461" t="s">
        <v>15</v>
      </c>
      <c r="G1" s="463" t="s">
        <v>7</v>
      </c>
      <c r="H1" s="463" t="s">
        <v>26</v>
      </c>
      <c r="I1" s="463" t="s">
        <v>8</v>
      </c>
      <c r="J1" s="463" t="s">
        <v>27</v>
      </c>
      <c r="K1" s="463" t="s">
        <v>9</v>
      </c>
      <c r="L1" s="463" t="s">
        <v>17</v>
      </c>
      <c r="M1" s="461" t="s">
        <v>13</v>
      </c>
      <c r="N1" s="463" t="s">
        <v>11</v>
      </c>
      <c r="O1" s="460" t="s">
        <v>12</v>
      </c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464"/>
    </row>
    <row r="2" spans="1:30" ht="20.100000000000001" customHeight="1" x14ac:dyDescent="0.25">
      <c r="A2" s="463"/>
      <c r="B2" s="463"/>
      <c r="C2" s="460"/>
      <c r="D2" s="462"/>
      <c r="E2" s="463"/>
      <c r="F2" s="462"/>
      <c r="G2" s="463"/>
      <c r="H2" s="463"/>
      <c r="I2" s="463"/>
      <c r="J2" s="463"/>
      <c r="K2" s="463"/>
      <c r="L2" s="463"/>
      <c r="M2" s="462"/>
      <c r="N2" s="463"/>
      <c r="O2" s="195">
        <v>2019</v>
      </c>
      <c r="P2" s="195">
        <v>2020</v>
      </c>
      <c r="Q2" s="195">
        <v>2021</v>
      </c>
      <c r="R2" s="195">
        <v>2022</v>
      </c>
      <c r="S2" s="195">
        <v>2023</v>
      </c>
      <c r="T2" s="195">
        <v>2024</v>
      </c>
      <c r="U2" s="195">
        <v>2025</v>
      </c>
      <c r="V2" s="195">
        <v>2026</v>
      </c>
      <c r="W2" s="195">
        <v>2027</v>
      </c>
      <c r="X2" s="195">
        <v>2028</v>
      </c>
      <c r="Y2" s="195">
        <v>2029</v>
      </c>
      <c r="Z2" s="195">
        <v>2030</v>
      </c>
      <c r="AA2" s="1" t="s">
        <v>28</v>
      </c>
      <c r="AB2" s="1" t="s">
        <v>29</v>
      </c>
      <c r="AC2" s="1" t="s">
        <v>30</v>
      </c>
      <c r="AD2" s="41" t="s">
        <v>31</v>
      </c>
    </row>
    <row r="3" spans="1:30" s="144" customFormat="1" ht="37.5" customHeight="1" x14ac:dyDescent="0.25">
      <c r="A3" s="198">
        <v>1</v>
      </c>
      <c r="B3" s="199">
        <v>245</v>
      </c>
      <c r="C3" s="199" t="s">
        <v>64</v>
      </c>
      <c r="D3" s="199" t="s">
        <v>161</v>
      </c>
      <c r="E3" s="199">
        <v>2011</v>
      </c>
      <c r="F3" s="199" t="s">
        <v>62</v>
      </c>
      <c r="G3" s="208" t="s">
        <v>87</v>
      </c>
      <c r="H3" s="200" t="s">
        <v>66</v>
      </c>
      <c r="I3" s="201">
        <v>4.2450000000000001</v>
      </c>
      <c r="J3" s="202" t="s">
        <v>162</v>
      </c>
      <c r="K3" s="210">
        <v>4961224.01</v>
      </c>
      <c r="L3" s="209">
        <f t="shared" ref="L3" si="0">ROUNDDOWN(K3*N3,2)</f>
        <v>2976734.4</v>
      </c>
      <c r="M3" s="210">
        <f t="shared" ref="M3:M4" si="1">K3-L3</f>
        <v>1984489.6099999999</v>
      </c>
      <c r="N3" s="211">
        <v>0.6</v>
      </c>
      <c r="O3" s="205">
        <v>0</v>
      </c>
      <c r="P3" s="205">
        <v>0</v>
      </c>
      <c r="Q3" s="206">
        <v>0</v>
      </c>
      <c r="R3" s="205">
        <v>0</v>
      </c>
      <c r="S3" s="205">
        <v>0</v>
      </c>
      <c r="T3" s="205">
        <v>1241607.3400000001</v>
      </c>
      <c r="U3" s="205">
        <v>991501.17</v>
      </c>
      <c r="V3" s="205">
        <v>743625.89</v>
      </c>
      <c r="W3" s="207">
        <v>0</v>
      </c>
      <c r="X3" s="207">
        <v>0</v>
      </c>
      <c r="Y3" s="207">
        <v>0</v>
      </c>
      <c r="Z3" s="207">
        <v>0</v>
      </c>
      <c r="AA3" s="1" t="b">
        <f t="shared" ref="AA3:AA95" si="2">L3=SUM(O3:Z3)</f>
        <v>1</v>
      </c>
      <c r="AB3" s="42">
        <f t="shared" ref="AB3:AB94" si="3">ROUND(L3/K3,4)</f>
        <v>0.6</v>
      </c>
      <c r="AC3" s="43" t="b">
        <f t="shared" ref="AC3:AC16" si="4">AB3=N3</f>
        <v>1</v>
      </c>
      <c r="AD3" s="43" t="b">
        <f t="shared" ref="AD3:AD94" si="5">K3=L3+M3</f>
        <v>1</v>
      </c>
    </row>
    <row r="4" spans="1:30" s="144" customFormat="1" ht="37.5" customHeight="1" x14ac:dyDescent="0.25">
      <c r="A4" s="198">
        <v>2</v>
      </c>
      <c r="B4" s="199">
        <v>227</v>
      </c>
      <c r="C4" s="212" t="s">
        <v>64</v>
      </c>
      <c r="D4" s="199" t="s">
        <v>170</v>
      </c>
      <c r="E4" s="199">
        <v>2002145</v>
      </c>
      <c r="F4" s="199" t="s">
        <v>58</v>
      </c>
      <c r="G4" s="208" t="s">
        <v>88</v>
      </c>
      <c r="H4" s="200" t="s">
        <v>65</v>
      </c>
      <c r="I4" s="201">
        <v>3.88</v>
      </c>
      <c r="J4" s="202" t="s">
        <v>169</v>
      </c>
      <c r="K4" s="210">
        <v>8523900</v>
      </c>
      <c r="L4" s="209">
        <v>5022981.8099999996</v>
      </c>
      <c r="M4" s="210">
        <f t="shared" si="1"/>
        <v>3500918.1900000004</v>
      </c>
      <c r="N4" s="211">
        <f>ROUND(L4/K4,4)</f>
        <v>0.58930000000000005</v>
      </c>
      <c r="O4" s="205">
        <v>0</v>
      </c>
      <c r="P4" s="205">
        <v>0</v>
      </c>
      <c r="Q4" s="206">
        <v>0</v>
      </c>
      <c r="R4" s="205">
        <v>0</v>
      </c>
      <c r="S4" s="205">
        <v>0</v>
      </c>
      <c r="T4" s="207">
        <v>2291108.12</v>
      </c>
      <c r="U4" s="205">
        <v>1365936.84</v>
      </c>
      <c r="V4" s="205">
        <v>1365936.85</v>
      </c>
      <c r="W4" s="207">
        <v>0</v>
      </c>
      <c r="X4" s="207">
        <v>0</v>
      </c>
      <c r="Y4" s="207">
        <v>0</v>
      </c>
      <c r="Z4" s="207">
        <v>0</v>
      </c>
      <c r="AA4" s="1" t="b">
        <f t="shared" si="2"/>
        <v>1</v>
      </c>
      <c r="AB4" s="42">
        <f t="shared" si="3"/>
        <v>0.58930000000000005</v>
      </c>
      <c r="AC4" s="43" t="b">
        <f t="shared" si="4"/>
        <v>1</v>
      </c>
      <c r="AD4" s="43" t="b">
        <f t="shared" si="5"/>
        <v>1</v>
      </c>
    </row>
    <row r="5" spans="1:30" s="146" customFormat="1" ht="37.5" customHeight="1" x14ac:dyDescent="0.25">
      <c r="A5" s="198">
        <v>3</v>
      </c>
      <c r="B5" s="199">
        <v>302</v>
      </c>
      <c r="C5" s="212" t="s">
        <v>64</v>
      </c>
      <c r="D5" s="199" t="s">
        <v>163</v>
      </c>
      <c r="E5" s="199">
        <v>2010042</v>
      </c>
      <c r="F5" s="199" t="s">
        <v>61</v>
      </c>
      <c r="G5" s="208" t="s">
        <v>89</v>
      </c>
      <c r="H5" s="200" t="s">
        <v>65</v>
      </c>
      <c r="I5" s="201">
        <v>3.004</v>
      </c>
      <c r="J5" s="202" t="s">
        <v>164</v>
      </c>
      <c r="K5" s="210">
        <v>2701757</v>
      </c>
      <c r="L5" s="209">
        <v>1619973.49</v>
      </c>
      <c r="M5" s="210">
        <f t="shared" ref="M5:M9" si="6">K5-L5</f>
        <v>1081783.51</v>
      </c>
      <c r="N5" s="211">
        <f>ROUND(L5/K5,4)</f>
        <v>0.59960000000000002</v>
      </c>
      <c r="O5" s="205">
        <v>0</v>
      </c>
      <c r="P5" s="205">
        <v>0</v>
      </c>
      <c r="Q5" s="206">
        <v>0</v>
      </c>
      <c r="R5" s="205">
        <v>0</v>
      </c>
      <c r="S5" s="205">
        <v>0</v>
      </c>
      <c r="T5" s="207">
        <v>0</v>
      </c>
      <c r="U5" s="205">
        <f>L5</f>
        <v>1619973.49</v>
      </c>
      <c r="V5" s="207">
        <v>0</v>
      </c>
      <c r="W5" s="207">
        <v>0</v>
      </c>
      <c r="X5" s="207">
        <v>0</v>
      </c>
      <c r="Y5" s="207">
        <v>0</v>
      </c>
      <c r="Z5" s="207">
        <v>0</v>
      </c>
      <c r="AA5" s="1" t="b">
        <f t="shared" si="2"/>
        <v>1</v>
      </c>
      <c r="AB5" s="42">
        <f t="shared" si="3"/>
        <v>0.59960000000000002</v>
      </c>
      <c r="AC5" s="43" t="b">
        <f t="shared" si="4"/>
        <v>1</v>
      </c>
      <c r="AD5" s="43" t="b">
        <f t="shared" si="5"/>
        <v>1</v>
      </c>
    </row>
    <row r="6" spans="1:30" s="146" customFormat="1" ht="37.5" customHeight="1" x14ac:dyDescent="0.25">
      <c r="A6" s="198">
        <v>4</v>
      </c>
      <c r="B6" s="199">
        <v>152</v>
      </c>
      <c r="C6" s="199" t="s">
        <v>64</v>
      </c>
      <c r="D6" s="199" t="s">
        <v>90</v>
      </c>
      <c r="E6" s="199">
        <v>2013011</v>
      </c>
      <c r="F6" s="199" t="s">
        <v>63</v>
      </c>
      <c r="G6" s="208" t="s">
        <v>91</v>
      </c>
      <c r="H6" s="200" t="s">
        <v>66</v>
      </c>
      <c r="I6" s="201">
        <v>2.8140000000000001</v>
      </c>
      <c r="J6" s="202" t="s">
        <v>92</v>
      </c>
      <c r="K6" s="210">
        <v>18447738.719999999</v>
      </c>
      <c r="L6" s="209">
        <f t="shared" ref="L6:L7" si="7">ROUNDDOWN(K6*N6,2)</f>
        <v>11068643.23</v>
      </c>
      <c r="M6" s="210">
        <f t="shared" si="6"/>
        <v>7379095.4899999984</v>
      </c>
      <c r="N6" s="211">
        <v>0.6</v>
      </c>
      <c r="O6" s="205">
        <v>0</v>
      </c>
      <c r="P6" s="205">
        <v>0</v>
      </c>
      <c r="Q6" s="206">
        <v>0</v>
      </c>
      <c r="R6" s="205">
        <v>0</v>
      </c>
      <c r="S6" s="205">
        <v>0</v>
      </c>
      <c r="T6" s="205">
        <v>2215311.0099999998</v>
      </c>
      <c r="U6" s="205">
        <v>4430622.0199999996</v>
      </c>
      <c r="V6" s="205">
        <v>4422710.2</v>
      </c>
      <c r="W6" s="207">
        <v>0</v>
      </c>
      <c r="X6" s="207">
        <v>0</v>
      </c>
      <c r="Y6" s="207">
        <v>0</v>
      </c>
      <c r="Z6" s="207">
        <v>0</v>
      </c>
      <c r="AA6" s="1" t="b">
        <f t="shared" si="2"/>
        <v>1</v>
      </c>
      <c r="AB6" s="42">
        <f t="shared" si="3"/>
        <v>0.6</v>
      </c>
      <c r="AC6" s="43" t="b">
        <f t="shared" si="4"/>
        <v>1</v>
      </c>
      <c r="AD6" s="43" t="b">
        <f t="shared" si="5"/>
        <v>1</v>
      </c>
    </row>
    <row r="7" spans="1:30" s="146" customFormat="1" ht="37.5" customHeight="1" x14ac:dyDescent="0.25">
      <c r="A7" s="198">
        <v>5</v>
      </c>
      <c r="B7" s="199">
        <v>291</v>
      </c>
      <c r="C7" s="212" t="s">
        <v>64</v>
      </c>
      <c r="D7" s="199" t="s">
        <v>172</v>
      </c>
      <c r="E7" s="199">
        <v>2011072</v>
      </c>
      <c r="F7" s="199" t="s">
        <v>62</v>
      </c>
      <c r="G7" s="208" t="s">
        <v>93</v>
      </c>
      <c r="H7" s="200" t="s">
        <v>65</v>
      </c>
      <c r="I7" s="201">
        <v>1.45</v>
      </c>
      <c r="J7" s="202" t="s">
        <v>171</v>
      </c>
      <c r="K7" s="210">
        <v>1993350</v>
      </c>
      <c r="L7" s="209">
        <f t="shared" si="7"/>
        <v>1196010</v>
      </c>
      <c r="M7" s="210">
        <f t="shared" si="6"/>
        <v>797340</v>
      </c>
      <c r="N7" s="211">
        <v>0.6</v>
      </c>
      <c r="O7" s="205">
        <v>0</v>
      </c>
      <c r="P7" s="205">
        <v>0</v>
      </c>
      <c r="Q7" s="206">
        <v>0</v>
      </c>
      <c r="R7" s="205">
        <v>0</v>
      </c>
      <c r="S7" s="205">
        <v>0</v>
      </c>
      <c r="T7" s="205">
        <v>1153329.75</v>
      </c>
      <c r="U7" s="205">
        <v>42680.25</v>
      </c>
      <c r="V7" s="207">
        <v>0</v>
      </c>
      <c r="W7" s="207">
        <v>0</v>
      </c>
      <c r="X7" s="207">
        <v>0</v>
      </c>
      <c r="Y7" s="207">
        <v>0</v>
      </c>
      <c r="Z7" s="207">
        <v>0</v>
      </c>
      <c r="AA7" s="1" t="b">
        <f t="shared" si="2"/>
        <v>1</v>
      </c>
      <c r="AB7" s="42">
        <f t="shared" si="3"/>
        <v>0.6</v>
      </c>
      <c r="AC7" s="43" t="b">
        <f t="shared" si="4"/>
        <v>1</v>
      </c>
      <c r="AD7" s="43" t="b">
        <f t="shared" si="5"/>
        <v>1</v>
      </c>
    </row>
    <row r="8" spans="1:30" s="146" customFormat="1" ht="37.5" customHeight="1" x14ac:dyDescent="0.25">
      <c r="A8" s="199">
        <v>6</v>
      </c>
      <c r="B8" s="199">
        <v>318</v>
      </c>
      <c r="C8" s="199" t="s">
        <v>64</v>
      </c>
      <c r="D8" s="199" t="s">
        <v>156</v>
      </c>
      <c r="E8" s="199">
        <v>2013062</v>
      </c>
      <c r="F8" s="199" t="s">
        <v>63</v>
      </c>
      <c r="G8" s="208" t="s">
        <v>95</v>
      </c>
      <c r="H8" s="200" t="s">
        <v>66</v>
      </c>
      <c r="I8" s="201">
        <v>3.03</v>
      </c>
      <c r="J8" s="202" t="s">
        <v>174</v>
      </c>
      <c r="K8" s="210">
        <v>3967336.86</v>
      </c>
      <c r="L8" s="209">
        <f>ROUNDDOWN(K8*N8,2)</f>
        <v>2380402.11</v>
      </c>
      <c r="M8" s="210">
        <f t="shared" si="6"/>
        <v>1586934.75</v>
      </c>
      <c r="N8" s="204">
        <v>0.6</v>
      </c>
      <c r="O8" s="205">
        <v>0</v>
      </c>
      <c r="P8" s="205">
        <v>0</v>
      </c>
      <c r="Q8" s="206">
        <v>0</v>
      </c>
      <c r="R8" s="207">
        <v>0</v>
      </c>
      <c r="S8" s="207">
        <v>0</v>
      </c>
      <c r="T8" s="207">
        <v>1514801.34</v>
      </c>
      <c r="U8" s="205">
        <v>0</v>
      </c>
      <c r="V8" s="205">
        <v>865600.77</v>
      </c>
      <c r="W8" s="205">
        <v>0</v>
      </c>
      <c r="X8" s="205">
        <v>0</v>
      </c>
      <c r="Y8" s="205">
        <v>0</v>
      </c>
      <c r="Z8" s="205">
        <v>0</v>
      </c>
      <c r="AA8" s="1" t="b">
        <f t="shared" si="2"/>
        <v>1</v>
      </c>
      <c r="AB8" s="42">
        <f t="shared" si="3"/>
        <v>0.6</v>
      </c>
      <c r="AC8" s="43" t="b">
        <f t="shared" si="4"/>
        <v>1</v>
      </c>
      <c r="AD8" s="43" t="b">
        <f t="shared" si="5"/>
        <v>1</v>
      </c>
    </row>
    <row r="9" spans="1:30" s="146" customFormat="1" ht="37.5" customHeight="1" x14ac:dyDescent="0.25">
      <c r="A9" s="199">
        <v>7</v>
      </c>
      <c r="B9" s="199">
        <v>240</v>
      </c>
      <c r="C9" s="199" t="s">
        <v>64</v>
      </c>
      <c r="D9" s="199" t="s">
        <v>173</v>
      </c>
      <c r="E9" s="199">
        <v>2013033</v>
      </c>
      <c r="F9" s="199" t="s">
        <v>63</v>
      </c>
      <c r="G9" s="208" t="s">
        <v>97</v>
      </c>
      <c r="H9" s="200" t="s">
        <v>65</v>
      </c>
      <c r="I9" s="201">
        <v>1.36</v>
      </c>
      <c r="J9" s="202" t="s">
        <v>175</v>
      </c>
      <c r="K9" s="210">
        <v>2618453.84</v>
      </c>
      <c r="L9" s="209">
        <f>ROUNDDOWN(K9*N9,2)</f>
        <v>1571072.3</v>
      </c>
      <c r="M9" s="210">
        <f t="shared" si="6"/>
        <v>1047381.5399999998</v>
      </c>
      <c r="N9" s="204">
        <v>0.6</v>
      </c>
      <c r="O9" s="205">
        <v>0</v>
      </c>
      <c r="P9" s="205">
        <v>0</v>
      </c>
      <c r="Q9" s="206">
        <v>0</v>
      </c>
      <c r="R9" s="207">
        <v>0</v>
      </c>
      <c r="S9" s="207">
        <v>0</v>
      </c>
      <c r="T9" s="207">
        <v>56233.83</v>
      </c>
      <c r="U9" s="205">
        <f>800000*N9-480000</f>
        <v>0</v>
      </c>
      <c r="V9" s="205">
        <v>1514838.47</v>
      </c>
      <c r="W9" s="205">
        <v>0</v>
      </c>
      <c r="X9" s="205">
        <v>0</v>
      </c>
      <c r="Y9" s="205">
        <v>0</v>
      </c>
      <c r="Z9" s="205">
        <v>0</v>
      </c>
      <c r="AA9" s="1" t="b">
        <f t="shared" si="2"/>
        <v>1</v>
      </c>
      <c r="AB9" s="42">
        <f t="shared" si="3"/>
        <v>0.6</v>
      </c>
      <c r="AC9" s="43" t="b">
        <f t="shared" si="4"/>
        <v>1</v>
      </c>
      <c r="AD9" s="43" t="b">
        <f t="shared" si="5"/>
        <v>1</v>
      </c>
    </row>
    <row r="10" spans="1:30" s="146" customFormat="1" ht="37.5" customHeight="1" x14ac:dyDescent="0.25">
      <c r="A10" s="215" t="s">
        <v>492</v>
      </c>
      <c r="B10" s="199">
        <v>109</v>
      </c>
      <c r="C10" s="199" t="s">
        <v>64</v>
      </c>
      <c r="D10" s="199" t="s">
        <v>177</v>
      </c>
      <c r="E10" s="199">
        <v>2011013</v>
      </c>
      <c r="F10" s="199" t="s">
        <v>62</v>
      </c>
      <c r="G10" s="208" t="s">
        <v>157</v>
      </c>
      <c r="H10" s="200" t="s">
        <v>65</v>
      </c>
      <c r="I10" s="201">
        <v>1.133</v>
      </c>
      <c r="J10" s="202" t="s">
        <v>176</v>
      </c>
      <c r="K10" s="210">
        <v>1143135.01</v>
      </c>
      <c r="L10" s="209">
        <f>(K10*N10)-69681.01</f>
        <v>616199.99599999993</v>
      </c>
      <c r="M10" s="210">
        <f t="shared" ref="M10:M11" si="8">K10-L10</f>
        <v>526935.01400000008</v>
      </c>
      <c r="N10" s="204">
        <v>0.6</v>
      </c>
      <c r="O10" s="205">
        <v>0</v>
      </c>
      <c r="P10" s="205">
        <v>0</v>
      </c>
      <c r="Q10" s="206">
        <v>0</v>
      </c>
      <c r="R10" s="207">
        <v>0</v>
      </c>
      <c r="S10" s="207">
        <v>0</v>
      </c>
      <c r="T10" s="205">
        <v>120000</v>
      </c>
      <c r="U10" s="205">
        <f>(K10*N10-T10-V10)-69681.01</f>
        <v>-4.0000000590225682E-3</v>
      </c>
      <c r="V10" s="205">
        <v>496200</v>
      </c>
      <c r="W10" s="214">
        <v>0</v>
      </c>
      <c r="X10" s="214">
        <v>0</v>
      </c>
      <c r="Y10" s="214">
        <v>0</v>
      </c>
      <c r="Z10" s="214">
        <v>0</v>
      </c>
      <c r="AA10" s="1" t="b">
        <f t="shared" si="2"/>
        <v>1</v>
      </c>
      <c r="AB10" s="42">
        <f t="shared" si="3"/>
        <v>0.53900000000000003</v>
      </c>
      <c r="AC10" s="43" t="b">
        <f t="shared" si="4"/>
        <v>0</v>
      </c>
      <c r="AD10" s="43" t="b">
        <f t="shared" si="5"/>
        <v>1</v>
      </c>
    </row>
    <row r="11" spans="1:30" s="146" customFormat="1" ht="37.5" customHeight="1" x14ac:dyDescent="0.25">
      <c r="A11" s="215" t="s">
        <v>493</v>
      </c>
      <c r="B11" s="199">
        <v>108</v>
      </c>
      <c r="C11" s="199" t="s">
        <v>64</v>
      </c>
      <c r="D11" s="199" t="s">
        <v>177</v>
      </c>
      <c r="E11" s="199">
        <v>2011013</v>
      </c>
      <c r="F11" s="199" t="s">
        <v>62</v>
      </c>
      <c r="G11" s="208" t="s">
        <v>158</v>
      </c>
      <c r="H11" s="200" t="s">
        <v>65</v>
      </c>
      <c r="I11" s="201">
        <v>0.9</v>
      </c>
      <c r="J11" s="202" t="s">
        <v>176</v>
      </c>
      <c r="K11" s="210">
        <v>928093.22</v>
      </c>
      <c r="L11" s="209">
        <f>K11*N11-75655.93</f>
        <v>481200.00199999992</v>
      </c>
      <c r="M11" s="210">
        <f t="shared" si="8"/>
        <v>446893.21800000005</v>
      </c>
      <c r="N11" s="204">
        <v>0.6</v>
      </c>
      <c r="O11" s="205">
        <v>0</v>
      </c>
      <c r="P11" s="205">
        <v>0</v>
      </c>
      <c r="Q11" s="206">
        <v>0</v>
      </c>
      <c r="R11" s="207">
        <v>0</v>
      </c>
      <c r="S11" s="207">
        <v>0</v>
      </c>
      <c r="T11" s="205">
        <v>120000</v>
      </c>
      <c r="U11" s="205">
        <f>((K11*N11)-T11-V11)-75655.93</f>
        <v>1.9999999203719199E-3</v>
      </c>
      <c r="V11" s="205">
        <v>361200</v>
      </c>
      <c r="W11" s="214">
        <v>0</v>
      </c>
      <c r="X11" s="214">
        <v>0</v>
      </c>
      <c r="Y11" s="214">
        <v>0</v>
      </c>
      <c r="Z11" s="214">
        <v>0</v>
      </c>
      <c r="AA11" s="1" t="b">
        <f t="shared" si="2"/>
        <v>1</v>
      </c>
      <c r="AB11" s="42">
        <f t="shared" si="3"/>
        <v>0.51849999999999996</v>
      </c>
      <c r="AC11" s="43" t="b">
        <f t="shared" si="4"/>
        <v>0</v>
      </c>
      <c r="AD11" s="43" t="b">
        <f t="shared" si="5"/>
        <v>1</v>
      </c>
    </row>
    <row r="12" spans="1:30" s="4" customFormat="1" ht="37.5" customHeight="1" x14ac:dyDescent="0.25">
      <c r="A12" s="198">
        <v>10</v>
      </c>
      <c r="B12" s="213">
        <v>257</v>
      </c>
      <c r="C12" s="199" t="s">
        <v>64</v>
      </c>
      <c r="D12" s="213" t="s">
        <v>120</v>
      </c>
      <c r="E12" s="213">
        <v>2001011</v>
      </c>
      <c r="F12" s="213" t="s">
        <v>121</v>
      </c>
      <c r="G12" s="223" t="s">
        <v>122</v>
      </c>
      <c r="H12" s="213" t="s">
        <v>66</v>
      </c>
      <c r="I12" s="201">
        <v>7.0000000000000007E-2</v>
      </c>
      <c r="J12" s="213" t="s">
        <v>123</v>
      </c>
      <c r="K12" s="210">
        <v>3393000</v>
      </c>
      <c r="L12" s="209">
        <f t="shared" ref="L12:L21" si="9">ROUNDDOWN(K12*N12,2)</f>
        <v>1696500</v>
      </c>
      <c r="M12" s="210">
        <f t="shared" ref="M12:M16" si="10">K12-L12</f>
        <v>1696500</v>
      </c>
      <c r="N12" s="211">
        <v>0.5</v>
      </c>
      <c r="O12" s="205">
        <v>0</v>
      </c>
      <c r="P12" s="205">
        <v>0</v>
      </c>
      <c r="Q12" s="205">
        <v>0</v>
      </c>
      <c r="R12" s="205">
        <v>0</v>
      </c>
      <c r="S12" s="207">
        <v>0</v>
      </c>
      <c r="T12" s="205">
        <v>0</v>
      </c>
      <c r="U12" s="207">
        <v>500</v>
      </c>
      <c r="V12" s="207">
        <v>1000</v>
      </c>
      <c r="W12" s="207">
        <v>1695000</v>
      </c>
      <c r="X12" s="207">
        <v>0</v>
      </c>
      <c r="Y12" s="207">
        <v>0</v>
      </c>
      <c r="Z12" s="205">
        <v>0</v>
      </c>
      <c r="AA12" s="1" t="b">
        <f t="shared" si="2"/>
        <v>1</v>
      </c>
      <c r="AB12" s="42">
        <f t="shared" si="3"/>
        <v>0.5</v>
      </c>
      <c r="AC12" s="43" t="b">
        <f t="shared" si="4"/>
        <v>1</v>
      </c>
      <c r="AD12" s="43" t="b">
        <f t="shared" si="5"/>
        <v>1</v>
      </c>
    </row>
    <row r="13" spans="1:30" s="4" customFormat="1" ht="37.5" customHeight="1" x14ac:dyDescent="0.25">
      <c r="A13" s="198">
        <v>11</v>
      </c>
      <c r="B13" s="213">
        <v>290</v>
      </c>
      <c r="C13" s="199" t="s">
        <v>64</v>
      </c>
      <c r="D13" s="213" t="s">
        <v>198</v>
      </c>
      <c r="E13" s="213">
        <v>2003062</v>
      </c>
      <c r="F13" s="213" t="s">
        <v>124</v>
      </c>
      <c r="G13" s="223" t="s">
        <v>125</v>
      </c>
      <c r="H13" s="213" t="s">
        <v>66</v>
      </c>
      <c r="I13" s="201">
        <v>1.0169999999999999</v>
      </c>
      <c r="J13" s="213" t="s">
        <v>197</v>
      </c>
      <c r="K13" s="210">
        <v>2346345.52</v>
      </c>
      <c r="L13" s="209">
        <f t="shared" si="9"/>
        <v>1173172.76</v>
      </c>
      <c r="M13" s="210">
        <f t="shared" si="10"/>
        <v>1173172.76</v>
      </c>
      <c r="N13" s="211">
        <v>0.5</v>
      </c>
      <c r="O13" s="207">
        <v>0</v>
      </c>
      <c r="P13" s="207">
        <v>0</v>
      </c>
      <c r="Q13" s="207">
        <v>0</v>
      </c>
      <c r="R13" s="207">
        <v>0</v>
      </c>
      <c r="S13" s="207">
        <v>0</v>
      </c>
      <c r="T13" s="207">
        <v>0</v>
      </c>
      <c r="U13" s="207">
        <v>586586.38</v>
      </c>
      <c r="V13" s="207">
        <v>586586.38</v>
      </c>
      <c r="W13" s="207">
        <v>0</v>
      </c>
      <c r="X13" s="207">
        <v>0</v>
      </c>
      <c r="Y13" s="207">
        <v>0</v>
      </c>
      <c r="Z13" s="205">
        <v>0</v>
      </c>
      <c r="AA13" s="1" t="b">
        <f t="shared" si="2"/>
        <v>1</v>
      </c>
      <c r="AB13" s="42">
        <f t="shared" si="3"/>
        <v>0.5</v>
      </c>
      <c r="AC13" s="43" t="b">
        <f t="shared" si="4"/>
        <v>1</v>
      </c>
      <c r="AD13" s="43" t="b">
        <f t="shared" si="5"/>
        <v>1</v>
      </c>
    </row>
    <row r="14" spans="1:30" s="4" customFormat="1" ht="37.5" customHeight="1" x14ac:dyDescent="0.25">
      <c r="A14" s="198">
        <v>12</v>
      </c>
      <c r="B14" s="213">
        <v>203</v>
      </c>
      <c r="C14" s="199" t="s">
        <v>64</v>
      </c>
      <c r="D14" s="213" t="s">
        <v>192</v>
      </c>
      <c r="E14" s="213">
        <v>2012012</v>
      </c>
      <c r="F14" s="213" t="s">
        <v>128</v>
      </c>
      <c r="G14" s="223" t="s">
        <v>129</v>
      </c>
      <c r="H14" s="213" t="s">
        <v>65</v>
      </c>
      <c r="I14" s="201">
        <v>0.65300000000000002</v>
      </c>
      <c r="J14" s="213" t="s">
        <v>149</v>
      </c>
      <c r="K14" s="210">
        <v>962050.87</v>
      </c>
      <c r="L14" s="209">
        <f t="shared" si="9"/>
        <v>481025.43</v>
      </c>
      <c r="M14" s="210">
        <f t="shared" si="10"/>
        <v>481025.44</v>
      </c>
      <c r="N14" s="211">
        <v>0.5</v>
      </c>
      <c r="O14" s="207">
        <v>0</v>
      </c>
      <c r="P14" s="207">
        <v>0</v>
      </c>
      <c r="Q14" s="207">
        <v>0</v>
      </c>
      <c r="R14" s="207">
        <v>0</v>
      </c>
      <c r="S14" s="207">
        <v>0</v>
      </c>
      <c r="T14" s="207">
        <v>0</v>
      </c>
      <c r="U14" s="207">
        <v>17284.29</v>
      </c>
      <c r="V14" s="207">
        <v>463741.14</v>
      </c>
      <c r="W14" s="207">
        <v>0</v>
      </c>
      <c r="X14" s="207">
        <v>0</v>
      </c>
      <c r="Y14" s="207">
        <v>0</v>
      </c>
      <c r="Z14" s="205">
        <v>0</v>
      </c>
      <c r="AA14" s="1" t="b">
        <f t="shared" si="2"/>
        <v>1</v>
      </c>
      <c r="AB14" s="42">
        <f t="shared" si="3"/>
        <v>0.5</v>
      </c>
      <c r="AC14" s="43" t="b">
        <f t="shared" si="4"/>
        <v>1</v>
      </c>
      <c r="AD14" s="43" t="b">
        <f t="shared" si="5"/>
        <v>1</v>
      </c>
    </row>
    <row r="15" spans="1:30" s="4" customFormat="1" ht="37.5" customHeight="1" x14ac:dyDescent="0.25">
      <c r="A15" s="198">
        <v>13</v>
      </c>
      <c r="B15" s="213">
        <v>4</v>
      </c>
      <c r="C15" s="199" t="s">
        <v>64</v>
      </c>
      <c r="D15" s="213" t="s">
        <v>187</v>
      </c>
      <c r="E15" s="213">
        <v>2002112</v>
      </c>
      <c r="F15" s="213" t="s">
        <v>116</v>
      </c>
      <c r="G15" s="223" t="s">
        <v>131</v>
      </c>
      <c r="H15" s="213" t="s">
        <v>65</v>
      </c>
      <c r="I15" s="201">
        <v>0.49099999999999999</v>
      </c>
      <c r="J15" s="213" t="s">
        <v>186</v>
      </c>
      <c r="K15" s="210">
        <v>2046079.71</v>
      </c>
      <c r="L15" s="209">
        <f>ROUNDDOWN(K15*N15,2)</f>
        <v>1023039.85</v>
      </c>
      <c r="M15" s="210">
        <f>K15-L15</f>
        <v>1023039.86</v>
      </c>
      <c r="N15" s="211">
        <v>0.5</v>
      </c>
      <c r="O15" s="205">
        <v>0</v>
      </c>
      <c r="P15" s="205">
        <v>0</v>
      </c>
      <c r="Q15" s="205">
        <v>0</v>
      </c>
      <c r="R15" s="205">
        <v>0</v>
      </c>
      <c r="S15" s="207">
        <v>0</v>
      </c>
      <c r="T15" s="207">
        <v>0</v>
      </c>
      <c r="U15" s="207">
        <v>10785.74</v>
      </c>
      <c r="V15" s="207">
        <v>1012254.11</v>
      </c>
      <c r="W15" s="207">
        <v>0</v>
      </c>
      <c r="X15" s="207">
        <v>0</v>
      </c>
      <c r="Y15" s="207">
        <v>0</v>
      </c>
      <c r="Z15" s="205">
        <v>0</v>
      </c>
      <c r="AA15" s="1" t="b">
        <f t="shared" si="2"/>
        <v>1</v>
      </c>
      <c r="AB15" s="42">
        <f t="shared" si="3"/>
        <v>0.5</v>
      </c>
      <c r="AC15" s="43" t="b">
        <f t="shared" si="4"/>
        <v>1</v>
      </c>
      <c r="AD15" s="43" t="b">
        <f t="shared" si="5"/>
        <v>1</v>
      </c>
    </row>
    <row r="16" spans="1:30" s="4" customFormat="1" ht="37.5" customHeight="1" x14ac:dyDescent="0.25">
      <c r="A16" s="198">
        <v>14</v>
      </c>
      <c r="B16" s="213">
        <v>226</v>
      </c>
      <c r="C16" s="199" t="s">
        <v>64</v>
      </c>
      <c r="D16" s="213" t="s">
        <v>160</v>
      </c>
      <c r="E16" s="213">
        <v>2002093</v>
      </c>
      <c r="F16" s="213" t="s">
        <v>116</v>
      </c>
      <c r="G16" s="223" t="s">
        <v>133</v>
      </c>
      <c r="H16" s="213" t="s">
        <v>66</v>
      </c>
      <c r="I16" s="201">
        <v>1.4359999999999999</v>
      </c>
      <c r="J16" s="213" t="s">
        <v>112</v>
      </c>
      <c r="K16" s="210">
        <v>17579514.23</v>
      </c>
      <c r="L16" s="209">
        <f t="shared" si="9"/>
        <v>8789757.1099999994</v>
      </c>
      <c r="M16" s="210">
        <f t="shared" si="10"/>
        <v>8789757.120000001</v>
      </c>
      <c r="N16" s="211">
        <v>0.5</v>
      </c>
      <c r="O16" s="207">
        <v>0</v>
      </c>
      <c r="P16" s="207">
        <v>0</v>
      </c>
      <c r="Q16" s="207">
        <v>0</v>
      </c>
      <c r="R16" s="207">
        <v>0</v>
      </c>
      <c r="S16" s="207">
        <v>0</v>
      </c>
      <c r="T16" s="207">
        <v>0</v>
      </c>
      <c r="U16" s="207">
        <v>2314768.5</v>
      </c>
      <c r="V16" s="207">
        <v>3237494.31</v>
      </c>
      <c r="W16" s="207">
        <v>3237494.3</v>
      </c>
      <c r="X16" s="207">
        <v>0</v>
      </c>
      <c r="Y16" s="207">
        <v>0</v>
      </c>
      <c r="Z16" s="205">
        <v>0</v>
      </c>
      <c r="AA16" s="1" t="b">
        <f t="shared" si="2"/>
        <v>1</v>
      </c>
      <c r="AB16" s="42">
        <f t="shared" si="3"/>
        <v>0.5</v>
      </c>
      <c r="AC16" s="43" t="b">
        <f t="shared" si="4"/>
        <v>1</v>
      </c>
      <c r="AD16" s="43" t="b">
        <f t="shared" si="5"/>
        <v>1</v>
      </c>
    </row>
    <row r="17" spans="1:30" s="4" customFormat="1" ht="37.5" customHeight="1" x14ac:dyDescent="0.25">
      <c r="A17" s="198">
        <v>15</v>
      </c>
      <c r="B17" s="213">
        <v>260</v>
      </c>
      <c r="C17" s="199" t="s">
        <v>64</v>
      </c>
      <c r="D17" s="213" t="s">
        <v>185</v>
      </c>
      <c r="E17" s="213">
        <v>2014011</v>
      </c>
      <c r="F17" s="213" t="s">
        <v>115</v>
      </c>
      <c r="G17" s="223" t="s">
        <v>134</v>
      </c>
      <c r="H17" s="213" t="s">
        <v>66</v>
      </c>
      <c r="I17" s="201">
        <v>1.847</v>
      </c>
      <c r="J17" s="213" t="s">
        <v>150</v>
      </c>
      <c r="K17" s="210">
        <v>7310300.8399999999</v>
      </c>
      <c r="L17" s="209">
        <f t="shared" si="9"/>
        <v>3655150.42</v>
      </c>
      <c r="M17" s="210">
        <f t="shared" ref="M17:M21" si="11">K17-L17</f>
        <v>3655150.42</v>
      </c>
      <c r="N17" s="211">
        <v>0.5</v>
      </c>
      <c r="O17" s="207">
        <v>0</v>
      </c>
      <c r="P17" s="207">
        <v>0</v>
      </c>
      <c r="Q17" s="207">
        <v>0</v>
      </c>
      <c r="R17" s="207">
        <v>0</v>
      </c>
      <c r="S17" s="207">
        <v>0</v>
      </c>
      <c r="T17" s="207">
        <v>0</v>
      </c>
      <c r="U17" s="207">
        <v>1827575.21</v>
      </c>
      <c r="V17" s="207">
        <v>1827575.21</v>
      </c>
      <c r="W17" s="207">
        <v>0</v>
      </c>
      <c r="X17" s="207">
        <v>0</v>
      </c>
      <c r="Y17" s="207">
        <v>0</v>
      </c>
      <c r="Z17" s="205">
        <v>0</v>
      </c>
      <c r="AA17" s="1" t="b">
        <f t="shared" si="2"/>
        <v>1</v>
      </c>
      <c r="AB17" s="42">
        <f t="shared" si="3"/>
        <v>0.5</v>
      </c>
      <c r="AC17" s="43" t="b">
        <f t="shared" ref="AC17:AC21" si="12">AB17=N17</f>
        <v>1</v>
      </c>
      <c r="AD17" s="43" t="b">
        <f t="shared" si="5"/>
        <v>1</v>
      </c>
    </row>
    <row r="18" spans="1:30" s="4" customFormat="1" ht="37.5" customHeight="1" x14ac:dyDescent="0.25">
      <c r="A18" s="198">
        <v>16</v>
      </c>
      <c r="B18" s="213">
        <v>296</v>
      </c>
      <c r="C18" s="199" t="s">
        <v>64</v>
      </c>
      <c r="D18" s="213" t="s">
        <v>190</v>
      </c>
      <c r="E18" s="213">
        <v>2003083</v>
      </c>
      <c r="F18" s="213" t="s">
        <v>124</v>
      </c>
      <c r="G18" s="223" t="s">
        <v>135</v>
      </c>
      <c r="H18" s="213" t="s">
        <v>65</v>
      </c>
      <c r="I18" s="201">
        <v>1.5620000000000001</v>
      </c>
      <c r="J18" s="213" t="s">
        <v>189</v>
      </c>
      <c r="K18" s="210">
        <v>1707178.5</v>
      </c>
      <c r="L18" s="209">
        <f t="shared" si="9"/>
        <v>853589.25</v>
      </c>
      <c r="M18" s="210">
        <f t="shared" si="11"/>
        <v>853589.25</v>
      </c>
      <c r="N18" s="211">
        <v>0.5</v>
      </c>
      <c r="O18" s="207">
        <v>0</v>
      </c>
      <c r="P18" s="207">
        <v>0</v>
      </c>
      <c r="Q18" s="207">
        <v>0</v>
      </c>
      <c r="R18" s="207">
        <v>0</v>
      </c>
      <c r="S18" s="207">
        <v>0</v>
      </c>
      <c r="T18" s="207">
        <v>0</v>
      </c>
      <c r="U18" s="207">
        <v>112161.63</v>
      </c>
      <c r="V18" s="207">
        <v>388297.75</v>
      </c>
      <c r="W18" s="207">
        <v>353129.87</v>
      </c>
      <c r="X18" s="207">
        <v>0</v>
      </c>
      <c r="Y18" s="207">
        <v>0</v>
      </c>
      <c r="Z18" s="205">
        <v>0</v>
      </c>
      <c r="AA18" s="1" t="b">
        <f t="shared" si="2"/>
        <v>1</v>
      </c>
      <c r="AB18" s="42">
        <f t="shared" si="3"/>
        <v>0.5</v>
      </c>
      <c r="AC18" s="43" t="b">
        <f t="shared" si="12"/>
        <v>1</v>
      </c>
      <c r="AD18" s="43" t="b">
        <f t="shared" si="5"/>
        <v>1</v>
      </c>
    </row>
    <row r="19" spans="1:30" s="4" customFormat="1" ht="37.5" customHeight="1" x14ac:dyDescent="0.25">
      <c r="A19" s="198">
        <v>17</v>
      </c>
      <c r="B19" s="213">
        <v>177</v>
      </c>
      <c r="C19" s="199" t="s">
        <v>64</v>
      </c>
      <c r="D19" s="213" t="s">
        <v>136</v>
      </c>
      <c r="E19" s="213">
        <v>2007022</v>
      </c>
      <c r="F19" s="213" t="s">
        <v>127</v>
      </c>
      <c r="G19" s="223" t="s">
        <v>137</v>
      </c>
      <c r="H19" s="213" t="s">
        <v>65</v>
      </c>
      <c r="I19" s="201">
        <v>1.0569999999999999</v>
      </c>
      <c r="J19" s="213" t="s">
        <v>138</v>
      </c>
      <c r="K19" s="210">
        <v>10603869.199999999</v>
      </c>
      <c r="L19" s="209">
        <f t="shared" si="9"/>
        <v>5301934.5999999996</v>
      </c>
      <c r="M19" s="210">
        <f t="shared" si="11"/>
        <v>5301934.5999999996</v>
      </c>
      <c r="N19" s="211">
        <v>0.5</v>
      </c>
      <c r="O19" s="207">
        <v>0</v>
      </c>
      <c r="P19" s="207">
        <v>0</v>
      </c>
      <c r="Q19" s="205">
        <v>0</v>
      </c>
      <c r="R19" s="205">
        <v>0</v>
      </c>
      <c r="S19" s="207">
        <v>0</v>
      </c>
      <c r="T19" s="207">
        <v>0</v>
      </c>
      <c r="U19" s="207">
        <v>5000</v>
      </c>
      <c r="V19" s="207">
        <v>5000</v>
      </c>
      <c r="W19" s="207">
        <v>5291934.5999999996</v>
      </c>
      <c r="X19" s="207">
        <v>0</v>
      </c>
      <c r="Y19" s="207">
        <v>0</v>
      </c>
      <c r="Z19" s="205">
        <v>0</v>
      </c>
      <c r="AA19" s="1" t="b">
        <f t="shared" si="2"/>
        <v>1</v>
      </c>
      <c r="AB19" s="42">
        <f t="shared" si="3"/>
        <v>0.5</v>
      </c>
      <c r="AC19" s="43" t="b">
        <f t="shared" si="12"/>
        <v>1</v>
      </c>
      <c r="AD19" s="43" t="b">
        <f t="shared" si="5"/>
        <v>1</v>
      </c>
    </row>
    <row r="20" spans="1:30" s="4" customFormat="1" ht="37.5" customHeight="1" x14ac:dyDescent="0.25">
      <c r="A20" s="198">
        <v>18</v>
      </c>
      <c r="B20" s="213">
        <v>57</v>
      </c>
      <c r="C20" s="199" t="s">
        <v>64</v>
      </c>
      <c r="D20" s="213" t="s">
        <v>139</v>
      </c>
      <c r="E20" s="213">
        <v>2063011</v>
      </c>
      <c r="F20" s="213" t="s">
        <v>128</v>
      </c>
      <c r="G20" s="223" t="s">
        <v>140</v>
      </c>
      <c r="H20" s="213" t="s">
        <v>65</v>
      </c>
      <c r="I20" s="201">
        <v>0.64</v>
      </c>
      <c r="J20" s="213" t="s">
        <v>126</v>
      </c>
      <c r="K20" s="210">
        <v>7396000</v>
      </c>
      <c r="L20" s="209">
        <f t="shared" si="9"/>
        <v>3698000</v>
      </c>
      <c r="M20" s="210">
        <f t="shared" si="11"/>
        <v>3698000</v>
      </c>
      <c r="N20" s="211">
        <v>0.5</v>
      </c>
      <c r="O20" s="205">
        <v>0</v>
      </c>
      <c r="P20" s="205">
        <v>0</v>
      </c>
      <c r="Q20" s="205">
        <v>0</v>
      </c>
      <c r="R20" s="205">
        <v>0</v>
      </c>
      <c r="S20" s="207">
        <v>0</v>
      </c>
      <c r="T20" s="207">
        <v>0</v>
      </c>
      <c r="U20" s="207">
        <v>153000</v>
      </c>
      <c r="V20" s="207">
        <v>3545000</v>
      </c>
      <c r="W20" s="207">
        <v>0</v>
      </c>
      <c r="X20" s="207">
        <v>0</v>
      </c>
      <c r="Y20" s="207">
        <v>0</v>
      </c>
      <c r="Z20" s="205">
        <v>0</v>
      </c>
      <c r="AA20" s="1" t="b">
        <f t="shared" si="2"/>
        <v>1</v>
      </c>
      <c r="AB20" s="42">
        <f t="shared" si="3"/>
        <v>0.5</v>
      </c>
      <c r="AC20" s="43" t="b">
        <f t="shared" si="12"/>
        <v>1</v>
      </c>
      <c r="AD20" s="43" t="b">
        <f t="shared" si="5"/>
        <v>1</v>
      </c>
    </row>
    <row r="21" spans="1:30" s="4" customFormat="1" ht="37.5" customHeight="1" x14ac:dyDescent="0.25">
      <c r="A21" s="198">
        <v>19</v>
      </c>
      <c r="B21" s="213">
        <v>157</v>
      </c>
      <c r="C21" s="199" t="s">
        <v>64</v>
      </c>
      <c r="D21" s="213" t="s">
        <v>194</v>
      </c>
      <c r="E21" s="213">
        <v>2011084</v>
      </c>
      <c r="F21" s="213" t="s">
        <v>117</v>
      </c>
      <c r="G21" s="223" t="s">
        <v>141</v>
      </c>
      <c r="H21" s="213" t="s">
        <v>66</v>
      </c>
      <c r="I21" s="224">
        <v>0.24</v>
      </c>
      <c r="J21" s="213" t="s">
        <v>193</v>
      </c>
      <c r="K21" s="290">
        <v>1217272.26</v>
      </c>
      <c r="L21" s="209">
        <f t="shared" si="9"/>
        <v>608636.13</v>
      </c>
      <c r="M21" s="210">
        <f t="shared" si="11"/>
        <v>608636.13</v>
      </c>
      <c r="N21" s="211">
        <v>0.5</v>
      </c>
      <c r="O21" s="205">
        <v>0</v>
      </c>
      <c r="P21" s="205">
        <v>0</v>
      </c>
      <c r="Q21" s="205">
        <v>0</v>
      </c>
      <c r="R21" s="205">
        <v>0</v>
      </c>
      <c r="S21" s="207">
        <v>0</v>
      </c>
      <c r="T21" s="207">
        <v>0</v>
      </c>
      <c r="U21" s="225">
        <v>304318.06</v>
      </c>
      <c r="V21" s="207">
        <v>304318.07</v>
      </c>
      <c r="W21" s="207">
        <v>0</v>
      </c>
      <c r="X21" s="207">
        <v>0</v>
      </c>
      <c r="Y21" s="207">
        <v>0</v>
      </c>
      <c r="Z21" s="205">
        <v>0</v>
      </c>
      <c r="AA21" s="1" t="b">
        <f t="shared" si="2"/>
        <v>1</v>
      </c>
      <c r="AB21" s="42">
        <f t="shared" si="3"/>
        <v>0.5</v>
      </c>
      <c r="AC21" s="43" t="b">
        <f t="shared" si="12"/>
        <v>1</v>
      </c>
      <c r="AD21" s="43" t="b">
        <f t="shared" si="5"/>
        <v>1</v>
      </c>
    </row>
    <row r="22" spans="1:30" s="2" customFormat="1" ht="37.5" customHeight="1" x14ac:dyDescent="0.25">
      <c r="A22" s="198">
        <v>20</v>
      </c>
      <c r="B22" s="213">
        <v>68</v>
      </c>
      <c r="C22" s="199" t="s">
        <v>64</v>
      </c>
      <c r="D22" s="213" t="s">
        <v>110</v>
      </c>
      <c r="E22" s="213">
        <v>2062011</v>
      </c>
      <c r="F22" s="213" t="s">
        <v>127</v>
      </c>
      <c r="G22" s="223" t="s">
        <v>142</v>
      </c>
      <c r="H22" s="213" t="s">
        <v>65</v>
      </c>
      <c r="I22" s="201">
        <v>1.4610000000000001</v>
      </c>
      <c r="J22" s="213" t="s">
        <v>111</v>
      </c>
      <c r="K22" s="210">
        <v>22958601</v>
      </c>
      <c r="L22" s="209">
        <f>ROUNDDOWN(K22*N22,2)</f>
        <v>11479300.5</v>
      </c>
      <c r="M22" s="210">
        <f>K22-L22</f>
        <v>11479300.5</v>
      </c>
      <c r="N22" s="211">
        <v>0.5</v>
      </c>
      <c r="O22" s="207">
        <v>0</v>
      </c>
      <c r="P22" s="207">
        <v>0</v>
      </c>
      <c r="Q22" s="207">
        <v>0</v>
      </c>
      <c r="R22" s="207">
        <v>0</v>
      </c>
      <c r="S22" s="207">
        <v>0</v>
      </c>
      <c r="T22" s="207">
        <v>0</v>
      </c>
      <c r="U22" s="207">
        <f>ROUNDDOWN(7229300.5,2)</f>
        <v>7229300.5</v>
      </c>
      <c r="V22" s="207">
        <v>250000</v>
      </c>
      <c r="W22" s="207">
        <v>4000000</v>
      </c>
      <c r="X22" s="207">
        <v>0</v>
      </c>
      <c r="Y22" s="207">
        <v>0</v>
      </c>
      <c r="Z22" s="205">
        <v>0</v>
      </c>
      <c r="AA22" s="1" t="b">
        <f>L22=SUM(O22:Z22)</f>
        <v>1</v>
      </c>
      <c r="AB22" s="42">
        <f>ROUND(L22/K22,4)</f>
        <v>0.5</v>
      </c>
      <c r="AC22" s="43" t="b">
        <f>AB22=N22</f>
        <v>1</v>
      </c>
      <c r="AD22" s="151" t="b">
        <f t="shared" ref="AD22:AD23" si="13">K22=L22+M22</f>
        <v>1</v>
      </c>
    </row>
    <row r="23" spans="1:30" s="4" customFormat="1" ht="37.5" customHeight="1" x14ac:dyDescent="0.25">
      <c r="A23" s="226">
        <v>21</v>
      </c>
      <c r="B23" s="227">
        <v>384</v>
      </c>
      <c r="C23" s="199" t="s">
        <v>64</v>
      </c>
      <c r="D23" s="227" t="s">
        <v>94</v>
      </c>
      <c r="E23" s="227">
        <v>2013033</v>
      </c>
      <c r="F23" s="227" t="s">
        <v>119</v>
      </c>
      <c r="G23" s="228" t="s">
        <v>143</v>
      </c>
      <c r="H23" s="227" t="s">
        <v>65</v>
      </c>
      <c r="I23" s="229">
        <v>1.36</v>
      </c>
      <c r="J23" s="227" t="s">
        <v>113</v>
      </c>
      <c r="K23" s="230">
        <v>6988366</v>
      </c>
      <c r="L23" s="231">
        <f t="shared" ref="L23" si="14">ROUNDDOWN(K23*N23,2)</f>
        <v>3494183</v>
      </c>
      <c r="M23" s="230">
        <f t="shared" ref="M23" si="15">K23-L23</f>
        <v>3494183</v>
      </c>
      <c r="N23" s="232">
        <v>0.5</v>
      </c>
      <c r="O23" s="233">
        <v>0</v>
      </c>
      <c r="P23" s="233">
        <v>0</v>
      </c>
      <c r="Q23" s="233">
        <v>0</v>
      </c>
      <c r="R23" s="233">
        <v>0</v>
      </c>
      <c r="S23" s="233">
        <v>0</v>
      </c>
      <c r="T23" s="233">
        <v>0</v>
      </c>
      <c r="U23" s="233">
        <v>490000</v>
      </c>
      <c r="V23" s="233">
        <v>4183</v>
      </c>
      <c r="W23" s="233">
        <v>3000000</v>
      </c>
      <c r="X23" s="233">
        <v>0</v>
      </c>
      <c r="Y23" s="233">
        <v>0</v>
      </c>
      <c r="Z23" s="234">
        <v>0</v>
      </c>
      <c r="AA23" s="1" t="b">
        <f t="shared" ref="AA23:AA92" si="16">L23=SUM(O23:Z23)</f>
        <v>1</v>
      </c>
      <c r="AB23" s="42">
        <f t="shared" ref="AB23" si="17">ROUND(L23/K23,4)</f>
        <v>0.5</v>
      </c>
      <c r="AC23" s="43" t="b">
        <f t="shared" ref="AC23" si="18">AB23=N23</f>
        <v>1</v>
      </c>
      <c r="AD23" s="151" t="b">
        <f t="shared" si="13"/>
        <v>1</v>
      </c>
    </row>
    <row r="24" spans="1:30" s="4" customFormat="1" ht="37.5" customHeight="1" x14ac:dyDescent="0.25">
      <c r="A24" s="226">
        <v>22</v>
      </c>
      <c r="B24" s="213">
        <v>2</v>
      </c>
      <c r="C24" s="199" t="s">
        <v>64</v>
      </c>
      <c r="D24" s="213" t="s">
        <v>130</v>
      </c>
      <c r="E24" s="213">
        <v>2002112</v>
      </c>
      <c r="F24" s="213" t="s">
        <v>116</v>
      </c>
      <c r="G24" s="223" t="s">
        <v>144</v>
      </c>
      <c r="H24" s="213" t="s">
        <v>66</v>
      </c>
      <c r="I24" s="201">
        <v>0.70899999999999996</v>
      </c>
      <c r="J24" s="213" t="s">
        <v>132</v>
      </c>
      <c r="K24" s="209">
        <v>3675010</v>
      </c>
      <c r="L24" s="209">
        <f t="shared" ref="L24:L25" si="19">ROUNDDOWN(K24*N24,2)</f>
        <v>1837505</v>
      </c>
      <c r="M24" s="210">
        <f t="shared" ref="M24:M27" si="20">K24-L24</f>
        <v>1837505</v>
      </c>
      <c r="N24" s="211">
        <v>0.5</v>
      </c>
      <c r="O24" s="205">
        <v>0</v>
      </c>
      <c r="P24" s="205">
        <v>0</v>
      </c>
      <c r="Q24" s="205">
        <v>0</v>
      </c>
      <c r="R24" s="205">
        <v>0</v>
      </c>
      <c r="S24" s="205">
        <v>0</v>
      </c>
      <c r="T24" s="205">
        <v>0</v>
      </c>
      <c r="U24" s="207">
        <v>37505</v>
      </c>
      <c r="V24" s="207">
        <v>1800000</v>
      </c>
      <c r="W24" s="207">
        <v>0</v>
      </c>
      <c r="X24" s="207">
        <v>0</v>
      </c>
      <c r="Y24" s="207">
        <v>0</v>
      </c>
      <c r="Z24" s="205">
        <v>0</v>
      </c>
      <c r="AA24" s="1" t="b">
        <f t="shared" ref="AA24:AA91" si="21">L24=SUM(O24:Z24)</f>
        <v>1</v>
      </c>
      <c r="AB24" s="42">
        <f t="shared" ref="AB24:AB91" si="22">ROUND(L24/K24,4)</f>
        <v>0.5</v>
      </c>
      <c r="AC24" s="43" t="b">
        <f t="shared" ref="AC24:AC91" si="23">AB24=N24</f>
        <v>1</v>
      </c>
      <c r="AD24" s="151" t="b">
        <f t="shared" ref="AD24:AD91" si="24">K24=L24+M24</f>
        <v>1</v>
      </c>
    </row>
    <row r="25" spans="1:30" s="4" customFormat="1" ht="37.5" customHeight="1" x14ac:dyDescent="0.25">
      <c r="A25" s="226">
        <v>23</v>
      </c>
      <c r="B25" s="213">
        <v>1</v>
      </c>
      <c r="C25" s="199" t="s">
        <v>64</v>
      </c>
      <c r="D25" s="213" t="s">
        <v>130</v>
      </c>
      <c r="E25" s="213">
        <v>2002112</v>
      </c>
      <c r="F25" s="213" t="s">
        <v>116</v>
      </c>
      <c r="G25" s="223" t="s">
        <v>145</v>
      </c>
      <c r="H25" s="213" t="s">
        <v>66</v>
      </c>
      <c r="I25" s="201">
        <v>0.68700000000000006</v>
      </c>
      <c r="J25" s="213" t="s">
        <v>132</v>
      </c>
      <c r="K25" s="209">
        <v>2798233</v>
      </c>
      <c r="L25" s="209">
        <f t="shared" si="19"/>
        <v>1399116.5</v>
      </c>
      <c r="M25" s="210">
        <f t="shared" si="20"/>
        <v>1399116.5</v>
      </c>
      <c r="N25" s="211">
        <v>0.5</v>
      </c>
      <c r="O25" s="207">
        <v>0</v>
      </c>
      <c r="P25" s="207">
        <v>0</v>
      </c>
      <c r="Q25" s="207">
        <v>0</v>
      </c>
      <c r="R25" s="207">
        <v>0</v>
      </c>
      <c r="S25" s="207">
        <v>0</v>
      </c>
      <c r="T25" s="207">
        <v>0</v>
      </c>
      <c r="U25" s="207">
        <v>49116.5</v>
      </c>
      <c r="V25" s="207">
        <v>1350000</v>
      </c>
      <c r="W25" s="207">
        <v>0</v>
      </c>
      <c r="X25" s="207">
        <v>0</v>
      </c>
      <c r="Y25" s="233"/>
      <c r="Z25" s="234"/>
      <c r="AA25" s="1" t="b">
        <f t="shared" si="21"/>
        <v>1</v>
      </c>
      <c r="AB25" s="42">
        <f t="shared" si="22"/>
        <v>0.5</v>
      </c>
      <c r="AC25" s="43" t="b">
        <f t="shared" si="23"/>
        <v>1</v>
      </c>
      <c r="AD25" s="151" t="b">
        <f t="shared" si="24"/>
        <v>1</v>
      </c>
    </row>
    <row r="26" spans="1:30" s="4" customFormat="1" ht="37.5" customHeight="1" x14ac:dyDescent="0.25">
      <c r="A26" s="226">
        <v>24</v>
      </c>
      <c r="B26" s="213">
        <v>156</v>
      </c>
      <c r="C26" s="199" t="s">
        <v>64</v>
      </c>
      <c r="D26" s="213" t="s">
        <v>96</v>
      </c>
      <c r="E26" s="213">
        <v>2011084</v>
      </c>
      <c r="F26" s="213" t="s">
        <v>117</v>
      </c>
      <c r="G26" s="223" t="s">
        <v>146</v>
      </c>
      <c r="H26" s="213" t="s">
        <v>65</v>
      </c>
      <c r="I26" s="201">
        <v>0.52800000000000002</v>
      </c>
      <c r="J26" s="213" t="s">
        <v>118</v>
      </c>
      <c r="K26" s="210">
        <v>13303000</v>
      </c>
      <c r="L26" s="209">
        <f>ROUNDDOWN(K26*N26,2)</f>
        <v>6651500</v>
      </c>
      <c r="M26" s="210">
        <f t="shared" si="20"/>
        <v>6651500</v>
      </c>
      <c r="N26" s="211">
        <v>0.5</v>
      </c>
      <c r="O26" s="207">
        <v>0</v>
      </c>
      <c r="P26" s="207">
        <v>0</v>
      </c>
      <c r="Q26" s="207">
        <v>0</v>
      </c>
      <c r="R26" s="207">
        <v>0</v>
      </c>
      <c r="S26" s="207">
        <v>0</v>
      </c>
      <c r="T26" s="207">
        <v>0</v>
      </c>
      <c r="U26" s="207">
        <v>2217166.67</v>
      </c>
      <c r="V26" s="207">
        <v>2217166.67</v>
      </c>
      <c r="W26" s="207">
        <v>2217166.66</v>
      </c>
      <c r="X26" s="207">
        <v>0</v>
      </c>
      <c r="Y26" s="207">
        <v>0</v>
      </c>
      <c r="Z26" s="234"/>
      <c r="AA26" s="1" t="b">
        <f t="shared" si="21"/>
        <v>1</v>
      </c>
      <c r="AB26" s="42">
        <f t="shared" si="22"/>
        <v>0.5</v>
      </c>
      <c r="AC26" s="43" t="b">
        <f t="shared" si="23"/>
        <v>1</v>
      </c>
      <c r="AD26" s="151" t="b">
        <f t="shared" si="24"/>
        <v>1</v>
      </c>
    </row>
    <row r="27" spans="1:30" s="4" customFormat="1" ht="37.5" customHeight="1" x14ac:dyDescent="0.25">
      <c r="A27" s="226">
        <v>25</v>
      </c>
      <c r="B27" s="213">
        <v>258</v>
      </c>
      <c r="C27" s="199" t="s">
        <v>64</v>
      </c>
      <c r="D27" s="213" t="s">
        <v>120</v>
      </c>
      <c r="E27" s="213">
        <v>2001011</v>
      </c>
      <c r="F27" s="213" t="s">
        <v>121</v>
      </c>
      <c r="G27" s="223" t="s">
        <v>147</v>
      </c>
      <c r="H27" s="213" t="s">
        <v>66</v>
      </c>
      <c r="I27" s="201">
        <v>0.03</v>
      </c>
      <c r="J27" s="213" t="s">
        <v>148</v>
      </c>
      <c r="K27" s="210">
        <v>2570000</v>
      </c>
      <c r="L27" s="209">
        <f t="shared" ref="L27" si="25">ROUNDDOWN(K27*N27,2)</f>
        <v>1285000</v>
      </c>
      <c r="M27" s="210">
        <f t="shared" si="20"/>
        <v>1285000</v>
      </c>
      <c r="N27" s="211">
        <v>0.5</v>
      </c>
      <c r="O27" s="207">
        <v>0</v>
      </c>
      <c r="P27" s="207">
        <v>0</v>
      </c>
      <c r="Q27" s="207">
        <v>0</v>
      </c>
      <c r="R27" s="207">
        <v>0</v>
      </c>
      <c r="S27" s="207">
        <v>0</v>
      </c>
      <c r="T27" s="207">
        <v>0</v>
      </c>
      <c r="U27" s="207">
        <v>2000</v>
      </c>
      <c r="V27" s="207">
        <v>1283000</v>
      </c>
      <c r="W27" s="207">
        <v>0</v>
      </c>
      <c r="X27" s="207">
        <v>0</v>
      </c>
      <c r="Y27" s="207">
        <v>0</v>
      </c>
      <c r="Z27" s="205">
        <v>0</v>
      </c>
      <c r="AA27" s="1" t="b">
        <f t="shared" si="21"/>
        <v>1</v>
      </c>
      <c r="AB27" s="42">
        <f t="shared" si="22"/>
        <v>0.5</v>
      </c>
      <c r="AC27" s="43" t="b">
        <f t="shared" si="23"/>
        <v>1</v>
      </c>
      <c r="AD27" s="151" t="b">
        <f t="shared" si="24"/>
        <v>1</v>
      </c>
    </row>
    <row r="28" spans="1:30" s="4" customFormat="1" ht="37.5" customHeight="1" x14ac:dyDescent="0.25">
      <c r="A28" s="198">
        <v>26</v>
      </c>
      <c r="B28" s="213">
        <v>388</v>
      </c>
      <c r="C28" s="213" t="s">
        <v>483</v>
      </c>
      <c r="D28" s="200" t="s">
        <v>309</v>
      </c>
      <c r="E28" s="346">
        <v>2007043</v>
      </c>
      <c r="F28" s="200" t="s">
        <v>52</v>
      </c>
      <c r="G28" s="347" t="s">
        <v>310</v>
      </c>
      <c r="H28" s="200" t="s">
        <v>66</v>
      </c>
      <c r="I28" s="348">
        <v>1.84</v>
      </c>
      <c r="J28" s="200" t="s">
        <v>311</v>
      </c>
      <c r="K28" s="210">
        <v>9057920.8900000006</v>
      </c>
      <c r="L28" s="210">
        <f>ROUNDDOWN(K28*N28,2)</f>
        <v>4528960.4400000004</v>
      </c>
      <c r="M28" s="210">
        <f>K28-L28</f>
        <v>4528960.45</v>
      </c>
      <c r="N28" s="211">
        <v>0.5</v>
      </c>
      <c r="O28" s="236">
        <v>0</v>
      </c>
      <c r="P28" s="214">
        <v>0</v>
      </c>
      <c r="Q28" s="214">
        <v>0</v>
      </c>
      <c r="R28" s="214">
        <v>0</v>
      </c>
      <c r="S28" s="214">
        <v>0</v>
      </c>
      <c r="T28" s="214">
        <v>0</v>
      </c>
      <c r="U28" s="214">
        <v>0</v>
      </c>
      <c r="V28" s="205">
        <f>4000*N28</f>
        <v>2000</v>
      </c>
      <c r="W28" s="205">
        <f>ROUNDDOWN(9053920.89*N28,2)</f>
        <v>4526960.4400000004</v>
      </c>
      <c r="X28" s="205">
        <v>0</v>
      </c>
      <c r="Y28" s="205">
        <v>0</v>
      </c>
      <c r="Z28" s="205">
        <v>0</v>
      </c>
      <c r="AA28" s="1" t="b">
        <f t="shared" si="21"/>
        <v>1</v>
      </c>
      <c r="AB28" s="42">
        <f t="shared" si="22"/>
        <v>0.5</v>
      </c>
      <c r="AC28" s="43" t="b">
        <f t="shared" si="23"/>
        <v>1</v>
      </c>
      <c r="AD28" s="151" t="b">
        <f t="shared" si="24"/>
        <v>1</v>
      </c>
    </row>
    <row r="29" spans="1:30" s="4" customFormat="1" ht="37.5" customHeight="1" x14ac:dyDescent="0.25">
      <c r="A29" s="196">
        <v>27</v>
      </c>
      <c r="B29" s="197">
        <v>397</v>
      </c>
      <c r="C29" s="197" t="s">
        <v>114</v>
      </c>
      <c r="D29" s="344" t="s">
        <v>94</v>
      </c>
      <c r="E29" s="349">
        <v>2013033</v>
      </c>
      <c r="F29" s="344" t="s">
        <v>56</v>
      </c>
      <c r="G29" s="343" t="s">
        <v>312</v>
      </c>
      <c r="H29" s="344" t="s">
        <v>65</v>
      </c>
      <c r="I29" s="345">
        <v>1.06</v>
      </c>
      <c r="J29" s="344" t="s">
        <v>255</v>
      </c>
      <c r="K29" s="218">
        <v>2703000</v>
      </c>
      <c r="L29" s="218">
        <f t="shared" ref="L29:L90" si="26">ROUNDDOWN(K29*N29,2)</f>
        <v>1351500</v>
      </c>
      <c r="M29" s="218">
        <f t="shared" ref="M29:M91" si="27">K29-L29</f>
        <v>1351500</v>
      </c>
      <c r="N29" s="220">
        <v>0.5</v>
      </c>
      <c r="O29" s="350">
        <v>0</v>
      </c>
      <c r="P29" s="350">
        <v>0</v>
      </c>
      <c r="Q29" s="350">
        <v>0</v>
      </c>
      <c r="R29" s="350">
        <v>0</v>
      </c>
      <c r="S29" s="350">
        <v>0</v>
      </c>
      <c r="T29" s="350">
        <v>0</v>
      </c>
      <c r="U29" s="350">
        <v>0</v>
      </c>
      <c r="V29" s="222">
        <f>L29</f>
        <v>1351500</v>
      </c>
      <c r="W29" s="222">
        <v>0</v>
      </c>
      <c r="X29" s="222">
        <v>0</v>
      </c>
      <c r="Y29" s="222">
        <v>0</v>
      </c>
      <c r="Z29" s="222">
        <v>0</v>
      </c>
      <c r="AA29" s="1" t="b">
        <f t="shared" si="21"/>
        <v>1</v>
      </c>
      <c r="AB29" s="42">
        <f t="shared" si="22"/>
        <v>0.5</v>
      </c>
      <c r="AC29" s="43" t="b">
        <f t="shared" si="23"/>
        <v>1</v>
      </c>
      <c r="AD29" s="151" t="b">
        <f t="shared" si="24"/>
        <v>1</v>
      </c>
    </row>
    <row r="30" spans="1:30" s="4" customFormat="1" ht="37.5" customHeight="1" x14ac:dyDescent="0.25">
      <c r="A30" s="196">
        <v>28</v>
      </c>
      <c r="B30" s="197">
        <v>265</v>
      </c>
      <c r="C30" s="197" t="s">
        <v>114</v>
      </c>
      <c r="D30" s="344" t="s">
        <v>313</v>
      </c>
      <c r="E30" s="349">
        <v>2002052</v>
      </c>
      <c r="F30" s="344" t="s">
        <v>48</v>
      </c>
      <c r="G30" s="343" t="s">
        <v>314</v>
      </c>
      <c r="H30" s="344" t="s">
        <v>66</v>
      </c>
      <c r="I30" s="345">
        <v>1.867</v>
      </c>
      <c r="J30" s="344" t="s">
        <v>231</v>
      </c>
      <c r="K30" s="218">
        <v>16699023.199999999</v>
      </c>
      <c r="L30" s="218">
        <f t="shared" si="26"/>
        <v>8349511.5999999996</v>
      </c>
      <c r="M30" s="218">
        <f t="shared" si="27"/>
        <v>8349511.5999999996</v>
      </c>
      <c r="N30" s="220">
        <v>0.5</v>
      </c>
      <c r="O30" s="350">
        <v>0</v>
      </c>
      <c r="P30" s="350">
        <v>0</v>
      </c>
      <c r="Q30" s="350">
        <v>0</v>
      </c>
      <c r="R30" s="350">
        <v>0</v>
      </c>
      <c r="S30" s="350">
        <v>0</v>
      </c>
      <c r="T30" s="350">
        <v>0</v>
      </c>
      <c r="U30" s="350">
        <v>0</v>
      </c>
      <c r="V30" s="221">
        <f>L30</f>
        <v>8349511.5999999996</v>
      </c>
      <c r="W30" s="222">
        <v>0</v>
      </c>
      <c r="X30" s="221">
        <v>0</v>
      </c>
      <c r="Y30" s="221">
        <v>0</v>
      </c>
      <c r="Z30" s="221">
        <v>0</v>
      </c>
      <c r="AA30" s="1" t="b">
        <f t="shared" si="21"/>
        <v>1</v>
      </c>
      <c r="AB30" s="42">
        <f t="shared" si="22"/>
        <v>0.5</v>
      </c>
      <c r="AC30" s="43" t="b">
        <f t="shared" si="23"/>
        <v>1</v>
      </c>
      <c r="AD30" s="151" t="b">
        <f t="shared" si="24"/>
        <v>1</v>
      </c>
    </row>
    <row r="31" spans="1:30" s="4" customFormat="1" ht="37.5" customHeight="1" x14ac:dyDescent="0.25">
      <c r="A31" s="196">
        <v>29</v>
      </c>
      <c r="B31" s="197">
        <v>307</v>
      </c>
      <c r="C31" s="197" t="s">
        <v>114</v>
      </c>
      <c r="D31" s="344" t="s">
        <v>315</v>
      </c>
      <c r="E31" s="349">
        <v>2002145</v>
      </c>
      <c r="F31" s="344" t="s">
        <v>48</v>
      </c>
      <c r="G31" s="343" t="s">
        <v>316</v>
      </c>
      <c r="H31" s="344" t="s">
        <v>66</v>
      </c>
      <c r="I31" s="345">
        <v>1.4</v>
      </c>
      <c r="J31" s="344" t="s">
        <v>317</v>
      </c>
      <c r="K31" s="218">
        <v>3602500</v>
      </c>
      <c r="L31" s="218">
        <f t="shared" si="26"/>
        <v>1801250</v>
      </c>
      <c r="M31" s="218">
        <f t="shared" si="27"/>
        <v>1801250</v>
      </c>
      <c r="N31" s="220">
        <v>0.5</v>
      </c>
      <c r="O31" s="350">
        <v>0</v>
      </c>
      <c r="P31" s="350">
        <v>0</v>
      </c>
      <c r="Q31" s="350">
        <v>0</v>
      </c>
      <c r="R31" s="350">
        <v>0</v>
      </c>
      <c r="S31" s="350">
        <v>0</v>
      </c>
      <c r="T31" s="350">
        <v>0</v>
      </c>
      <c r="U31" s="350">
        <v>0</v>
      </c>
      <c r="V31" s="222">
        <f>L31</f>
        <v>1801250</v>
      </c>
      <c r="W31" s="222">
        <v>0</v>
      </c>
      <c r="X31" s="222">
        <v>0</v>
      </c>
      <c r="Y31" s="222">
        <v>0</v>
      </c>
      <c r="Z31" s="222">
        <v>0</v>
      </c>
      <c r="AA31" s="1" t="b">
        <f t="shared" si="21"/>
        <v>1</v>
      </c>
      <c r="AB31" s="42">
        <f t="shared" si="22"/>
        <v>0.5</v>
      </c>
      <c r="AC31" s="43" t="b">
        <f t="shared" si="23"/>
        <v>1</v>
      </c>
      <c r="AD31" s="151" t="b">
        <f t="shared" si="24"/>
        <v>1</v>
      </c>
    </row>
    <row r="32" spans="1:30" s="4" customFormat="1" ht="37.5" customHeight="1" x14ac:dyDescent="0.25">
      <c r="A32" s="198">
        <v>30</v>
      </c>
      <c r="B32" s="213">
        <v>80</v>
      </c>
      <c r="C32" s="213" t="s">
        <v>483</v>
      </c>
      <c r="D32" s="200" t="s">
        <v>110</v>
      </c>
      <c r="E32" s="346">
        <v>2062011</v>
      </c>
      <c r="F32" s="200" t="s">
        <v>110</v>
      </c>
      <c r="G32" s="347" t="s">
        <v>318</v>
      </c>
      <c r="H32" s="200" t="s">
        <v>66</v>
      </c>
      <c r="I32" s="348">
        <v>0.9</v>
      </c>
      <c r="J32" s="200" t="s">
        <v>222</v>
      </c>
      <c r="K32" s="210">
        <v>9747442</v>
      </c>
      <c r="L32" s="210">
        <f t="shared" si="26"/>
        <v>4873721</v>
      </c>
      <c r="M32" s="210">
        <f t="shared" si="27"/>
        <v>4873721</v>
      </c>
      <c r="N32" s="211">
        <v>0.5</v>
      </c>
      <c r="O32" s="236">
        <v>0</v>
      </c>
      <c r="P32" s="236">
        <v>0</v>
      </c>
      <c r="Q32" s="236">
        <v>0</v>
      </c>
      <c r="R32" s="236">
        <v>0</v>
      </c>
      <c r="S32" s="236">
        <v>0</v>
      </c>
      <c r="T32" s="236">
        <v>0</v>
      </c>
      <c r="U32" s="236">
        <v>0</v>
      </c>
      <c r="V32" s="205">
        <f>3747442*N32</f>
        <v>1873721</v>
      </c>
      <c r="W32" s="205">
        <f>3000000*N32</f>
        <v>1500000</v>
      </c>
      <c r="X32" s="205">
        <f>3000000*N32</f>
        <v>1500000</v>
      </c>
      <c r="Y32" s="205">
        <v>0</v>
      </c>
      <c r="Z32" s="205">
        <v>0</v>
      </c>
      <c r="AA32" s="1" t="b">
        <f t="shared" si="21"/>
        <v>1</v>
      </c>
      <c r="AB32" s="42">
        <f t="shared" si="22"/>
        <v>0.5</v>
      </c>
      <c r="AC32" s="43" t="b">
        <f t="shared" si="23"/>
        <v>1</v>
      </c>
      <c r="AD32" s="151" t="b">
        <f t="shared" si="24"/>
        <v>1</v>
      </c>
    </row>
    <row r="33" spans="1:30" s="4" customFormat="1" ht="37.5" customHeight="1" x14ac:dyDescent="0.25">
      <c r="A33" s="196">
        <v>31</v>
      </c>
      <c r="B33" s="197">
        <v>378</v>
      </c>
      <c r="C33" s="197" t="s">
        <v>114</v>
      </c>
      <c r="D33" s="344" t="s">
        <v>319</v>
      </c>
      <c r="E33" s="349">
        <v>2007052</v>
      </c>
      <c r="F33" s="344" t="s">
        <v>52</v>
      </c>
      <c r="G33" s="343" t="s">
        <v>320</v>
      </c>
      <c r="H33" s="344" t="s">
        <v>65</v>
      </c>
      <c r="I33" s="345">
        <v>0.86399999999999999</v>
      </c>
      <c r="J33" s="344" t="s">
        <v>226</v>
      </c>
      <c r="K33" s="218">
        <v>3744259.92</v>
      </c>
      <c r="L33" s="218">
        <f t="shared" si="26"/>
        <v>1872129.96</v>
      </c>
      <c r="M33" s="218">
        <f t="shared" si="27"/>
        <v>1872129.96</v>
      </c>
      <c r="N33" s="220">
        <v>0.5</v>
      </c>
      <c r="O33" s="350">
        <v>0</v>
      </c>
      <c r="P33" s="350">
        <v>0</v>
      </c>
      <c r="Q33" s="350">
        <v>0</v>
      </c>
      <c r="R33" s="350">
        <v>0</v>
      </c>
      <c r="S33" s="350">
        <v>0</v>
      </c>
      <c r="T33" s="350">
        <v>0</v>
      </c>
      <c r="U33" s="350">
        <v>0</v>
      </c>
      <c r="V33" s="222">
        <f>L33</f>
        <v>1872129.96</v>
      </c>
      <c r="W33" s="222">
        <v>0</v>
      </c>
      <c r="X33" s="222">
        <v>0</v>
      </c>
      <c r="Y33" s="222">
        <v>0</v>
      </c>
      <c r="Z33" s="222">
        <v>0</v>
      </c>
      <c r="AA33" s="1" t="b">
        <f t="shared" si="21"/>
        <v>1</v>
      </c>
      <c r="AB33" s="42">
        <f t="shared" si="22"/>
        <v>0.5</v>
      </c>
      <c r="AC33" s="43" t="b">
        <f t="shared" si="23"/>
        <v>1</v>
      </c>
      <c r="AD33" s="151" t="b">
        <f t="shared" si="24"/>
        <v>1</v>
      </c>
    </row>
    <row r="34" spans="1:30" s="4" customFormat="1" ht="37.5" customHeight="1" x14ac:dyDescent="0.25">
      <c r="A34" s="196">
        <v>32</v>
      </c>
      <c r="B34" s="197">
        <v>250</v>
      </c>
      <c r="C34" s="197" t="s">
        <v>114</v>
      </c>
      <c r="D34" s="344" t="s">
        <v>139</v>
      </c>
      <c r="E34" s="349">
        <v>2063011</v>
      </c>
      <c r="F34" s="344" t="s">
        <v>139</v>
      </c>
      <c r="G34" s="343" t="s">
        <v>321</v>
      </c>
      <c r="H34" s="344" t="s">
        <v>66</v>
      </c>
      <c r="I34" s="345">
        <v>0.81699999999999995</v>
      </c>
      <c r="J34" s="344" t="s">
        <v>322</v>
      </c>
      <c r="K34" s="218">
        <v>6054461</v>
      </c>
      <c r="L34" s="218">
        <f t="shared" si="26"/>
        <v>3027230.5</v>
      </c>
      <c r="M34" s="218">
        <f t="shared" si="27"/>
        <v>3027230.5</v>
      </c>
      <c r="N34" s="220">
        <v>0.5</v>
      </c>
      <c r="O34" s="350">
        <v>0</v>
      </c>
      <c r="P34" s="350">
        <v>0</v>
      </c>
      <c r="Q34" s="350">
        <v>0</v>
      </c>
      <c r="R34" s="350">
        <v>0</v>
      </c>
      <c r="S34" s="350">
        <v>0</v>
      </c>
      <c r="T34" s="350">
        <v>0</v>
      </c>
      <c r="U34" s="350">
        <v>0</v>
      </c>
      <c r="V34" s="221">
        <f>L34</f>
        <v>3027230.5</v>
      </c>
      <c r="W34" s="222">
        <v>0</v>
      </c>
      <c r="X34" s="222">
        <v>0</v>
      </c>
      <c r="Y34" s="222">
        <v>0</v>
      </c>
      <c r="Z34" s="222">
        <v>0</v>
      </c>
      <c r="AA34" s="1" t="b">
        <f t="shared" si="21"/>
        <v>1</v>
      </c>
      <c r="AB34" s="42">
        <f t="shared" si="22"/>
        <v>0.5</v>
      </c>
      <c r="AC34" s="43" t="b">
        <f t="shared" si="23"/>
        <v>1</v>
      </c>
      <c r="AD34" s="151" t="b">
        <f t="shared" si="24"/>
        <v>1</v>
      </c>
    </row>
    <row r="35" spans="1:30" s="4" customFormat="1" ht="37.5" customHeight="1" x14ac:dyDescent="0.25">
      <c r="A35" s="196">
        <v>33</v>
      </c>
      <c r="B35" s="197">
        <v>409</v>
      </c>
      <c r="C35" s="197" t="s">
        <v>114</v>
      </c>
      <c r="D35" s="344" t="s">
        <v>323</v>
      </c>
      <c r="E35" s="349">
        <v>2002133</v>
      </c>
      <c r="F35" s="344" t="s">
        <v>48</v>
      </c>
      <c r="G35" s="343" t="s">
        <v>324</v>
      </c>
      <c r="H35" s="344" t="s">
        <v>66</v>
      </c>
      <c r="I35" s="345">
        <v>0.50800000000000001</v>
      </c>
      <c r="J35" s="344" t="s">
        <v>325</v>
      </c>
      <c r="K35" s="218">
        <v>2024000</v>
      </c>
      <c r="L35" s="218">
        <f t="shared" si="26"/>
        <v>1012000</v>
      </c>
      <c r="M35" s="218">
        <f t="shared" si="27"/>
        <v>1012000</v>
      </c>
      <c r="N35" s="220">
        <v>0.5</v>
      </c>
      <c r="O35" s="350">
        <v>0</v>
      </c>
      <c r="P35" s="350">
        <v>0</v>
      </c>
      <c r="Q35" s="350">
        <v>0</v>
      </c>
      <c r="R35" s="350">
        <v>0</v>
      </c>
      <c r="S35" s="350">
        <v>0</v>
      </c>
      <c r="T35" s="350">
        <v>0</v>
      </c>
      <c r="U35" s="350">
        <v>0</v>
      </c>
      <c r="V35" s="222">
        <f>L35</f>
        <v>1012000</v>
      </c>
      <c r="W35" s="222">
        <v>0</v>
      </c>
      <c r="X35" s="222">
        <v>0</v>
      </c>
      <c r="Y35" s="222">
        <v>0</v>
      </c>
      <c r="Z35" s="222">
        <v>0</v>
      </c>
      <c r="AA35" s="1" t="b">
        <f t="shared" si="21"/>
        <v>1</v>
      </c>
      <c r="AB35" s="42">
        <f t="shared" si="22"/>
        <v>0.5</v>
      </c>
      <c r="AC35" s="43" t="b">
        <f t="shared" si="23"/>
        <v>1</v>
      </c>
      <c r="AD35" s="151" t="b">
        <f t="shared" si="24"/>
        <v>1</v>
      </c>
    </row>
    <row r="36" spans="1:30" s="4" customFormat="1" ht="37.5" customHeight="1" x14ac:dyDescent="0.25">
      <c r="A36" s="196">
        <v>34</v>
      </c>
      <c r="B36" s="197">
        <v>115</v>
      </c>
      <c r="C36" s="197" t="s">
        <v>114</v>
      </c>
      <c r="D36" s="344" t="s">
        <v>205</v>
      </c>
      <c r="E36" s="349">
        <v>2003011</v>
      </c>
      <c r="F36" s="344" t="s">
        <v>49</v>
      </c>
      <c r="G36" s="343" t="s">
        <v>326</v>
      </c>
      <c r="H36" s="344" t="s">
        <v>65</v>
      </c>
      <c r="I36" s="345">
        <v>0.40350000000000003</v>
      </c>
      <c r="J36" s="344" t="s">
        <v>327</v>
      </c>
      <c r="K36" s="218">
        <v>2517688.7400000002</v>
      </c>
      <c r="L36" s="218">
        <f t="shared" si="26"/>
        <v>1258844.3700000001</v>
      </c>
      <c r="M36" s="218">
        <f t="shared" si="27"/>
        <v>1258844.3700000001</v>
      </c>
      <c r="N36" s="220">
        <v>0.5</v>
      </c>
      <c r="O36" s="303">
        <v>0</v>
      </c>
      <c r="P36" s="303">
        <v>0</v>
      </c>
      <c r="Q36" s="303">
        <v>0</v>
      </c>
      <c r="R36" s="303">
        <v>0</v>
      </c>
      <c r="S36" s="303">
        <v>0</v>
      </c>
      <c r="T36" s="303">
        <v>0</v>
      </c>
      <c r="U36" s="303">
        <v>0</v>
      </c>
      <c r="V36" s="222">
        <f>L36</f>
        <v>1258844.3700000001</v>
      </c>
      <c r="W36" s="222">
        <v>0</v>
      </c>
      <c r="X36" s="222">
        <v>0</v>
      </c>
      <c r="Y36" s="222">
        <v>0</v>
      </c>
      <c r="Z36" s="222">
        <v>0</v>
      </c>
      <c r="AA36" s="1" t="b">
        <f t="shared" si="21"/>
        <v>1</v>
      </c>
      <c r="AB36" s="42">
        <f t="shared" si="22"/>
        <v>0.5</v>
      </c>
      <c r="AC36" s="43" t="b">
        <f t="shared" si="23"/>
        <v>1</v>
      </c>
      <c r="AD36" s="151" t="b">
        <f t="shared" si="24"/>
        <v>1</v>
      </c>
    </row>
    <row r="37" spans="1:30" s="4" customFormat="1" ht="37.5" customHeight="1" x14ac:dyDescent="0.25">
      <c r="A37" s="196">
        <v>35</v>
      </c>
      <c r="B37" s="197">
        <v>193</v>
      </c>
      <c r="C37" s="197" t="s">
        <v>114</v>
      </c>
      <c r="D37" s="344" t="s">
        <v>328</v>
      </c>
      <c r="E37" s="349">
        <v>2002032</v>
      </c>
      <c r="F37" s="344" t="s">
        <v>48</v>
      </c>
      <c r="G37" s="343" t="s">
        <v>329</v>
      </c>
      <c r="H37" s="344" t="s">
        <v>65</v>
      </c>
      <c r="I37" s="345">
        <v>0.36799999999999999</v>
      </c>
      <c r="J37" s="344" t="s">
        <v>327</v>
      </c>
      <c r="K37" s="218">
        <v>2009288.68</v>
      </c>
      <c r="L37" s="218">
        <f t="shared" si="26"/>
        <v>1004644.34</v>
      </c>
      <c r="M37" s="218">
        <f t="shared" si="27"/>
        <v>1004644.34</v>
      </c>
      <c r="N37" s="220">
        <v>0.5</v>
      </c>
      <c r="O37" s="303">
        <v>0</v>
      </c>
      <c r="P37" s="303">
        <v>0</v>
      </c>
      <c r="Q37" s="303">
        <v>0</v>
      </c>
      <c r="R37" s="303">
        <v>0</v>
      </c>
      <c r="S37" s="303">
        <v>0</v>
      </c>
      <c r="T37" s="303">
        <v>0</v>
      </c>
      <c r="U37" s="303">
        <v>0</v>
      </c>
      <c r="V37" s="221">
        <f>L37</f>
        <v>1004644.34</v>
      </c>
      <c r="W37" s="222">
        <v>0</v>
      </c>
      <c r="X37" s="222">
        <v>0</v>
      </c>
      <c r="Y37" s="222">
        <v>0</v>
      </c>
      <c r="Z37" s="222">
        <v>0</v>
      </c>
      <c r="AA37" s="1" t="b">
        <f t="shared" si="21"/>
        <v>1</v>
      </c>
      <c r="AB37" s="42">
        <f t="shared" si="22"/>
        <v>0.5</v>
      </c>
      <c r="AC37" s="43" t="b">
        <f t="shared" si="23"/>
        <v>1</v>
      </c>
      <c r="AD37" s="151" t="b">
        <f t="shared" si="24"/>
        <v>1</v>
      </c>
    </row>
    <row r="38" spans="1:30" s="4" customFormat="1" ht="37.5" customHeight="1" x14ac:dyDescent="0.25">
      <c r="A38" s="198">
        <v>36</v>
      </c>
      <c r="B38" s="213">
        <v>335</v>
      </c>
      <c r="C38" s="213" t="s">
        <v>483</v>
      </c>
      <c r="D38" s="200" t="s">
        <v>96</v>
      </c>
      <c r="E38" s="346">
        <v>2011084</v>
      </c>
      <c r="F38" s="200" t="s">
        <v>55</v>
      </c>
      <c r="G38" s="347" t="s">
        <v>330</v>
      </c>
      <c r="H38" s="200" t="s">
        <v>66</v>
      </c>
      <c r="I38" s="348">
        <v>0.34</v>
      </c>
      <c r="J38" s="200" t="s">
        <v>331</v>
      </c>
      <c r="K38" s="210">
        <v>2541714.5</v>
      </c>
      <c r="L38" s="210">
        <f t="shared" si="26"/>
        <v>1270857.25</v>
      </c>
      <c r="M38" s="210">
        <f t="shared" si="27"/>
        <v>1270857.25</v>
      </c>
      <c r="N38" s="211">
        <v>0.5</v>
      </c>
      <c r="O38" s="214">
        <v>0</v>
      </c>
      <c r="P38" s="214">
        <v>0</v>
      </c>
      <c r="Q38" s="214">
        <v>0</v>
      </c>
      <c r="R38" s="214">
        <v>0</v>
      </c>
      <c r="S38" s="214">
        <v>0</v>
      </c>
      <c r="T38" s="214">
        <v>0</v>
      </c>
      <c r="U38" s="214">
        <v>0</v>
      </c>
      <c r="V38" s="207">
        <f>1270857.25*N38</f>
        <v>635428.625</v>
      </c>
      <c r="W38" s="205">
        <f>1270857.25*N38</f>
        <v>635428.625</v>
      </c>
      <c r="X38" s="205">
        <v>0</v>
      </c>
      <c r="Y38" s="205">
        <v>0</v>
      </c>
      <c r="Z38" s="205">
        <v>0</v>
      </c>
      <c r="AA38" s="1" t="b">
        <f t="shared" si="21"/>
        <v>1</v>
      </c>
      <c r="AB38" s="42">
        <f t="shared" si="22"/>
        <v>0.5</v>
      </c>
      <c r="AC38" s="43" t="b">
        <f t="shared" si="23"/>
        <v>1</v>
      </c>
      <c r="AD38" s="151" t="b">
        <f t="shared" si="24"/>
        <v>1</v>
      </c>
    </row>
    <row r="39" spans="1:30" s="4" customFormat="1" ht="37.5" customHeight="1" x14ac:dyDescent="0.25">
      <c r="A39" s="196">
        <v>37</v>
      </c>
      <c r="B39" s="197">
        <v>61</v>
      </c>
      <c r="C39" s="197" t="s">
        <v>114</v>
      </c>
      <c r="D39" s="344" t="s">
        <v>332</v>
      </c>
      <c r="E39" s="349">
        <v>2002013</v>
      </c>
      <c r="F39" s="344" t="s">
        <v>48</v>
      </c>
      <c r="G39" s="343" t="s">
        <v>333</v>
      </c>
      <c r="H39" s="344" t="s">
        <v>66</v>
      </c>
      <c r="I39" s="345">
        <v>0.29099999999999998</v>
      </c>
      <c r="J39" s="344" t="s">
        <v>327</v>
      </c>
      <c r="K39" s="218">
        <v>2941228.41</v>
      </c>
      <c r="L39" s="218">
        <f t="shared" si="26"/>
        <v>1470614.2</v>
      </c>
      <c r="M39" s="218">
        <f t="shared" si="27"/>
        <v>1470614.2100000002</v>
      </c>
      <c r="N39" s="220">
        <v>0.5</v>
      </c>
      <c r="O39" s="303">
        <v>0</v>
      </c>
      <c r="P39" s="303">
        <v>0</v>
      </c>
      <c r="Q39" s="303">
        <v>0</v>
      </c>
      <c r="R39" s="303">
        <v>0</v>
      </c>
      <c r="S39" s="303">
        <v>0</v>
      </c>
      <c r="T39" s="303">
        <v>0</v>
      </c>
      <c r="U39" s="303">
        <v>0</v>
      </c>
      <c r="V39" s="221">
        <f>L39</f>
        <v>1470614.2</v>
      </c>
      <c r="W39" s="222">
        <v>0</v>
      </c>
      <c r="X39" s="222">
        <v>0</v>
      </c>
      <c r="Y39" s="222">
        <v>0</v>
      </c>
      <c r="Z39" s="222">
        <v>0</v>
      </c>
      <c r="AA39" s="1" t="b">
        <f t="shared" si="21"/>
        <v>1</v>
      </c>
      <c r="AB39" s="42">
        <f t="shared" si="22"/>
        <v>0.5</v>
      </c>
      <c r="AC39" s="43" t="b">
        <f t="shared" si="23"/>
        <v>1</v>
      </c>
      <c r="AD39" s="151" t="b">
        <f t="shared" si="24"/>
        <v>1</v>
      </c>
    </row>
    <row r="40" spans="1:30" s="4" customFormat="1" ht="37.5" customHeight="1" x14ac:dyDescent="0.25">
      <c r="A40" s="196">
        <v>38</v>
      </c>
      <c r="B40" s="197">
        <v>359</v>
      </c>
      <c r="C40" s="197" t="s">
        <v>114</v>
      </c>
      <c r="D40" s="344" t="s">
        <v>160</v>
      </c>
      <c r="E40" s="349">
        <v>2002162</v>
      </c>
      <c r="F40" s="344" t="s">
        <v>48</v>
      </c>
      <c r="G40" s="343" t="s">
        <v>334</v>
      </c>
      <c r="H40" s="344" t="s">
        <v>66</v>
      </c>
      <c r="I40" s="345">
        <v>0.28999999999999998</v>
      </c>
      <c r="J40" s="344" t="s">
        <v>317</v>
      </c>
      <c r="K40" s="218">
        <v>2700087.62</v>
      </c>
      <c r="L40" s="218">
        <f t="shared" si="26"/>
        <v>1350043.81</v>
      </c>
      <c r="M40" s="218">
        <f t="shared" si="27"/>
        <v>1350043.81</v>
      </c>
      <c r="N40" s="220">
        <v>0.5</v>
      </c>
      <c r="O40" s="350">
        <v>0</v>
      </c>
      <c r="P40" s="350">
        <v>0</v>
      </c>
      <c r="Q40" s="350">
        <v>0</v>
      </c>
      <c r="R40" s="350">
        <v>0</v>
      </c>
      <c r="S40" s="350">
        <v>0</v>
      </c>
      <c r="T40" s="350">
        <v>0</v>
      </c>
      <c r="U40" s="350">
        <v>0</v>
      </c>
      <c r="V40" s="222">
        <f>L40</f>
        <v>1350043.81</v>
      </c>
      <c r="W40" s="222">
        <v>0</v>
      </c>
      <c r="X40" s="222">
        <v>0</v>
      </c>
      <c r="Y40" s="222">
        <v>0</v>
      </c>
      <c r="Z40" s="222">
        <v>0</v>
      </c>
      <c r="AA40" s="1" t="b">
        <f t="shared" si="21"/>
        <v>1</v>
      </c>
      <c r="AB40" s="42">
        <f t="shared" si="22"/>
        <v>0.5</v>
      </c>
      <c r="AC40" s="43" t="b">
        <f t="shared" si="23"/>
        <v>1</v>
      </c>
      <c r="AD40" s="151" t="b">
        <f t="shared" si="24"/>
        <v>1</v>
      </c>
    </row>
    <row r="41" spans="1:30" s="4" customFormat="1" ht="37.5" customHeight="1" x14ac:dyDescent="0.25">
      <c r="A41" s="196">
        <v>39</v>
      </c>
      <c r="B41" s="197">
        <v>106</v>
      </c>
      <c r="C41" s="197" t="s">
        <v>114</v>
      </c>
      <c r="D41" s="344" t="s">
        <v>335</v>
      </c>
      <c r="E41" s="349">
        <v>2008043</v>
      </c>
      <c r="F41" s="344" t="s">
        <v>53</v>
      </c>
      <c r="G41" s="343" t="s">
        <v>336</v>
      </c>
      <c r="H41" s="344" t="s">
        <v>66</v>
      </c>
      <c r="I41" s="345">
        <v>6.9000000000000006E-2</v>
      </c>
      <c r="J41" s="344" t="s">
        <v>337</v>
      </c>
      <c r="K41" s="218">
        <v>353464.19</v>
      </c>
      <c r="L41" s="218">
        <f t="shared" si="26"/>
        <v>176732.09</v>
      </c>
      <c r="M41" s="218">
        <f t="shared" si="27"/>
        <v>176732.1</v>
      </c>
      <c r="N41" s="220">
        <v>0.5</v>
      </c>
      <c r="O41" s="303">
        <v>0</v>
      </c>
      <c r="P41" s="303">
        <v>0</v>
      </c>
      <c r="Q41" s="303">
        <v>0</v>
      </c>
      <c r="R41" s="303">
        <v>0</v>
      </c>
      <c r="S41" s="303">
        <v>0</v>
      </c>
      <c r="T41" s="303">
        <v>0</v>
      </c>
      <c r="U41" s="303">
        <v>0</v>
      </c>
      <c r="V41" s="221">
        <f>L41</f>
        <v>176732.09</v>
      </c>
      <c r="W41" s="222">
        <v>0</v>
      </c>
      <c r="X41" s="222">
        <v>0</v>
      </c>
      <c r="Y41" s="222">
        <v>0</v>
      </c>
      <c r="Z41" s="222">
        <v>0</v>
      </c>
      <c r="AA41" s="1" t="b">
        <f t="shared" si="21"/>
        <v>1</v>
      </c>
      <c r="AB41" s="42">
        <f t="shared" si="22"/>
        <v>0.5</v>
      </c>
      <c r="AC41" s="43" t="b">
        <f t="shared" si="23"/>
        <v>1</v>
      </c>
      <c r="AD41" s="151" t="b">
        <f t="shared" si="24"/>
        <v>1</v>
      </c>
    </row>
    <row r="42" spans="1:30" s="4" customFormat="1" ht="37.5" customHeight="1" x14ac:dyDescent="0.25">
      <c r="A42" s="196">
        <v>40</v>
      </c>
      <c r="B42" s="197">
        <v>116</v>
      </c>
      <c r="C42" s="197" t="s">
        <v>114</v>
      </c>
      <c r="D42" s="344" t="s">
        <v>338</v>
      </c>
      <c r="E42" s="349">
        <v>2012082</v>
      </c>
      <c r="F42" s="344" t="s">
        <v>203</v>
      </c>
      <c r="G42" s="343" t="s">
        <v>497</v>
      </c>
      <c r="H42" s="344" t="s">
        <v>65</v>
      </c>
      <c r="I42" s="345">
        <v>1.95</v>
      </c>
      <c r="J42" s="344" t="s">
        <v>293</v>
      </c>
      <c r="K42" s="218">
        <v>2800000</v>
      </c>
      <c r="L42" s="218">
        <f t="shared" si="26"/>
        <v>1400000</v>
      </c>
      <c r="M42" s="218">
        <f t="shared" si="27"/>
        <v>1400000</v>
      </c>
      <c r="N42" s="220">
        <v>0.5</v>
      </c>
      <c r="O42" s="303">
        <v>0</v>
      </c>
      <c r="P42" s="303">
        <v>0</v>
      </c>
      <c r="Q42" s="303">
        <v>0</v>
      </c>
      <c r="R42" s="303">
        <v>0</v>
      </c>
      <c r="S42" s="303">
        <v>0</v>
      </c>
      <c r="T42" s="303">
        <v>0</v>
      </c>
      <c r="U42" s="303">
        <v>0</v>
      </c>
      <c r="V42" s="222">
        <f>L42</f>
        <v>1400000</v>
      </c>
      <c r="W42" s="222">
        <v>0</v>
      </c>
      <c r="X42" s="222">
        <v>0</v>
      </c>
      <c r="Y42" s="222">
        <v>0</v>
      </c>
      <c r="Z42" s="222">
        <v>0</v>
      </c>
      <c r="AA42" s="1" t="b">
        <f t="shared" si="21"/>
        <v>1</v>
      </c>
      <c r="AB42" s="42">
        <f t="shared" si="22"/>
        <v>0.5</v>
      </c>
      <c r="AC42" s="43" t="b">
        <f t="shared" si="23"/>
        <v>1</v>
      </c>
      <c r="AD42" s="151" t="b">
        <f t="shared" si="24"/>
        <v>1</v>
      </c>
    </row>
    <row r="43" spans="1:30" s="4" customFormat="1" ht="37.5" customHeight="1" x14ac:dyDescent="0.25">
      <c r="A43" s="198">
        <v>41</v>
      </c>
      <c r="B43" s="213">
        <v>36</v>
      </c>
      <c r="C43" s="213" t="s">
        <v>483</v>
      </c>
      <c r="D43" s="200" t="s">
        <v>130</v>
      </c>
      <c r="E43" s="346">
        <v>2002112</v>
      </c>
      <c r="F43" s="200" t="s">
        <v>48</v>
      </c>
      <c r="G43" s="347" t="s">
        <v>339</v>
      </c>
      <c r="H43" s="200" t="s">
        <v>65</v>
      </c>
      <c r="I43" s="348">
        <v>1.296</v>
      </c>
      <c r="J43" s="200" t="s">
        <v>340</v>
      </c>
      <c r="K43" s="210">
        <v>3507393</v>
      </c>
      <c r="L43" s="210">
        <f t="shared" si="26"/>
        <v>1753696.5</v>
      </c>
      <c r="M43" s="210">
        <f t="shared" si="27"/>
        <v>1753696.5</v>
      </c>
      <c r="N43" s="211">
        <v>0.5</v>
      </c>
      <c r="O43" s="236">
        <v>0</v>
      </c>
      <c r="P43" s="236">
        <v>0</v>
      </c>
      <c r="Q43" s="236">
        <v>0</v>
      </c>
      <c r="R43" s="236">
        <v>0</v>
      </c>
      <c r="S43" s="236">
        <v>0</v>
      </c>
      <c r="T43" s="236">
        <v>0</v>
      </c>
      <c r="U43" s="236">
        <v>0</v>
      </c>
      <c r="V43" s="207">
        <f>17450*N43</f>
        <v>8725</v>
      </c>
      <c r="W43" s="205">
        <f>3489943*N43</f>
        <v>1744971.5</v>
      </c>
      <c r="X43" s="205">
        <v>0</v>
      </c>
      <c r="Y43" s="205">
        <v>0</v>
      </c>
      <c r="Z43" s="205">
        <v>0</v>
      </c>
      <c r="AA43" s="1" t="b">
        <f t="shared" si="21"/>
        <v>1</v>
      </c>
      <c r="AB43" s="42">
        <f t="shared" si="22"/>
        <v>0.5</v>
      </c>
      <c r="AC43" s="43" t="b">
        <f t="shared" si="23"/>
        <v>1</v>
      </c>
      <c r="AD43" s="151" t="b">
        <f t="shared" si="24"/>
        <v>1</v>
      </c>
    </row>
    <row r="44" spans="1:30" s="4" customFormat="1" ht="37.5" customHeight="1" x14ac:dyDescent="0.25">
      <c r="A44" s="196">
        <v>42</v>
      </c>
      <c r="B44" s="197">
        <v>253</v>
      </c>
      <c r="C44" s="197" t="s">
        <v>114</v>
      </c>
      <c r="D44" s="344" t="s">
        <v>341</v>
      </c>
      <c r="E44" s="349">
        <v>2001032</v>
      </c>
      <c r="F44" s="344" t="s">
        <v>200</v>
      </c>
      <c r="G44" s="343" t="s">
        <v>342</v>
      </c>
      <c r="H44" s="344" t="s">
        <v>65</v>
      </c>
      <c r="I44" s="345">
        <v>0.56999999999999995</v>
      </c>
      <c r="J44" s="344" t="s">
        <v>264</v>
      </c>
      <c r="K44" s="218">
        <v>1063400</v>
      </c>
      <c r="L44" s="218">
        <f t="shared" si="26"/>
        <v>531700</v>
      </c>
      <c r="M44" s="218">
        <f t="shared" si="27"/>
        <v>531700</v>
      </c>
      <c r="N44" s="220">
        <v>0.5</v>
      </c>
      <c r="O44" s="350">
        <v>0</v>
      </c>
      <c r="P44" s="350">
        <v>0</v>
      </c>
      <c r="Q44" s="350">
        <v>0</v>
      </c>
      <c r="R44" s="350">
        <v>0</v>
      </c>
      <c r="S44" s="350">
        <v>0</v>
      </c>
      <c r="T44" s="350">
        <v>0</v>
      </c>
      <c r="U44" s="350">
        <v>0</v>
      </c>
      <c r="V44" s="221">
        <f>L44</f>
        <v>531700</v>
      </c>
      <c r="W44" s="222">
        <v>0</v>
      </c>
      <c r="X44" s="222">
        <v>0</v>
      </c>
      <c r="Y44" s="222">
        <v>0</v>
      </c>
      <c r="Z44" s="222">
        <v>0</v>
      </c>
      <c r="AA44" s="1" t="b">
        <f t="shared" si="21"/>
        <v>1</v>
      </c>
      <c r="AB44" s="42">
        <f t="shared" si="22"/>
        <v>0.5</v>
      </c>
      <c r="AC44" s="43" t="b">
        <f t="shared" si="23"/>
        <v>1</v>
      </c>
      <c r="AD44" s="151" t="b">
        <f t="shared" si="24"/>
        <v>1</v>
      </c>
    </row>
    <row r="45" spans="1:30" s="4" customFormat="1" ht="37.5" customHeight="1" x14ac:dyDescent="0.25">
      <c r="A45" s="196">
        <v>43</v>
      </c>
      <c r="B45" s="197">
        <v>198</v>
      </c>
      <c r="C45" s="197" t="s">
        <v>114</v>
      </c>
      <c r="D45" s="344" t="s">
        <v>343</v>
      </c>
      <c r="E45" s="349">
        <v>2002082</v>
      </c>
      <c r="F45" s="344" t="s">
        <v>48</v>
      </c>
      <c r="G45" s="343" t="s">
        <v>344</v>
      </c>
      <c r="H45" s="344" t="s">
        <v>66</v>
      </c>
      <c r="I45" s="345">
        <v>0.48699999999999999</v>
      </c>
      <c r="J45" s="344" t="s">
        <v>233</v>
      </c>
      <c r="K45" s="218">
        <v>1422460</v>
      </c>
      <c r="L45" s="218">
        <f t="shared" si="26"/>
        <v>711230</v>
      </c>
      <c r="M45" s="218">
        <f t="shared" si="27"/>
        <v>711230</v>
      </c>
      <c r="N45" s="220">
        <v>0.5</v>
      </c>
      <c r="O45" s="350">
        <v>0</v>
      </c>
      <c r="P45" s="350">
        <v>0</v>
      </c>
      <c r="Q45" s="350">
        <v>0</v>
      </c>
      <c r="R45" s="350">
        <v>0</v>
      </c>
      <c r="S45" s="350">
        <v>0</v>
      </c>
      <c r="T45" s="350">
        <v>0</v>
      </c>
      <c r="U45" s="350">
        <v>0</v>
      </c>
      <c r="V45" s="221">
        <f>L45</f>
        <v>711230</v>
      </c>
      <c r="W45" s="222">
        <v>0</v>
      </c>
      <c r="X45" s="222">
        <v>0</v>
      </c>
      <c r="Y45" s="222">
        <v>0</v>
      </c>
      <c r="Z45" s="222">
        <v>0</v>
      </c>
      <c r="AA45" s="1" t="b">
        <f t="shared" si="21"/>
        <v>1</v>
      </c>
      <c r="AB45" s="42">
        <f t="shared" si="22"/>
        <v>0.5</v>
      </c>
      <c r="AC45" s="43" t="b">
        <f t="shared" si="23"/>
        <v>1</v>
      </c>
      <c r="AD45" s="151" t="b">
        <f t="shared" si="24"/>
        <v>1</v>
      </c>
    </row>
    <row r="46" spans="1:30" s="4" customFormat="1" ht="37.5" customHeight="1" x14ac:dyDescent="0.25">
      <c r="A46" s="196">
        <v>44</v>
      </c>
      <c r="B46" s="197">
        <v>46</v>
      </c>
      <c r="C46" s="197" t="s">
        <v>114</v>
      </c>
      <c r="D46" s="344" t="s">
        <v>345</v>
      </c>
      <c r="E46" s="349">
        <v>2009022</v>
      </c>
      <c r="F46" s="344" t="s">
        <v>202</v>
      </c>
      <c r="G46" s="343" t="s">
        <v>346</v>
      </c>
      <c r="H46" s="344" t="s">
        <v>65</v>
      </c>
      <c r="I46" s="345">
        <v>0.47</v>
      </c>
      <c r="J46" s="344" t="s">
        <v>347</v>
      </c>
      <c r="K46" s="218">
        <v>1001500</v>
      </c>
      <c r="L46" s="218">
        <f t="shared" si="26"/>
        <v>500750</v>
      </c>
      <c r="M46" s="218">
        <f t="shared" si="27"/>
        <v>500750</v>
      </c>
      <c r="N46" s="220">
        <v>0.5</v>
      </c>
      <c r="O46" s="303">
        <v>0</v>
      </c>
      <c r="P46" s="303">
        <v>0</v>
      </c>
      <c r="Q46" s="303">
        <v>0</v>
      </c>
      <c r="R46" s="303">
        <v>0</v>
      </c>
      <c r="S46" s="303">
        <v>0</v>
      </c>
      <c r="T46" s="303">
        <v>0</v>
      </c>
      <c r="U46" s="303">
        <v>0</v>
      </c>
      <c r="V46" s="221">
        <f>L46</f>
        <v>500750</v>
      </c>
      <c r="W46" s="222">
        <v>0</v>
      </c>
      <c r="X46" s="222">
        <v>0</v>
      </c>
      <c r="Y46" s="222">
        <v>0</v>
      </c>
      <c r="Z46" s="222">
        <v>0</v>
      </c>
      <c r="AA46" s="1" t="b">
        <f t="shared" si="21"/>
        <v>1</v>
      </c>
      <c r="AB46" s="42">
        <f t="shared" si="22"/>
        <v>0.5</v>
      </c>
      <c r="AC46" s="43" t="b">
        <f t="shared" si="23"/>
        <v>1</v>
      </c>
      <c r="AD46" s="151" t="b">
        <f t="shared" si="24"/>
        <v>1</v>
      </c>
    </row>
    <row r="47" spans="1:30" s="4" customFormat="1" ht="37.5" customHeight="1" x14ac:dyDescent="0.25">
      <c r="A47" s="198">
        <v>45</v>
      </c>
      <c r="B47" s="213">
        <v>257</v>
      </c>
      <c r="C47" s="213" t="s">
        <v>483</v>
      </c>
      <c r="D47" s="200" t="s">
        <v>348</v>
      </c>
      <c r="E47" s="346">
        <v>2008013</v>
      </c>
      <c r="F47" s="200" t="s">
        <v>53</v>
      </c>
      <c r="G47" s="347" t="s">
        <v>349</v>
      </c>
      <c r="H47" s="200" t="s">
        <v>65</v>
      </c>
      <c r="I47" s="348">
        <v>0.375</v>
      </c>
      <c r="J47" s="200" t="s">
        <v>350</v>
      </c>
      <c r="K47" s="210">
        <v>4834905</v>
      </c>
      <c r="L47" s="210">
        <f t="shared" si="26"/>
        <v>2417452.5</v>
      </c>
      <c r="M47" s="210">
        <f t="shared" si="27"/>
        <v>2417452.5</v>
      </c>
      <c r="N47" s="211">
        <v>0.5</v>
      </c>
      <c r="O47" s="214">
        <v>0</v>
      </c>
      <c r="P47" s="214">
        <v>0</v>
      </c>
      <c r="Q47" s="214">
        <v>0</v>
      </c>
      <c r="R47" s="214">
        <v>0</v>
      </c>
      <c r="S47" s="214">
        <v>0</v>
      </c>
      <c r="T47" s="214">
        <v>0</v>
      </c>
      <c r="U47" s="214">
        <v>0</v>
      </c>
      <c r="V47" s="207">
        <f>2002000*N47</f>
        <v>1001000</v>
      </c>
      <c r="W47" s="205">
        <f>2832905*N47</f>
        <v>1416452.5</v>
      </c>
      <c r="X47" s="205">
        <v>0</v>
      </c>
      <c r="Y47" s="205">
        <v>0</v>
      </c>
      <c r="Z47" s="205">
        <v>0</v>
      </c>
      <c r="AA47" s="1" t="b">
        <f t="shared" si="21"/>
        <v>1</v>
      </c>
      <c r="AB47" s="42">
        <f t="shared" si="22"/>
        <v>0.5</v>
      </c>
      <c r="AC47" s="43" t="b">
        <f t="shared" si="23"/>
        <v>1</v>
      </c>
      <c r="AD47" s="151" t="b">
        <f t="shared" si="24"/>
        <v>1</v>
      </c>
    </row>
    <row r="48" spans="1:30" s="4" customFormat="1" ht="37.5" customHeight="1" x14ac:dyDescent="0.25">
      <c r="A48" s="196">
        <v>46</v>
      </c>
      <c r="B48" s="197">
        <v>41</v>
      </c>
      <c r="C48" s="197" t="s">
        <v>114</v>
      </c>
      <c r="D48" s="344" t="s">
        <v>59</v>
      </c>
      <c r="E48" s="349">
        <v>2009011</v>
      </c>
      <c r="F48" s="344" t="s">
        <v>202</v>
      </c>
      <c r="G48" s="343" t="s">
        <v>351</v>
      </c>
      <c r="H48" s="344" t="s">
        <v>65</v>
      </c>
      <c r="I48" s="345">
        <v>0.218</v>
      </c>
      <c r="J48" s="344" t="s">
        <v>317</v>
      </c>
      <c r="K48" s="218">
        <v>1309159.4099999999</v>
      </c>
      <c r="L48" s="218">
        <f t="shared" si="26"/>
        <v>654579.69999999995</v>
      </c>
      <c r="M48" s="218">
        <f t="shared" si="27"/>
        <v>654579.71</v>
      </c>
      <c r="N48" s="220">
        <v>0.5</v>
      </c>
      <c r="O48" s="303">
        <v>0</v>
      </c>
      <c r="P48" s="303">
        <v>0</v>
      </c>
      <c r="Q48" s="303">
        <v>0</v>
      </c>
      <c r="R48" s="303">
        <v>0</v>
      </c>
      <c r="S48" s="303">
        <v>0</v>
      </c>
      <c r="T48" s="303">
        <v>0</v>
      </c>
      <c r="U48" s="303">
        <v>0</v>
      </c>
      <c r="V48" s="221">
        <f>L48</f>
        <v>654579.69999999995</v>
      </c>
      <c r="W48" s="221">
        <v>0</v>
      </c>
      <c r="X48" s="221">
        <v>0</v>
      </c>
      <c r="Y48" s="221">
        <v>0</v>
      </c>
      <c r="Z48" s="221">
        <v>0</v>
      </c>
      <c r="AA48" s="1" t="b">
        <f t="shared" si="21"/>
        <v>1</v>
      </c>
      <c r="AB48" s="42">
        <f t="shared" si="22"/>
        <v>0.5</v>
      </c>
      <c r="AC48" s="43" t="b">
        <f t="shared" si="23"/>
        <v>1</v>
      </c>
      <c r="AD48" s="151" t="b">
        <f t="shared" si="24"/>
        <v>1</v>
      </c>
    </row>
    <row r="49" spans="1:30" s="4" customFormat="1" ht="37.5" customHeight="1" x14ac:dyDescent="0.25">
      <c r="A49" s="196">
        <v>47</v>
      </c>
      <c r="B49" s="197">
        <v>113</v>
      </c>
      <c r="C49" s="197" t="s">
        <v>114</v>
      </c>
      <c r="D49" s="344" t="s">
        <v>352</v>
      </c>
      <c r="E49" s="349">
        <v>2010092</v>
      </c>
      <c r="F49" s="344" t="s">
        <v>54</v>
      </c>
      <c r="G49" s="343" t="s">
        <v>353</v>
      </c>
      <c r="H49" s="344" t="s">
        <v>65</v>
      </c>
      <c r="I49" s="345">
        <v>4.9219999999999997</v>
      </c>
      <c r="J49" s="344" t="s">
        <v>212</v>
      </c>
      <c r="K49" s="218">
        <v>5100000</v>
      </c>
      <c r="L49" s="218">
        <f t="shared" si="26"/>
        <v>2550000</v>
      </c>
      <c r="M49" s="218">
        <f t="shared" si="27"/>
        <v>2550000</v>
      </c>
      <c r="N49" s="220">
        <v>0.5</v>
      </c>
      <c r="O49" s="303">
        <v>0</v>
      </c>
      <c r="P49" s="303">
        <v>0</v>
      </c>
      <c r="Q49" s="303">
        <v>0</v>
      </c>
      <c r="R49" s="303">
        <v>0</v>
      </c>
      <c r="S49" s="303">
        <v>0</v>
      </c>
      <c r="T49" s="303">
        <v>0</v>
      </c>
      <c r="U49" s="303">
        <v>0</v>
      </c>
      <c r="V49" s="222">
        <f>L49</f>
        <v>2550000</v>
      </c>
      <c r="W49" s="222">
        <v>0</v>
      </c>
      <c r="X49" s="222">
        <v>0</v>
      </c>
      <c r="Y49" s="222">
        <v>0</v>
      </c>
      <c r="Z49" s="222">
        <v>0</v>
      </c>
      <c r="AA49" s="1" t="b">
        <f t="shared" si="21"/>
        <v>1</v>
      </c>
      <c r="AB49" s="42">
        <f t="shared" si="22"/>
        <v>0.5</v>
      </c>
      <c r="AC49" s="43" t="b">
        <f t="shared" si="23"/>
        <v>1</v>
      </c>
      <c r="AD49" s="151" t="b">
        <f t="shared" si="24"/>
        <v>1</v>
      </c>
    </row>
    <row r="50" spans="1:30" s="4" customFormat="1" ht="37.5" customHeight="1" x14ac:dyDescent="0.25">
      <c r="A50" s="198">
        <v>48</v>
      </c>
      <c r="B50" s="213">
        <v>309</v>
      </c>
      <c r="C50" s="213" t="s">
        <v>483</v>
      </c>
      <c r="D50" s="200" t="s">
        <v>354</v>
      </c>
      <c r="E50" s="346">
        <v>2013062</v>
      </c>
      <c r="F50" s="200" t="s">
        <v>56</v>
      </c>
      <c r="G50" s="347" t="s">
        <v>355</v>
      </c>
      <c r="H50" s="200" t="s">
        <v>66</v>
      </c>
      <c r="I50" s="348">
        <v>2.36</v>
      </c>
      <c r="J50" s="200" t="s">
        <v>356</v>
      </c>
      <c r="K50" s="210">
        <v>3121429.66</v>
      </c>
      <c r="L50" s="210">
        <f t="shared" si="26"/>
        <v>1560714.83</v>
      </c>
      <c r="M50" s="210">
        <f t="shared" si="27"/>
        <v>1560714.83</v>
      </c>
      <c r="N50" s="211">
        <v>0.5</v>
      </c>
      <c r="O50" s="214">
        <v>0</v>
      </c>
      <c r="P50" s="214">
        <v>0</v>
      </c>
      <c r="Q50" s="214">
        <v>0</v>
      </c>
      <c r="R50" s="214">
        <v>0</v>
      </c>
      <c r="S50" s="214">
        <v>0</v>
      </c>
      <c r="T50" s="214">
        <v>0</v>
      </c>
      <c r="U50" s="214">
        <v>0</v>
      </c>
      <c r="V50" s="205">
        <f>1560714.83*N50</f>
        <v>780357.41500000004</v>
      </c>
      <c r="W50" s="205">
        <f>1560714.83*N50</f>
        <v>780357.41500000004</v>
      </c>
      <c r="X50" s="205">
        <v>0</v>
      </c>
      <c r="Y50" s="205">
        <v>0</v>
      </c>
      <c r="Z50" s="205">
        <v>0</v>
      </c>
      <c r="AA50" s="1" t="b">
        <f t="shared" si="21"/>
        <v>1</v>
      </c>
      <c r="AB50" s="42">
        <f t="shared" si="22"/>
        <v>0.5</v>
      </c>
      <c r="AC50" s="43" t="b">
        <f t="shared" si="23"/>
        <v>1</v>
      </c>
      <c r="AD50" s="151" t="b">
        <f t="shared" si="24"/>
        <v>1</v>
      </c>
    </row>
    <row r="51" spans="1:30" s="4" customFormat="1" ht="37.5" customHeight="1" x14ac:dyDescent="0.25">
      <c r="A51" s="196">
        <v>49</v>
      </c>
      <c r="B51" s="197">
        <v>159</v>
      </c>
      <c r="C51" s="197" t="s">
        <v>114</v>
      </c>
      <c r="D51" s="344" t="s">
        <v>357</v>
      </c>
      <c r="E51" s="349">
        <v>2009042</v>
      </c>
      <c r="F51" s="344" t="s">
        <v>202</v>
      </c>
      <c r="G51" s="343" t="s">
        <v>358</v>
      </c>
      <c r="H51" s="344" t="s">
        <v>65</v>
      </c>
      <c r="I51" s="345">
        <v>1.61</v>
      </c>
      <c r="J51" s="344" t="s">
        <v>233</v>
      </c>
      <c r="K51" s="218">
        <v>1628000</v>
      </c>
      <c r="L51" s="218">
        <f t="shared" si="26"/>
        <v>814000</v>
      </c>
      <c r="M51" s="218">
        <f t="shared" si="27"/>
        <v>814000</v>
      </c>
      <c r="N51" s="220">
        <v>0.5</v>
      </c>
      <c r="O51" s="303">
        <v>0</v>
      </c>
      <c r="P51" s="303">
        <v>0</v>
      </c>
      <c r="Q51" s="303">
        <v>0</v>
      </c>
      <c r="R51" s="303">
        <v>0</v>
      </c>
      <c r="S51" s="303">
        <v>0</v>
      </c>
      <c r="T51" s="303">
        <v>0</v>
      </c>
      <c r="U51" s="303">
        <v>0</v>
      </c>
      <c r="V51" s="222">
        <f>L51</f>
        <v>814000</v>
      </c>
      <c r="W51" s="222">
        <v>0</v>
      </c>
      <c r="X51" s="222">
        <v>0</v>
      </c>
      <c r="Y51" s="222">
        <v>0</v>
      </c>
      <c r="Z51" s="222">
        <v>0</v>
      </c>
      <c r="AA51" s="1" t="b">
        <f t="shared" si="21"/>
        <v>1</v>
      </c>
      <c r="AB51" s="42">
        <f t="shared" si="22"/>
        <v>0.5</v>
      </c>
      <c r="AC51" s="43" t="b">
        <f t="shared" si="23"/>
        <v>1</v>
      </c>
      <c r="AD51" s="151" t="b">
        <f t="shared" si="24"/>
        <v>1</v>
      </c>
    </row>
    <row r="52" spans="1:30" s="4" customFormat="1" ht="37.5" customHeight="1" x14ac:dyDescent="0.25">
      <c r="A52" s="196">
        <v>50</v>
      </c>
      <c r="B52" s="197">
        <v>110</v>
      </c>
      <c r="C52" s="197" t="s">
        <v>114</v>
      </c>
      <c r="D52" s="344" t="s">
        <v>359</v>
      </c>
      <c r="E52" s="349">
        <v>2013042</v>
      </c>
      <c r="F52" s="344" t="s">
        <v>56</v>
      </c>
      <c r="G52" s="343" t="s">
        <v>360</v>
      </c>
      <c r="H52" s="344" t="s">
        <v>65</v>
      </c>
      <c r="I52" s="345">
        <v>1.5740000000000001</v>
      </c>
      <c r="J52" s="344" t="s">
        <v>281</v>
      </c>
      <c r="K52" s="218">
        <v>3760420.58</v>
      </c>
      <c r="L52" s="218">
        <f t="shared" si="26"/>
        <v>1880210.29</v>
      </c>
      <c r="M52" s="218">
        <f t="shared" si="27"/>
        <v>1880210.29</v>
      </c>
      <c r="N52" s="220">
        <v>0.5</v>
      </c>
      <c r="O52" s="303">
        <v>0</v>
      </c>
      <c r="P52" s="303">
        <v>0</v>
      </c>
      <c r="Q52" s="303">
        <v>0</v>
      </c>
      <c r="R52" s="303">
        <v>0</v>
      </c>
      <c r="S52" s="303">
        <v>0</v>
      </c>
      <c r="T52" s="303">
        <v>0</v>
      </c>
      <c r="U52" s="303">
        <v>0</v>
      </c>
      <c r="V52" s="222">
        <f>L52</f>
        <v>1880210.29</v>
      </c>
      <c r="W52" s="222">
        <v>0</v>
      </c>
      <c r="X52" s="222">
        <v>0</v>
      </c>
      <c r="Y52" s="222">
        <v>0</v>
      </c>
      <c r="Z52" s="222">
        <v>0</v>
      </c>
      <c r="AA52" s="1" t="b">
        <f t="shared" si="21"/>
        <v>1</v>
      </c>
      <c r="AB52" s="42">
        <f t="shared" si="22"/>
        <v>0.5</v>
      </c>
      <c r="AC52" s="43" t="b">
        <f t="shared" si="23"/>
        <v>1</v>
      </c>
      <c r="AD52" s="151" t="b">
        <f t="shared" si="24"/>
        <v>1</v>
      </c>
    </row>
    <row r="53" spans="1:30" s="4" customFormat="1" ht="37.5" customHeight="1" x14ac:dyDescent="0.25">
      <c r="A53" s="196">
        <v>51</v>
      </c>
      <c r="B53" s="197">
        <v>324</v>
      </c>
      <c r="C53" s="197" t="s">
        <v>114</v>
      </c>
      <c r="D53" s="344" t="s">
        <v>361</v>
      </c>
      <c r="E53" s="349">
        <v>2001052</v>
      </c>
      <c r="F53" s="344" t="s">
        <v>200</v>
      </c>
      <c r="G53" s="343" t="s">
        <v>362</v>
      </c>
      <c r="H53" s="344" t="s">
        <v>67</v>
      </c>
      <c r="I53" s="345">
        <v>1.5</v>
      </c>
      <c r="J53" s="344" t="s">
        <v>322</v>
      </c>
      <c r="K53" s="218">
        <v>746502.76</v>
      </c>
      <c r="L53" s="218">
        <f t="shared" si="26"/>
        <v>373251.38</v>
      </c>
      <c r="M53" s="218">
        <f t="shared" si="27"/>
        <v>373251.38</v>
      </c>
      <c r="N53" s="220">
        <v>0.5</v>
      </c>
      <c r="O53" s="350">
        <v>0</v>
      </c>
      <c r="P53" s="350">
        <v>0</v>
      </c>
      <c r="Q53" s="350">
        <v>0</v>
      </c>
      <c r="R53" s="350">
        <v>0</v>
      </c>
      <c r="S53" s="350">
        <v>0</v>
      </c>
      <c r="T53" s="350">
        <v>0</v>
      </c>
      <c r="U53" s="350">
        <v>0</v>
      </c>
      <c r="V53" s="222">
        <f>L53</f>
        <v>373251.38</v>
      </c>
      <c r="W53" s="222">
        <v>0</v>
      </c>
      <c r="X53" s="222">
        <v>0</v>
      </c>
      <c r="Y53" s="222">
        <v>0</v>
      </c>
      <c r="Z53" s="222">
        <v>0</v>
      </c>
      <c r="AA53" s="1" t="b">
        <f t="shared" si="21"/>
        <v>1</v>
      </c>
      <c r="AB53" s="42">
        <f t="shared" si="22"/>
        <v>0.5</v>
      </c>
      <c r="AC53" s="43" t="b">
        <f t="shared" si="23"/>
        <v>1</v>
      </c>
      <c r="AD53" s="151" t="b">
        <f t="shared" si="24"/>
        <v>1</v>
      </c>
    </row>
    <row r="54" spans="1:30" s="4" customFormat="1" ht="37.5" customHeight="1" x14ac:dyDescent="0.25">
      <c r="A54" s="198">
        <v>52</v>
      </c>
      <c r="B54" s="213">
        <v>191</v>
      </c>
      <c r="C54" s="213" t="s">
        <v>483</v>
      </c>
      <c r="D54" s="200" t="s">
        <v>328</v>
      </c>
      <c r="E54" s="346">
        <v>2002032</v>
      </c>
      <c r="F54" s="200" t="s">
        <v>48</v>
      </c>
      <c r="G54" s="347" t="s">
        <v>363</v>
      </c>
      <c r="H54" s="200" t="s">
        <v>65</v>
      </c>
      <c r="I54" s="348">
        <v>0.88900000000000001</v>
      </c>
      <c r="J54" s="200" t="s">
        <v>364</v>
      </c>
      <c r="K54" s="210">
        <v>5274648.8099999996</v>
      </c>
      <c r="L54" s="210">
        <f t="shared" si="26"/>
        <v>2637324.4</v>
      </c>
      <c r="M54" s="210">
        <f t="shared" si="27"/>
        <v>2637324.4099999997</v>
      </c>
      <c r="N54" s="211">
        <v>0.5</v>
      </c>
      <c r="O54" s="236">
        <v>0</v>
      </c>
      <c r="P54" s="236">
        <v>0</v>
      </c>
      <c r="Q54" s="236">
        <v>0</v>
      </c>
      <c r="R54" s="236">
        <v>0</v>
      </c>
      <c r="S54" s="236">
        <v>0</v>
      </c>
      <c r="T54" s="236">
        <v>0</v>
      </c>
      <c r="U54" s="236">
        <v>0</v>
      </c>
      <c r="V54" s="207">
        <f>3000000*N54</f>
        <v>1500000</v>
      </c>
      <c r="W54" s="205">
        <f>ROUNDDOWN(2274648.81*N54,2)</f>
        <v>1137324.3999999999</v>
      </c>
      <c r="X54" s="205">
        <v>0</v>
      </c>
      <c r="Y54" s="205">
        <v>0</v>
      </c>
      <c r="Z54" s="205">
        <v>0</v>
      </c>
      <c r="AA54" s="1" t="b">
        <f t="shared" si="21"/>
        <v>1</v>
      </c>
      <c r="AB54" s="42">
        <f t="shared" si="22"/>
        <v>0.5</v>
      </c>
      <c r="AC54" s="43" t="b">
        <f t="shared" si="23"/>
        <v>1</v>
      </c>
      <c r="AD54" s="151" t="b">
        <f t="shared" si="24"/>
        <v>1</v>
      </c>
    </row>
    <row r="55" spans="1:30" s="4" customFormat="1" ht="37.5" customHeight="1" x14ac:dyDescent="0.25">
      <c r="A55" s="196">
        <v>53</v>
      </c>
      <c r="B55" s="197">
        <v>144</v>
      </c>
      <c r="C55" s="197" t="s">
        <v>114</v>
      </c>
      <c r="D55" s="344" t="s">
        <v>365</v>
      </c>
      <c r="E55" s="349">
        <v>2009052</v>
      </c>
      <c r="F55" s="344" t="s">
        <v>202</v>
      </c>
      <c r="G55" s="343" t="s">
        <v>366</v>
      </c>
      <c r="H55" s="344" t="s">
        <v>65</v>
      </c>
      <c r="I55" s="345">
        <v>0.8</v>
      </c>
      <c r="J55" s="344" t="s">
        <v>367</v>
      </c>
      <c r="K55" s="218">
        <v>1203300</v>
      </c>
      <c r="L55" s="218">
        <f t="shared" si="26"/>
        <v>601650</v>
      </c>
      <c r="M55" s="218">
        <f t="shared" si="27"/>
        <v>601650</v>
      </c>
      <c r="N55" s="220">
        <v>0.5</v>
      </c>
      <c r="O55" s="303">
        <v>0</v>
      </c>
      <c r="P55" s="303">
        <v>0</v>
      </c>
      <c r="Q55" s="303">
        <v>0</v>
      </c>
      <c r="R55" s="303">
        <v>0</v>
      </c>
      <c r="S55" s="303">
        <v>0</v>
      </c>
      <c r="T55" s="303">
        <v>0</v>
      </c>
      <c r="U55" s="303">
        <v>0</v>
      </c>
      <c r="V55" s="221">
        <f>L55</f>
        <v>601650</v>
      </c>
      <c r="W55" s="222">
        <v>0</v>
      </c>
      <c r="X55" s="222">
        <v>0</v>
      </c>
      <c r="Y55" s="222">
        <v>0</v>
      </c>
      <c r="Z55" s="222">
        <v>0</v>
      </c>
      <c r="AA55" s="1" t="b">
        <f t="shared" si="21"/>
        <v>1</v>
      </c>
      <c r="AB55" s="42">
        <f t="shared" si="22"/>
        <v>0.5</v>
      </c>
      <c r="AC55" s="43" t="b">
        <f t="shared" si="23"/>
        <v>1</v>
      </c>
      <c r="AD55" s="151" t="b">
        <f t="shared" si="24"/>
        <v>1</v>
      </c>
    </row>
    <row r="56" spans="1:30" s="4" customFormat="1" ht="37.5" customHeight="1" x14ac:dyDescent="0.25">
      <c r="A56" s="196">
        <v>54</v>
      </c>
      <c r="B56" s="197">
        <v>262</v>
      </c>
      <c r="C56" s="197" t="s">
        <v>114</v>
      </c>
      <c r="D56" s="344" t="s">
        <v>368</v>
      </c>
      <c r="E56" s="349">
        <v>2004045</v>
      </c>
      <c r="F56" s="344" t="s">
        <v>50</v>
      </c>
      <c r="G56" s="343" t="s">
        <v>369</v>
      </c>
      <c r="H56" s="344" t="s">
        <v>65</v>
      </c>
      <c r="I56" s="345">
        <v>0.75</v>
      </c>
      <c r="J56" s="344" t="s">
        <v>325</v>
      </c>
      <c r="K56" s="218">
        <v>4003000</v>
      </c>
      <c r="L56" s="218">
        <f t="shared" si="26"/>
        <v>2001500</v>
      </c>
      <c r="M56" s="218">
        <f t="shared" si="27"/>
        <v>2001500</v>
      </c>
      <c r="N56" s="220">
        <v>0.5</v>
      </c>
      <c r="O56" s="350">
        <v>0</v>
      </c>
      <c r="P56" s="350">
        <v>0</v>
      </c>
      <c r="Q56" s="350">
        <v>0</v>
      </c>
      <c r="R56" s="350">
        <v>0</v>
      </c>
      <c r="S56" s="350">
        <v>0</v>
      </c>
      <c r="T56" s="350">
        <v>0</v>
      </c>
      <c r="U56" s="350">
        <v>0</v>
      </c>
      <c r="V56" s="221">
        <f>L56</f>
        <v>2001500</v>
      </c>
      <c r="W56" s="222">
        <v>0</v>
      </c>
      <c r="X56" s="222">
        <v>0</v>
      </c>
      <c r="Y56" s="222">
        <v>0</v>
      </c>
      <c r="Z56" s="222">
        <v>0</v>
      </c>
      <c r="AA56" s="1" t="b">
        <f t="shared" si="21"/>
        <v>1</v>
      </c>
      <c r="AB56" s="42">
        <f t="shared" si="22"/>
        <v>0.5</v>
      </c>
      <c r="AC56" s="43" t="b">
        <f t="shared" si="23"/>
        <v>1</v>
      </c>
      <c r="AD56" s="151" t="b">
        <f t="shared" si="24"/>
        <v>1</v>
      </c>
    </row>
    <row r="57" spans="1:30" s="4" customFormat="1" ht="37.5" customHeight="1" x14ac:dyDescent="0.25">
      <c r="A57" s="198">
        <v>55</v>
      </c>
      <c r="B57" s="213">
        <v>35</v>
      </c>
      <c r="C57" s="213" t="s">
        <v>483</v>
      </c>
      <c r="D57" s="200" t="s">
        <v>130</v>
      </c>
      <c r="E57" s="346">
        <v>2002112</v>
      </c>
      <c r="F57" s="200" t="s">
        <v>48</v>
      </c>
      <c r="G57" s="347" t="s">
        <v>144</v>
      </c>
      <c r="H57" s="200" t="s">
        <v>66</v>
      </c>
      <c r="I57" s="348">
        <v>0.70899999999999996</v>
      </c>
      <c r="J57" s="200" t="s">
        <v>340</v>
      </c>
      <c r="K57" s="210">
        <v>3675010</v>
      </c>
      <c r="L57" s="210">
        <f t="shared" si="26"/>
        <v>1837505</v>
      </c>
      <c r="M57" s="210">
        <f t="shared" si="27"/>
        <v>1837505</v>
      </c>
      <c r="N57" s="211">
        <v>0.5</v>
      </c>
      <c r="O57" s="236">
        <v>0</v>
      </c>
      <c r="P57" s="236">
        <v>0</v>
      </c>
      <c r="Q57" s="236">
        <v>0</v>
      </c>
      <c r="R57" s="236">
        <v>0</v>
      </c>
      <c r="S57" s="236">
        <v>0</v>
      </c>
      <c r="T57" s="236">
        <v>0</v>
      </c>
      <c r="U57" s="236">
        <v>0</v>
      </c>
      <c r="V57" s="207">
        <f>75010*N57</f>
        <v>37505</v>
      </c>
      <c r="W57" s="205">
        <f>3600000*N57</f>
        <v>1800000</v>
      </c>
      <c r="X57" s="205">
        <v>0</v>
      </c>
      <c r="Y57" s="205">
        <v>0</v>
      </c>
      <c r="Z57" s="205">
        <v>0</v>
      </c>
      <c r="AA57" s="1" t="b">
        <f t="shared" si="21"/>
        <v>1</v>
      </c>
      <c r="AB57" s="42">
        <f t="shared" si="22"/>
        <v>0.5</v>
      </c>
      <c r="AC57" s="43" t="b">
        <f t="shared" si="23"/>
        <v>1</v>
      </c>
      <c r="AD57" s="151" t="b">
        <f t="shared" si="24"/>
        <v>1</v>
      </c>
    </row>
    <row r="58" spans="1:30" s="4" customFormat="1" ht="37.5" customHeight="1" x14ac:dyDescent="0.25">
      <c r="A58" s="198">
        <v>56</v>
      </c>
      <c r="B58" s="213">
        <v>336</v>
      </c>
      <c r="C58" s="213" t="s">
        <v>483</v>
      </c>
      <c r="D58" s="200" t="s">
        <v>96</v>
      </c>
      <c r="E58" s="346">
        <v>2011084</v>
      </c>
      <c r="F58" s="200" t="s">
        <v>55</v>
      </c>
      <c r="G58" s="347" t="s">
        <v>370</v>
      </c>
      <c r="H58" s="200" t="s">
        <v>65</v>
      </c>
      <c r="I58" s="348">
        <v>0.5</v>
      </c>
      <c r="J58" s="200" t="s">
        <v>371</v>
      </c>
      <c r="K58" s="210">
        <v>3684305.82</v>
      </c>
      <c r="L58" s="210">
        <f t="shared" si="26"/>
        <v>1842152.91</v>
      </c>
      <c r="M58" s="210">
        <f t="shared" si="27"/>
        <v>1842152.91</v>
      </c>
      <c r="N58" s="211">
        <v>0.5</v>
      </c>
      <c r="O58" s="214">
        <v>0</v>
      </c>
      <c r="P58" s="214">
        <v>0</v>
      </c>
      <c r="Q58" s="214">
        <v>0</v>
      </c>
      <c r="R58" s="214">
        <v>0</v>
      </c>
      <c r="S58" s="214">
        <v>0</v>
      </c>
      <c r="T58" s="214">
        <v>0</v>
      </c>
      <c r="U58" s="214">
        <v>0</v>
      </c>
      <c r="V58" s="207">
        <f>1842152.91*N58</f>
        <v>921076.45499999996</v>
      </c>
      <c r="W58" s="205">
        <f>1842152.91*N58</f>
        <v>921076.45499999996</v>
      </c>
      <c r="X58" s="205">
        <v>0</v>
      </c>
      <c r="Y58" s="205">
        <v>0</v>
      </c>
      <c r="Z58" s="205">
        <v>0</v>
      </c>
      <c r="AA58" s="1" t="b">
        <f t="shared" si="21"/>
        <v>1</v>
      </c>
      <c r="AB58" s="42">
        <f t="shared" si="22"/>
        <v>0.5</v>
      </c>
      <c r="AC58" s="43" t="b">
        <f t="shared" si="23"/>
        <v>1</v>
      </c>
      <c r="AD58" s="151" t="b">
        <f t="shared" si="24"/>
        <v>1</v>
      </c>
    </row>
    <row r="59" spans="1:30" s="4" customFormat="1" ht="37.5" customHeight="1" x14ac:dyDescent="0.25">
      <c r="A59" s="196">
        <v>57</v>
      </c>
      <c r="B59" s="197">
        <v>235</v>
      </c>
      <c r="C59" s="197" t="s">
        <v>114</v>
      </c>
      <c r="D59" s="344" t="s">
        <v>60</v>
      </c>
      <c r="E59" s="349">
        <v>2010011</v>
      </c>
      <c r="F59" s="344" t="s">
        <v>54</v>
      </c>
      <c r="G59" s="343" t="s">
        <v>372</v>
      </c>
      <c r="H59" s="344" t="s">
        <v>65</v>
      </c>
      <c r="I59" s="345">
        <v>0.42799999999999999</v>
      </c>
      <c r="J59" s="344" t="s">
        <v>231</v>
      </c>
      <c r="K59" s="218">
        <v>2100544</v>
      </c>
      <c r="L59" s="218">
        <f t="shared" si="26"/>
        <v>1050272</v>
      </c>
      <c r="M59" s="218">
        <f t="shared" si="27"/>
        <v>1050272</v>
      </c>
      <c r="N59" s="220">
        <v>0.5</v>
      </c>
      <c r="O59" s="350">
        <v>0</v>
      </c>
      <c r="P59" s="350">
        <v>0</v>
      </c>
      <c r="Q59" s="350">
        <v>0</v>
      </c>
      <c r="R59" s="350">
        <v>0</v>
      </c>
      <c r="S59" s="350">
        <v>0</v>
      </c>
      <c r="T59" s="350">
        <v>0</v>
      </c>
      <c r="U59" s="350">
        <v>0</v>
      </c>
      <c r="V59" s="221">
        <f t="shared" ref="V59:V63" si="28">L59</f>
        <v>1050272</v>
      </c>
      <c r="W59" s="222">
        <v>0</v>
      </c>
      <c r="X59" s="222">
        <v>0</v>
      </c>
      <c r="Y59" s="222">
        <v>0</v>
      </c>
      <c r="Z59" s="222">
        <v>0</v>
      </c>
      <c r="AA59" s="1" t="b">
        <f t="shared" si="21"/>
        <v>1</v>
      </c>
      <c r="AB59" s="42">
        <f t="shared" si="22"/>
        <v>0.5</v>
      </c>
      <c r="AC59" s="43" t="b">
        <f t="shared" si="23"/>
        <v>1</v>
      </c>
      <c r="AD59" s="151" t="b">
        <f t="shared" si="24"/>
        <v>1</v>
      </c>
    </row>
    <row r="60" spans="1:30" s="4" customFormat="1" ht="37.5" customHeight="1" x14ac:dyDescent="0.25">
      <c r="A60" s="196">
        <v>58</v>
      </c>
      <c r="B60" s="197">
        <v>287</v>
      </c>
      <c r="C60" s="197" t="s">
        <v>114</v>
      </c>
      <c r="D60" s="344" t="s">
        <v>373</v>
      </c>
      <c r="E60" s="349">
        <v>2002093</v>
      </c>
      <c r="F60" s="344" t="s">
        <v>48</v>
      </c>
      <c r="G60" s="343" t="s">
        <v>374</v>
      </c>
      <c r="H60" s="344" t="s">
        <v>65</v>
      </c>
      <c r="I60" s="345">
        <v>0.33500000000000002</v>
      </c>
      <c r="J60" s="344" t="s">
        <v>212</v>
      </c>
      <c r="K60" s="218">
        <v>1947232.69</v>
      </c>
      <c r="L60" s="218">
        <f t="shared" si="26"/>
        <v>973616.34</v>
      </c>
      <c r="M60" s="218">
        <f t="shared" si="27"/>
        <v>973616.35</v>
      </c>
      <c r="N60" s="220">
        <v>0.5</v>
      </c>
      <c r="O60" s="350">
        <v>0</v>
      </c>
      <c r="P60" s="350">
        <v>0</v>
      </c>
      <c r="Q60" s="350">
        <v>0</v>
      </c>
      <c r="R60" s="350">
        <v>0</v>
      </c>
      <c r="S60" s="350">
        <v>0</v>
      </c>
      <c r="T60" s="350">
        <v>0</v>
      </c>
      <c r="U60" s="350">
        <v>0</v>
      </c>
      <c r="V60" s="221">
        <f t="shared" si="28"/>
        <v>973616.34</v>
      </c>
      <c r="W60" s="222">
        <v>0</v>
      </c>
      <c r="X60" s="222">
        <v>0</v>
      </c>
      <c r="Y60" s="222">
        <v>0</v>
      </c>
      <c r="Z60" s="222">
        <v>0</v>
      </c>
      <c r="AA60" s="1" t="b">
        <f t="shared" si="21"/>
        <v>1</v>
      </c>
      <c r="AB60" s="42">
        <f t="shared" si="22"/>
        <v>0.5</v>
      </c>
      <c r="AC60" s="43" t="b">
        <f t="shared" si="23"/>
        <v>1</v>
      </c>
      <c r="AD60" s="151" t="b">
        <f t="shared" si="24"/>
        <v>1</v>
      </c>
    </row>
    <row r="61" spans="1:30" s="4" customFormat="1" ht="37.5" customHeight="1" x14ac:dyDescent="0.25">
      <c r="A61" s="196">
        <v>59</v>
      </c>
      <c r="B61" s="197">
        <v>466</v>
      </c>
      <c r="C61" s="197" t="s">
        <v>114</v>
      </c>
      <c r="D61" s="344" t="s">
        <v>375</v>
      </c>
      <c r="E61" s="349">
        <v>2002042</v>
      </c>
      <c r="F61" s="344" t="s">
        <v>48</v>
      </c>
      <c r="G61" s="343" t="s">
        <v>376</v>
      </c>
      <c r="H61" s="344" t="s">
        <v>65</v>
      </c>
      <c r="I61" s="345">
        <v>0.32800000000000001</v>
      </c>
      <c r="J61" s="344" t="s">
        <v>293</v>
      </c>
      <c r="K61" s="218">
        <v>1031197.44</v>
      </c>
      <c r="L61" s="218">
        <f t="shared" si="26"/>
        <v>515598.72</v>
      </c>
      <c r="M61" s="218">
        <f t="shared" si="27"/>
        <v>515598.72</v>
      </c>
      <c r="N61" s="220">
        <v>0.5</v>
      </c>
      <c r="O61" s="350">
        <v>0</v>
      </c>
      <c r="P61" s="350">
        <v>0</v>
      </c>
      <c r="Q61" s="350">
        <v>0</v>
      </c>
      <c r="R61" s="350">
        <v>0</v>
      </c>
      <c r="S61" s="350">
        <v>0</v>
      </c>
      <c r="T61" s="350">
        <v>0</v>
      </c>
      <c r="U61" s="350">
        <v>0</v>
      </c>
      <c r="V61" s="222">
        <f t="shared" si="28"/>
        <v>515598.72</v>
      </c>
      <c r="W61" s="222">
        <v>0</v>
      </c>
      <c r="X61" s="222">
        <v>0</v>
      </c>
      <c r="Y61" s="222">
        <v>0</v>
      </c>
      <c r="Z61" s="222">
        <v>0</v>
      </c>
      <c r="AA61" s="1" t="b">
        <f t="shared" si="21"/>
        <v>1</v>
      </c>
      <c r="AB61" s="42">
        <f t="shared" si="22"/>
        <v>0.5</v>
      </c>
      <c r="AC61" s="43" t="b">
        <f t="shared" si="23"/>
        <v>1</v>
      </c>
      <c r="AD61" s="151" t="b">
        <f t="shared" si="24"/>
        <v>1</v>
      </c>
    </row>
    <row r="62" spans="1:30" s="4" customFormat="1" ht="37.5" customHeight="1" x14ac:dyDescent="0.25">
      <c r="A62" s="196">
        <v>60</v>
      </c>
      <c r="B62" s="197">
        <v>238</v>
      </c>
      <c r="C62" s="197" t="s">
        <v>114</v>
      </c>
      <c r="D62" s="344" t="s">
        <v>377</v>
      </c>
      <c r="E62" s="349">
        <v>2003072</v>
      </c>
      <c r="F62" s="344" t="s">
        <v>49</v>
      </c>
      <c r="G62" s="343" t="s">
        <v>378</v>
      </c>
      <c r="H62" s="344" t="s">
        <v>67</v>
      </c>
      <c r="I62" s="345">
        <v>0.3</v>
      </c>
      <c r="J62" s="344" t="s">
        <v>255</v>
      </c>
      <c r="K62" s="218">
        <v>345539.93</v>
      </c>
      <c r="L62" s="218">
        <f t="shared" si="26"/>
        <v>172769.96</v>
      </c>
      <c r="M62" s="218">
        <f t="shared" si="27"/>
        <v>172769.97</v>
      </c>
      <c r="N62" s="220">
        <v>0.5</v>
      </c>
      <c r="O62" s="350">
        <v>0</v>
      </c>
      <c r="P62" s="350">
        <v>0</v>
      </c>
      <c r="Q62" s="350">
        <v>0</v>
      </c>
      <c r="R62" s="350">
        <v>0</v>
      </c>
      <c r="S62" s="350">
        <v>0</v>
      </c>
      <c r="T62" s="350">
        <v>0</v>
      </c>
      <c r="U62" s="350">
        <v>0</v>
      </c>
      <c r="V62" s="221">
        <f t="shared" si="28"/>
        <v>172769.96</v>
      </c>
      <c r="W62" s="222">
        <v>0</v>
      </c>
      <c r="X62" s="222">
        <v>0</v>
      </c>
      <c r="Y62" s="222">
        <v>0</v>
      </c>
      <c r="Z62" s="222">
        <v>0</v>
      </c>
      <c r="AA62" s="1" t="b">
        <f t="shared" si="21"/>
        <v>1</v>
      </c>
      <c r="AB62" s="42">
        <f t="shared" si="22"/>
        <v>0.5</v>
      </c>
      <c r="AC62" s="43" t="b">
        <f t="shared" si="23"/>
        <v>1</v>
      </c>
      <c r="AD62" s="151" t="b">
        <f t="shared" si="24"/>
        <v>1</v>
      </c>
    </row>
    <row r="63" spans="1:30" s="4" customFormat="1" ht="37.5" customHeight="1" x14ac:dyDescent="0.25">
      <c r="A63" s="196">
        <v>61</v>
      </c>
      <c r="B63" s="197">
        <v>212</v>
      </c>
      <c r="C63" s="197" t="s">
        <v>114</v>
      </c>
      <c r="D63" s="344" t="s">
        <v>380</v>
      </c>
      <c r="E63" s="349">
        <v>2009032</v>
      </c>
      <c r="F63" s="344" t="s">
        <v>202</v>
      </c>
      <c r="G63" s="343" t="s">
        <v>381</v>
      </c>
      <c r="H63" s="344" t="s">
        <v>65</v>
      </c>
      <c r="I63" s="345">
        <v>3.2</v>
      </c>
      <c r="J63" s="344" t="s">
        <v>337</v>
      </c>
      <c r="K63" s="218">
        <v>2798796.91</v>
      </c>
      <c r="L63" s="218">
        <f t="shared" si="26"/>
        <v>1399398.45</v>
      </c>
      <c r="M63" s="218">
        <f t="shared" si="27"/>
        <v>1399398.4600000002</v>
      </c>
      <c r="N63" s="220">
        <v>0.5</v>
      </c>
      <c r="O63" s="350">
        <v>0</v>
      </c>
      <c r="P63" s="350">
        <v>0</v>
      </c>
      <c r="Q63" s="350">
        <v>0</v>
      </c>
      <c r="R63" s="350">
        <v>0</v>
      </c>
      <c r="S63" s="350">
        <v>0</v>
      </c>
      <c r="T63" s="350">
        <v>0</v>
      </c>
      <c r="U63" s="350">
        <v>0</v>
      </c>
      <c r="V63" s="221">
        <f t="shared" si="28"/>
        <v>1399398.45</v>
      </c>
      <c r="W63" s="222">
        <v>0</v>
      </c>
      <c r="X63" s="222">
        <v>0</v>
      </c>
      <c r="Y63" s="222">
        <v>0</v>
      </c>
      <c r="Z63" s="222">
        <v>0</v>
      </c>
      <c r="AA63" s="1" t="b">
        <f t="shared" si="21"/>
        <v>1</v>
      </c>
      <c r="AB63" s="42">
        <f t="shared" si="22"/>
        <v>0.5</v>
      </c>
      <c r="AC63" s="43" t="b">
        <f t="shared" si="23"/>
        <v>1</v>
      </c>
      <c r="AD63" s="151" t="b">
        <f t="shared" si="24"/>
        <v>1</v>
      </c>
    </row>
    <row r="64" spans="1:30" s="4" customFormat="1" ht="37.5" customHeight="1" x14ac:dyDescent="0.25">
      <c r="A64" s="198">
        <v>62</v>
      </c>
      <c r="B64" s="213">
        <v>209</v>
      </c>
      <c r="C64" s="213" t="s">
        <v>483</v>
      </c>
      <c r="D64" s="200" t="s">
        <v>382</v>
      </c>
      <c r="E64" s="346">
        <v>2012072</v>
      </c>
      <c r="F64" s="200" t="s">
        <v>203</v>
      </c>
      <c r="G64" s="347" t="s">
        <v>383</v>
      </c>
      <c r="H64" s="200" t="s">
        <v>66</v>
      </c>
      <c r="I64" s="348">
        <v>3.1560000000000001</v>
      </c>
      <c r="J64" s="200" t="s">
        <v>384</v>
      </c>
      <c r="K64" s="210">
        <v>7000650</v>
      </c>
      <c r="L64" s="210">
        <f t="shared" si="26"/>
        <v>3500325</v>
      </c>
      <c r="M64" s="210">
        <f t="shared" si="27"/>
        <v>3500325</v>
      </c>
      <c r="N64" s="211">
        <v>0.5</v>
      </c>
      <c r="O64" s="214">
        <v>0</v>
      </c>
      <c r="P64" s="214">
        <v>0</v>
      </c>
      <c r="Q64" s="214">
        <v>0</v>
      </c>
      <c r="R64" s="214">
        <v>0</v>
      </c>
      <c r="S64" s="214">
        <v>0</v>
      </c>
      <c r="T64" s="214">
        <v>0</v>
      </c>
      <c r="U64" s="214">
        <v>0</v>
      </c>
      <c r="V64" s="207">
        <f>3500650*N64</f>
        <v>1750325</v>
      </c>
      <c r="W64" s="205">
        <f>3500000*N64</f>
        <v>1750000</v>
      </c>
      <c r="X64" s="205">
        <v>0</v>
      </c>
      <c r="Y64" s="205">
        <v>0</v>
      </c>
      <c r="Z64" s="205">
        <v>0</v>
      </c>
      <c r="AA64" s="1" t="b">
        <f t="shared" si="21"/>
        <v>1</v>
      </c>
      <c r="AB64" s="42">
        <f t="shared" si="22"/>
        <v>0.5</v>
      </c>
      <c r="AC64" s="43" t="b">
        <f t="shared" si="23"/>
        <v>1</v>
      </c>
      <c r="AD64" s="151" t="b">
        <f t="shared" si="24"/>
        <v>1</v>
      </c>
    </row>
    <row r="65" spans="1:30" s="4" customFormat="1" ht="37.5" customHeight="1" x14ac:dyDescent="0.25">
      <c r="A65" s="196">
        <v>63</v>
      </c>
      <c r="B65" s="197">
        <v>30</v>
      </c>
      <c r="C65" s="197" t="s">
        <v>114</v>
      </c>
      <c r="D65" s="344" t="s">
        <v>385</v>
      </c>
      <c r="E65" s="349">
        <v>2008052</v>
      </c>
      <c r="F65" s="344" t="s">
        <v>53</v>
      </c>
      <c r="G65" s="343" t="s">
        <v>386</v>
      </c>
      <c r="H65" s="344" t="s">
        <v>66</v>
      </c>
      <c r="I65" s="345">
        <v>2.5859999999999999</v>
      </c>
      <c r="J65" s="344" t="s">
        <v>281</v>
      </c>
      <c r="K65" s="218">
        <v>5742815.1600000001</v>
      </c>
      <c r="L65" s="218">
        <f t="shared" si="26"/>
        <v>2871407.58</v>
      </c>
      <c r="M65" s="218">
        <f t="shared" si="27"/>
        <v>2871407.58</v>
      </c>
      <c r="N65" s="220">
        <v>0.5</v>
      </c>
      <c r="O65" s="303">
        <v>0</v>
      </c>
      <c r="P65" s="303">
        <v>0</v>
      </c>
      <c r="Q65" s="303">
        <v>0</v>
      </c>
      <c r="R65" s="303">
        <v>0</v>
      </c>
      <c r="S65" s="303">
        <v>0</v>
      </c>
      <c r="T65" s="303">
        <v>0</v>
      </c>
      <c r="U65" s="303">
        <v>0</v>
      </c>
      <c r="V65" s="221">
        <f>L65</f>
        <v>2871407.58</v>
      </c>
      <c r="W65" s="222">
        <v>0</v>
      </c>
      <c r="X65" s="222">
        <v>0</v>
      </c>
      <c r="Y65" s="222">
        <v>0</v>
      </c>
      <c r="Z65" s="222">
        <v>0</v>
      </c>
      <c r="AA65" s="1" t="b">
        <f t="shared" si="21"/>
        <v>1</v>
      </c>
      <c r="AB65" s="42">
        <f t="shared" si="22"/>
        <v>0.5</v>
      </c>
      <c r="AC65" s="43" t="b">
        <f t="shared" si="23"/>
        <v>1</v>
      </c>
      <c r="AD65" s="151" t="b">
        <f t="shared" si="24"/>
        <v>1</v>
      </c>
    </row>
    <row r="66" spans="1:30" s="4" customFormat="1" ht="37.5" customHeight="1" x14ac:dyDescent="0.25">
      <c r="A66" s="196">
        <v>64</v>
      </c>
      <c r="B66" s="197">
        <v>344</v>
      </c>
      <c r="C66" s="197" t="s">
        <v>114</v>
      </c>
      <c r="D66" s="344" t="s">
        <v>387</v>
      </c>
      <c r="E66" s="349">
        <v>2012032</v>
      </c>
      <c r="F66" s="344" t="s">
        <v>203</v>
      </c>
      <c r="G66" s="343" t="s">
        <v>388</v>
      </c>
      <c r="H66" s="344" t="s">
        <v>66</v>
      </c>
      <c r="I66" s="345">
        <v>1.5049999999999999</v>
      </c>
      <c r="J66" s="344" t="s">
        <v>389</v>
      </c>
      <c r="K66" s="218">
        <v>3814200</v>
      </c>
      <c r="L66" s="218">
        <f t="shared" si="26"/>
        <v>1907100</v>
      </c>
      <c r="M66" s="218">
        <f t="shared" si="27"/>
        <v>1907100</v>
      </c>
      <c r="N66" s="220">
        <v>0.5</v>
      </c>
      <c r="O66" s="350">
        <v>0</v>
      </c>
      <c r="P66" s="350">
        <v>0</v>
      </c>
      <c r="Q66" s="350">
        <v>0</v>
      </c>
      <c r="R66" s="350">
        <v>0</v>
      </c>
      <c r="S66" s="350">
        <v>0</v>
      </c>
      <c r="T66" s="350">
        <v>0</v>
      </c>
      <c r="U66" s="350">
        <v>0</v>
      </c>
      <c r="V66" s="222">
        <f>L66</f>
        <v>1907100</v>
      </c>
      <c r="W66" s="222">
        <v>0</v>
      </c>
      <c r="X66" s="222">
        <v>0</v>
      </c>
      <c r="Y66" s="222">
        <v>0</v>
      </c>
      <c r="Z66" s="222">
        <v>0</v>
      </c>
      <c r="AA66" s="1" t="b">
        <f t="shared" si="21"/>
        <v>1</v>
      </c>
      <c r="AB66" s="42">
        <f t="shared" si="22"/>
        <v>0.5</v>
      </c>
      <c r="AC66" s="43" t="b">
        <f t="shared" si="23"/>
        <v>1</v>
      </c>
      <c r="AD66" s="151" t="b">
        <f t="shared" si="24"/>
        <v>1</v>
      </c>
    </row>
    <row r="67" spans="1:30" s="4" customFormat="1" ht="37.5" customHeight="1" x14ac:dyDescent="0.25">
      <c r="A67" s="198">
        <v>65</v>
      </c>
      <c r="B67" s="213">
        <v>139</v>
      </c>
      <c r="C67" s="213" t="s">
        <v>483</v>
      </c>
      <c r="D67" s="200" t="s">
        <v>390</v>
      </c>
      <c r="E67" s="346">
        <v>2012022</v>
      </c>
      <c r="F67" s="200" t="s">
        <v>203</v>
      </c>
      <c r="G67" s="347" t="s">
        <v>391</v>
      </c>
      <c r="H67" s="200" t="s">
        <v>66</v>
      </c>
      <c r="I67" s="348">
        <v>1.4</v>
      </c>
      <c r="J67" s="200" t="s">
        <v>392</v>
      </c>
      <c r="K67" s="210">
        <v>3508000</v>
      </c>
      <c r="L67" s="210">
        <f>ROUNDDOWN(K67*N67,2)</f>
        <v>1754000</v>
      </c>
      <c r="M67" s="210">
        <f t="shared" si="27"/>
        <v>1754000</v>
      </c>
      <c r="N67" s="211">
        <v>0.5</v>
      </c>
      <c r="O67" s="236">
        <v>0</v>
      </c>
      <c r="P67" s="236">
        <v>0</v>
      </c>
      <c r="Q67" s="236">
        <v>0</v>
      </c>
      <c r="R67" s="236">
        <v>0</v>
      </c>
      <c r="S67" s="236">
        <v>0</v>
      </c>
      <c r="T67" s="236">
        <v>0</v>
      </c>
      <c r="U67" s="236">
        <v>0</v>
      </c>
      <c r="V67" s="207">
        <f>5500*N67</f>
        <v>2750</v>
      </c>
      <c r="W67" s="205">
        <f>302500*N67</f>
        <v>151250</v>
      </c>
      <c r="X67" s="205">
        <f>3200000*N67</f>
        <v>1600000</v>
      </c>
      <c r="Y67" s="205">
        <v>0</v>
      </c>
      <c r="Z67" s="205">
        <v>0</v>
      </c>
      <c r="AA67" s="1" t="b">
        <f t="shared" si="21"/>
        <v>1</v>
      </c>
      <c r="AB67" s="42">
        <f t="shared" si="22"/>
        <v>0.5</v>
      </c>
      <c r="AC67" s="43" t="b">
        <f t="shared" si="23"/>
        <v>1</v>
      </c>
      <c r="AD67" s="151" t="b">
        <f t="shared" si="24"/>
        <v>1</v>
      </c>
    </row>
    <row r="68" spans="1:30" s="4" customFormat="1" ht="37.5" customHeight="1" x14ac:dyDescent="0.25">
      <c r="A68" s="406">
        <v>66</v>
      </c>
      <c r="B68" s="401">
        <v>88</v>
      </c>
      <c r="C68" s="401" t="s">
        <v>114</v>
      </c>
      <c r="D68" s="402" t="s">
        <v>494</v>
      </c>
      <c r="E68" s="403">
        <v>2013082</v>
      </c>
      <c r="F68" s="402" t="s">
        <v>56</v>
      </c>
      <c r="G68" s="404" t="s">
        <v>495</v>
      </c>
      <c r="H68" s="402" t="s">
        <v>67</v>
      </c>
      <c r="I68" s="405">
        <v>1.26</v>
      </c>
      <c r="J68" s="402" t="s">
        <v>496</v>
      </c>
      <c r="K68" s="218">
        <v>1643410.31</v>
      </c>
      <c r="L68" s="218">
        <f>ROUNDDOWN(K68*N68,2)</f>
        <v>821705.15</v>
      </c>
      <c r="M68" s="218">
        <f>K68-L68</f>
        <v>821705.16</v>
      </c>
      <c r="N68" s="260">
        <v>0.5</v>
      </c>
      <c r="O68" s="407">
        <v>0</v>
      </c>
      <c r="P68" s="303">
        <v>0</v>
      </c>
      <c r="Q68" s="303">
        <v>0</v>
      </c>
      <c r="R68" s="303">
        <v>0</v>
      </c>
      <c r="S68" s="303">
        <v>0</v>
      </c>
      <c r="T68" s="303">
        <v>0</v>
      </c>
      <c r="U68" s="303">
        <v>0</v>
      </c>
      <c r="V68" s="221">
        <f>L68</f>
        <v>821705.15</v>
      </c>
      <c r="W68" s="222">
        <v>0</v>
      </c>
      <c r="X68" s="222">
        <v>0</v>
      </c>
      <c r="Y68" s="222">
        <v>0</v>
      </c>
      <c r="Z68" s="222">
        <v>0</v>
      </c>
      <c r="AA68" s="1" t="b">
        <f t="shared" si="21"/>
        <v>1</v>
      </c>
      <c r="AB68" s="42">
        <f t="shared" si="22"/>
        <v>0.5</v>
      </c>
      <c r="AC68" s="43" t="b">
        <f t="shared" si="23"/>
        <v>1</v>
      </c>
      <c r="AD68" s="151" t="b">
        <f t="shared" si="24"/>
        <v>1</v>
      </c>
    </row>
    <row r="69" spans="1:30" s="4" customFormat="1" ht="37.5" customHeight="1" x14ac:dyDescent="0.25">
      <c r="A69" s="196">
        <v>67</v>
      </c>
      <c r="B69" s="197">
        <v>462</v>
      </c>
      <c r="C69" s="197" t="s">
        <v>114</v>
      </c>
      <c r="D69" s="344" t="s">
        <v>393</v>
      </c>
      <c r="E69" s="349">
        <v>2001072</v>
      </c>
      <c r="F69" s="344" t="s">
        <v>200</v>
      </c>
      <c r="G69" s="343" t="s">
        <v>394</v>
      </c>
      <c r="H69" s="344" t="s">
        <v>65</v>
      </c>
      <c r="I69" s="345">
        <v>1.232</v>
      </c>
      <c r="J69" s="344" t="s">
        <v>218</v>
      </c>
      <c r="K69" s="218">
        <v>986000</v>
      </c>
      <c r="L69" s="218">
        <f t="shared" si="26"/>
        <v>493000</v>
      </c>
      <c r="M69" s="218">
        <f t="shared" si="27"/>
        <v>493000</v>
      </c>
      <c r="N69" s="220">
        <v>0.5</v>
      </c>
      <c r="O69" s="350">
        <v>0</v>
      </c>
      <c r="P69" s="350">
        <v>0</v>
      </c>
      <c r="Q69" s="350">
        <v>0</v>
      </c>
      <c r="R69" s="350">
        <v>0</v>
      </c>
      <c r="S69" s="350">
        <v>0</v>
      </c>
      <c r="T69" s="350">
        <v>0</v>
      </c>
      <c r="U69" s="350">
        <v>0</v>
      </c>
      <c r="V69" s="222">
        <f t="shared" ref="V69:V73" si="29">L69</f>
        <v>493000</v>
      </c>
      <c r="W69" s="222">
        <v>0</v>
      </c>
      <c r="X69" s="222">
        <v>0</v>
      </c>
      <c r="Y69" s="222">
        <v>0</v>
      </c>
      <c r="Z69" s="222">
        <v>0</v>
      </c>
      <c r="AA69" s="1" t="b">
        <f t="shared" si="21"/>
        <v>1</v>
      </c>
      <c r="AB69" s="42">
        <f t="shared" si="22"/>
        <v>0.5</v>
      </c>
      <c r="AC69" s="43" t="b">
        <f t="shared" si="23"/>
        <v>1</v>
      </c>
      <c r="AD69" s="151" t="b">
        <f t="shared" si="24"/>
        <v>1</v>
      </c>
    </row>
    <row r="70" spans="1:30" s="4" customFormat="1" ht="37.5" customHeight="1" x14ac:dyDescent="0.25">
      <c r="A70" s="196">
        <v>68</v>
      </c>
      <c r="B70" s="197">
        <v>301</v>
      </c>
      <c r="C70" s="197" t="s">
        <v>114</v>
      </c>
      <c r="D70" s="344" t="s">
        <v>395</v>
      </c>
      <c r="E70" s="349">
        <v>2008072</v>
      </c>
      <c r="F70" s="344" t="s">
        <v>53</v>
      </c>
      <c r="G70" s="343" t="s">
        <v>396</v>
      </c>
      <c r="H70" s="344" t="s">
        <v>65</v>
      </c>
      <c r="I70" s="345">
        <v>1.2</v>
      </c>
      <c r="J70" s="344" t="s">
        <v>264</v>
      </c>
      <c r="K70" s="218">
        <v>1322330</v>
      </c>
      <c r="L70" s="218">
        <f t="shared" si="26"/>
        <v>661165</v>
      </c>
      <c r="M70" s="218">
        <f t="shared" si="27"/>
        <v>661165</v>
      </c>
      <c r="N70" s="220">
        <v>0.5</v>
      </c>
      <c r="O70" s="350">
        <v>0</v>
      </c>
      <c r="P70" s="350">
        <v>0</v>
      </c>
      <c r="Q70" s="350">
        <v>0</v>
      </c>
      <c r="R70" s="350">
        <v>0</v>
      </c>
      <c r="S70" s="350">
        <v>0</v>
      </c>
      <c r="T70" s="350">
        <v>0</v>
      </c>
      <c r="U70" s="350">
        <v>0</v>
      </c>
      <c r="V70" s="222">
        <f t="shared" si="29"/>
        <v>661165</v>
      </c>
      <c r="W70" s="222">
        <v>0</v>
      </c>
      <c r="X70" s="222">
        <v>0</v>
      </c>
      <c r="Y70" s="222">
        <v>0</v>
      </c>
      <c r="Z70" s="222">
        <v>0</v>
      </c>
      <c r="AA70" s="1" t="b">
        <f t="shared" si="21"/>
        <v>1</v>
      </c>
      <c r="AB70" s="42">
        <f t="shared" si="22"/>
        <v>0.5</v>
      </c>
      <c r="AC70" s="43" t="b">
        <f t="shared" si="23"/>
        <v>1</v>
      </c>
      <c r="AD70" s="151" t="b">
        <f t="shared" si="24"/>
        <v>1</v>
      </c>
    </row>
    <row r="71" spans="1:30" s="4" customFormat="1" ht="37.5" customHeight="1" x14ac:dyDescent="0.25">
      <c r="A71" s="196">
        <v>69</v>
      </c>
      <c r="B71" s="197">
        <v>104</v>
      </c>
      <c r="C71" s="197" t="s">
        <v>114</v>
      </c>
      <c r="D71" s="344" t="s">
        <v>208</v>
      </c>
      <c r="E71" s="349">
        <v>2005011</v>
      </c>
      <c r="F71" s="344" t="s">
        <v>201</v>
      </c>
      <c r="G71" s="343" t="s">
        <v>397</v>
      </c>
      <c r="H71" s="344" t="s">
        <v>66</v>
      </c>
      <c r="I71" s="345">
        <v>1.141</v>
      </c>
      <c r="J71" s="344" t="s">
        <v>322</v>
      </c>
      <c r="K71" s="218">
        <v>5984709.5</v>
      </c>
      <c r="L71" s="218">
        <f t="shared" si="26"/>
        <v>2992354.75</v>
      </c>
      <c r="M71" s="218">
        <f t="shared" si="27"/>
        <v>2992354.75</v>
      </c>
      <c r="N71" s="220">
        <v>0.5</v>
      </c>
      <c r="O71" s="303">
        <v>0</v>
      </c>
      <c r="P71" s="303">
        <v>0</v>
      </c>
      <c r="Q71" s="303">
        <v>0</v>
      </c>
      <c r="R71" s="303">
        <v>0</v>
      </c>
      <c r="S71" s="303">
        <v>0</v>
      </c>
      <c r="T71" s="303">
        <v>0</v>
      </c>
      <c r="U71" s="303">
        <v>0</v>
      </c>
      <c r="V71" s="221">
        <f t="shared" si="29"/>
        <v>2992354.75</v>
      </c>
      <c r="W71" s="222">
        <v>0</v>
      </c>
      <c r="X71" s="222">
        <v>0</v>
      </c>
      <c r="Y71" s="222">
        <v>0</v>
      </c>
      <c r="Z71" s="222">
        <v>0</v>
      </c>
      <c r="AA71" s="1" t="b">
        <f t="shared" si="21"/>
        <v>1</v>
      </c>
      <c r="AB71" s="42">
        <f t="shared" si="22"/>
        <v>0.5</v>
      </c>
      <c r="AC71" s="43" t="b">
        <f t="shared" si="23"/>
        <v>1</v>
      </c>
      <c r="AD71" s="151" t="b">
        <f t="shared" si="24"/>
        <v>1</v>
      </c>
    </row>
    <row r="72" spans="1:30" s="4" customFormat="1" ht="37.5" customHeight="1" x14ac:dyDescent="0.25">
      <c r="A72" s="196">
        <v>70</v>
      </c>
      <c r="B72" s="197">
        <v>11</v>
      </c>
      <c r="C72" s="197" t="s">
        <v>114</v>
      </c>
      <c r="D72" s="344" t="s">
        <v>398</v>
      </c>
      <c r="E72" s="349">
        <v>2012052</v>
      </c>
      <c r="F72" s="344" t="s">
        <v>203</v>
      </c>
      <c r="G72" s="343" t="s">
        <v>399</v>
      </c>
      <c r="H72" s="344" t="s">
        <v>65</v>
      </c>
      <c r="I72" s="345">
        <v>0.96299999999999997</v>
      </c>
      <c r="J72" s="344" t="s">
        <v>293</v>
      </c>
      <c r="K72" s="218">
        <v>1254000</v>
      </c>
      <c r="L72" s="218">
        <f t="shared" si="26"/>
        <v>627000</v>
      </c>
      <c r="M72" s="218">
        <f t="shared" si="27"/>
        <v>627000</v>
      </c>
      <c r="N72" s="220">
        <v>0.5</v>
      </c>
      <c r="O72" s="303">
        <v>0</v>
      </c>
      <c r="P72" s="303">
        <v>0</v>
      </c>
      <c r="Q72" s="303">
        <v>0</v>
      </c>
      <c r="R72" s="303">
        <v>0</v>
      </c>
      <c r="S72" s="303">
        <v>0</v>
      </c>
      <c r="T72" s="303">
        <v>0</v>
      </c>
      <c r="U72" s="303">
        <v>0</v>
      </c>
      <c r="V72" s="221">
        <f t="shared" si="29"/>
        <v>627000</v>
      </c>
      <c r="W72" s="221">
        <v>0</v>
      </c>
      <c r="X72" s="221">
        <v>0</v>
      </c>
      <c r="Y72" s="221">
        <v>0</v>
      </c>
      <c r="Z72" s="221">
        <v>0</v>
      </c>
      <c r="AA72" s="1" t="b">
        <f t="shared" si="21"/>
        <v>1</v>
      </c>
      <c r="AB72" s="42">
        <f t="shared" si="22"/>
        <v>0.5</v>
      </c>
      <c r="AC72" s="43" t="b">
        <f t="shared" si="23"/>
        <v>1</v>
      </c>
      <c r="AD72" s="151" t="b">
        <f t="shared" si="24"/>
        <v>1</v>
      </c>
    </row>
    <row r="73" spans="1:30" s="4" customFormat="1" ht="37.5" customHeight="1" x14ac:dyDescent="0.25">
      <c r="A73" s="196">
        <v>71</v>
      </c>
      <c r="B73" s="197">
        <v>231</v>
      </c>
      <c r="C73" s="197" t="s">
        <v>114</v>
      </c>
      <c r="D73" s="344" t="s">
        <v>400</v>
      </c>
      <c r="E73" s="349">
        <v>2007032</v>
      </c>
      <c r="F73" s="344" t="s">
        <v>52</v>
      </c>
      <c r="G73" s="343" t="s">
        <v>401</v>
      </c>
      <c r="H73" s="344" t="s">
        <v>65</v>
      </c>
      <c r="I73" s="345">
        <v>0.89</v>
      </c>
      <c r="J73" s="344" t="s">
        <v>212</v>
      </c>
      <c r="K73" s="218">
        <v>2000800</v>
      </c>
      <c r="L73" s="218">
        <f t="shared" si="26"/>
        <v>1000400</v>
      </c>
      <c r="M73" s="218">
        <f t="shared" si="27"/>
        <v>1000400</v>
      </c>
      <c r="N73" s="220">
        <v>0.5</v>
      </c>
      <c r="O73" s="350">
        <v>0</v>
      </c>
      <c r="P73" s="350">
        <v>0</v>
      </c>
      <c r="Q73" s="350">
        <v>0</v>
      </c>
      <c r="R73" s="350">
        <v>0</v>
      </c>
      <c r="S73" s="350">
        <v>0</v>
      </c>
      <c r="T73" s="350">
        <v>0</v>
      </c>
      <c r="U73" s="350">
        <v>0</v>
      </c>
      <c r="V73" s="221">
        <f t="shared" si="29"/>
        <v>1000400</v>
      </c>
      <c r="W73" s="221">
        <v>0</v>
      </c>
      <c r="X73" s="221">
        <v>0</v>
      </c>
      <c r="Y73" s="221">
        <v>0</v>
      </c>
      <c r="Z73" s="221">
        <v>0</v>
      </c>
      <c r="AA73" s="1" t="b">
        <f t="shared" si="21"/>
        <v>1</v>
      </c>
      <c r="AB73" s="42">
        <f t="shared" si="22"/>
        <v>0.5</v>
      </c>
      <c r="AC73" s="43" t="b">
        <f t="shared" si="23"/>
        <v>1</v>
      </c>
      <c r="AD73" s="151" t="b">
        <f t="shared" si="24"/>
        <v>1</v>
      </c>
    </row>
    <row r="74" spans="1:30" s="4" customFormat="1" ht="37.5" customHeight="1" x14ac:dyDescent="0.25">
      <c r="A74" s="198">
        <v>72</v>
      </c>
      <c r="B74" s="213">
        <v>352</v>
      </c>
      <c r="C74" s="213" t="s">
        <v>483</v>
      </c>
      <c r="D74" s="200" t="s">
        <v>402</v>
      </c>
      <c r="E74" s="346">
        <v>2008063</v>
      </c>
      <c r="F74" s="200" t="s">
        <v>53</v>
      </c>
      <c r="G74" s="347" t="s">
        <v>403</v>
      </c>
      <c r="H74" s="200" t="s">
        <v>67</v>
      </c>
      <c r="I74" s="348">
        <v>0.87</v>
      </c>
      <c r="J74" s="200" t="s">
        <v>404</v>
      </c>
      <c r="K74" s="210">
        <v>674043.19</v>
      </c>
      <c r="L74" s="210">
        <f t="shared" si="26"/>
        <v>337021.59</v>
      </c>
      <c r="M74" s="210">
        <f t="shared" si="27"/>
        <v>337021.59999999992</v>
      </c>
      <c r="N74" s="211">
        <v>0.5</v>
      </c>
      <c r="O74" s="214">
        <v>0</v>
      </c>
      <c r="P74" s="214">
        <v>0</v>
      </c>
      <c r="Q74" s="214">
        <v>0</v>
      </c>
      <c r="R74" s="214">
        <v>0</v>
      </c>
      <c r="S74" s="214">
        <v>0</v>
      </c>
      <c r="T74" s="214">
        <v>0</v>
      </c>
      <c r="U74" s="214">
        <v>0</v>
      </c>
      <c r="V74" s="205">
        <f>1000*N74</f>
        <v>500</v>
      </c>
      <c r="W74" s="205">
        <f>ROUNDDOWN(673043.19*N74,2)</f>
        <v>336521.59</v>
      </c>
      <c r="X74" s="205">
        <v>0</v>
      </c>
      <c r="Y74" s="205">
        <v>0</v>
      </c>
      <c r="Z74" s="205">
        <v>0</v>
      </c>
      <c r="AA74" s="1" t="b">
        <f t="shared" si="21"/>
        <v>1</v>
      </c>
      <c r="AB74" s="42">
        <f t="shared" si="22"/>
        <v>0.5</v>
      </c>
      <c r="AC74" s="43" t="b">
        <f t="shared" si="23"/>
        <v>1</v>
      </c>
      <c r="AD74" s="151" t="b">
        <f t="shared" si="24"/>
        <v>1</v>
      </c>
    </row>
    <row r="75" spans="1:30" s="4" customFormat="1" ht="37.5" customHeight="1" x14ac:dyDescent="0.25">
      <c r="A75" s="196">
        <v>73</v>
      </c>
      <c r="B75" s="197">
        <v>385</v>
      </c>
      <c r="C75" s="197" t="s">
        <v>114</v>
      </c>
      <c r="D75" s="344" t="s">
        <v>405</v>
      </c>
      <c r="E75" s="349">
        <v>2004053</v>
      </c>
      <c r="F75" s="344" t="s">
        <v>50</v>
      </c>
      <c r="G75" s="343" t="s">
        <v>406</v>
      </c>
      <c r="H75" s="344" t="s">
        <v>65</v>
      </c>
      <c r="I75" s="345">
        <v>0.84599999999999997</v>
      </c>
      <c r="J75" s="344" t="s">
        <v>264</v>
      </c>
      <c r="K75" s="218">
        <v>2136000</v>
      </c>
      <c r="L75" s="218">
        <f t="shared" si="26"/>
        <v>1068000</v>
      </c>
      <c r="M75" s="218">
        <f t="shared" si="27"/>
        <v>1068000</v>
      </c>
      <c r="N75" s="220">
        <v>0.5</v>
      </c>
      <c r="O75" s="350">
        <v>0</v>
      </c>
      <c r="P75" s="350">
        <v>0</v>
      </c>
      <c r="Q75" s="350">
        <v>0</v>
      </c>
      <c r="R75" s="350">
        <v>0</v>
      </c>
      <c r="S75" s="350">
        <v>0</v>
      </c>
      <c r="T75" s="350">
        <v>0</v>
      </c>
      <c r="U75" s="350">
        <v>0</v>
      </c>
      <c r="V75" s="222">
        <f>L75</f>
        <v>1068000</v>
      </c>
      <c r="W75" s="222">
        <v>0</v>
      </c>
      <c r="X75" s="222">
        <v>0</v>
      </c>
      <c r="Y75" s="222">
        <v>0</v>
      </c>
      <c r="Z75" s="222">
        <v>0</v>
      </c>
      <c r="AA75" s="1" t="b">
        <f t="shared" si="21"/>
        <v>1</v>
      </c>
      <c r="AB75" s="42">
        <f t="shared" si="22"/>
        <v>0.5</v>
      </c>
      <c r="AC75" s="43" t="b">
        <f t="shared" si="23"/>
        <v>1</v>
      </c>
      <c r="AD75" s="151" t="b">
        <f t="shared" si="24"/>
        <v>1</v>
      </c>
    </row>
    <row r="76" spans="1:30" s="4" customFormat="1" ht="37.5" customHeight="1" x14ac:dyDescent="0.25">
      <c r="A76" s="196">
        <v>74</v>
      </c>
      <c r="B76" s="197">
        <v>464</v>
      </c>
      <c r="C76" s="197" t="s">
        <v>114</v>
      </c>
      <c r="D76" s="344" t="s">
        <v>393</v>
      </c>
      <c r="E76" s="349">
        <v>2001072</v>
      </c>
      <c r="F76" s="344" t="s">
        <v>200</v>
      </c>
      <c r="G76" s="343" t="s">
        <v>407</v>
      </c>
      <c r="H76" s="344" t="s">
        <v>67</v>
      </c>
      <c r="I76" s="345">
        <v>0.73</v>
      </c>
      <c r="J76" s="344" t="s">
        <v>218</v>
      </c>
      <c r="K76" s="218">
        <v>251000</v>
      </c>
      <c r="L76" s="218">
        <f t="shared" si="26"/>
        <v>125500</v>
      </c>
      <c r="M76" s="218">
        <f t="shared" si="27"/>
        <v>125500</v>
      </c>
      <c r="N76" s="220">
        <v>0.5</v>
      </c>
      <c r="O76" s="350">
        <v>0</v>
      </c>
      <c r="P76" s="350">
        <v>0</v>
      </c>
      <c r="Q76" s="350">
        <v>0</v>
      </c>
      <c r="R76" s="350">
        <v>0</v>
      </c>
      <c r="S76" s="350">
        <v>0</v>
      </c>
      <c r="T76" s="350">
        <v>0</v>
      </c>
      <c r="U76" s="350">
        <v>0</v>
      </c>
      <c r="V76" s="222">
        <f>L76</f>
        <v>125500</v>
      </c>
      <c r="W76" s="222">
        <v>0</v>
      </c>
      <c r="X76" s="222">
        <v>0</v>
      </c>
      <c r="Y76" s="222">
        <v>0</v>
      </c>
      <c r="Z76" s="222">
        <v>0</v>
      </c>
      <c r="AA76" s="1" t="b">
        <f t="shared" si="21"/>
        <v>1</v>
      </c>
      <c r="AB76" s="42">
        <f t="shared" si="22"/>
        <v>0.5</v>
      </c>
      <c r="AC76" s="43" t="b">
        <f t="shared" si="23"/>
        <v>1</v>
      </c>
      <c r="AD76" s="151" t="b">
        <f t="shared" si="24"/>
        <v>1</v>
      </c>
    </row>
    <row r="77" spans="1:30" s="4" customFormat="1" ht="37.5" customHeight="1" x14ac:dyDescent="0.25">
      <c r="A77" s="198">
        <v>75</v>
      </c>
      <c r="B77" s="213">
        <v>151</v>
      </c>
      <c r="C77" s="213" t="s">
        <v>483</v>
      </c>
      <c r="D77" s="200" t="s">
        <v>408</v>
      </c>
      <c r="E77" s="346">
        <v>2003082</v>
      </c>
      <c r="F77" s="200" t="s">
        <v>49</v>
      </c>
      <c r="G77" s="347" t="s">
        <v>409</v>
      </c>
      <c r="H77" s="200" t="s">
        <v>65</v>
      </c>
      <c r="I77" s="348">
        <v>0.66700000000000004</v>
      </c>
      <c r="J77" s="200" t="s">
        <v>410</v>
      </c>
      <c r="K77" s="210">
        <v>1498784.44</v>
      </c>
      <c r="L77" s="210">
        <f t="shared" si="26"/>
        <v>749392.22</v>
      </c>
      <c r="M77" s="210">
        <f t="shared" si="27"/>
        <v>749392.22</v>
      </c>
      <c r="N77" s="211">
        <v>0.5</v>
      </c>
      <c r="O77" s="236">
        <v>0</v>
      </c>
      <c r="P77" s="236">
        <v>0</v>
      </c>
      <c r="Q77" s="236">
        <v>0</v>
      </c>
      <c r="R77" s="236">
        <v>0</v>
      </c>
      <c r="S77" s="236">
        <v>0</v>
      </c>
      <c r="T77" s="236">
        <v>0</v>
      </c>
      <c r="U77" s="236">
        <v>0</v>
      </c>
      <c r="V77" s="205">
        <f>200000*N77</f>
        <v>100000</v>
      </c>
      <c r="W77" s="205">
        <f>300000*N77</f>
        <v>150000</v>
      </c>
      <c r="X77" s="205">
        <f>998784.44*N77</f>
        <v>499392.22</v>
      </c>
      <c r="Y77" s="205">
        <v>0</v>
      </c>
      <c r="Z77" s="205">
        <v>0</v>
      </c>
      <c r="AA77" s="1" t="b">
        <f t="shared" si="21"/>
        <v>1</v>
      </c>
      <c r="AB77" s="42">
        <f t="shared" si="22"/>
        <v>0.5</v>
      </c>
      <c r="AC77" s="43" t="b">
        <f t="shared" si="23"/>
        <v>1</v>
      </c>
      <c r="AD77" s="151" t="b">
        <f t="shared" si="24"/>
        <v>1</v>
      </c>
    </row>
    <row r="78" spans="1:30" s="4" customFormat="1" ht="37.5" customHeight="1" x14ac:dyDescent="0.25">
      <c r="A78" s="328">
        <v>76</v>
      </c>
      <c r="B78" s="351">
        <v>247</v>
      </c>
      <c r="C78" s="351" t="s">
        <v>114</v>
      </c>
      <c r="D78" s="352" t="s">
        <v>411</v>
      </c>
      <c r="E78" s="353">
        <v>2011032</v>
      </c>
      <c r="F78" s="352" t="s">
        <v>55</v>
      </c>
      <c r="G78" s="354" t="s">
        <v>412</v>
      </c>
      <c r="H78" s="352" t="s">
        <v>65</v>
      </c>
      <c r="I78" s="355">
        <v>0.61199999999999999</v>
      </c>
      <c r="J78" s="352" t="s">
        <v>413</v>
      </c>
      <c r="K78" s="311">
        <v>912390.42</v>
      </c>
      <c r="L78" s="218">
        <f t="shared" si="26"/>
        <v>456195.21</v>
      </c>
      <c r="M78" s="218">
        <f t="shared" si="27"/>
        <v>456195.21</v>
      </c>
      <c r="N78" s="332">
        <v>0.5</v>
      </c>
      <c r="O78" s="356">
        <v>0</v>
      </c>
      <c r="P78" s="356">
        <v>0</v>
      </c>
      <c r="Q78" s="356">
        <v>0</v>
      </c>
      <c r="R78" s="356">
        <v>0</v>
      </c>
      <c r="S78" s="356">
        <v>0</v>
      </c>
      <c r="T78" s="356">
        <v>0</v>
      </c>
      <c r="U78" s="356">
        <v>0</v>
      </c>
      <c r="V78" s="302">
        <f t="shared" ref="V78:V91" si="30">L78</f>
        <v>456195.21</v>
      </c>
      <c r="W78" s="302">
        <v>0</v>
      </c>
      <c r="X78" s="302">
        <v>0</v>
      </c>
      <c r="Y78" s="302">
        <v>0</v>
      </c>
      <c r="Z78" s="302">
        <v>0</v>
      </c>
      <c r="AA78" s="1" t="b">
        <f t="shared" si="21"/>
        <v>1</v>
      </c>
      <c r="AB78" s="42">
        <f t="shared" si="22"/>
        <v>0.5</v>
      </c>
      <c r="AC78" s="43" t="b">
        <f t="shared" si="23"/>
        <v>1</v>
      </c>
      <c r="AD78" s="151" t="b">
        <f t="shared" si="24"/>
        <v>1</v>
      </c>
    </row>
    <row r="79" spans="1:30" s="4" customFormat="1" ht="37.5" customHeight="1" x14ac:dyDescent="0.25">
      <c r="A79" s="196">
        <v>77</v>
      </c>
      <c r="B79" s="197">
        <v>393</v>
      </c>
      <c r="C79" s="197" t="s">
        <v>114</v>
      </c>
      <c r="D79" s="344" t="s">
        <v>414</v>
      </c>
      <c r="E79" s="349">
        <v>2011043</v>
      </c>
      <c r="F79" s="344" t="s">
        <v>55</v>
      </c>
      <c r="G79" s="343" t="s">
        <v>415</v>
      </c>
      <c r="H79" s="344" t="s">
        <v>65</v>
      </c>
      <c r="I79" s="345">
        <v>0.6</v>
      </c>
      <c r="J79" s="344" t="s">
        <v>235</v>
      </c>
      <c r="K79" s="218">
        <v>1030300</v>
      </c>
      <c r="L79" s="218">
        <f t="shared" si="26"/>
        <v>515150</v>
      </c>
      <c r="M79" s="218">
        <f t="shared" si="27"/>
        <v>515150</v>
      </c>
      <c r="N79" s="220">
        <v>0.5</v>
      </c>
      <c r="O79" s="350">
        <v>0</v>
      </c>
      <c r="P79" s="350">
        <v>0</v>
      </c>
      <c r="Q79" s="350">
        <v>0</v>
      </c>
      <c r="R79" s="350">
        <v>0</v>
      </c>
      <c r="S79" s="350">
        <v>0</v>
      </c>
      <c r="T79" s="350">
        <v>0</v>
      </c>
      <c r="U79" s="350">
        <v>0</v>
      </c>
      <c r="V79" s="222">
        <f t="shared" si="30"/>
        <v>515150</v>
      </c>
      <c r="W79" s="222">
        <v>0</v>
      </c>
      <c r="X79" s="222">
        <v>0</v>
      </c>
      <c r="Y79" s="222">
        <v>0</v>
      </c>
      <c r="Z79" s="222">
        <v>0</v>
      </c>
      <c r="AA79" s="1" t="b">
        <f t="shared" si="21"/>
        <v>1</v>
      </c>
      <c r="AB79" s="42">
        <f t="shared" si="22"/>
        <v>0.5</v>
      </c>
      <c r="AC79" s="43" t="b">
        <f t="shared" si="23"/>
        <v>1</v>
      </c>
      <c r="AD79" s="151" t="b">
        <f t="shared" si="24"/>
        <v>1</v>
      </c>
    </row>
    <row r="80" spans="1:30" s="4" customFormat="1" ht="37.5" customHeight="1" x14ac:dyDescent="0.25">
      <c r="A80" s="196">
        <v>78</v>
      </c>
      <c r="B80" s="197">
        <v>55</v>
      </c>
      <c r="C80" s="197" t="s">
        <v>114</v>
      </c>
      <c r="D80" s="344" t="s">
        <v>332</v>
      </c>
      <c r="E80" s="349">
        <v>2002013</v>
      </c>
      <c r="F80" s="344" t="s">
        <v>48</v>
      </c>
      <c r="G80" s="343" t="s">
        <v>416</v>
      </c>
      <c r="H80" s="344" t="s">
        <v>65</v>
      </c>
      <c r="I80" s="345">
        <v>0.38700000000000001</v>
      </c>
      <c r="J80" s="344" t="s">
        <v>417</v>
      </c>
      <c r="K80" s="218">
        <v>3406305</v>
      </c>
      <c r="L80" s="218">
        <f t="shared" si="26"/>
        <v>1703152.5</v>
      </c>
      <c r="M80" s="218">
        <f t="shared" si="27"/>
        <v>1703152.5</v>
      </c>
      <c r="N80" s="220">
        <v>0.5</v>
      </c>
      <c r="O80" s="303">
        <v>0</v>
      </c>
      <c r="P80" s="303">
        <v>0</v>
      </c>
      <c r="Q80" s="303">
        <v>0</v>
      </c>
      <c r="R80" s="303">
        <v>0</v>
      </c>
      <c r="S80" s="303">
        <v>0</v>
      </c>
      <c r="T80" s="303">
        <v>0</v>
      </c>
      <c r="U80" s="303">
        <v>0</v>
      </c>
      <c r="V80" s="221">
        <f t="shared" si="30"/>
        <v>1703152.5</v>
      </c>
      <c r="W80" s="222">
        <v>0</v>
      </c>
      <c r="X80" s="222">
        <v>0</v>
      </c>
      <c r="Y80" s="222">
        <v>0</v>
      </c>
      <c r="Z80" s="222">
        <v>0</v>
      </c>
      <c r="AA80" s="1" t="b">
        <f t="shared" si="21"/>
        <v>1</v>
      </c>
      <c r="AB80" s="42">
        <f t="shared" si="22"/>
        <v>0.5</v>
      </c>
      <c r="AC80" s="43" t="b">
        <f t="shared" si="23"/>
        <v>1</v>
      </c>
      <c r="AD80" s="151" t="b">
        <f t="shared" si="24"/>
        <v>1</v>
      </c>
    </row>
    <row r="81" spans="1:30" s="4" customFormat="1" ht="37.5" customHeight="1" x14ac:dyDescent="0.25">
      <c r="A81" s="196">
        <v>79</v>
      </c>
      <c r="B81" s="197">
        <v>345</v>
      </c>
      <c r="C81" s="197" t="s">
        <v>114</v>
      </c>
      <c r="D81" s="344" t="s">
        <v>418</v>
      </c>
      <c r="E81" s="349">
        <v>2006062</v>
      </c>
      <c r="F81" s="344" t="s">
        <v>51</v>
      </c>
      <c r="G81" s="343" t="s">
        <v>419</v>
      </c>
      <c r="H81" s="344" t="s">
        <v>65</v>
      </c>
      <c r="I81" s="345">
        <v>0.37</v>
      </c>
      <c r="J81" s="344" t="s">
        <v>327</v>
      </c>
      <c r="K81" s="218">
        <v>378000</v>
      </c>
      <c r="L81" s="218">
        <f t="shared" si="26"/>
        <v>189000</v>
      </c>
      <c r="M81" s="218">
        <f t="shared" si="27"/>
        <v>189000</v>
      </c>
      <c r="N81" s="220">
        <v>0.5</v>
      </c>
      <c r="O81" s="350">
        <v>0</v>
      </c>
      <c r="P81" s="350">
        <v>0</v>
      </c>
      <c r="Q81" s="350">
        <v>0</v>
      </c>
      <c r="R81" s="350">
        <v>0</v>
      </c>
      <c r="S81" s="350">
        <v>0</v>
      </c>
      <c r="T81" s="350">
        <v>0</v>
      </c>
      <c r="U81" s="350">
        <v>0</v>
      </c>
      <c r="V81" s="222">
        <f t="shared" si="30"/>
        <v>189000</v>
      </c>
      <c r="W81" s="222">
        <v>0</v>
      </c>
      <c r="X81" s="222">
        <v>0</v>
      </c>
      <c r="Y81" s="222">
        <v>0</v>
      </c>
      <c r="Z81" s="222">
        <v>0</v>
      </c>
      <c r="AA81" s="1" t="b">
        <f t="shared" si="21"/>
        <v>1</v>
      </c>
      <c r="AB81" s="42">
        <f t="shared" si="22"/>
        <v>0.5</v>
      </c>
      <c r="AC81" s="43" t="b">
        <f t="shared" si="23"/>
        <v>1</v>
      </c>
      <c r="AD81" s="151" t="b">
        <f t="shared" si="24"/>
        <v>1</v>
      </c>
    </row>
    <row r="82" spans="1:30" s="4" customFormat="1" ht="37.5" customHeight="1" x14ac:dyDescent="0.25">
      <c r="A82" s="196">
        <v>80</v>
      </c>
      <c r="B82" s="197">
        <v>236</v>
      </c>
      <c r="C82" s="197" t="s">
        <v>114</v>
      </c>
      <c r="D82" s="344" t="s">
        <v>60</v>
      </c>
      <c r="E82" s="349">
        <v>2010011</v>
      </c>
      <c r="F82" s="344" t="s">
        <v>54</v>
      </c>
      <c r="G82" s="343" t="s">
        <v>420</v>
      </c>
      <c r="H82" s="344" t="s">
        <v>67</v>
      </c>
      <c r="I82" s="345">
        <v>0.32200000000000001</v>
      </c>
      <c r="J82" s="344" t="s">
        <v>233</v>
      </c>
      <c r="K82" s="218">
        <v>334120.48</v>
      </c>
      <c r="L82" s="218">
        <f t="shared" si="26"/>
        <v>167060.24</v>
      </c>
      <c r="M82" s="218">
        <f t="shared" si="27"/>
        <v>167060.24</v>
      </c>
      <c r="N82" s="220">
        <v>0.5</v>
      </c>
      <c r="O82" s="350">
        <v>0</v>
      </c>
      <c r="P82" s="350">
        <v>0</v>
      </c>
      <c r="Q82" s="350">
        <v>0</v>
      </c>
      <c r="R82" s="350">
        <v>0</v>
      </c>
      <c r="S82" s="350">
        <v>0</v>
      </c>
      <c r="T82" s="350">
        <v>0</v>
      </c>
      <c r="U82" s="350">
        <v>0</v>
      </c>
      <c r="V82" s="221">
        <f t="shared" si="30"/>
        <v>167060.24</v>
      </c>
      <c r="W82" s="222">
        <v>0</v>
      </c>
      <c r="X82" s="222">
        <v>0</v>
      </c>
      <c r="Y82" s="222">
        <v>0</v>
      </c>
      <c r="Z82" s="222">
        <v>0</v>
      </c>
      <c r="AA82" s="1" t="b">
        <f t="shared" si="21"/>
        <v>1</v>
      </c>
      <c r="AB82" s="42">
        <f t="shared" si="22"/>
        <v>0.5</v>
      </c>
      <c r="AC82" s="43" t="b">
        <f t="shared" si="23"/>
        <v>1</v>
      </c>
      <c r="AD82" s="151" t="b">
        <f t="shared" si="24"/>
        <v>1</v>
      </c>
    </row>
    <row r="83" spans="1:30" s="4" customFormat="1" ht="37.5" customHeight="1" x14ac:dyDescent="0.25">
      <c r="A83" s="322">
        <v>81</v>
      </c>
      <c r="B83" s="357">
        <v>230</v>
      </c>
      <c r="C83" s="357" t="s">
        <v>114</v>
      </c>
      <c r="D83" s="358" t="s">
        <v>421</v>
      </c>
      <c r="E83" s="359">
        <v>2002063</v>
      </c>
      <c r="F83" s="358" t="s">
        <v>48</v>
      </c>
      <c r="G83" s="360" t="s">
        <v>422</v>
      </c>
      <c r="H83" s="358" t="s">
        <v>66</v>
      </c>
      <c r="I83" s="361">
        <v>0.3</v>
      </c>
      <c r="J83" s="358" t="s">
        <v>233</v>
      </c>
      <c r="K83" s="326">
        <v>2590700</v>
      </c>
      <c r="L83" s="311">
        <f t="shared" si="26"/>
        <v>1295350</v>
      </c>
      <c r="M83" s="311">
        <f t="shared" si="27"/>
        <v>1295350</v>
      </c>
      <c r="N83" s="327">
        <v>0.5</v>
      </c>
      <c r="O83" s="362">
        <v>0</v>
      </c>
      <c r="P83" s="362">
        <v>0</v>
      </c>
      <c r="Q83" s="362">
        <v>0</v>
      </c>
      <c r="R83" s="362">
        <v>0</v>
      </c>
      <c r="S83" s="362">
        <v>0</v>
      </c>
      <c r="T83" s="362">
        <v>0</v>
      </c>
      <c r="U83" s="362">
        <v>0</v>
      </c>
      <c r="V83" s="363">
        <f t="shared" si="30"/>
        <v>1295350</v>
      </c>
      <c r="W83" s="364">
        <v>0</v>
      </c>
      <c r="X83" s="364">
        <v>0</v>
      </c>
      <c r="Y83" s="364">
        <v>0</v>
      </c>
      <c r="Z83" s="364">
        <v>0</v>
      </c>
      <c r="AA83" s="1" t="b">
        <f t="shared" si="21"/>
        <v>1</v>
      </c>
      <c r="AB83" s="42">
        <f t="shared" si="22"/>
        <v>0.5</v>
      </c>
      <c r="AC83" s="43" t="b">
        <f t="shared" si="23"/>
        <v>1</v>
      </c>
      <c r="AD83" s="151" t="b">
        <f t="shared" si="24"/>
        <v>1</v>
      </c>
    </row>
    <row r="84" spans="1:30" s="425" customFormat="1" ht="37.5" customHeight="1" x14ac:dyDescent="0.25">
      <c r="A84" s="421">
        <v>82</v>
      </c>
      <c r="B84" s="401">
        <v>363</v>
      </c>
      <c r="C84" s="401" t="s">
        <v>114</v>
      </c>
      <c r="D84" s="402" t="s">
        <v>379</v>
      </c>
      <c r="E84" s="403">
        <v>2014032</v>
      </c>
      <c r="F84" s="402" t="s">
        <v>57</v>
      </c>
      <c r="G84" s="404" t="s">
        <v>443</v>
      </c>
      <c r="H84" s="402" t="s">
        <v>66</v>
      </c>
      <c r="I84" s="405">
        <v>3.36</v>
      </c>
      <c r="J84" s="402" t="s">
        <v>255</v>
      </c>
      <c r="K84" s="412">
        <v>8650278.3699999992</v>
      </c>
      <c r="L84" s="412">
        <f t="shared" si="26"/>
        <v>4325139.18</v>
      </c>
      <c r="M84" s="412">
        <f t="shared" si="27"/>
        <v>4325139.1899999995</v>
      </c>
      <c r="N84" s="422">
        <v>0.5</v>
      </c>
      <c r="O84" s="423">
        <v>0</v>
      </c>
      <c r="P84" s="423">
        <v>0</v>
      </c>
      <c r="Q84" s="423">
        <v>0</v>
      </c>
      <c r="R84" s="423">
        <v>0</v>
      </c>
      <c r="S84" s="423">
        <v>0</v>
      </c>
      <c r="T84" s="423">
        <v>0</v>
      </c>
      <c r="U84" s="423">
        <v>0</v>
      </c>
      <c r="V84" s="417">
        <f t="shared" si="30"/>
        <v>4325139.18</v>
      </c>
      <c r="W84" s="417">
        <v>0</v>
      </c>
      <c r="X84" s="417">
        <v>0</v>
      </c>
      <c r="Y84" s="417">
        <v>0</v>
      </c>
      <c r="Z84" s="417">
        <v>0</v>
      </c>
      <c r="AA84" s="418" t="b">
        <f t="shared" ref="AA84:AA90" si="31">L84=SUM(O84:Z84)</f>
        <v>1</v>
      </c>
      <c r="AB84" s="42">
        <f t="shared" ref="AB84:AB90" si="32">ROUND(L84/K84,4)</f>
        <v>0.5</v>
      </c>
      <c r="AC84" s="419" t="b">
        <f t="shared" ref="AC84:AC90" si="33">AB84=N84</f>
        <v>1</v>
      </c>
      <c r="AD84" s="424" t="b">
        <f t="shared" ref="AD84:AD90" si="34">K84=L84+M84</f>
        <v>1</v>
      </c>
    </row>
    <row r="85" spans="1:30" s="425" customFormat="1" ht="37.5" customHeight="1" x14ac:dyDescent="0.25">
      <c r="A85" s="421">
        <v>83</v>
      </c>
      <c r="B85" s="401">
        <v>467</v>
      </c>
      <c r="C85" s="401" t="s">
        <v>114</v>
      </c>
      <c r="D85" s="402" t="s">
        <v>375</v>
      </c>
      <c r="E85" s="403">
        <v>2002042</v>
      </c>
      <c r="F85" s="402" t="s">
        <v>48</v>
      </c>
      <c r="G85" s="404" t="s">
        <v>431</v>
      </c>
      <c r="H85" s="402" t="s">
        <v>65</v>
      </c>
      <c r="I85" s="405">
        <v>0.65600000000000003</v>
      </c>
      <c r="J85" s="402" t="s">
        <v>322</v>
      </c>
      <c r="K85" s="412">
        <v>1464041.21</v>
      </c>
      <c r="L85" s="426">
        <f t="shared" si="26"/>
        <v>732020.6</v>
      </c>
      <c r="M85" s="413">
        <f t="shared" si="27"/>
        <v>732020.61</v>
      </c>
      <c r="N85" s="422">
        <v>0.5</v>
      </c>
      <c r="O85" s="423">
        <v>0</v>
      </c>
      <c r="P85" s="423">
        <v>0</v>
      </c>
      <c r="Q85" s="423">
        <v>0</v>
      </c>
      <c r="R85" s="423">
        <v>0</v>
      </c>
      <c r="S85" s="423">
        <v>0</v>
      </c>
      <c r="T85" s="423">
        <v>0</v>
      </c>
      <c r="U85" s="423">
        <v>0</v>
      </c>
      <c r="V85" s="417">
        <f t="shared" si="30"/>
        <v>732020.6</v>
      </c>
      <c r="W85" s="417">
        <v>0</v>
      </c>
      <c r="X85" s="417">
        <v>0</v>
      </c>
      <c r="Y85" s="417">
        <v>0</v>
      </c>
      <c r="Z85" s="417">
        <v>0</v>
      </c>
      <c r="AA85" s="418" t="b">
        <f t="shared" si="31"/>
        <v>1</v>
      </c>
      <c r="AB85" s="42">
        <f t="shared" si="32"/>
        <v>0.5</v>
      </c>
      <c r="AC85" s="419" t="b">
        <f t="shared" si="33"/>
        <v>1</v>
      </c>
      <c r="AD85" s="424" t="b">
        <f t="shared" si="34"/>
        <v>1</v>
      </c>
    </row>
    <row r="86" spans="1:30" s="425" customFormat="1" ht="37.5" customHeight="1" x14ac:dyDescent="0.25">
      <c r="A86" s="421">
        <v>84</v>
      </c>
      <c r="B86" s="401">
        <v>382</v>
      </c>
      <c r="C86" s="401" t="s">
        <v>114</v>
      </c>
      <c r="D86" s="402" t="s">
        <v>432</v>
      </c>
      <c r="E86" s="403">
        <v>2004032</v>
      </c>
      <c r="F86" s="402" t="s">
        <v>50</v>
      </c>
      <c r="G86" s="404" t="s">
        <v>433</v>
      </c>
      <c r="H86" s="402" t="s">
        <v>65</v>
      </c>
      <c r="I86" s="405">
        <v>0.371</v>
      </c>
      <c r="J86" s="402" t="s">
        <v>226</v>
      </c>
      <c r="K86" s="412">
        <v>951500</v>
      </c>
      <c r="L86" s="426">
        <f t="shared" si="26"/>
        <v>475750</v>
      </c>
      <c r="M86" s="413">
        <f t="shared" si="27"/>
        <v>475750</v>
      </c>
      <c r="N86" s="422">
        <v>0.5</v>
      </c>
      <c r="O86" s="423">
        <v>0</v>
      </c>
      <c r="P86" s="423">
        <v>0</v>
      </c>
      <c r="Q86" s="423">
        <v>0</v>
      </c>
      <c r="R86" s="423">
        <v>0</v>
      </c>
      <c r="S86" s="423">
        <v>0</v>
      </c>
      <c r="T86" s="423">
        <v>0</v>
      </c>
      <c r="U86" s="423">
        <v>0</v>
      </c>
      <c r="V86" s="417">
        <f t="shared" si="30"/>
        <v>475750</v>
      </c>
      <c r="W86" s="417">
        <v>0</v>
      </c>
      <c r="X86" s="417">
        <v>0</v>
      </c>
      <c r="Y86" s="417">
        <v>0</v>
      </c>
      <c r="Z86" s="417">
        <v>0</v>
      </c>
      <c r="AA86" s="418" t="b">
        <f t="shared" si="31"/>
        <v>1</v>
      </c>
      <c r="AB86" s="42">
        <f t="shared" si="32"/>
        <v>0.5</v>
      </c>
      <c r="AC86" s="419" t="b">
        <f t="shared" si="33"/>
        <v>1</v>
      </c>
      <c r="AD86" s="424" t="b">
        <f t="shared" si="34"/>
        <v>1</v>
      </c>
    </row>
    <row r="87" spans="1:30" s="425" customFormat="1" ht="37.5" customHeight="1" x14ac:dyDescent="0.25">
      <c r="A87" s="427">
        <v>85</v>
      </c>
      <c r="B87" s="401">
        <v>91</v>
      </c>
      <c r="C87" s="401" t="s">
        <v>114</v>
      </c>
      <c r="D87" s="402" t="s">
        <v>207</v>
      </c>
      <c r="E87" s="403">
        <v>2004011</v>
      </c>
      <c r="F87" s="402" t="s">
        <v>50</v>
      </c>
      <c r="G87" s="404" t="s">
        <v>434</v>
      </c>
      <c r="H87" s="402" t="s">
        <v>65</v>
      </c>
      <c r="I87" s="405">
        <v>0.32400000000000001</v>
      </c>
      <c r="J87" s="402" t="s">
        <v>233</v>
      </c>
      <c r="K87" s="412">
        <v>1481230</v>
      </c>
      <c r="L87" s="426">
        <f t="shared" si="26"/>
        <v>740615</v>
      </c>
      <c r="M87" s="413">
        <f t="shared" si="27"/>
        <v>740615</v>
      </c>
      <c r="N87" s="422">
        <v>0.5</v>
      </c>
      <c r="O87" s="428">
        <v>0</v>
      </c>
      <c r="P87" s="428">
        <v>0</v>
      </c>
      <c r="Q87" s="428">
        <v>0</v>
      </c>
      <c r="R87" s="428">
        <v>0</v>
      </c>
      <c r="S87" s="428">
        <v>0</v>
      </c>
      <c r="T87" s="428">
        <v>0</v>
      </c>
      <c r="U87" s="428">
        <v>0</v>
      </c>
      <c r="V87" s="417">
        <f t="shared" si="30"/>
        <v>740615</v>
      </c>
      <c r="W87" s="417">
        <v>0</v>
      </c>
      <c r="X87" s="417">
        <v>0</v>
      </c>
      <c r="Y87" s="417">
        <v>0</v>
      </c>
      <c r="Z87" s="417">
        <v>0</v>
      </c>
      <c r="AA87" s="418" t="b">
        <f t="shared" si="31"/>
        <v>1</v>
      </c>
      <c r="AB87" s="42">
        <f t="shared" si="32"/>
        <v>0.5</v>
      </c>
      <c r="AC87" s="419" t="b">
        <f t="shared" si="33"/>
        <v>1</v>
      </c>
      <c r="AD87" s="424" t="b">
        <f t="shared" si="34"/>
        <v>1</v>
      </c>
    </row>
    <row r="88" spans="1:30" s="425" customFormat="1" ht="37.5" customHeight="1" x14ac:dyDescent="0.25">
      <c r="A88" s="421">
        <v>86</v>
      </c>
      <c r="B88" s="401">
        <v>43</v>
      </c>
      <c r="C88" s="401" t="s">
        <v>114</v>
      </c>
      <c r="D88" s="402" t="s">
        <v>438</v>
      </c>
      <c r="E88" s="403">
        <v>2010072</v>
      </c>
      <c r="F88" s="402" t="s">
        <v>54</v>
      </c>
      <c r="G88" s="404" t="s">
        <v>439</v>
      </c>
      <c r="H88" s="402" t="s">
        <v>65</v>
      </c>
      <c r="I88" s="405">
        <v>0.47</v>
      </c>
      <c r="J88" s="402" t="s">
        <v>325</v>
      </c>
      <c r="K88" s="412">
        <v>1348481.09</v>
      </c>
      <c r="L88" s="426">
        <f t="shared" si="26"/>
        <v>674240.54</v>
      </c>
      <c r="M88" s="413">
        <f t="shared" si="27"/>
        <v>674240.55</v>
      </c>
      <c r="N88" s="422">
        <v>0.5</v>
      </c>
      <c r="O88" s="428">
        <v>0</v>
      </c>
      <c r="P88" s="428">
        <v>0</v>
      </c>
      <c r="Q88" s="428">
        <v>0</v>
      </c>
      <c r="R88" s="428">
        <v>0</v>
      </c>
      <c r="S88" s="428">
        <v>0</v>
      </c>
      <c r="T88" s="428">
        <v>0</v>
      </c>
      <c r="U88" s="428">
        <v>0</v>
      </c>
      <c r="V88" s="429">
        <f t="shared" si="30"/>
        <v>674240.54</v>
      </c>
      <c r="W88" s="417">
        <v>0</v>
      </c>
      <c r="X88" s="417">
        <v>0</v>
      </c>
      <c r="Y88" s="417">
        <v>0</v>
      </c>
      <c r="Z88" s="417">
        <v>0</v>
      </c>
      <c r="AA88" s="418" t="b">
        <f t="shared" si="31"/>
        <v>1</v>
      </c>
      <c r="AB88" s="42">
        <f t="shared" si="32"/>
        <v>0.5</v>
      </c>
      <c r="AC88" s="419" t="b">
        <f t="shared" si="33"/>
        <v>1</v>
      </c>
      <c r="AD88" s="424" t="b">
        <f t="shared" si="34"/>
        <v>1</v>
      </c>
    </row>
    <row r="89" spans="1:30" s="425" customFormat="1" ht="37.5" customHeight="1" x14ac:dyDescent="0.25">
      <c r="A89" s="421">
        <v>87</v>
      </c>
      <c r="B89" s="401">
        <v>283</v>
      </c>
      <c r="C89" s="401" t="s">
        <v>114</v>
      </c>
      <c r="D89" s="402" t="s">
        <v>206</v>
      </c>
      <c r="E89" s="403">
        <v>2003021</v>
      </c>
      <c r="F89" s="402" t="s">
        <v>49</v>
      </c>
      <c r="G89" s="404" t="s">
        <v>453</v>
      </c>
      <c r="H89" s="402" t="s">
        <v>66</v>
      </c>
      <c r="I89" s="405">
        <v>0.47899999999999998</v>
      </c>
      <c r="J89" s="402" t="s">
        <v>337</v>
      </c>
      <c r="K89" s="412">
        <v>2003000</v>
      </c>
      <c r="L89" s="426">
        <f t="shared" si="26"/>
        <v>1001500</v>
      </c>
      <c r="M89" s="413">
        <f t="shared" si="27"/>
        <v>1001500</v>
      </c>
      <c r="N89" s="422">
        <v>0.5</v>
      </c>
      <c r="O89" s="423">
        <v>0</v>
      </c>
      <c r="P89" s="423">
        <v>0</v>
      </c>
      <c r="Q89" s="423">
        <v>0</v>
      </c>
      <c r="R89" s="423">
        <v>0</v>
      </c>
      <c r="S89" s="423">
        <v>0</v>
      </c>
      <c r="T89" s="423">
        <v>0</v>
      </c>
      <c r="U89" s="423">
        <v>0</v>
      </c>
      <c r="V89" s="429">
        <f t="shared" si="30"/>
        <v>1001500</v>
      </c>
      <c r="W89" s="417">
        <v>0</v>
      </c>
      <c r="X89" s="417">
        <v>0</v>
      </c>
      <c r="Y89" s="417">
        <v>0</v>
      </c>
      <c r="Z89" s="417">
        <v>0</v>
      </c>
      <c r="AA89" s="418" t="b">
        <f t="shared" si="31"/>
        <v>1</v>
      </c>
      <c r="AB89" s="42">
        <f t="shared" si="32"/>
        <v>0.5</v>
      </c>
      <c r="AC89" s="419" t="b">
        <f t="shared" si="33"/>
        <v>1</v>
      </c>
      <c r="AD89" s="424" t="b">
        <f t="shared" si="34"/>
        <v>1</v>
      </c>
    </row>
    <row r="90" spans="1:30" s="425" customFormat="1" ht="37.5" customHeight="1" x14ac:dyDescent="0.25">
      <c r="A90" s="421">
        <v>88</v>
      </c>
      <c r="B90" s="401">
        <v>200</v>
      </c>
      <c r="C90" s="401" t="s">
        <v>114</v>
      </c>
      <c r="D90" s="402" t="s">
        <v>476</v>
      </c>
      <c r="E90" s="403">
        <v>2007072</v>
      </c>
      <c r="F90" s="402" t="s">
        <v>52</v>
      </c>
      <c r="G90" s="404" t="s">
        <v>477</v>
      </c>
      <c r="H90" s="402" t="s">
        <v>67</v>
      </c>
      <c r="I90" s="405">
        <v>0.55300000000000005</v>
      </c>
      <c r="J90" s="402" t="s">
        <v>233</v>
      </c>
      <c r="K90" s="412">
        <v>640357.06000000006</v>
      </c>
      <c r="L90" s="426">
        <f t="shared" si="26"/>
        <v>320178.53000000003</v>
      </c>
      <c r="M90" s="413">
        <f t="shared" si="27"/>
        <v>320178.53000000003</v>
      </c>
      <c r="N90" s="422">
        <v>0.5</v>
      </c>
      <c r="O90" s="423">
        <v>0</v>
      </c>
      <c r="P90" s="423">
        <v>0</v>
      </c>
      <c r="Q90" s="423">
        <v>0</v>
      </c>
      <c r="R90" s="423">
        <v>0</v>
      </c>
      <c r="S90" s="423">
        <v>0</v>
      </c>
      <c r="T90" s="423">
        <v>0</v>
      </c>
      <c r="U90" s="423">
        <v>0</v>
      </c>
      <c r="V90" s="429">
        <f t="shared" si="30"/>
        <v>320178.53000000003</v>
      </c>
      <c r="W90" s="417">
        <v>0</v>
      </c>
      <c r="X90" s="429">
        <v>0</v>
      </c>
      <c r="Y90" s="429">
        <v>0</v>
      </c>
      <c r="Z90" s="429">
        <v>0</v>
      </c>
      <c r="AA90" s="418" t="b">
        <f t="shared" si="31"/>
        <v>1</v>
      </c>
      <c r="AB90" s="42">
        <f t="shared" si="32"/>
        <v>0.5</v>
      </c>
      <c r="AC90" s="419" t="b">
        <f t="shared" si="33"/>
        <v>1</v>
      </c>
      <c r="AD90" s="424" t="b">
        <f t="shared" si="34"/>
        <v>1</v>
      </c>
    </row>
    <row r="91" spans="1:30" s="4" customFormat="1" ht="37.5" customHeight="1" x14ac:dyDescent="0.25">
      <c r="A91" s="196" t="s">
        <v>499</v>
      </c>
      <c r="B91" s="197">
        <v>51</v>
      </c>
      <c r="C91" s="197" t="s">
        <v>114</v>
      </c>
      <c r="D91" s="344" t="s">
        <v>423</v>
      </c>
      <c r="E91" s="349">
        <v>2014042</v>
      </c>
      <c r="F91" s="344" t="s">
        <v>57</v>
      </c>
      <c r="G91" s="343" t="s">
        <v>424</v>
      </c>
      <c r="H91" s="344" t="s">
        <v>65</v>
      </c>
      <c r="I91" s="345">
        <v>2.4950000000000001</v>
      </c>
      <c r="J91" s="344" t="s">
        <v>293</v>
      </c>
      <c r="K91" s="218">
        <v>3500590.4</v>
      </c>
      <c r="L91" s="369">
        <v>1397247.699999992</v>
      </c>
      <c r="M91" s="218">
        <f t="shared" si="27"/>
        <v>2103342.7000000076</v>
      </c>
      <c r="N91" s="220">
        <v>0.5</v>
      </c>
      <c r="O91" s="303">
        <v>0</v>
      </c>
      <c r="P91" s="303">
        <v>0</v>
      </c>
      <c r="Q91" s="303">
        <v>0</v>
      </c>
      <c r="R91" s="303">
        <v>0</v>
      </c>
      <c r="S91" s="303">
        <v>0</v>
      </c>
      <c r="T91" s="303">
        <v>0</v>
      </c>
      <c r="U91" s="303">
        <v>0</v>
      </c>
      <c r="V91" s="408">
        <f t="shared" si="30"/>
        <v>1397247.699999992</v>
      </c>
      <c r="W91" s="222">
        <v>0</v>
      </c>
      <c r="X91" s="222">
        <v>0</v>
      </c>
      <c r="Y91" s="222">
        <v>0</v>
      </c>
      <c r="Z91" s="222">
        <v>0</v>
      </c>
      <c r="AA91" s="1" t="b">
        <f t="shared" si="21"/>
        <v>1</v>
      </c>
      <c r="AB91" s="42">
        <f t="shared" si="22"/>
        <v>0.39910000000000001</v>
      </c>
      <c r="AC91" s="43" t="b">
        <f t="shared" si="23"/>
        <v>0</v>
      </c>
      <c r="AD91" s="151" t="b">
        <f t="shared" si="24"/>
        <v>1</v>
      </c>
    </row>
    <row r="92" spans="1:30" ht="20.100000000000001" customHeight="1" x14ac:dyDescent="0.25">
      <c r="A92" s="471" t="s">
        <v>44</v>
      </c>
      <c r="B92" s="472"/>
      <c r="C92" s="472"/>
      <c r="D92" s="472"/>
      <c r="E92" s="472"/>
      <c r="F92" s="472"/>
      <c r="G92" s="472"/>
      <c r="H92" s="473"/>
      <c r="I92" s="157">
        <f>SUM(I3:I91)</f>
        <v>101.93750000000001</v>
      </c>
      <c r="J92" s="158" t="s">
        <v>14</v>
      </c>
      <c r="K92" s="159">
        <f>SUM(K3:K91)</f>
        <v>341702671.58000004</v>
      </c>
      <c r="L92" s="160">
        <f>SUM(L3:L91)</f>
        <v>174789011.21800005</v>
      </c>
      <c r="M92" s="160">
        <f>SUM(M3:M91)</f>
        <v>166913660.36200002</v>
      </c>
      <c r="N92" s="161" t="s">
        <v>14</v>
      </c>
      <c r="O92" s="160">
        <f t="shared" ref="O92:Z92" si="35">SUM(O3:O91)</f>
        <v>0</v>
      </c>
      <c r="P92" s="160">
        <f t="shared" si="35"/>
        <v>0</v>
      </c>
      <c r="Q92" s="162">
        <f t="shared" si="35"/>
        <v>0</v>
      </c>
      <c r="R92" s="162">
        <f t="shared" si="35"/>
        <v>0</v>
      </c>
      <c r="S92" s="162">
        <f t="shared" si="35"/>
        <v>0</v>
      </c>
      <c r="T92" s="162">
        <f t="shared" si="35"/>
        <v>8712391.3900000006</v>
      </c>
      <c r="U92" s="162">
        <f t="shared" si="35"/>
        <v>23807782.248000003</v>
      </c>
      <c r="V92" s="162">
        <f t="shared" si="35"/>
        <v>102024377.00500001</v>
      </c>
      <c r="W92" s="162">
        <f t="shared" si="35"/>
        <v>36645068.355000004</v>
      </c>
      <c r="X92" s="162">
        <f t="shared" si="35"/>
        <v>3599392.2199999997</v>
      </c>
      <c r="Y92" s="162">
        <f t="shared" si="35"/>
        <v>0</v>
      </c>
      <c r="Z92" s="162">
        <f t="shared" si="35"/>
        <v>0</v>
      </c>
      <c r="AA92" s="1" t="b">
        <f t="shared" si="16"/>
        <v>1</v>
      </c>
      <c r="AB92" s="42">
        <f t="shared" si="3"/>
        <v>0.51149999999999995</v>
      </c>
      <c r="AC92" s="43" t="s">
        <v>14</v>
      </c>
      <c r="AD92" s="43" t="b">
        <f t="shared" si="5"/>
        <v>1</v>
      </c>
    </row>
    <row r="93" spans="1:30" ht="20.100000000000001" customHeight="1" x14ac:dyDescent="0.25">
      <c r="A93" s="468" t="s">
        <v>37</v>
      </c>
      <c r="B93" s="469"/>
      <c r="C93" s="469"/>
      <c r="D93" s="469"/>
      <c r="E93" s="469"/>
      <c r="F93" s="469"/>
      <c r="G93" s="469"/>
      <c r="H93" s="470"/>
      <c r="I93" s="48">
        <f>SUMIF($C$3:$C$91,"K",I3:I91)</f>
        <v>35.603999999999992</v>
      </c>
      <c r="J93" s="49" t="s">
        <v>14</v>
      </c>
      <c r="K93" s="50">
        <f>SUMIF($C$3:$C$91,"K",K3:K91)</f>
        <v>152139809.79000002</v>
      </c>
      <c r="L93" s="51">
        <f>SUMIF($C$3:$C$91,"K",L3:L91)</f>
        <v>80360627.888000011</v>
      </c>
      <c r="M93" s="51">
        <f>SUMIF($C$3:$C$91,"K",M3:M91)</f>
        <v>71779181.90200001</v>
      </c>
      <c r="N93" s="52" t="s">
        <v>14</v>
      </c>
      <c r="O93" s="51">
        <f t="shared" ref="O93:Z93" si="36">SUMIF($C$3:$C$91,"K",O3:O91)</f>
        <v>0</v>
      </c>
      <c r="P93" s="51">
        <f t="shared" si="36"/>
        <v>0</v>
      </c>
      <c r="Q93" s="53">
        <f t="shared" si="36"/>
        <v>0</v>
      </c>
      <c r="R93" s="53">
        <f t="shared" si="36"/>
        <v>0</v>
      </c>
      <c r="S93" s="53">
        <f t="shared" si="36"/>
        <v>0</v>
      </c>
      <c r="T93" s="53">
        <f t="shared" si="36"/>
        <v>8712391.3900000006</v>
      </c>
      <c r="U93" s="53">
        <f t="shared" si="36"/>
        <v>23807782.248000003</v>
      </c>
      <c r="V93" s="53">
        <f t="shared" si="36"/>
        <v>28045728.82</v>
      </c>
      <c r="W93" s="53">
        <f t="shared" si="36"/>
        <v>19794725.43</v>
      </c>
      <c r="X93" s="53">
        <f t="shared" si="36"/>
        <v>0</v>
      </c>
      <c r="Y93" s="53">
        <f t="shared" si="36"/>
        <v>0</v>
      </c>
      <c r="Z93" s="53">
        <f t="shared" si="36"/>
        <v>0</v>
      </c>
      <c r="AA93" s="1" t="b">
        <f t="shared" si="2"/>
        <v>1</v>
      </c>
      <c r="AB93" s="42">
        <f t="shared" si="3"/>
        <v>0.5282</v>
      </c>
      <c r="AC93" s="43" t="s">
        <v>14</v>
      </c>
      <c r="AD93" s="43" t="b">
        <f t="shared" si="5"/>
        <v>1</v>
      </c>
    </row>
    <row r="94" spans="1:30" ht="20.100000000000001" customHeight="1" x14ac:dyDescent="0.25">
      <c r="A94" s="468" t="s">
        <v>38</v>
      </c>
      <c r="B94" s="469"/>
      <c r="C94" s="469"/>
      <c r="D94" s="469"/>
      <c r="E94" s="469"/>
      <c r="F94" s="469"/>
      <c r="G94" s="469"/>
      <c r="H94" s="470"/>
      <c r="I94" s="48">
        <f>SUMIF($C$3:$C$91,"N",I3:I91)</f>
        <v>51.031499999999987</v>
      </c>
      <c r="J94" s="49" t="s">
        <v>14</v>
      </c>
      <c r="K94" s="50">
        <f>SUMIF($C$3:$C$91,"N",K3:K91)</f>
        <v>131436614.48</v>
      </c>
      <c r="L94" s="51">
        <f>SUMIF($C$3:$C$91,"N",L3:L91)</f>
        <v>65365259.689999998</v>
      </c>
      <c r="M94" s="51">
        <f>SUMIF($C$3:$C$91,"N",M3:M91)</f>
        <v>66071354.789999999</v>
      </c>
      <c r="N94" s="52" t="s">
        <v>14</v>
      </c>
      <c r="O94" s="51">
        <f t="shared" ref="O94:Z94" si="37">SUMIF($C$3:$C$91,"N",O3:O91)</f>
        <v>0</v>
      </c>
      <c r="P94" s="51">
        <f t="shared" si="37"/>
        <v>0</v>
      </c>
      <c r="Q94" s="53">
        <f t="shared" si="37"/>
        <v>0</v>
      </c>
      <c r="R94" s="53">
        <f t="shared" si="37"/>
        <v>0</v>
      </c>
      <c r="S94" s="53">
        <f t="shared" si="37"/>
        <v>0</v>
      </c>
      <c r="T94" s="53">
        <f t="shared" si="37"/>
        <v>0</v>
      </c>
      <c r="U94" s="53">
        <f t="shared" si="37"/>
        <v>0</v>
      </c>
      <c r="V94" s="53">
        <f t="shared" si="37"/>
        <v>65365259.689999998</v>
      </c>
      <c r="W94" s="53">
        <f t="shared" si="37"/>
        <v>0</v>
      </c>
      <c r="X94" s="53">
        <f t="shared" si="37"/>
        <v>0</v>
      </c>
      <c r="Y94" s="53">
        <f t="shared" si="37"/>
        <v>0</v>
      </c>
      <c r="Z94" s="53">
        <f t="shared" si="37"/>
        <v>0</v>
      </c>
      <c r="AA94" s="1" t="b">
        <f t="shared" si="2"/>
        <v>1</v>
      </c>
      <c r="AB94" s="42">
        <f t="shared" si="3"/>
        <v>0.49730000000000002</v>
      </c>
      <c r="AC94" s="43" t="s">
        <v>14</v>
      </c>
      <c r="AD94" s="43" t="b">
        <f t="shared" si="5"/>
        <v>1</v>
      </c>
    </row>
    <row r="95" spans="1:30" ht="20.100000000000001" customHeight="1" x14ac:dyDescent="0.25">
      <c r="A95" s="465" t="s">
        <v>39</v>
      </c>
      <c r="B95" s="466"/>
      <c r="C95" s="466"/>
      <c r="D95" s="466"/>
      <c r="E95" s="466"/>
      <c r="F95" s="466"/>
      <c r="G95" s="466"/>
      <c r="H95" s="467"/>
      <c r="I95" s="54">
        <f>SUMIF($C$3:$C$91,"W",I3:I91)</f>
        <v>15.302</v>
      </c>
      <c r="J95" s="55" t="s">
        <v>14</v>
      </c>
      <c r="K95" s="56">
        <f>SUMIF($C$3:$C$91,"W",K3:K91)</f>
        <v>58126247.309999995</v>
      </c>
      <c r="L95" s="57">
        <f>SUMIF($C$3:$C$91,"W",L3:L91)</f>
        <v>29063123.640000001</v>
      </c>
      <c r="M95" s="57">
        <f>SUMIF($C$3:$C$91,"W",M3:M91)</f>
        <v>29063123.669999998</v>
      </c>
      <c r="N95" s="58" t="s">
        <v>14</v>
      </c>
      <c r="O95" s="57">
        <f t="shared" ref="O95:Z95" si="38">SUMIF($C$3:$C$91,"W",O3:O91)</f>
        <v>0</v>
      </c>
      <c r="P95" s="57">
        <f t="shared" si="38"/>
        <v>0</v>
      </c>
      <c r="Q95" s="59">
        <f t="shared" si="38"/>
        <v>0</v>
      </c>
      <c r="R95" s="59">
        <f t="shared" si="38"/>
        <v>0</v>
      </c>
      <c r="S95" s="59">
        <f t="shared" si="38"/>
        <v>0</v>
      </c>
      <c r="T95" s="59">
        <f t="shared" si="38"/>
        <v>0</v>
      </c>
      <c r="U95" s="59">
        <f t="shared" si="38"/>
        <v>0</v>
      </c>
      <c r="V95" s="59">
        <f t="shared" si="38"/>
        <v>8613388.495000001</v>
      </c>
      <c r="W95" s="59">
        <f t="shared" si="38"/>
        <v>16850342.925000001</v>
      </c>
      <c r="X95" s="59">
        <f t="shared" si="38"/>
        <v>3599392.2199999997</v>
      </c>
      <c r="Y95" s="59">
        <f t="shared" si="38"/>
        <v>0</v>
      </c>
      <c r="Z95" s="59">
        <f t="shared" si="38"/>
        <v>0</v>
      </c>
      <c r="AA95" s="1" t="b">
        <f t="shared" si="2"/>
        <v>1</v>
      </c>
      <c r="AB95" s="42">
        <f t="shared" ref="AB95" si="39">ROUND(L95/K95,4)</f>
        <v>0.5</v>
      </c>
      <c r="AC95" s="43" t="s">
        <v>14</v>
      </c>
      <c r="AD95" s="43" t="b">
        <f t="shared" ref="AD95" si="40">K95=L95+M95</f>
        <v>1</v>
      </c>
    </row>
    <row r="96" spans="1:30" x14ac:dyDescent="0.25">
      <c r="A96" s="32"/>
      <c r="K96" s="5"/>
    </row>
    <row r="97" spans="1:17" x14ac:dyDescent="0.25">
      <c r="A97" s="33" t="s">
        <v>24</v>
      </c>
    </row>
    <row r="98" spans="1:17" x14ac:dyDescent="0.25">
      <c r="A98" s="34" t="s">
        <v>25</v>
      </c>
    </row>
    <row r="99" spans="1:17" x14ac:dyDescent="0.25">
      <c r="A99" s="33" t="s">
        <v>42</v>
      </c>
    </row>
    <row r="100" spans="1:17" x14ac:dyDescent="0.25">
      <c r="A100" s="156" t="s">
        <v>46</v>
      </c>
    </row>
    <row r="101" spans="1:17" ht="34.5" customHeight="1" x14ac:dyDescent="0.25">
      <c r="A101" s="455" t="s">
        <v>152</v>
      </c>
      <c r="B101" s="455"/>
      <c r="C101" s="455"/>
      <c r="D101" s="455"/>
      <c r="E101" s="455"/>
      <c r="F101" s="455"/>
      <c r="G101" s="455"/>
      <c r="H101" s="455"/>
      <c r="I101" s="455"/>
      <c r="J101" s="455"/>
      <c r="K101" s="455"/>
      <c r="L101" s="455"/>
      <c r="M101" s="455"/>
      <c r="N101" s="455"/>
      <c r="O101" s="455"/>
      <c r="P101" s="455"/>
      <c r="Q101" s="455"/>
    </row>
  </sheetData>
  <mergeCells count="20">
    <mergeCell ref="J1:J2"/>
    <mergeCell ref="K1:K2"/>
    <mergeCell ref="A1:A2"/>
    <mergeCell ref="B1:B2"/>
    <mergeCell ref="C1:C2"/>
    <mergeCell ref="F1:F2"/>
    <mergeCell ref="G1:G2"/>
    <mergeCell ref="D1:D2"/>
    <mergeCell ref="A101:Q101"/>
    <mergeCell ref="O1:Z1"/>
    <mergeCell ref="A95:H95"/>
    <mergeCell ref="A94:H94"/>
    <mergeCell ref="E1:E2"/>
    <mergeCell ref="A93:H93"/>
    <mergeCell ref="N1:N2"/>
    <mergeCell ref="L1:L2"/>
    <mergeCell ref="M1:M2"/>
    <mergeCell ref="A92:H92"/>
    <mergeCell ref="H1:H2"/>
    <mergeCell ref="I1:I2"/>
  </mergeCells>
  <conditionalFormatting sqref="G3:G4">
    <cfRule type="duplicateValues" dxfId="9" priority="16" stopIfTrue="1"/>
  </conditionalFormatting>
  <conditionalFormatting sqref="G5:G6">
    <cfRule type="duplicateValues" dxfId="8" priority="101" stopIfTrue="1"/>
  </conditionalFormatting>
  <conditionalFormatting sqref="G7">
    <cfRule type="duplicateValues" dxfId="7" priority="10" stopIfTrue="1"/>
  </conditionalFormatting>
  <conditionalFormatting sqref="AA3:AC95">
    <cfRule type="containsText" dxfId="6" priority="84" operator="containsText" text="fałsz">
      <formula>NOT(ISERROR(SEARCH("fałsz",AA3)))</formula>
    </cfRule>
  </conditionalFormatting>
  <conditionalFormatting sqref="AA3:AD95">
    <cfRule type="cellIs" dxfId="5" priority="82" operator="equal">
      <formula>FALSE</formula>
    </cfRule>
  </conditionalFormatting>
  <dataValidations count="2">
    <dataValidation type="list" allowBlank="1" showInputMessage="1" showErrorMessage="1" sqref="WVK3:WVK11 IY3:IY11 SU3:SU11 ACQ3:ACQ11 AMM3:AMM11 AWI3:AWI11 BGE3:BGE11 BQA3:BQA11 BZW3:BZW11 CJS3:CJS11 CTO3:CTO11 DDK3:DDK11 DNG3:DNG11 DXC3:DXC11 EGY3:EGY11 EQU3:EQU11 FAQ3:FAQ11 FKM3:FKM11 FUI3:FUI11 GEE3:GEE11 GOA3:GOA11 GXW3:GXW11 HHS3:HHS11 HRO3:HRO11 IBK3:IBK11 ILG3:ILG11 IVC3:IVC11 JEY3:JEY11 JOU3:JOU11 JYQ3:JYQ11 KIM3:KIM11 KSI3:KSI11 LCE3:LCE11 LMA3:LMA11 LVW3:LVW11 MFS3:MFS11 MPO3:MPO11 MZK3:MZK11 NJG3:NJG11 NTC3:NTC11 OCY3:OCY11 OMU3:OMU11 OWQ3:OWQ11 PGM3:PGM11 PQI3:PQI11 QAE3:QAE11 QKA3:QKA11 QTW3:QTW11 RDS3:RDS11 RNO3:RNO11 RXK3:RXK11 SHG3:SHG11 SRC3:SRC11 TAY3:TAY11 TKU3:TKU11 TUQ3:TUQ11 UEM3:UEM11 UOI3:UOI11 UYE3:UYE11 VIA3:VIA11 VRW3:VRW11 WBS3:WBS11 WLO3:WLO11 C3:C27 C84:C90">
      <formula1>"N,K,W"</formula1>
    </dataValidation>
    <dataValidation type="list" allowBlank="1" showInputMessage="1" showErrorMessage="1" sqref="H3:H6 WLT3:WLT6 WBX3:WBX6 VSB3:VSB6 VIF3:VIF6 UYJ3:UYJ6 UON3:UON6 UER3:UER6 TUV3:TUV6 TKZ3:TKZ6 TBD3:TBD6 SRH3:SRH6 SHL3:SHL6 RXP3:RXP6 RNT3:RNT6 RDX3:RDX6 QUB3:QUB6 QKF3:QKF6 QAJ3:QAJ6 PQN3:PQN6 PGR3:PGR6 OWV3:OWV6 OMZ3:OMZ6 ODD3:ODD6 NTH3:NTH6 NJL3:NJL6 MZP3:MZP6 MPT3:MPT6 MFX3:MFX6 LWB3:LWB6 LMF3:LMF6 LCJ3:LCJ6 KSN3:KSN6 KIR3:KIR6 JYV3:JYV6 JOZ3:JOZ6 JFD3:JFD6 IVH3:IVH6 ILL3:ILL6 IBP3:IBP6 HRT3:HRT6 HHX3:HHX6 GYB3:GYB6 GOF3:GOF6 GEJ3:GEJ6 FUN3:FUN6 FKR3:FKR6 FAV3:FAV6 EQZ3:EQZ6 EHD3:EHD6 DXH3:DXH6 DNL3:DNL6 DDP3:DDP6 CTT3:CTT6 CJX3:CJX6 CAB3:CAB6 BQF3:BQF6 BGJ3:BGJ6 AWN3:AWN6 AMR3:AMR6 ACV3:ACV6 SZ3:SZ6 JD3:JD6 WVP3:WVP6">
      <formula1>"B,P,R"</formula1>
    </dataValidation>
  </dataValidations>
  <pageMargins left="0.23622047244094491" right="0.23622047244094491" top="0.55118110236220474" bottom="0.35433070866141736" header="0.31496062992125984" footer="0.31496062992125984"/>
  <pageSetup paperSize="8" scale="46" fitToHeight="0" orientation="landscape" r:id="rId1"/>
  <headerFooter>
    <oddHeader>&amp;LWojewództwo podlaskie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0"/>
  <sheetViews>
    <sheetView showGridLines="0" view="pageBreakPreview" zoomScaleNormal="78" zoomScaleSheetLayoutView="100" workbookViewId="0">
      <selection sqref="A1:A2"/>
    </sheetView>
  </sheetViews>
  <sheetFormatPr defaultColWidth="9.140625" defaultRowHeight="15" x14ac:dyDescent="0.25"/>
  <cols>
    <col min="1" max="2" width="7.140625" style="14" customWidth="1"/>
    <col min="3" max="3" width="17.42578125" style="14" customWidth="1"/>
    <col min="4" max="4" width="19.42578125" style="14" customWidth="1"/>
    <col min="5" max="5" width="15.7109375" style="14" customWidth="1"/>
    <col min="6" max="6" width="67.140625" style="14" customWidth="1"/>
    <col min="7" max="7" width="9.28515625" style="14" customWidth="1"/>
    <col min="8" max="8" width="13.28515625" style="14" customWidth="1"/>
    <col min="9" max="9" width="13.7109375" style="14" customWidth="1"/>
    <col min="10" max="10" width="15.7109375" style="37" customWidth="1"/>
    <col min="11" max="11" width="18.5703125" style="14" customWidth="1"/>
    <col min="12" max="12" width="15.7109375" style="14" customWidth="1"/>
    <col min="13" max="13" width="15.7109375" style="1" customWidth="1"/>
    <col min="14" max="20" width="15.85546875" style="14" customWidth="1"/>
    <col min="21" max="29" width="15.7109375" style="14" customWidth="1"/>
    <col min="30" max="16384" width="9.140625" style="14"/>
  </cols>
  <sheetData>
    <row r="1" spans="1:30" ht="20.100000000000001" customHeight="1" x14ac:dyDescent="0.25">
      <c r="A1" s="452" t="s">
        <v>4</v>
      </c>
      <c r="B1" s="452" t="s">
        <v>5</v>
      </c>
      <c r="C1" s="448" t="s">
        <v>45</v>
      </c>
      <c r="D1" s="450" t="s">
        <v>6</v>
      </c>
      <c r="E1" s="448" t="s">
        <v>32</v>
      </c>
      <c r="F1" s="450" t="s">
        <v>7</v>
      </c>
      <c r="G1" s="452" t="s">
        <v>26</v>
      </c>
      <c r="H1" s="452" t="s">
        <v>8</v>
      </c>
      <c r="I1" s="452" t="s">
        <v>23</v>
      </c>
      <c r="J1" s="452" t="s">
        <v>9</v>
      </c>
      <c r="K1" s="452" t="s">
        <v>10</v>
      </c>
      <c r="L1" s="450" t="s">
        <v>13</v>
      </c>
      <c r="M1" s="452" t="s">
        <v>11</v>
      </c>
      <c r="N1" s="449" t="s">
        <v>12</v>
      </c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251"/>
      <c r="AA1" s="251"/>
      <c r="AB1" s="251"/>
      <c r="AC1" s="251"/>
    </row>
    <row r="2" spans="1:30" ht="20.100000000000001" customHeight="1" x14ac:dyDescent="0.25">
      <c r="A2" s="452"/>
      <c r="B2" s="452"/>
      <c r="C2" s="449"/>
      <c r="D2" s="451"/>
      <c r="E2" s="449"/>
      <c r="F2" s="451"/>
      <c r="G2" s="452"/>
      <c r="H2" s="452"/>
      <c r="I2" s="452"/>
      <c r="J2" s="452"/>
      <c r="K2" s="452"/>
      <c r="L2" s="451"/>
      <c r="M2" s="452"/>
      <c r="N2" s="235">
        <v>2019</v>
      </c>
      <c r="O2" s="235">
        <v>2020</v>
      </c>
      <c r="P2" s="235">
        <v>2021</v>
      </c>
      <c r="Q2" s="235">
        <v>2022</v>
      </c>
      <c r="R2" s="235">
        <v>2023</v>
      </c>
      <c r="S2" s="235">
        <v>2024</v>
      </c>
      <c r="T2" s="235">
        <v>2025</v>
      </c>
      <c r="U2" s="235">
        <v>2026</v>
      </c>
      <c r="V2" s="235">
        <v>2027</v>
      </c>
      <c r="W2" s="235">
        <v>2028</v>
      </c>
      <c r="X2" s="235">
        <v>2029</v>
      </c>
      <c r="Y2" s="235">
        <v>2030</v>
      </c>
      <c r="Z2" s="238" t="s">
        <v>28</v>
      </c>
      <c r="AA2" s="238" t="s">
        <v>29</v>
      </c>
      <c r="AB2" s="238" t="s">
        <v>30</v>
      </c>
      <c r="AC2" s="252" t="s">
        <v>31</v>
      </c>
    </row>
    <row r="3" spans="1:30" s="44" customFormat="1" ht="37.5" customHeight="1" x14ac:dyDescent="0.25">
      <c r="A3" s="300">
        <v>1</v>
      </c>
      <c r="B3" s="300">
        <v>205</v>
      </c>
      <c r="C3" s="262" t="s">
        <v>114</v>
      </c>
      <c r="D3" s="284" t="s">
        <v>51</v>
      </c>
      <c r="E3" s="284">
        <v>2006</v>
      </c>
      <c r="F3" s="285" t="s">
        <v>272</v>
      </c>
      <c r="G3" s="284" t="s">
        <v>66</v>
      </c>
      <c r="H3" s="286">
        <v>2.8460000000000001</v>
      </c>
      <c r="I3" s="284" t="s">
        <v>233</v>
      </c>
      <c r="J3" s="293">
        <v>11246650</v>
      </c>
      <c r="K3" s="293">
        <f>ROUNDDOWN(J3*M3,2)</f>
        <v>5623325</v>
      </c>
      <c r="L3" s="294">
        <f>J3-K3</f>
        <v>5623325</v>
      </c>
      <c r="M3" s="280">
        <v>0.5</v>
      </c>
      <c r="N3" s="306">
        <v>0</v>
      </c>
      <c r="O3" s="306">
        <v>0</v>
      </c>
      <c r="P3" s="306">
        <v>0</v>
      </c>
      <c r="Q3" s="306">
        <v>0</v>
      </c>
      <c r="R3" s="306">
        <v>0</v>
      </c>
      <c r="S3" s="306">
        <v>0</v>
      </c>
      <c r="T3" s="306">
        <v>0</v>
      </c>
      <c r="U3" s="265">
        <f>K3</f>
        <v>5623325</v>
      </c>
      <c r="V3" s="265">
        <v>0</v>
      </c>
      <c r="W3" s="265">
        <v>0</v>
      </c>
      <c r="X3" s="265">
        <v>0</v>
      </c>
      <c r="Y3" s="265">
        <v>0</v>
      </c>
      <c r="Z3" s="238" t="b">
        <f t="shared" ref="Z3:Z32" si="0">K3=SUM(N3:Y3)</f>
        <v>1</v>
      </c>
      <c r="AA3" s="253">
        <f t="shared" ref="AA3:AA32" si="1">ROUND(K3/J3,4)</f>
        <v>0.5</v>
      </c>
      <c r="AB3" s="254" t="b">
        <f t="shared" ref="AB3:AB32" si="2">AA3=M3</f>
        <v>1</v>
      </c>
      <c r="AC3" s="254" t="b">
        <f t="shared" ref="AC3:AC32" si="3">J3=K3+L3</f>
        <v>1</v>
      </c>
      <c r="AD3" s="45"/>
    </row>
    <row r="4" spans="1:30" s="44" customFormat="1" ht="37.5" customHeight="1" x14ac:dyDescent="0.25">
      <c r="A4" s="300">
        <v>2</v>
      </c>
      <c r="B4" s="196">
        <v>326</v>
      </c>
      <c r="C4" s="259" t="s">
        <v>114</v>
      </c>
      <c r="D4" s="263" t="s">
        <v>52</v>
      </c>
      <c r="E4" s="263">
        <v>2007</v>
      </c>
      <c r="F4" s="283" t="s">
        <v>273</v>
      </c>
      <c r="G4" s="263" t="s">
        <v>65</v>
      </c>
      <c r="H4" s="264">
        <v>2.6909999999999998</v>
      </c>
      <c r="I4" s="263" t="s">
        <v>255</v>
      </c>
      <c r="J4" s="287">
        <v>7029482.5199999996</v>
      </c>
      <c r="K4" s="293">
        <f t="shared" ref="K4:K31" si="4">ROUNDDOWN(J4*M4,2)</f>
        <v>3514741.26</v>
      </c>
      <c r="L4" s="294">
        <f t="shared" ref="L4:L32" si="5">J4-K4</f>
        <v>3514741.26</v>
      </c>
      <c r="M4" s="260">
        <v>0.5</v>
      </c>
      <c r="N4" s="307">
        <v>0</v>
      </c>
      <c r="O4" s="307">
        <v>0</v>
      </c>
      <c r="P4" s="307">
        <v>0</v>
      </c>
      <c r="Q4" s="307">
        <v>0</v>
      </c>
      <c r="R4" s="307">
        <v>0</v>
      </c>
      <c r="S4" s="307">
        <v>0</v>
      </c>
      <c r="T4" s="307">
        <v>0</v>
      </c>
      <c r="U4" s="261">
        <f>K4</f>
        <v>3514741.26</v>
      </c>
      <c r="V4" s="261">
        <v>0</v>
      </c>
      <c r="W4" s="261">
        <v>0</v>
      </c>
      <c r="X4" s="261">
        <v>0</v>
      </c>
      <c r="Y4" s="261">
        <v>0</v>
      </c>
      <c r="Z4" s="238" t="b">
        <f t="shared" si="0"/>
        <v>1</v>
      </c>
      <c r="AA4" s="253">
        <f t="shared" si="1"/>
        <v>0.5</v>
      </c>
      <c r="AB4" s="254" t="b">
        <f t="shared" si="2"/>
        <v>1</v>
      </c>
      <c r="AC4" s="254" t="b">
        <f t="shared" si="3"/>
        <v>1</v>
      </c>
      <c r="AD4" s="45"/>
    </row>
    <row r="5" spans="1:30" s="44" customFormat="1" ht="37.5" customHeight="1" x14ac:dyDescent="0.25">
      <c r="A5" s="226">
        <v>3</v>
      </c>
      <c r="B5" s="276">
        <v>436</v>
      </c>
      <c r="C5" s="276" t="s">
        <v>483</v>
      </c>
      <c r="D5" s="277" t="s">
        <v>55</v>
      </c>
      <c r="E5" s="277">
        <v>2011</v>
      </c>
      <c r="F5" s="278" t="s">
        <v>274</v>
      </c>
      <c r="G5" s="277" t="s">
        <v>66</v>
      </c>
      <c r="H5" s="279">
        <v>0.93</v>
      </c>
      <c r="I5" s="277" t="s">
        <v>239</v>
      </c>
      <c r="J5" s="295">
        <v>2510500</v>
      </c>
      <c r="K5" s="295">
        <f t="shared" si="4"/>
        <v>1255250</v>
      </c>
      <c r="L5" s="296">
        <f t="shared" si="5"/>
        <v>1255250</v>
      </c>
      <c r="M5" s="281">
        <v>0.5</v>
      </c>
      <c r="N5" s="308">
        <v>0</v>
      </c>
      <c r="O5" s="308">
        <v>0</v>
      </c>
      <c r="P5" s="308">
        <v>0</v>
      </c>
      <c r="Q5" s="308">
        <v>0</v>
      </c>
      <c r="R5" s="308">
        <v>0</v>
      </c>
      <c r="S5" s="308">
        <v>0</v>
      </c>
      <c r="T5" s="309">
        <v>0</v>
      </c>
      <c r="U5" s="304">
        <f>497600*M5</f>
        <v>248800</v>
      </c>
      <c r="V5" s="304">
        <f>995200*M5</f>
        <v>497600</v>
      </c>
      <c r="W5" s="304">
        <f>1017700*M5</f>
        <v>508850</v>
      </c>
      <c r="X5" s="304">
        <v>0</v>
      </c>
      <c r="Y5" s="304">
        <v>0</v>
      </c>
      <c r="Z5" s="238" t="b">
        <f t="shared" si="0"/>
        <v>1</v>
      </c>
      <c r="AA5" s="253">
        <f t="shared" si="1"/>
        <v>0.5</v>
      </c>
      <c r="AB5" s="254" t="b">
        <f t="shared" si="2"/>
        <v>1</v>
      </c>
      <c r="AC5" s="254" t="b">
        <f t="shared" si="3"/>
        <v>1</v>
      </c>
      <c r="AD5" s="45"/>
    </row>
    <row r="6" spans="1:30" s="44" customFormat="1" ht="37.5" customHeight="1" x14ac:dyDescent="0.25">
      <c r="A6" s="226">
        <v>4</v>
      </c>
      <c r="B6" s="276">
        <v>177</v>
      </c>
      <c r="C6" s="276" t="s">
        <v>483</v>
      </c>
      <c r="D6" s="277" t="s">
        <v>54</v>
      </c>
      <c r="E6" s="277">
        <v>2010</v>
      </c>
      <c r="F6" s="278" t="s">
        <v>275</v>
      </c>
      <c r="G6" s="277" t="s">
        <v>65</v>
      </c>
      <c r="H6" s="279">
        <v>3.218</v>
      </c>
      <c r="I6" s="277" t="s">
        <v>228</v>
      </c>
      <c r="J6" s="295">
        <v>8930995.6699999999</v>
      </c>
      <c r="K6" s="295">
        <f t="shared" si="4"/>
        <v>4465497.83</v>
      </c>
      <c r="L6" s="296">
        <f t="shared" si="5"/>
        <v>4465497.84</v>
      </c>
      <c r="M6" s="281">
        <v>0.5</v>
      </c>
      <c r="N6" s="308">
        <v>0</v>
      </c>
      <c r="O6" s="308">
        <v>0</v>
      </c>
      <c r="P6" s="308">
        <v>0</v>
      </c>
      <c r="Q6" s="308">
        <v>0</v>
      </c>
      <c r="R6" s="308">
        <v>0</v>
      </c>
      <c r="S6" s="308">
        <v>0</v>
      </c>
      <c r="T6" s="309">
        <v>0</v>
      </c>
      <c r="U6" s="304">
        <f>2679298.7*M6</f>
        <v>1339649.3500000001</v>
      </c>
      <c r="V6" s="304">
        <f>ROUNDDOWN(6251696.97*M6,2)</f>
        <v>3125848.48</v>
      </c>
      <c r="W6" s="304">
        <v>0</v>
      </c>
      <c r="X6" s="304">
        <v>0</v>
      </c>
      <c r="Y6" s="304">
        <v>0</v>
      </c>
      <c r="Z6" s="238" t="b">
        <f t="shared" si="0"/>
        <v>1</v>
      </c>
      <c r="AA6" s="253">
        <f t="shared" si="1"/>
        <v>0.5</v>
      </c>
      <c r="AB6" s="254" t="b">
        <f t="shared" si="2"/>
        <v>1</v>
      </c>
      <c r="AC6" s="254" t="b">
        <f t="shared" si="3"/>
        <v>1</v>
      </c>
      <c r="AD6" s="45"/>
    </row>
    <row r="7" spans="1:30" s="44" customFormat="1" ht="37.5" customHeight="1" x14ac:dyDescent="0.25">
      <c r="A7" s="196">
        <v>5</v>
      </c>
      <c r="B7" s="259">
        <v>319</v>
      </c>
      <c r="C7" s="259" t="s">
        <v>114</v>
      </c>
      <c r="D7" s="263" t="s">
        <v>200</v>
      </c>
      <c r="E7" s="263">
        <v>2001</v>
      </c>
      <c r="F7" s="283" t="s">
        <v>276</v>
      </c>
      <c r="G7" s="263" t="s">
        <v>67</v>
      </c>
      <c r="H7" s="264">
        <v>2.61</v>
      </c>
      <c r="I7" s="263" t="s">
        <v>271</v>
      </c>
      <c r="J7" s="287">
        <v>2040633</v>
      </c>
      <c r="K7" s="293">
        <f t="shared" si="4"/>
        <v>1020316.5</v>
      </c>
      <c r="L7" s="294">
        <f t="shared" si="5"/>
        <v>1020316.5</v>
      </c>
      <c r="M7" s="260">
        <v>0.5</v>
      </c>
      <c r="N7" s="307">
        <v>0</v>
      </c>
      <c r="O7" s="307">
        <v>0</v>
      </c>
      <c r="P7" s="307">
        <v>0</v>
      </c>
      <c r="Q7" s="307">
        <v>0</v>
      </c>
      <c r="R7" s="307">
        <v>0</v>
      </c>
      <c r="S7" s="307">
        <v>0</v>
      </c>
      <c r="T7" s="307">
        <v>0</v>
      </c>
      <c r="U7" s="261">
        <f>K7</f>
        <v>1020316.5</v>
      </c>
      <c r="V7" s="261">
        <v>0</v>
      </c>
      <c r="W7" s="261">
        <v>0</v>
      </c>
      <c r="X7" s="261">
        <v>0</v>
      </c>
      <c r="Y7" s="261">
        <v>0</v>
      </c>
      <c r="Z7" s="238" t="b">
        <f t="shared" si="0"/>
        <v>1</v>
      </c>
      <c r="AA7" s="253">
        <f t="shared" si="1"/>
        <v>0.5</v>
      </c>
      <c r="AB7" s="254" t="b">
        <f t="shared" si="2"/>
        <v>1</v>
      </c>
      <c r="AC7" s="254" t="b">
        <f t="shared" si="3"/>
        <v>1</v>
      </c>
      <c r="AD7" s="45"/>
    </row>
    <row r="8" spans="1:30" s="44" customFormat="1" ht="37.5" customHeight="1" x14ac:dyDescent="0.25">
      <c r="A8" s="300">
        <v>6</v>
      </c>
      <c r="B8" s="259">
        <v>125</v>
      </c>
      <c r="C8" s="259" t="s">
        <v>114</v>
      </c>
      <c r="D8" s="263" t="s">
        <v>48</v>
      </c>
      <c r="E8" s="263">
        <v>2002</v>
      </c>
      <c r="F8" s="283" t="s">
        <v>277</v>
      </c>
      <c r="G8" s="263" t="s">
        <v>66</v>
      </c>
      <c r="H8" s="264">
        <v>2.2789999999999999</v>
      </c>
      <c r="I8" s="263" t="s">
        <v>212</v>
      </c>
      <c r="J8" s="287">
        <v>12629000</v>
      </c>
      <c r="K8" s="293">
        <f t="shared" si="4"/>
        <v>6314500</v>
      </c>
      <c r="L8" s="294">
        <f t="shared" si="5"/>
        <v>6314500</v>
      </c>
      <c r="M8" s="260">
        <v>0.5</v>
      </c>
      <c r="N8" s="307">
        <v>0</v>
      </c>
      <c r="O8" s="307">
        <v>0</v>
      </c>
      <c r="P8" s="307">
        <v>0</v>
      </c>
      <c r="Q8" s="307">
        <v>0</v>
      </c>
      <c r="R8" s="307">
        <v>0</v>
      </c>
      <c r="S8" s="307">
        <v>0</v>
      </c>
      <c r="T8" s="307">
        <v>0</v>
      </c>
      <c r="U8" s="261">
        <f>K8</f>
        <v>6314500</v>
      </c>
      <c r="V8" s="261">
        <v>0</v>
      </c>
      <c r="W8" s="261">
        <v>0</v>
      </c>
      <c r="X8" s="261">
        <v>0</v>
      </c>
      <c r="Y8" s="261">
        <v>0</v>
      </c>
      <c r="Z8" s="238" t="b">
        <f t="shared" si="0"/>
        <v>1</v>
      </c>
      <c r="AA8" s="253">
        <f t="shared" si="1"/>
        <v>0.5</v>
      </c>
      <c r="AB8" s="254" t="b">
        <f t="shared" si="2"/>
        <v>1</v>
      </c>
      <c r="AC8" s="254" t="b">
        <f t="shared" si="3"/>
        <v>1</v>
      </c>
      <c r="AD8" s="45"/>
    </row>
    <row r="9" spans="1:30" s="44" customFormat="1" ht="37.5" customHeight="1" x14ac:dyDescent="0.25">
      <c r="A9" s="196">
        <v>7</v>
      </c>
      <c r="B9" s="259">
        <v>168</v>
      </c>
      <c r="C9" s="259" t="s">
        <v>114</v>
      </c>
      <c r="D9" s="263" t="s">
        <v>50</v>
      </c>
      <c r="E9" s="263">
        <v>2004</v>
      </c>
      <c r="F9" s="283" t="s">
        <v>278</v>
      </c>
      <c r="G9" s="263" t="s">
        <v>66</v>
      </c>
      <c r="H9" s="264">
        <v>1.81</v>
      </c>
      <c r="I9" s="263" t="s">
        <v>235</v>
      </c>
      <c r="J9" s="287">
        <v>5003000</v>
      </c>
      <c r="K9" s="293">
        <f t="shared" si="4"/>
        <v>2501500</v>
      </c>
      <c r="L9" s="294">
        <f t="shared" si="5"/>
        <v>2501500</v>
      </c>
      <c r="M9" s="260">
        <v>0.5</v>
      </c>
      <c r="N9" s="307">
        <v>0</v>
      </c>
      <c r="O9" s="307">
        <v>0</v>
      </c>
      <c r="P9" s="307">
        <v>0</v>
      </c>
      <c r="Q9" s="307">
        <v>0</v>
      </c>
      <c r="R9" s="307">
        <v>0</v>
      </c>
      <c r="S9" s="307">
        <v>0</v>
      </c>
      <c r="T9" s="307">
        <v>0</v>
      </c>
      <c r="U9" s="261">
        <f>K9</f>
        <v>2501500</v>
      </c>
      <c r="V9" s="261">
        <v>0</v>
      </c>
      <c r="W9" s="261">
        <v>0</v>
      </c>
      <c r="X9" s="261">
        <v>0</v>
      </c>
      <c r="Y9" s="261">
        <v>0</v>
      </c>
      <c r="Z9" s="238" t="b">
        <f t="shared" si="0"/>
        <v>1</v>
      </c>
      <c r="AA9" s="253">
        <f t="shared" si="1"/>
        <v>0.5</v>
      </c>
      <c r="AB9" s="254" t="b">
        <f t="shared" si="2"/>
        <v>1</v>
      </c>
      <c r="AC9" s="254" t="b">
        <f t="shared" si="3"/>
        <v>1</v>
      </c>
      <c r="AD9" s="45"/>
    </row>
    <row r="10" spans="1:30" s="44" customFormat="1" ht="37.5" customHeight="1" x14ac:dyDescent="0.25">
      <c r="A10" s="198">
        <v>8</v>
      </c>
      <c r="B10" s="266">
        <v>83</v>
      </c>
      <c r="C10" s="266" t="s">
        <v>483</v>
      </c>
      <c r="D10" s="268" t="s">
        <v>110</v>
      </c>
      <c r="E10" s="268">
        <v>2062011</v>
      </c>
      <c r="F10" s="270" t="s">
        <v>279</v>
      </c>
      <c r="G10" s="268" t="s">
        <v>66</v>
      </c>
      <c r="H10" s="272">
        <v>1.4670000000000001</v>
      </c>
      <c r="I10" s="268" t="s">
        <v>222</v>
      </c>
      <c r="J10" s="56">
        <v>26898666</v>
      </c>
      <c r="K10" s="295">
        <f t="shared" si="4"/>
        <v>13449333</v>
      </c>
      <c r="L10" s="296">
        <f t="shared" si="5"/>
        <v>13449333</v>
      </c>
      <c r="M10" s="274">
        <v>0.5</v>
      </c>
      <c r="N10" s="308">
        <v>0</v>
      </c>
      <c r="O10" s="308">
        <v>0</v>
      </c>
      <c r="P10" s="308">
        <v>0</v>
      </c>
      <c r="Q10" s="308">
        <v>0</v>
      </c>
      <c r="R10" s="308">
        <v>0</v>
      </c>
      <c r="S10" s="308">
        <v>0</v>
      </c>
      <c r="T10" s="308">
        <v>0</v>
      </c>
      <c r="U10" s="282">
        <f>10898666*M10</f>
        <v>5449333</v>
      </c>
      <c r="V10" s="282">
        <f>8000000*M10</f>
        <v>4000000</v>
      </c>
      <c r="W10" s="282">
        <f>8000000*M10</f>
        <v>4000000</v>
      </c>
      <c r="X10" s="282">
        <v>0</v>
      </c>
      <c r="Y10" s="282">
        <v>0</v>
      </c>
      <c r="Z10" s="238" t="b">
        <f t="shared" si="0"/>
        <v>1</v>
      </c>
      <c r="AA10" s="253">
        <f t="shared" si="1"/>
        <v>0.5</v>
      </c>
      <c r="AB10" s="254" t="b">
        <f t="shared" si="2"/>
        <v>1</v>
      </c>
      <c r="AC10" s="254" t="b">
        <f t="shared" si="3"/>
        <v>1</v>
      </c>
      <c r="AD10" s="45"/>
    </row>
    <row r="11" spans="1:30" s="44" customFormat="1" ht="37.5" customHeight="1" x14ac:dyDescent="0.25">
      <c r="A11" s="300">
        <v>9</v>
      </c>
      <c r="B11" s="259">
        <v>169</v>
      </c>
      <c r="C11" s="259" t="s">
        <v>114</v>
      </c>
      <c r="D11" s="263" t="s">
        <v>50</v>
      </c>
      <c r="E11" s="263">
        <v>2004</v>
      </c>
      <c r="F11" s="283" t="s">
        <v>280</v>
      </c>
      <c r="G11" s="263" t="s">
        <v>65</v>
      </c>
      <c r="H11" s="264">
        <v>1.1100000000000001</v>
      </c>
      <c r="I11" s="263" t="s">
        <v>281</v>
      </c>
      <c r="J11" s="287">
        <v>2786599.03</v>
      </c>
      <c r="K11" s="293">
        <f t="shared" si="4"/>
        <v>1393299.51</v>
      </c>
      <c r="L11" s="294">
        <f t="shared" si="5"/>
        <v>1393299.5199999998</v>
      </c>
      <c r="M11" s="260">
        <v>0.5</v>
      </c>
      <c r="N11" s="307">
        <v>0</v>
      </c>
      <c r="O11" s="307">
        <v>0</v>
      </c>
      <c r="P11" s="307">
        <v>0</v>
      </c>
      <c r="Q11" s="307">
        <v>0</v>
      </c>
      <c r="R11" s="307">
        <v>0</v>
      </c>
      <c r="S11" s="307">
        <v>0</v>
      </c>
      <c r="T11" s="307">
        <v>0</v>
      </c>
      <c r="U11" s="261">
        <f>K11</f>
        <v>1393299.51</v>
      </c>
      <c r="V11" s="261">
        <v>0</v>
      </c>
      <c r="W11" s="261">
        <v>0</v>
      </c>
      <c r="X11" s="261">
        <v>0</v>
      </c>
      <c r="Y11" s="261">
        <v>0</v>
      </c>
      <c r="Z11" s="238" t="b">
        <f t="shared" si="0"/>
        <v>1</v>
      </c>
      <c r="AA11" s="253">
        <f t="shared" si="1"/>
        <v>0.5</v>
      </c>
      <c r="AB11" s="254" t="b">
        <f t="shared" si="2"/>
        <v>1</v>
      </c>
      <c r="AC11" s="254" t="b">
        <f t="shared" si="3"/>
        <v>1</v>
      </c>
      <c r="AD11" s="45"/>
    </row>
    <row r="12" spans="1:30" s="44" customFormat="1" ht="37.5" customHeight="1" x14ac:dyDescent="0.25">
      <c r="A12" s="196">
        <v>10</v>
      </c>
      <c r="B12" s="259">
        <v>170</v>
      </c>
      <c r="C12" s="259" t="s">
        <v>114</v>
      </c>
      <c r="D12" s="263" t="s">
        <v>50</v>
      </c>
      <c r="E12" s="263">
        <v>2004</v>
      </c>
      <c r="F12" s="283" t="s">
        <v>282</v>
      </c>
      <c r="G12" s="263" t="s">
        <v>66</v>
      </c>
      <c r="H12" s="264">
        <v>1.1000000000000001</v>
      </c>
      <c r="I12" s="263" t="s">
        <v>235</v>
      </c>
      <c r="J12" s="287">
        <v>2503000</v>
      </c>
      <c r="K12" s="293">
        <f t="shared" si="4"/>
        <v>1251500</v>
      </c>
      <c r="L12" s="294">
        <f t="shared" si="5"/>
        <v>1251500</v>
      </c>
      <c r="M12" s="260">
        <v>0.5</v>
      </c>
      <c r="N12" s="307">
        <v>0</v>
      </c>
      <c r="O12" s="307">
        <v>0</v>
      </c>
      <c r="P12" s="307">
        <v>0</v>
      </c>
      <c r="Q12" s="307">
        <v>0</v>
      </c>
      <c r="R12" s="307">
        <v>0</v>
      </c>
      <c r="S12" s="307">
        <v>0</v>
      </c>
      <c r="T12" s="307">
        <v>0</v>
      </c>
      <c r="U12" s="261">
        <f>K12</f>
        <v>1251500</v>
      </c>
      <c r="V12" s="261">
        <v>0</v>
      </c>
      <c r="W12" s="261">
        <v>0</v>
      </c>
      <c r="X12" s="261">
        <v>0</v>
      </c>
      <c r="Y12" s="261">
        <v>0</v>
      </c>
      <c r="Z12" s="238" t="b">
        <f t="shared" si="0"/>
        <v>1</v>
      </c>
      <c r="AA12" s="253">
        <f t="shared" si="1"/>
        <v>0.5</v>
      </c>
      <c r="AB12" s="254" t="b">
        <f t="shared" si="2"/>
        <v>1</v>
      </c>
      <c r="AC12" s="254" t="b">
        <f t="shared" si="3"/>
        <v>1</v>
      </c>
      <c r="AD12" s="45"/>
    </row>
    <row r="13" spans="1:30" s="44" customFormat="1" ht="37.5" customHeight="1" x14ac:dyDescent="0.25">
      <c r="A13" s="196">
        <v>11</v>
      </c>
      <c r="B13" s="259">
        <v>330</v>
      </c>
      <c r="C13" s="259" t="s">
        <v>114</v>
      </c>
      <c r="D13" s="263" t="s">
        <v>52</v>
      </c>
      <c r="E13" s="263">
        <v>2007</v>
      </c>
      <c r="F13" s="283" t="s">
        <v>283</v>
      </c>
      <c r="G13" s="263" t="s">
        <v>66</v>
      </c>
      <c r="H13" s="264">
        <v>0.14000000000000001</v>
      </c>
      <c r="I13" s="263" t="s">
        <v>284</v>
      </c>
      <c r="J13" s="287">
        <v>405000</v>
      </c>
      <c r="K13" s="293">
        <f t="shared" si="4"/>
        <v>202500</v>
      </c>
      <c r="L13" s="294">
        <f t="shared" si="5"/>
        <v>202500</v>
      </c>
      <c r="M13" s="260">
        <v>0.5</v>
      </c>
      <c r="N13" s="307">
        <v>0</v>
      </c>
      <c r="O13" s="307">
        <v>0</v>
      </c>
      <c r="P13" s="307">
        <v>0</v>
      </c>
      <c r="Q13" s="307">
        <v>0</v>
      </c>
      <c r="R13" s="307">
        <v>0</v>
      </c>
      <c r="S13" s="307">
        <v>0</v>
      </c>
      <c r="T13" s="307"/>
      <c r="U13" s="261">
        <f>K13</f>
        <v>202500</v>
      </c>
      <c r="V13" s="261">
        <v>0</v>
      </c>
      <c r="W13" s="261">
        <v>0</v>
      </c>
      <c r="X13" s="261">
        <v>0</v>
      </c>
      <c r="Y13" s="261">
        <v>0</v>
      </c>
      <c r="Z13" s="238" t="b">
        <f t="shared" si="0"/>
        <v>1</v>
      </c>
      <c r="AA13" s="253">
        <f t="shared" si="1"/>
        <v>0.5</v>
      </c>
      <c r="AB13" s="254" t="b">
        <f t="shared" si="2"/>
        <v>1</v>
      </c>
      <c r="AC13" s="254" t="b">
        <f t="shared" si="3"/>
        <v>1</v>
      </c>
      <c r="AD13" s="45"/>
    </row>
    <row r="14" spans="1:30" s="44" customFormat="1" ht="37.5" customHeight="1" x14ac:dyDescent="0.25">
      <c r="A14" s="226">
        <v>12</v>
      </c>
      <c r="B14" s="198">
        <v>365</v>
      </c>
      <c r="C14" s="266" t="s">
        <v>483</v>
      </c>
      <c r="D14" s="268" t="s">
        <v>56</v>
      </c>
      <c r="E14" s="268">
        <v>2013</v>
      </c>
      <c r="F14" s="270" t="s">
        <v>285</v>
      </c>
      <c r="G14" s="268" t="s">
        <v>67</v>
      </c>
      <c r="H14" s="272">
        <v>10.8</v>
      </c>
      <c r="I14" s="268" t="s">
        <v>286</v>
      </c>
      <c r="J14" s="56">
        <v>16744000</v>
      </c>
      <c r="K14" s="295">
        <f t="shared" si="4"/>
        <v>8372000</v>
      </c>
      <c r="L14" s="296">
        <f t="shared" si="5"/>
        <v>8372000</v>
      </c>
      <c r="M14" s="274">
        <v>0.5</v>
      </c>
      <c r="N14" s="308">
        <v>0</v>
      </c>
      <c r="O14" s="308">
        <v>0</v>
      </c>
      <c r="P14" s="308">
        <v>0</v>
      </c>
      <c r="Q14" s="308">
        <v>0</v>
      </c>
      <c r="R14" s="308">
        <v>0</v>
      </c>
      <c r="S14" s="308">
        <v>0</v>
      </c>
      <c r="T14" s="308">
        <v>0</v>
      </c>
      <c r="U14" s="282">
        <f>5584000*M14</f>
        <v>2792000</v>
      </c>
      <c r="V14" s="282">
        <f>5580000*M14</f>
        <v>2790000</v>
      </c>
      <c r="W14" s="282">
        <f>5580000*M14</f>
        <v>2790000</v>
      </c>
      <c r="X14" s="282">
        <v>0</v>
      </c>
      <c r="Y14" s="282">
        <v>0</v>
      </c>
      <c r="Z14" s="238" t="b">
        <f t="shared" si="0"/>
        <v>1</v>
      </c>
      <c r="AA14" s="253">
        <f t="shared" si="1"/>
        <v>0.5</v>
      </c>
      <c r="AB14" s="254" t="b">
        <f t="shared" si="2"/>
        <v>1</v>
      </c>
      <c r="AC14" s="254" t="b">
        <f t="shared" si="3"/>
        <v>1</v>
      </c>
      <c r="AD14" s="45"/>
    </row>
    <row r="15" spans="1:30" s="44" customFormat="1" ht="37.5" customHeight="1" x14ac:dyDescent="0.25">
      <c r="A15" s="198">
        <v>13</v>
      </c>
      <c r="B15" s="198">
        <v>364</v>
      </c>
      <c r="C15" s="266" t="s">
        <v>483</v>
      </c>
      <c r="D15" s="268" t="s">
        <v>56</v>
      </c>
      <c r="E15" s="268">
        <v>2013</v>
      </c>
      <c r="F15" s="270" t="s">
        <v>287</v>
      </c>
      <c r="G15" s="268" t="s">
        <v>67</v>
      </c>
      <c r="H15" s="272">
        <v>5.4349999999999996</v>
      </c>
      <c r="I15" s="268" t="s">
        <v>237</v>
      </c>
      <c r="J15" s="56">
        <v>8428250</v>
      </c>
      <c r="K15" s="295">
        <f t="shared" si="4"/>
        <v>4214125</v>
      </c>
      <c r="L15" s="296">
        <f t="shared" si="5"/>
        <v>4214125</v>
      </c>
      <c r="M15" s="274">
        <v>0.5</v>
      </c>
      <c r="N15" s="308">
        <v>0</v>
      </c>
      <c r="O15" s="308">
        <v>0</v>
      </c>
      <c r="P15" s="308">
        <v>0</v>
      </c>
      <c r="Q15" s="308">
        <v>0</v>
      </c>
      <c r="R15" s="308">
        <v>0</v>
      </c>
      <c r="S15" s="308">
        <v>0</v>
      </c>
      <c r="T15" s="308">
        <v>0</v>
      </c>
      <c r="U15" s="282">
        <f>4216125*M15</f>
        <v>2108062.5</v>
      </c>
      <c r="V15" s="282">
        <f>4212125*M15</f>
        <v>2106062.5</v>
      </c>
      <c r="W15" s="282">
        <v>0</v>
      </c>
      <c r="X15" s="282">
        <v>0</v>
      </c>
      <c r="Y15" s="282">
        <v>0</v>
      </c>
      <c r="Z15" s="238" t="b">
        <f t="shared" si="0"/>
        <v>1</v>
      </c>
      <c r="AA15" s="253">
        <f t="shared" si="1"/>
        <v>0.5</v>
      </c>
      <c r="AB15" s="254" t="b">
        <f t="shared" si="2"/>
        <v>1</v>
      </c>
      <c r="AC15" s="254" t="b">
        <f t="shared" si="3"/>
        <v>1</v>
      </c>
      <c r="AD15" s="45"/>
    </row>
    <row r="16" spans="1:30" s="44" customFormat="1" ht="37.5" customHeight="1" x14ac:dyDescent="0.25">
      <c r="A16" s="196">
        <v>14</v>
      </c>
      <c r="B16" s="196">
        <v>206</v>
      </c>
      <c r="C16" s="259" t="s">
        <v>114</v>
      </c>
      <c r="D16" s="263" t="s">
        <v>51</v>
      </c>
      <c r="E16" s="263">
        <v>2006</v>
      </c>
      <c r="F16" s="283" t="s">
        <v>288</v>
      </c>
      <c r="G16" s="263" t="s">
        <v>65</v>
      </c>
      <c r="H16" s="264">
        <v>5.2469999999999999</v>
      </c>
      <c r="I16" s="263" t="s">
        <v>233</v>
      </c>
      <c r="J16" s="287">
        <v>18967191</v>
      </c>
      <c r="K16" s="293">
        <f t="shared" si="4"/>
        <v>9483595.5</v>
      </c>
      <c r="L16" s="294">
        <f t="shared" si="5"/>
        <v>9483595.5</v>
      </c>
      <c r="M16" s="260">
        <v>0.5</v>
      </c>
      <c r="N16" s="307">
        <v>0</v>
      </c>
      <c r="O16" s="307">
        <v>0</v>
      </c>
      <c r="P16" s="307">
        <v>0</v>
      </c>
      <c r="Q16" s="307">
        <v>0</v>
      </c>
      <c r="R16" s="307">
        <v>0</v>
      </c>
      <c r="S16" s="307">
        <v>0</v>
      </c>
      <c r="T16" s="307">
        <v>0</v>
      </c>
      <c r="U16" s="261">
        <f>K16</f>
        <v>9483595.5</v>
      </c>
      <c r="V16" s="261">
        <v>0</v>
      </c>
      <c r="W16" s="261">
        <v>0</v>
      </c>
      <c r="X16" s="261">
        <v>0</v>
      </c>
      <c r="Y16" s="261">
        <v>0</v>
      </c>
      <c r="Z16" s="238" t="b">
        <f t="shared" si="0"/>
        <v>1</v>
      </c>
      <c r="AA16" s="253">
        <f t="shared" si="1"/>
        <v>0.5</v>
      </c>
      <c r="AB16" s="254" t="b">
        <f t="shared" si="2"/>
        <v>1</v>
      </c>
      <c r="AC16" s="254" t="b">
        <f t="shared" si="3"/>
        <v>1</v>
      </c>
      <c r="AD16" s="45"/>
    </row>
    <row r="17" spans="1:30" s="44" customFormat="1" ht="37.5" customHeight="1" x14ac:dyDescent="0.25">
      <c r="A17" s="196">
        <v>15</v>
      </c>
      <c r="B17" s="196">
        <v>312</v>
      </c>
      <c r="C17" s="259" t="s">
        <v>114</v>
      </c>
      <c r="D17" s="263" t="s">
        <v>200</v>
      </c>
      <c r="E17" s="263">
        <v>2001</v>
      </c>
      <c r="F17" s="283" t="s">
        <v>290</v>
      </c>
      <c r="G17" s="263" t="s">
        <v>67</v>
      </c>
      <c r="H17" s="264">
        <v>3.44</v>
      </c>
      <c r="I17" s="263" t="s">
        <v>271</v>
      </c>
      <c r="J17" s="287">
        <v>2430608</v>
      </c>
      <c r="K17" s="293">
        <f t="shared" si="4"/>
        <v>1215304</v>
      </c>
      <c r="L17" s="294">
        <f t="shared" si="5"/>
        <v>1215304</v>
      </c>
      <c r="M17" s="260">
        <v>0.5</v>
      </c>
      <c r="N17" s="307">
        <v>0</v>
      </c>
      <c r="O17" s="307">
        <v>0</v>
      </c>
      <c r="P17" s="307">
        <v>0</v>
      </c>
      <c r="Q17" s="307">
        <v>0</v>
      </c>
      <c r="R17" s="307">
        <v>0</v>
      </c>
      <c r="S17" s="307">
        <v>0</v>
      </c>
      <c r="T17" s="307">
        <v>0</v>
      </c>
      <c r="U17" s="261">
        <f>K17</f>
        <v>1215304</v>
      </c>
      <c r="V17" s="261">
        <v>0</v>
      </c>
      <c r="W17" s="261">
        <v>0</v>
      </c>
      <c r="X17" s="261">
        <v>0</v>
      </c>
      <c r="Y17" s="261">
        <v>0</v>
      </c>
      <c r="Z17" s="238" t="b">
        <f t="shared" si="0"/>
        <v>1</v>
      </c>
      <c r="AA17" s="253">
        <f t="shared" si="1"/>
        <v>0.5</v>
      </c>
      <c r="AB17" s="254" t="b">
        <f t="shared" si="2"/>
        <v>1</v>
      </c>
      <c r="AC17" s="254" t="b">
        <f t="shared" si="3"/>
        <v>1</v>
      </c>
      <c r="AD17" s="45"/>
    </row>
    <row r="18" spans="1:30" s="44" customFormat="1" ht="37.5" customHeight="1" x14ac:dyDescent="0.25">
      <c r="A18" s="300">
        <v>16</v>
      </c>
      <c r="B18" s="259">
        <v>17</v>
      </c>
      <c r="C18" s="259" t="s">
        <v>114</v>
      </c>
      <c r="D18" s="263" t="s">
        <v>203</v>
      </c>
      <c r="E18" s="263">
        <v>2012</v>
      </c>
      <c r="F18" s="283" t="s">
        <v>291</v>
      </c>
      <c r="G18" s="263" t="s">
        <v>65</v>
      </c>
      <c r="H18" s="264">
        <v>3.1</v>
      </c>
      <c r="I18" s="263" t="s">
        <v>231</v>
      </c>
      <c r="J18" s="287">
        <v>9802000</v>
      </c>
      <c r="K18" s="293">
        <f t="shared" si="4"/>
        <v>4901000</v>
      </c>
      <c r="L18" s="294">
        <f t="shared" si="5"/>
        <v>4901000</v>
      </c>
      <c r="M18" s="260">
        <v>0.5</v>
      </c>
      <c r="N18" s="307">
        <v>0</v>
      </c>
      <c r="O18" s="307">
        <v>0</v>
      </c>
      <c r="P18" s="307">
        <v>0</v>
      </c>
      <c r="Q18" s="307">
        <v>0</v>
      </c>
      <c r="R18" s="307">
        <v>0</v>
      </c>
      <c r="S18" s="307">
        <v>0</v>
      </c>
      <c r="T18" s="307">
        <v>0</v>
      </c>
      <c r="U18" s="261">
        <f>K18</f>
        <v>4901000</v>
      </c>
      <c r="V18" s="261">
        <v>0</v>
      </c>
      <c r="W18" s="261">
        <v>0</v>
      </c>
      <c r="X18" s="261">
        <v>0</v>
      </c>
      <c r="Y18" s="261">
        <v>0</v>
      </c>
      <c r="Z18" s="238" t="b">
        <f t="shared" si="0"/>
        <v>1</v>
      </c>
      <c r="AA18" s="253">
        <f t="shared" si="1"/>
        <v>0.5</v>
      </c>
      <c r="AB18" s="254" t="b">
        <f t="shared" si="2"/>
        <v>1</v>
      </c>
      <c r="AC18" s="254" t="b">
        <f t="shared" si="3"/>
        <v>1</v>
      </c>
      <c r="AD18" s="45"/>
    </row>
    <row r="19" spans="1:30" s="44" customFormat="1" ht="37.5" customHeight="1" x14ac:dyDescent="0.25">
      <c r="A19" s="196">
        <v>17</v>
      </c>
      <c r="B19" s="259">
        <v>317</v>
      </c>
      <c r="C19" s="259" t="s">
        <v>114</v>
      </c>
      <c r="D19" s="263" t="s">
        <v>200</v>
      </c>
      <c r="E19" s="263">
        <v>2001</v>
      </c>
      <c r="F19" s="283" t="s">
        <v>292</v>
      </c>
      <c r="G19" s="263" t="s">
        <v>65</v>
      </c>
      <c r="H19" s="264">
        <v>2.98</v>
      </c>
      <c r="I19" s="263" t="s">
        <v>293</v>
      </c>
      <c r="J19" s="287">
        <v>3162363</v>
      </c>
      <c r="K19" s="293">
        <f t="shared" si="4"/>
        <v>1581181.5</v>
      </c>
      <c r="L19" s="294">
        <f t="shared" si="5"/>
        <v>1581181.5</v>
      </c>
      <c r="M19" s="260">
        <v>0.5</v>
      </c>
      <c r="N19" s="307">
        <v>0</v>
      </c>
      <c r="O19" s="307">
        <v>0</v>
      </c>
      <c r="P19" s="307">
        <v>0</v>
      </c>
      <c r="Q19" s="307">
        <v>0</v>
      </c>
      <c r="R19" s="307">
        <v>0</v>
      </c>
      <c r="S19" s="307">
        <v>0</v>
      </c>
      <c r="T19" s="307">
        <v>0</v>
      </c>
      <c r="U19" s="261">
        <f>K19</f>
        <v>1581181.5</v>
      </c>
      <c r="V19" s="261">
        <v>0</v>
      </c>
      <c r="W19" s="261">
        <v>0</v>
      </c>
      <c r="X19" s="261">
        <v>0</v>
      </c>
      <c r="Y19" s="261">
        <v>0</v>
      </c>
      <c r="Z19" s="238" t="b">
        <f t="shared" si="0"/>
        <v>1</v>
      </c>
      <c r="AA19" s="253">
        <f t="shared" si="1"/>
        <v>0.5</v>
      </c>
      <c r="AB19" s="254" t="b">
        <f t="shared" si="2"/>
        <v>1</v>
      </c>
      <c r="AC19" s="254" t="b">
        <f t="shared" si="3"/>
        <v>1</v>
      </c>
      <c r="AD19" s="45"/>
    </row>
    <row r="20" spans="1:30" s="44" customFormat="1" ht="37.5" customHeight="1" x14ac:dyDescent="0.25">
      <c r="A20" s="198">
        <v>18</v>
      </c>
      <c r="B20" s="266">
        <v>415</v>
      </c>
      <c r="C20" s="266" t="s">
        <v>483</v>
      </c>
      <c r="D20" s="268" t="s">
        <v>55</v>
      </c>
      <c r="E20" s="268">
        <v>2011</v>
      </c>
      <c r="F20" s="270" t="s">
        <v>294</v>
      </c>
      <c r="G20" s="268" t="s">
        <v>66</v>
      </c>
      <c r="H20" s="272">
        <v>2.8319999999999999</v>
      </c>
      <c r="I20" s="268" t="s">
        <v>239</v>
      </c>
      <c r="J20" s="56">
        <v>5811460</v>
      </c>
      <c r="K20" s="295">
        <f t="shared" si="4"/>
        <v>2905730</v>
      </c>
      <c r="L20" s="296">
        <f t="shared" si="5"/>
        <v>2905730</v>
      </c>
      <c r="M20" s="274">
        <v>0.5</v>
      </c>
      <c r="N20" s="308">
        <v>0</v>
      </c>
      <c r="O20" s="308">
        <v>0</v>
      </c>
      <c r="P20" s="308">
        <v>0</v>
      </c>
      <c r="Q20" s="308">
        <v>0</v>
      </c>
      <c r="R20" s="308">
        <v>0</v>
      </c>
      <c r="S20" s="308">
        <v>0</v>
      </c>
      <c r="T20" s="308">
        <v>0</v>
      </c>
      <c r="U20" s="282">
        <f>574896*M20</f>
        <v>287448</v>
      </c>
      <c r="V20" s="282">
        <f>2587032*M20</f>
        <v>1293516</v>
      </c>
      <c r="W20" s="282">
        <f>2649532*M20</f>
        <v>1324766</v>
      </c>
      <c r="X20" s="282">
        <v>0</v>
      </c>
      <c r="Y20" s="282">
        <v>0</v>
      </c>
      <c r="Z20" s="238" t="b">
        <f t="shared" si="0"/>
        <v>1</v>
      </c>
      <c r="AA20" s="253">
        <f t="shared" si="1"/>
        <v>0.5</v>
      </c>
      <c r="AB20" s="254" t="b">
        <f t="shared" si="2"/>
        <v>1</v>
      </c>
      <c r="AC20" s="254" t="b">
        <f t="shared" si="3"/>
        <v>1</v>
      </c>
      <c r="AD20" s="45"/>
    </row>
    <row r="21" spans="1:30" s="44" customFormat="1" ht="37.5" customHeight="1" x14ac:dyDescent="0.25">
      <c r="A21" s="300">
        <v>19</v>
      </c>
      <c r="B21" s="259">
        <v>320</v>
      </c>
      <c r="C21" s="259" t="s">
        <v>114</v>
      </c>
      <c r="D21" s="263" t="s">
        <v>200</v>
      </c>
      <c r="E21" s="263">
        <v>2001</v>
      </c>
      <c r="F21" s="283" t="s">
        <v>295</v>
      </c>
      <c r="G21" s="263" t="s">
        <v>67</v>
      </c>
      <c r="H21" s="264">
        <v>2.56</v>
      </c>
      <c r="I21" s="263" t="s">
        <v>242</v>
      </c>
      <c r="J21" s="287">
        <v>2005516</v>
      </c>
      <c r="K21" s="293">
        <f t="shared" si="4"/>
        <v>1002758</v>
      </c>
      <c r="L21" s="294">
        <f t="shared" si="5"/>
        <v>1002758</v>
      </c>
      <c r="M21" s="260">
        <v>0.5</v>
      </c>
      <c r="N21" s="307">
        <v>0</v>
      </c>
      <c r="O21" s="307">
        <v>0</v>
      </c>
      <c r="P21" s="307">
        <v>0</v>
      </c>
      <c r="Q21" s="307">
        <v>0</v>
      </c>
      <c r="R21" s="307">
        <v>0</v>
      </c>
      <c r="S21" s="307">
        <v>0</v>
      </c>
      <c r="T21" s="307">
        <v>0</v>
      </c>
      <c r="U21" s="261">
        <f>K21</f>
        <v>1002758</v>
      </c>
      <c r="V21" s="261">
        <v>0</v>
      </c>
      <c r="W21" s="261">
        <v>0</v>
      </c>
      <c r="X21" s="261">
        <v>0</v>
      </c>
      <c r="Y21" s="261">
        <v>0</v>
      </c>
      <c r="Z21" s="238" t="b">
        <f t="shared" si="0"/>
        <v>1</v>
      </c>
      <c r="AA21" s="253">
        <f t="shared" si="1"/>
        <v>0.5</v>
      </c>
      <c r="AB21" s="254" t="b">
        <f t="shared" si="2"/>
        <v>1</v>
      </c>
      <c r="AC21" s="254" t="b">
        <f t="shared" si="3"/>
        <v>1</v>
      </c>
      <c r="AD21" s="45"/>
    </row>
    <row r="22" spans="1:30" s="44" customFormat="1" ht="37.5" customHeight="1" x14ac:dyDescent="0.25">
      <c r="A22" s="196">
        <v>20</v>
      </c>
      <c r="B22" s="259">
        <v>327</v>
      </c>
      <c r="C22" s="259" t="s">
        <v>114</v>
      </c>
      <c r="D22" s="263" t="s">
        <v>52</v>
      </c>
      <c r="E22" s="263">
        <v>2007</v>
      </c>
      <c r="F22" s="283" t="s">
        <v>296</v>
      </c>
      <c r="G22" s="263" t="s">
        <v>65</v>
      </c>
      <c r="H22" s="264">
        <v>2.5</v>
      </c>
      <c r="I22" s="263" t="s">
        <v>297</v>
      </c>
      <c r="J22" s="287">
        <v>4006000</v>
      </c>
      <c r="K22" s="293">
        <f t="shared" si="4"/>
        <v>2003000</v>
      </c>
      <c r="L22" s="294">
        <f t="shared" si="5"/>
        <v>2003000</v>
      </c>
      <c r="M22" s="260">
        <v>0.5</v>
      </c>
      <c r="N22" s="307">
        <v>0</v>
      </c>
      <c r="O22" s="307">
        <v>0</v>
      </c>
      <c r="P22" s="307">
        <v>0</v>
      </c>
      <c r="Q22" s="307">
        <v>0</v>
      </c>
      <c r="R22" s="307">
        <v>0</v>
      </c>
      <c r="S22" s="307">
        <v>0</v>
      </c>
      <c r="T22" s="307"/>
      <c r="U22" s="261">
        <f>K22</f>
        <v>2003000</v>
      </c>
      <c r="V22" s="261">
        <v>0</v>
      </c>
      <c r="W22" s="261">
        <v>0</v>
      </c>
      <c r="X22" s="261">
        <v>0</v>
      </c>
      <c r="Y22" s="261">
        <v>0</v>
      </c>
      <c r="Z22" s="238" t="b">
        <f t="shared" si="0"/>
        <v>1</v>
      </c>
      <c r="AA22" s="253">
        <f t="shared" si="1"/>
        <v>0.5</v>
      </c>
      <c r="AB22" s="254" t="b">
        <f t="shared" si="2"/>
        <v>1</v>
      </c>
      <c r="AC22" s="254" t="b">
        <f t="shared" si="3"/>
        <v>1</v>
      </c>
      <c r="AD22" s="45"/>
    </row>
    <row r="23" spans="1:30" s="44" customFormat="1" ht="37.5" customHeight="1" x14ac:dyDescent="0.25">
      <c r="A23" s="198">
        <v>21</v>
      </c>
      <c r="B23" s="266">
        <v>442</v>
      </c>
      <c r="C23" s="266" t="s">
        <v>483</v>
      </c>
      <c r="D23" s="268" t="s">
        <v>55</v>
      </c>
      <c r="E23" s="268">
        <v>2011</v>
      </c>
      <c r="F23" s="270" t="s">
        <v>298</v>
      </c>
      <c r="G23" s="268" t="s">
        <v>66</v>
      </c>
      <c r="H23" s="272">
        <v>2.4500000000000002</v>
      </c>
      <c r="I23" s="268" t="s">
        <v>239</v>
      </c>
      <c r="J23" s="56">
        <v>4496500</v>
      </c>
      <c r="K23" s="295">
        <f t="shared" si="4"/>
        <v>2248250</v>
      </c>
      <c r="L23" s="296">
        <f t="shared" si="5"/>
        <v>2248250</v>
      </c>
      <c r="M23" s="274">
        <v>0.5</v>
      </c>
      <c r="N23" s="308">
        <v>0</v>
      </c>
      <c r="O23" s="308">
        <v>0</v>
      </c>
      <c r="P23" s="308">
        <v>0</v>
      </c>
      <c r="Q23" s="308">
        <v>0</v>
      </c>
      <c r="R23" s="308">
        <v>0</v>
      </c>
      <c r="S23" s="308">
        <v>0</v>
      </c>
      <c r="T23" s="308">
        <v>0</v>
      </c>
      <c r="U23" s="282">
        <f>445900*M23</f>
        <v>222950</v>
      </c>
      <c r="V23" s="282">
        <f>2006550*M23</f>
        <v>1003275</v>
      </c>
      <c r="W23" s="282">
        <f>2044050*M23</f>
        <v>1022025</v>
      </c>
      <c r="X23" s="282">
        <v>0</v>
      </c>
      <c r="Y23" s="282">
        <v>0</v>
      </c>
      <c r="Z23" s="238" t="b">
        <f t="shared" si="0"/>
        <v>1</v>
      </c>
      <c r="AA23" s="253">
        <f t="shared" si="1"/>
        <v>0.5</v>
      </c>
      <c r="AB23" s="254" t="b">
        <f t="shared" si="2"/>
        <v>1</v>
      </c>
      <c r="AC23" s="254" t="b">
        <f t="shared" si="3"/>
        <v>1</v>
      </c>
      <c r="AD23" s="45"/>
    </row>
    <row r="24" spans="1:30" s="44" customFormat="1" ht="37.5" customHeight="1" x14ac:dyDescent="0.25">
      <c r="A24" s="300">
        <v>22</v>
      </c>
      <c r="B24" s="259">
        <v>128</v>
      </c>
      <c r="C24" s="259" t="s">
        <v>114</v>
      </c>
      <c r="D24" s="263" t="s">
        <v>48</v>
      </c>
      <c r="E24" s="263">
        <v>2002</v>
      </c>
      <c r="F24" s="283" t="s">
        <v>299</v>
      </c>
      <c r="G24" s="263" t="s">
        <v>66</v>
      </c>
      <c r="H24" s="264">
        <v>1.61</v>
      </c>
      <c r="I24" s="263" t="s">
        <v>212</v>
      </c>
      <c r="J24" s="287">
        <v>9599000</v>
      </c>
      <c r="K24" s="293">
        <f t="shared" si="4"/>
        <v>4799500</v>
      </c>
      <c r="L24" s="294">
        <f t="shared" si="5"/>
        <v>4799500</v>
      </c>
      <c r="M24" s="260">
        <v>0.5</v>
      </c>
      <c r="N24" s="307">
        <v>0</v>
      </c>
      <c r="O24" s="307">
        <v>0</v>
      </c>
      <c r="P24" s="307">
        <v>0</v>
      </c>
      <c r="Q24" s="307">
        <v>0</v>
      </c>
      <c r="R24" s="307">
        <v>0</v>
      </c>
      <c r="S24" s="307">
        <v>0</v>
      </c>
      <c r="T24" s="307">
        <v>0</v>
      </c>
      <c r="U24" s="261">
        <f>K24</f>
        <v>4799500</v>
      </c>
      <c r="V24" s="261">
        <v>0</v>
      </c>
      <c r="W24" s="261">
        <v>0</v>
      </c>
      <c r="X24" s="261">
        <v>0</v>
      </c>
      <c r="Y24" s="261">
        <v>0</v>
      </c>
      <c r="Z24" s="238" t="b">
        <f t="shared" si="0"/>
        <v>1</v>
      </c>
      <c r="AA24" s="253">
        <f t="shared" si="1"/>
        <v>0.5</v>
      </c>
      <c r="AB24" s="254" t="b">
        <f t="shared" si="2"/>
        <v>1</v>
      </c>
      <c r="AC24" s="254" t="b">
        <f t="shared" si="3"/>
        <v>1</v>
      </c>
      <c r="AD24" s="45"/>
    </row>
    <row r="25" spans="1:30" s="44" customFormat="1" ht="37.5" customHeight="1" x14ac:dyDescent="0.25">
      <c r="A25" s="196">
        <v>23</v>
      </c>
      <c r="B25" s="259">
        <v>123</v>
      </c>
      <c r="C25" s="259" t="s">
        <v>114</v>
      </c>
      <c r="D25" s="263" t="s">
        <v>48</v>
      </c>
      <c r="E25" s="263">
        <v>2002</v>
      </c>
      <c r="F25" s="283" t="s">
        <v>300</v>
      </c>
      <c r="G25" s="263" t="s">
        <v>66</v>
      </c>
      <c r="H25" s="264">
        <v>1.512</v>
      </c>
      <c r="I25" s="263" t="s">
        <v>212</v>
      </c>
      <c r="J25" s="287">
        <v>7470059.5099999998</v>
      </c>
      <c r="K25" s="293">
        <f t="shared" si="4"/>
        <v>3735029.75</v>
      </c>
      <c r="L25" s="294">
        <f t="shared" si="5"/>
        <v>3735029.7599999998</v>
      </c>
      <c r="M25" s="260">
        <v>0.5</v>
      </c>
      <c r="N25" s="307">
        <v>0</v>
      </c>
      <c r="O25" s="307">
        <v>0</v>
      </c>
      <c r="P25" s="307">
        <v>0</v>
      </c>
      <c r="Q25" s="307">
        <v>0</v>
      </c>
      <c r="R25" s="307">
        <v>0</v>
      </c>
      <c r="S25" s="307">
        <v>0</v>
      </c>
      <c r="T25" s="307">
        <v>0</v>
      </c>
      <c r="U25" s="261">
        <f>K25</f>
        <v>3735029.75</v>
      </c>
      <c r="V25" s="261">
        <v>0</v>
      </c>
      <c r="W25" s="261">
        <v>0</v>
      </c>
      <c r="X25" s="261">
        <v>0</v>
      </c>
      <c r="Y25" s="261">
        <v>0</v>
      </c>
      <c r="Z25" s="238" t="b">
        <f t="shared" si="0"/>
        <v>1</v>
      </c>
      <c r="AA25" s="253">
        <f t="shared" si="1"/>
        <v>0.5</v>
      </c>
      <c r="AB25" s="254" t="b">
        <f t="shared" si="2"/>
        <v>1</v>
      </c>
      <c r="AC25" s="254" t="b">
        <f t="shared" si="3"/>
        <v>1</v>
      </c>
      <c r="AD25" s="45"/>
    </row>
    <row r="26" spans="1:30" s="44" customFormat="1" ht="37.5" customHeight="1" x14ac:dyDescent="0.25">
      <c r="A26" s="198">
        <v>24</v>
      </c>
      <c r="B26" s="266">
        <v>427</v>
      </c>
      <c r="C26" s="266" t="s">
        <v>483</v>
      </c>
      <c r="D26" s="268" t="s">
        <v>55</v>
      </c>
      <c r="E26" s="268">
        <v>2011</v>
      </c>
      <c r="F26" s="270" t="s">
        <v>301</v>
      </c>
      <c r="G26" s="268" t="s">
        <v>66</v>
      </c>
      <c r="H26" s="272">
        <v>1.151</v>
      </c>
      <c r="I26" s="268" t="s">
        <v>239</v>
      </c>
      <c r="J26" s="56">
        <v>2272000</v>
      </c>
      <c r="K26" s="295">
        <f t="shared" si="4"/>
        <v>1136000</v>
      </c>
      <c r="L26" s="296">
        <f t="shared" si="5"/>
        <v>1136000</v>
      </c>
      <c r="M26" s="274">
        <v>0.5</v>
      </c>
      <c r="N26" s="308">
        <v>0</v>
      </c>
      <c r="O26" s="308">
        <v>0</v>
      </c>
      <c r="P26" s="308">
        <v>0</v>
      </c>
      <c r="Q26" s="308">
        <v>0</v>
      </c>
      <c r="R26" s="308">
        <v>0</v>
      </c>
      <c r="S26" s="308">
        <v>0</v>
      </c>
      <c r="T26" s="308">
        <v>0</v>
      </c>
      <c r="U26" s="282">
        <f>224450*M26</f>
        <v>112225</v>
      </c>
      <c r="V26" s="282">
        <f>1010025*M26</f>
        <v>505012.5</v>
      </c>
      <c r="W26" s="282">
        <f>1037525*M26</f>
        <v>518762.5</v>
      </c>
      <c r="X26" s="282">
        <v>0</v>
      </c>
      <c r="Y26" s="282">
        <v>0</v>
      </c>
      <c r="Z26" s="238" t="b">
        <f t="shared" si="0"/>
        <v>1</v>
      </c>
      <c r="AA26" s="253">
        <f t="shared" si="1"/>
        <v>0.5</v>
      </c>
      <c r="AB26" s="254" t="b">
        <f t="shared" si="2"/>
        <v>1</v>
      </c>
      <c r="AC26" s="254" t="b">
        <f t="shared" si="3"/>
        <v>1</v>
      </c>
      <c r="AD26" s="45"/>
    </row>
    <row r="27" spans="1:30" s="44" customFormat="1" ht="37.5" customHeight="1" x14ac:dyDescent="0.25">
      <c r="A27" s="300">
        <v>25</v>
      </c>
      <c r="B27" s="259">
        <v>183</v>
      </c>
      <c r="C27" s="259" t="s">
        <v>114</v>
      </c>
      <c r="D27" s="263" t="s">
        <v>53</v>
      </c>
      <c r="E27" s="263">
        <v>2008</v>
      </c>
      <c r="F27" s="283" t="s">
        <v>302</v>
      </c>
      <c r="G27" s="263" t="s">
        <v>65</v>
      </c>
      <c r="H27" s="264">
        <v>1</v>
      </c>
      <c r="I27" s="263" t="s">
        <v>255</v>
      </c>
      <c r="J27" s="287">
        <v>2003500</v>
      </c>
      <c r="K27" s="293">
        <f t="shared" si="4"/>
        <v>1001750</v>
      </c>
      <c r="L27" s="294">
        <f t="shared" si="5"/>
        <v>1001750</v>
      </c>
      <c r="M27" s="260">
        <v>0.5</v>
      </c>
      <c r="N27" s="307">
        <v>0</v>
      </c>
      <c r="O27" s="307">
        <v>0</v>
      </c>
      <c r="P27" s="307">
        <v>0</v>
      </c>
      <c r="Q27" s="307">
        <v>0</v>
      </c>
      <c r="R27" s="307">
        <v>0</v>
      </c>
      <c r="S27" s="307">
        <v>0</v>
      </c>
      <c r="T27" s="307">
        <v>0</v>
      </c>
      <c r="U27" s="261">
        <f>K27</f>
        <v>1001750</v>
      </c>
      <c r="V27" s="261">
        <v>0</v>
      </c>
      <c r="W27" s="261">
        <v>0</v>
      </c>
      <c r="X27" s="261">
        <v>0</v>
      </c>
      <c r="Y27" s="261">
        <v>0</v>
      </c>
      <c r="Z27" s="238" t="b">
        <f t="shared" si="0"/>
        <v>1</v>
      </c>
      <c r="AA27" s="253">
        <f t="shared" si="1"/>
        <v>0.5</v>
      </c>
      <c r="AB27" s="254" t="b">
        <f t="shared" si="2"/>
        <v>1</v>
      </c>
      <c r="AC27" s="254" t="b">
        <f t="shared" si="3"/>
        <v>1</v>
      </c>
      <c r="AD27" s="45"/>
    </row>
    <row r="28" spans="1:30" s="44" customFormat="1" ht="37.5" customHeight="1" x14ac:dyDescent="0.25">
      <c r="A28" s="299">
        <v>26</v>
      </c>
      <c r="B28" s="267">
        <v>446</v>
      </c>
      <c r="C28" s="267" t="s">
        <v>483</v>
      </c>
      <c r="D28" s="269" t="s">
        <v>55</v>
      </c>
      <c r="E28" s="269">
        <v>2011</v>
      </c>
      <c r="F28" s="271" t="s">
        <v>303</v>
      </c>
      <c r="G28" s="269" t="s">
        <v>65</v>
      </c>
      <c r="H28" s="273">
        <v>0.96499999999999997</v>
      </c>
      <c r="I28" s="269" t="s">
        <v>304</v>
      </c>
      <c r="J28" s="292">
        <v>4947500</v>
      </c>
      <c r="K28" s="295">
        <f t="shared" si="4"/>
        <v>2473750</v>
      </c>
      <c r="L28" s="296">
        <f t="shared" si="5"/>
        <v>2473750</v>
      </c>
      <c r="M28" s="275">
        <v>0.5</v>
      </c>
      <c r="N28" s="308">
        <v>0</v>
      </c>
      <c r="O28" s="308">
        <v>0</v>
      </c>
      <c r="P28" s="308">
        <v>0</v>
      </c>
      <c r="Q28" s="308">
        <v>0</v>
      </c>
      <c r="R28" s="308">
        <v>0</v>
      </c>
      <c r="S28" s="308">
        <v>0</v>
      </c>
      <c r="T28" s="310">
        <v>0</v>
      </c>
      <c r="U28" s="305">
        <f>979000*M28</f>
        <v>489500</v>
      </c>
      <c r="V28" s="305">
        <f>1305000*M28</f>
        <v>652500</v>
      </c>
      <c r="W28" s="305">
        <f>1305000*M28</f>
        <v>652500</v>
      </c>
      <c r="X28" s="305">
        <f>1358500*M28</f>
        <v>679250</v>
      </c>
      <c r="Y28" s="305">
        <v>0</v>
      </c>
      <c r="Z28" s="238" t="b">
        <f t="shared" si="0"/>
        <v>1</v>
      </c>
      <c r="AA28" s="253">
        <f t="shared" si="1"/>
        <v>0.5</v>
      </c>
      <c r="AB28" s="254" t="b">
        <f t="shared" si="2"/>
        <v>1</v>
      </c>
      <c r="AC28" s="254" t="b">
        <f t="shared" si="3"/>
        <v>1</v>
      </c>
      <c r="AD28" s="45"/>
    </row>
    <row r="29" spans="1:30" s="44" customFormat="1" ht="37.5" customHeight="1" x14ac:dyDescent="0.25">
      <c r="A29" s="198">
        <v>27</v>
      </c>
      <c r="B29" s="266">
        <v>371</v>
      </c>
      <c r="C29" s="266" t="s">
        <v>483</v>
      </c>
      <c r="D29" s="268" t="s">
        <v>56</v>
      </c>
      <c r="E29" s="268">
        <v>2013</v>
      </c>
      <c r="F29" s="270" t="s">
        <v>305</v>
      </c>
      <c r="G29" s="268" t="s">
        <v>66</v>
      </c>
      <c r="H29" s="272">
        <v>0.89100000000000001</v>
      </c>
      <c r="I29" s="268" t="s">
        <v>237</v>
      </c>
      <c r="J29" s="56">
        <v>16004000</v>
      </c>
      <c r="K29" s="295">
        <f t="shared" si="4"/>
        <v>8002000</v>
      </c>
      <c r="L29" s="296">
        <f t="shared" si="5"/>
        <v>8002000</v>
      </c>
      <c r="M29" s="274">
        <v>0.5</v>
      </c>
      <c r="N29" s="308">
        <v>0</v>
      </c>
      <c r="O29" s="308">
        <v>0</v>
      </c>
      <c r="P29" s="308">
        <v>0</v>
      </c>
      <c r="Q29" s="308">
        <v>0</v>
      </c>
      <c r="R29" s="308">
        <v>0</v>
      </c>
      <c r="S29" s="308">
        <v>0</v>
      </c>
      <c r="T29" s="308">
        <v>0</v>
      </c>
      <c r="U29" s="282">
        <f>8004000*M29</f>
        <v>4002000</v>
      </c>
      <c r="V29" s="282">
        <f>8000000*M29</f>
        <v>4000000</v>
      </c>
      <c r="W29" s="282">
        <v>0</v>
      </c>
      <c r="X29" s="282">
        <v>0</v>
      </c>
      <c r="Y29" s="282">
        <v>0</v>
      </c>
      <c r="Z29" s="238" t="b">
        <f t="shared" si="0"/>
        <v>1</v>
      </c>
      <c r="AA29" s="253">
        <f t="shared" si="1"/>
        <v>0.5</v>
      </c>
      <c r="AB29" s="254" t="b">
        <f t="shared" si="2"/>
        <v>1</v>
      </c>
      <c r="AC29" s="254" t="b">
        <f t="shared" si="3"/>
        <v>1</v>
      </c>
      <c r="AD29" s="45"/>
    </row>
    <row r="30" spans="1:30" s="44" customFormat="1" ht="37.5" customHeight="1" x14ac:dyDescent="0.25">
      <c r="A30" s="196">
        <v>28</v>
      </c>
      <c r="B30" s="259">
        <v>316</v>
      </c>
      <c r="C30" s="259" t="s">
        <v>114</v>
      </c>
      <c r="D30" s="263" t="s">
        <v>200</v>
      </c>
      <c r="E30" s="263">
        <v>2001</v>
      </c>
      <c r="F30" s="283" t="s">
        <v>306</v>
      </c>
      <c r="G30" s="263" t="s">
        <v>65</v>
      </c>
      <c r="H30" s="264">
        <v>0.80800000000000005</v>
      </c>
      <c r="I30" s="263" t="s">
        <v>293</v>
      </c>
      <c r="J30" s="287">
        <v>6988380</v>
      </c>
      <c r="K30" s="293">
        <f t="shared" si="4"/>
        <v>3494190</v>
      </c>
      <c r="L30" s="294">
        <f t="shared" si="5"/>
        <v>3494190</v>
      </c>
      <c r="M30" s="260">
        <v>0.5</v>
      </c>
      <c r="N30" s="307">
        <v>0</v>
      </c>
      <c r="O30" s="307">
        <v>0</v>
      </c>
      <c r="P30" s="307">
        <v>0</v>
      </c>
      <c r="Q30" s="307">
        <v>0</v>
      </c>
      <c r="R30" s="307">
        <v>0</v>
      </c>
      <c r="S30" s="307">
        <v>0</v>
      </c>
      <c r="T30" s="307">
        <v>0</v>
      </c>
      <c r="U30" s="261">
        <f>K30</f>
        <v>3494190</v>
      </c>
      <c r="V30" s="261">
        <v>0</v>
      </c>
      <c r="W30" s="261">
        <v>0</v>
      </c>
      <c r="X30" s="261">
        <v>0</v>
      </c>
      <c r="Y30" s="261">
        <v>0</v>
      </c>
      <c r="Z30" s="238" t="b">
        <f t="shared" si="0"/>
        <v>1</v>
      </c>
      <c r="AA30" s="253">
        <f t="shared" si="1"/>
        <v>0.5</v>
      </c>
      <c r="AB30" s="254" t="b">
        <f t="shared" si="2"/>
        <v>1</v>
      </c>
      <c r="AC30" s="254" t="b">
        <f t="shared" si="3"/>
        <v>1</v>
      </c>
      <c r="AD30" s="45"/>
    </row>
    <row r="31" spans="1:30" s="44" customFormat="1" ht="37.5" customHeight="1" x14ac:dyDescent="0.25">
      <c r="A31" s="196">
        <v>29</v>
      </c>
      <c r="B31" s="196">
        <v>181</v>
      </c>
      <c r="C31" s="259" t="s">
        <v>114</v>
      </c>
      <c r="D31" s="263" t="s">
        <v>53</v>
      </c>
      <c r="E31" s="263">
        <v>2008</v>
      </c>
      <c r="F31" s="283" t="s">
        <v>307</v>
      </c>
      <c r="G31" s="263" t="s">
        <v>65</v>
      </c>
      <c r="H31" s="264">
        <v>0.77300000000000002</v>
      </c>
      <c r="I31" s="263" t="s">
        <v>255</v>
      </c>
      <c r="J31" s="287">
        <v>2118500</v>
      </c>
      <c r="K31" s="287">
        <f t="shared" si="4"/>
        <v>1059250</v>
      </c>
      <c r="L31" s="291">
        <f t="shared" si="5"/>
        <v>1059250</v>
      </c>
      <c r="M31" s="260">
        <v>0.5</v>
      </c>
      <c r="N31" s="307">
        <v>0</v>
      </c>
      <c r="O31" s="307">
        <v>0</v>
      </c>
      <c r="P31" s="307">
        <v>0</v>
      </c>
      <c r="Q31" s="307">
        <v>0</v>
      </c>
      <c r="R31" s="307">
        <v>0</v>
      </c>
      <c r="S31" s="307">
        <v>0</v>
      </c>
      <c r="T31" s="307">
        <v>0</v>
      </c>
      <c r="U31" s="261">
        <f>K31</f>
        <v>1059250</v>
      </c>
      <c r="V31" s="261">
        <v>0</v>
      </c>
      <c r="W31" s="261">
        <v>0</v>
      </c>
      <c r="X31" s="261">
        <v>0</v>
      </c>
      <c r="Y31" s="261">
        <v>0</v>
      </c>
      <c r="Z31" s="238" t="b">
        <f t="shared" si="0"/>
        <v>1</v>
      </c>
      <c r="AA31" s="253">
        <f t="shared" si="1"/>
        <v>0.5</v>
      </c>
      <c r="AB31" s="254" t="b">
        <f t="shared" si="2"/>
        <v>1</v>
      </c>
      <c r="AC31" s="254" t="b">
        <f t="shared" si="3"/>
        <v>1</v>
      </c>
      <c r="AD31" s="45"/>
    </row>
    <row r="32" spans="1:30" s="44" customFormat="1" ht="37.5" customHeight="1" x14ac:dyDescent="0.25">
      <c r="A32" s="198" t="s">
        <v>498</v>
      </c>
      <c r="B32" s="198">
        <v>413</v>
      </c>
      <c r="C32" s="198" t="s">
        <v>483</v>
      </c>
      <c r="D32" s="199" t="s">
        <v>55</v>
      </c>
      <c r="E32" s="199">
        <v>2011</v>
      </c>
      <c r="F32" s="314" t="s">
        <v>308</v>
      </c>
      <c r="G32" s="199" t="s">
        <v>65</v>
      </c>
      <c r="H32" s="201">
        <v>13.15</v>
      </c>
      <c r="I32" s="199" t="s">
        <v>304</v>
      </c>
      <c r="J32" s="210">
        <v>26805000</v>
      </c>
      <c r="K32" s="210">
        <f>ROUNDDOWN(J32*M32,2)-595090.15</f>
        <v>12807409.85</v>
      </c>
      <c r="L32" s="209">
        <f t="shared" si="5"/>
        <v>13997590.15</v>
      </c>
      <c r="M32" s="211">
        <v>0.5</v>
      </c>
      <c r="N32" s="214">
        <v>0</v>
      </c>
      <c r="O32" s="214">
        <v>0</v>
      </c>
      <c r="P32" s="214">
        <v>0</v>
      </c>
      <c r="Q32" s="214">
        <v>0</v>
      </c>
      <c r="R32" s="214">
        <v>0</v>
      </c>
      <c r="S32" s="214">
        <v>0</v>
      </c>
      <c r="T32" s="214">
        <v>0</v>
      </c>
      <c r="U32" s="205">
        <f>(3350500*M32)-595090.15</f>
        <v>1080159.8500000001</v>
      </c>
      <c r="V32" s="205">
        <f>9753500*M32</f>
        <v>4876750</v>
      </c>
      <c r="W32" s="205">
        <f>11648500*M32</f>
        <v>5824250</v>
      </c>
      <c r="X32" s="205">
        <f>2052500*M32</f>
        <v>1026250</v>
      </c>
      <c r="Y32" s="205">
        <v>0</v>
      </c>
      <c r="Z32" s="238" t="b">
        <f t="shared" si="0"/>
        <v>1</v>
      </c>
      <c r="AA32" s="253">
        <f t="shared" si="1"/>
        <v>0.4778</v>
      </c>
      <c r="AB32" s="254" t="b">
        <f t="shared" si="2"/>
        <v>0</v>
      </c>
      <c r="AC32" s="254" t="b">
        <f t="shared" si="3"/>
        <v>1</v>
      </c>
      <c r="AD32" s="45"/>
    </row>
    <row r="33" spans="1:30" ht="20.100000000000001" customHeight="1" x14ac:dyDescent="0.25">
      <c r="A33" s="475" t="s">
        <v>44</v>
      </c>
      <c r="B33" s="475"/>
      <c r="C33" s="475"/>
      <c r="D33" s="475"/>
      <c r="E33" s="475"/>
      <c r="F33" s="475"/>
      <c r="G33" s="475"/>
      <c r="H33" s="157">
        <f>SUM(H3:H32)</f>
        <v>83.405000000000015</v>
      </c>
      <c r="I33" s="255" t="s">
        <v>14</v>
      </c>
      <c r="J33" s="256">
        <f>SUM(J3:J32)</f>
        <v>236045353.72999999</v>
      </c>
      <c r="K33" s="256">
        <f>SUM(K3:K32)</f>
        <v>117427586.69999999</v>
      </c>
      <c r="L33" s="256">
        <f>SUM(L3:L32)</f>
        <v>118617767.03000002</v>
      </c>
      <c r="M33" s="161" t="s">
        <v>14</v>
      </c>
      <c r="N33" s="257">
        <f t="shared" ref="N33:Y33" si="6">SUM(N3:N32)</f>
        <v>0</v>
      </c>
      <c r="O33" s="257">
        <f t="shared" si="6"/>
        <v>0</v>
      </c>
      <c r="P33" s="257">
        <f t="shared" si="6"/>
        <v>0</v>
      </c>
      <c r="Q33" s="257">
        <f t="shared" si="6"/>
        <v>0</v>
      </c>
      <c r="R33" s="257">
        <f t="shared" si="6"/>
        <v>0</v>
      </c>
      <c r="S33" s="257">
        <f t="shared" si="6"/>
        <v>0</v>
      </c>
      <c r="T33" s="257">
        <f t="shared" si="6"/>
        <v>0</v>
      </c>
      <c r="U33" s="257">
        <f t="shared" si="6"/>
        <v>74230368.719999999</v>
      </c>
      <c r="V33" s="257">
        <f t="shared" si="6"/>
        <v>24850564.48</v>
      </c>
      <c r="W33" s="257">
        <f t="shared" si="6"/>
        <v>16641153.5</v>
      </c>
      <c r="X33" s="257">
        <f t="shared" si="6"/>
        <v>1705500</v>
      </c>
      <c r="Y33" s="257">
        <f t="shared" si="6"/>
        <v>0</v>
      </c>
      <c r="Z33" s="238" t="b">
        <f>K33=SUM(N33:Y33)</f>
        <v>1</v>
      </c>
      <c r="AA33" s="253">
        <f t="shared" ref="AA33" si="7">ROUND(K33/J33,4)</f>
        <v>0.4975</v>
      </c>
      <c r="AB33" s="254" t="s">
        <v>14</v>
      </c>
      <c r="AC33" s="254" t="b">
        <f t="shared" ref="AC33" si="8">J33=K33+L33</f>
        <v>1</v>
      </c>
      <c r="AD33" s="36"/>
    </row>
    <row r="34" spans="1:30" ht="20.100000000000001" customHeight="1" x14ac:dyDescent="0.25">
      <c r="A34" s="476" t="s">
        <v>38</v>
      </c>
      <c r="B34" s="476"/>
      <c r="C34" s="476"/>
      <c r="D34" s="476"/>
      <c r="E34" s="476"/>
      <c r="F34" s="476"/>
      <c r="G34" s="476"/>
      <c r="H34" s="48">
        <f>SUMIF($C$3:$C$32,"N",H3:H32)</f>
        <v>40.116</v>
      </c>
      <c r="I34" s="247" t="s">
        <v>14</v>
      </c>
      <c r="J34" s="248">
        <f>SUMIF($C$3:$C$32,"N",J3:J32)</f>
        <v>112196482.06</v>
      </c>
      <c r="K34" s="248">
        <f>SUMIF($C$3:$C$32,"N",K3:K32)</f>
        <v>56098241.019999996</v>
      </c>
      <c r="L34" s="248">
        <f>SUMIF($C$3:$C$32,"N",L3:L32)</f>
        <v>56098241.039999999</v>
      </c>
      <c r="M34" s="52" t="s">
        <v>14</v>
      </c>
      <c r="N34" s="258">
        <f t="shared" ref="N34:Y34" si="9">SUMIF($C$3:$C$32,"N",N3:N32)</f>
        <v>0</v>
      </c>
      <c r="O34" s="258">
        <f t="shared" si="9"/>
        <v>0</v>
      </c>
      <c r="P34" s="258">
        <f t="shared" si="9"/>
        <v>0</v>
      </c>
      <c r="Q34" s="258">
        <f t="shared" si="9"/>
        <v>0</v>
      </c>
      <c r="R34" s="258">
        <f t="shared" si="9"/>
        <v>0</v>
      </c>
      <c r="S34" s="258">
        <f t="shared" si="9"/>
        <v>0</v>
      </c>
      <c r="T34" s="258">
        <f t="shared" si="9"/>
        <v>0</v>
      </c>
      <c r="U34" s="258">
        <f t="shared" si="9"/>
        <v>56098241.019999996</v>
      </c>
      <c r="V34" s="258">
        <f t="shared" si="9"/>
        <v>0</v>
      </c>
      <c r="W34" s="258">
        <f t="shared" si="9"/>
        <v>0</v>
      </c>
      <c r="X34" s="258">
        <f t="shared" si="9"/>
        <v>0</v>
      </c>
      <c r="Y34" s="258">
        <f t="shared" si="9"/>
        <v>0</v>
      </c>
      <c r="Z34" s="238" t="b">
        <f t="shared" ref="Z34:Z35" si="10">K34=SUM(N34:Y34)</f>
        <v>1</v>
      </c>
      <c r="AA34" s="253">
        <f t="shared" ref="AA34" si="11">ROUND(K34/J34,4)</f>
        <v>0.5</v>
      </c>
      <c r="AB34" s="254" t="s">
        <v>14</v>
      </c>
      <c r="AC34" s="254" t="b">
        <f t="shared" ref="AC34" si="12">J34=K34+L34</f>
        <v>1</v>
      </c>
      <c r="AD34" s="36"/>
    </row>
    <row r="35" spans="1:30" ht="20.100000000000001" customHeight="1" x14ac:dyDescent="0.25">
      <c r="A35" s="474" t="s">
        <v>39</v>
      </c>
      <c r="B35" s="474"/>
      <c r="C35" s="474"/>
      <c r="D35" s="474"/>
      <c r="E35" s="474"/>
      <c r="F35" s="474"/>
      <c r="G35" s="474"/>
      <c r="H35" s="54">
        <f>SUMIF($C$3:$C$32,"W",H3:H32)</f>
        <v>43.288999999999994</v>
      </c>
      <c r="I35" s="250" t="s">
        <v>14</v>
      </c>
      <c r="J35" s="210">
        <f>SUMIF($C$3:$C$32,"W",J3:J32)</f>
        <v>123848871.67</v>
      </c>
      <c r="K35" s="210">
        <f>SUMIF($C$3:$C$32,"W",K3:K32)</f>
        <v>61329345.68</v>
      </c>
      <c r="L35" s="210">
        <f>SUMIF($C$3:$C$32,"W",L3:L32)</f>
        <v>62519525.990000002</v>
      </c>
      <c r="M35" s="58" t="s">
        <v>14</v>
      </c>
      <c r="N35" s="203">
        <f t="shared" ref="N35:Y35" si="13">SUMIF($C$3:$C$32,"W",N3:N32)</f>
        <v>0</v>
      </c>
      <c r="O35" s="203">
        <f t="shared" si="13"/>
        <v>0</v>
      </c>
      <c r="P35" s="203">
        <f t="shared" si="13"/>
        <v>0</v>
      </c>
      <c r="Q35" s="203">
        <f t="shared" si="13"/>
        <v>0</v>
      </c>
      <c r="R35" s="203">
        <f t="shared" si="13"/>
        <v>0</v>
      </c>
      <c r="S35" s="203">
        <f t="shared" si="13"/>
        <v>0</v>
      </c>
      <c r="T35" s="203">
        <f t="shared" si="13"/>
        <v>0</v>
      </c>
      <c r="U35" s="203">
        <f t="shared" si="13"/>
        <v>18132127.700000003</v>
      </c>
      <c r="V35" s="203">
        <f t="shared" si="13"/>
        <v>24850564.48</v>
      </c>
      <c r="W35" s="203">
        <f t="shared" si="13"/>
        <v>16641153.5</v>
      </c>
      <c r="X35" s="203">
        <f t="shared" si="13"/>
        <v>1705500</v>
      </c>
      <c r="Y35" s="203">
        <f t="shared" si="13"/>
        <v>0</v>
      </c>
      <c r="Z35" s="238" t="b">
        <f t="shared" si="10"/>
        <v>1</v>
      </c>
      <c r="AA35" s="253">
        <f t="shared" ref="AA35" si="14">ROUND(K35/J35,4)</f>
        <v>0.49519999999999997</v>
      </c>
      <c r="AB35" s="254" t="s">
        <v>14</v>
      </c>
      <c r="AC35" s="254" t="b">
        <f t="shared" ref="AC35" si="15">J35=K35+L35</f>
        <v>1</v>
      </c>
      <c r="AD35" s="36"/>
    </row>
    <row r="36" spans="1:30" x14ac:dyDescent="0.25">
      <c r="A36" s="38"/>
    </row>
    <row r="37" spans="1:30" x14ac:dyDescent="0.25">
      <c r="A37" s="33" t="s">
        <v>24</v>
      </c>
    </row>
    <row r="38" spans="1:30" x14ac:dyDescent="0.25">
      <c r="A38" s="34" t="s">
        <v>25</v>
      </c>
    </row>
    <row r="39" spans="1:30" x14ac:dyDescent="0.25">
      <c r="A39" s="33" t="s">
        <v>35</v>
      </c>
    </row>
    <row r="40" spans="1:30" x14ac:dyDescent="0.2">
      <c r="A40" s="454" t="s">
        <v>151</v>
      </c>
      <c r="B40" s="454"/>
      <c r="C40" s="454"/>
      <c r="D40" s="454"/>
      <c r="E40" s="454"/>
      <c r="F40" s="454"/>
      <c r="G40" s="454"/>
      <c r="H40" s="454"/>
      <c r="I40" s="454"/>
      <c r="J40" s="454"/>
      <c r="K40" s="454"/>
      <c r="L40" s="454"/>
      <c r="M40" s="454"/>
      <c r="N40" s="454"/>
      <c r="O40" s="454"/>
      <c r="P40" s="454"/>
      <c r="Q40" s="454"/>
      <c r="R40" s="454"/>
    </row>
  </sheetData>
  <mergeCells count="18">
    <mergeCell ref="M1:M2"/>
    <mergeCell ref="N1:Y1"/>
    <mergeCell ref="A40:R40"/>
    <mergeCell ref="A35:G35"/>
    <mergeCell ref="I1:I2"/>
    <mergeCell ref="A1:A2"/>
    <mergeCell ref="B1:B2"/>
    <mergeCell ref="C1:C2"/>
    <mergeCell ref="F1:F2"/>
    <mergeCell ref="G1:G2"/>
    <mergeCell ref="H1:H2"/>
    <mergeCell ref="D1:D2"/>
    <mergeCell ref="A33:G33"/>
    <mergeCell ref="E1:E2"/>
    <mergeCell ref="A34:G34"/>
    <mergeCell ref="J1:J2"/>
    <mergeCell ref="K1:K2"/>
    <mergeCell ref="L1:L2"/>
  </mergeCells>
  <conditionalFormatting sqref="Z3:AB35">
    <cfRule type="containsText" dxfId="4" priority="3" operator="containsText" text="fałsz">
      <formula>NOT(ISERROR(SEARCH("fałsz",Z3)))</formula>
    </cfRule>
  </conditionalFormatting>
  <conditionalFormatting sqref="Z3:AD35">
    <cfRule type="cellIs" dxfId="3" priority="1" operator="equal">
      <formula>FALSE</formula>
    </cfRule>
  </conditionalFormatting>
  <dataValidations count="1">
    <dataValidation type="list" allowBlank="1" showInputMessage="1" showErrorMessage="1" sqref="C3:C32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8" fitToHeight="0" orientation="landscape" r:id="rId1"/>
  <headerFooter>
    <oddHeader>&amp;LWojewództwo podlaskie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6"/>
  <sheetViews>
    <sheetView showGridLines="0" view="pageBreakPreview" zoomScaleNormal="78" zoomScaleSheetLayoutView="100" workbookViewId="0">
      <selection activeCell="D38" sqref="D38"/>
    </sheetView>
  </sheetViews>
  <sheetFormatPr defaultColWidth="9.140625" defaultRowHeight="15" x14ac:dyDescent="0.25"/>
  <cols>
    <col min="1" max="2" width="7.140625" style="14" customWidth="1"/>
    <col min="3" max="3" width="17.28515625" style="14" customWidth="1"/>
    <col min="4" max="4" width="23.5703125" style="14" customWidth="1"/>
    <col min="5" max="5" width="15.7109375" style="14" customWidth="1"/>
    <col min="6" max="6" width="18" style="14" customWidth="1"/>
    <col min="7" max="7" width="65.5703125" style="14" customWidth="1"/>
    <col min="8" max="8" width="9.28515625" style="14" customWidth="1"/>
    <col min="9" max="9" width="13.28515625" style="14" customWidth="1"/>
    <col min="10" max="10" width="13.7109375" style="14" customWidth="1"/>
    <col min="11" max="11" width="15.7109375" style="37" customWidth="1"/>
    <col min="12" max="12" width="17.7109375" style="14" customWidth="1"/>
    <col min="13" max="13" width="15.7109375" style="14" customWidth="1"/>
    <col min="14" max="14" width="15.7109375" style="1" customWidth="1"/>
    <col min="15" max="30" width="15.7109375" style="14" customWidth="1"/>
    <col min="31" max="16384" width="9.140625" style="14"/>
  </cols>
  <sheetData>
    <row r="1" spans="1:30" ht="20.100000000000001" customHeight="1" x14ac:dyDescent="0.25">
      <c r="A1" s="452" t="s">
        <v>4</v>
      </c>
      <c r="B1" s="452" t="s">
        <v>5</v>
      </c>
      <c r="C1" s="448" t="s">
        <v>45</v>
      </c>
      <c r="D1" s="450" t="s">
        <v>6</v>
      </c>
      <c r="E1" s="450" t="s">
        <v>32</v>
      </c>
      <c r="F1" s="450" t="s">
        <v>15</v>
      </c>
      <c r="G1" s="452" t="s">
        <v>7</v>
      </c>
      <c r="H1" s="452" t="s">
        <v>26</v>
      </c>
      <c r="I1" s="452" t="s">
        <v>8</v>
      </c>
      <c r="J1" s="452" t="s">
        <v>27</v>
      </c>
      <c r="K1" s="452" t="s">
        <v>9</v>
      </c>
      <c r="L1" s="452" t="s">
        <v>10</v>
      </c>
      <c r="M1" s="450" t="s">
        <v>13</v>
      </c>
      <c r="N1" s="452" t="s">
        <v>11</v>
      </c>
      <c r="O1" s="449" t="s">
        <v>12</v>
      </c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251"/>
      <c r="AB1" s="251"/>
      <c r="AC1" s="251"/>
      <c r="AD1" s="251"/>
    </row>
    <row r="2" spans="1:30" ht="20.100000000000001" customHeight="1" x14ac:dyDescent="0.25">
      <c r="A2" s="452"/>
      <c r="B2" s="452"/>
      <c r="C2" s="449"/>
      <c r="D2" s="451"/>
      <c r="E2" s="451"/>
      <c r="F2" s="451"/>
      <c r="G2" s="452"/>
      <c r="H2" s="452"/>
      <c r="I2" s="452"/>
      <c r="J2" s="452"/>
      <c r="K2" s="452"/>
      <c r="L2" s="452"/>
      <c r="M2" s="451"/>
      <c r="N2" s="452"/>
      <c r="O2" s="297">
        <v>2019</v>
      </c>
      <c r="P2" s="297">
        <v>2020</v>
      </c>
      <c r="Q2" s="297">
        <v>2021</v>
      </c>
      <c r="R2" s="297">
        <v>2022</v>
      </c>
      <c r="S2" s="297">
        <v>2023</v>
      </c>
      <c r="T2" s="297">
        <v>2024</v>
      </c>
      <c r="U2" s="297">
        <v>2025</v>
      </c>
      <c r="V2" s="297">
        <v>2026</v>
      </c>
      <c r="W2" s="297">
        <v>2027</v>
      </c>
      <c r="X2" s="297">
        <v>2028</v>
      </c>
      <c r="Y2" s="297">
        <v>2029</v>
      </c>
      <c r="Z2" s="297">
        <v>2030</v>
      </c>
      <c r="AA2" s="238" t="s">
        <v>28</v>
      </c>
      <c r="AB2" s="238" t="s">
        <v>29</v>
      </c>
      <c r="AC2" s="238" t="s">
        <v>30</v>
      </c>
      <c r="AD2" s="252" t="s">
        <v>31</v>
      </c>
    </row>
    <row r="3" spans="1:30" ht="36.75" customHeight="1" x14ac:dyDescent="0.25">
      <c r="A3" s="333">
        <v>1</v>
      </c>
      <c r="B3" s="334">
        <v>305</v>
      </c>
      <c r="C3" s="334" t="s">
        <v>114</v>
      </c>
      <c r="D3" s="373" t="s">
        <v>315</v>
      </c>
      <c r="E3" s="374">
        <v>2002145</v>
      </c>
      <c r="F3" s="373" t="s">
        <v>48</v>
      </c>
      <c r="G3" s="375" t="s">
        <v>425</v>
      </c>
      <c r="H3" s="373" t="s">
        <v>66</v>
      </c>
      <c r="I3" s="376">
        <v>1.36</v>
      </c>
      <c r="J3" s="373" t="s">
        <v>317</v>
      </c>
      <c r="K3" s="377">
        <v>3002500</v>
      </c>
      <c r="L3" s="378">
        <f>ROUNDDOWN(K3*N3,2)</f>
        <v>1501250</v>
      </c>
      <c r="M3" s="377">
        <f>K3-L3</f>
        <v>1501250</v>
      </c>
      <c r="N3" s="379">
        <v>0.5</v>
      </c>
      <c r="O3" s="380">
        <v>0</v>
      </c>
      <c r="P3" s="380">
        <v>0</v>
      </c>
      <c r="Q3" s="380">
        <v>0</v>
      </c>
      <c r="R3" s="380">
        <v>0</v>
      </c>
      <c r="S3" s="380">
        <v>0</v>
      </c>
      <c r="T3" s="380">
        <v>0</v>
      </c>
      <c r="U3" s="380">
        <v>0</v>
      </c>
      <c r="V3" s="381">
        <f t="shared" ref="V3" si="0">L3</f>
        <v>1501250</v>
      </c>
      <c r="W3" s="382">
        <v>0</v>
      </c>
      <c r="X3" s="383">
        <v>0</v>
      </c>
      <c r="Y3" s="383">
        <v>0</v>
      </c>
      <c r="Z3" s="383">
        <v>0</v>
      </c>
      <c r="AA3" s="238" t="b">
        <f t="shared" ref="AA3:AA38" si="1">L3=SUM(O3:Z3)</f>
        <v>1</v>
      </c>
      <c r="AB3" s="253">
        <f t="shared" ref="AB3:AB38" si="2">ROUND(L3/K3,4)</f>
        <v>0.5</v>
      </c>
      <c r="AC3" s="254" t="b">
        <f t="shared" ref="AC3:AC38" si="3">AB3=N3</f>
        <v>1</v>
      </c>
      <c r="AD3" s="254" t="b">
        <f t="shared" ref="AD3:AD38" si="4">K3=L3+M3</f>
        <v>1</v>
      </c>
    </row>
    <row r="4" spans="1:30" ht="36.75" customHeight="1" x14ac:dyDescent="0.25">
      <c r="A4" s="335">
        <v>2</v>
      </c>
      <c r="B4" s="213">
        <v>400</v>
      </c>
      <c r="C4" s="213" t="s">
        <v>483</v>
      </c>
      <c r="D4" s="200" t="s">
        <v>323</v>
      </c>
      <c r="E4" s="346">
        <v>2002133</v>
      </c>
      <c r="F4" s="200" t="s">
        <v>48</v>
      </c>
      <c r="G4" s="347" t="s">
        <v>426</v>
      </c>
      <c r="H4" s="200" t="s">
        <v>66</v>
      </c>
      <c r="I4" s="348">
        <v>1.1599999999999999</v>
      </c>
      <c r="J4" s="200" t="s">
        <v>427</v>
      </c>
      <c r="K4" s="210">
        <v>7593000</v>
      </c>
      <c r="L4" s="384">
        <f t="shared" ref="L4:L37" si="5">ROUNDDOWN(K4*N4,2)</f>
        <v>3796500</v>
      </c>
      <c r="M4" s="230">
        <f t="shared" ref="M4:M38" si="6">K4-L4</f>
        <v>3796500</v>
      </c>
      <c r="N4" s="385">
        <v>0.5</v>
      </c>
      <c r="O4" s="386">
        <v>0</v>
      </c>
      <c r="P4" s="386">
        <v>0</v>
      </c>
      <c r="Q4" s="386">
        <v>0</v>
      </c>
      <c r="R4" s="386">
        <v>0</v>
      </c>
      <c r="S4" s="386">
        <v>0</v>
      </c>
      <c r="T4" s="386">
        <v>0</v>
      </c>
      <c r="U4" s="386">
        <v>0</v>
      </c>
      <c r="V4" s="205">
        <f>3000000*N4</f>
        <v>1500000</v>
      </c>
      <c r="W4" s="205">
        <f>4593000*N4</f>
        <v>2296500</v>
      </c>
      <c r="X4" s="205">
        <v>0</v>
      </c>
      <c r="Y4" s="205">
        <v>0</v>
      </c>
      <c r="Z4" s="205">
        <v>0</v>
      </c>
      <c r="AA4" s="238" t="b">
        <f t="shared" si="1"/>
        <v>1</v>
      </c>
      <c r="AB4" s="253">
        <f t="shared" si="2"/>
        <v>0.5</v>
      </c>
      <c r="AC4" s="254" t="b">
        <f t="shared" si="3"/>
        <v>1</v>
      </c>
      <c r="AD4" s="254" t="b">
        <f t="shared" si="4"/>
        <v>1</v>
      </c>
    </row>
    <row r="5" spans="1:30" ht="36.75" customHeight="1" x14ac:dyDescent="0.25">
      <c r="A5" s="336">
        <v>3</v>
      </c>
      <c r="B5" s="213">
        <v>118</v>
      </c>
      <c r="C5" s="213" t="s">
        <v>483</v>
      </c>
      <c r="D5" s="200" t="s">
        <v>428</v>
      </c>
      <c r="E5" s="346">
        <v>2003052</v>
      </c>
      <c r="F5" s="200" t="s">
        <v>49</v>
      </c>
      <c r="G5" s="347" t="s">
        <v>429</v>
      </c>
      <c r="H5" s="200" t="s">
        <v>65</v>
      </c>
      <c r="I5" s="348">
        <v>0.92</v>
      </c>
      <c r="J5" s="200" t="s">
        <v>430</v>
      </c>
      <c r="K5" s="210">
        <v>1990679.38</v>
      </c>
      <c r="L5" s="384">
        <f t="shared" si="5"/>
        <v>995339.69</v>
      </c>
      <c r="M5" s="230">
        <f t="shared" si="6"/>
        <v>995339.69</v>
      </c>
      <c r="N5" s="385">
        <v>0.5</v>
      </c>
      <c r="O5" s="236">
        <v>0</v>
      </c>
      <c r="P5" s="236">
        <v>0</v>
      </c>
      <c r="Q5" s="236">
        <v>0</v>
      </c>
      <c r="R5" s="236">
        <v>0</v>
      </c>
      <c r="S5" s="236">
        <v>0</v>
      </c>
      <c r="T5" s="236">
        <v>0</v>
      </c>
      <c r="U5" s="236">
        <v>0</v>
      </c>
      <c r="V5" s="205">
        <f>996539.69*N5</f>
        <v>498269.84499999997</v>
      </c>
      <c r="W5" s="205">
        <f>497069.85*N5</f>
        <v>248534.92499999999</v>
      </c>
      <c r="X5" s="205">
        <f>497069.84*N5</f>
        <v>248534.92</v>
      </c>
      <c r="Y5" s="205">
        <v>0</v>
      </c>
      <c r="Z5" s="205">
        <v>0</v>
      </c>
      <c r="AA5" s="238" t="b">
        <f t="shared" si="1"/>
        <v>1</v>
      </c>
      <c r="AB5" s="253">
        <f t="shared" si="2"/>
        <v>0.5</v>
      </c>
      <c r="AC5" s="254" t="b">
        <f t="shared" si="3"/>
        <v>1</v>
      </c>
      <c r="AD5" s="254" t="b">
        <f t="shared" si="4"/>
        <v>1</v>
      </c>
    </row>
    <row r="6" spans="1:30" ht="36.75" customHeight="1" x14ac:dyDescent="0.25">
      <c r="A6" s="337">
        <v>4</v>
      </c>
      <c r="B6" s="338">
        <v>342</v>
      </c>
      <c r="C6" s="338" t="s">
        <v>114</v>
      </c>
      <c r="D6" s="365" t="s">
        <v>96</v>
      </c>
      <c r="E6" s="366">
        <v>2011084</v>
      </c>
      <c r="F6" s="365" t="s">
        <v>55</v>
      </c>
      <c r="G6" s="367" t="s">
        <v>435</v>
      </c>
      <c r="H6" s="365" t="s">
        <v>66</v>
      </c>
      <c r="I6" s="368">
        <v>1.119</v>
      </c>
      <c r="J6" s="365" t="s">
        <v>226</v>
      </c>
      <c r="K6" s="369">
        <v>5465000</v>
      </c>
      <c r="L6" s="378">
        <f t="shared" si="5"/>
        <v>2732500</v>
      </c>
      <c r="M6" s="377">
        <f t="shared" si="6"/>
        <v>2732500</v>
      </c>
      <c r="N6" s="371">
        <v>0.5</v>
      </c>
      <c r="O6" s="372">
        <v>0</v>
      </c>
      <c r="P6" s="372">
        <v>0</v>
      </c>
      <c r="Q6" s="372">
        <v>0</v>
      </c>
      <c r="R6" s="372">
        <v>0</v>
      </c>
      <c r="S6" s="372">
        <v>0</v>
      </c>
      <c r="T6" s="372">
        <v>0</v>
      </c>
      <c r="U6" s="372">
        <v>0</v>
      </c>
      <c r="V6" s="222">
        <f t="shared" ref="V6:V8" si="7">L6</f>
        <v>2732500</v>
      </c>
      <c r="W6" s="222">
        <v>0</v>
      </c>
      <c r="X6" s="222">
        <v>0</v>
      </c>
      <c r="Y6" s="222">
        <v>0</v>
      </c>
      <c r="Z6" s="222">
        <v>0</v>
      </c>
      <c r="AA6" s="238" t="b">
        <f t="shared" si="1"/>
        <v>1</v>
      </c>
      <c r="AB6" s="253">
        <f t="shared" si="2"/>
        <v>0.5</v>
      </c>
      <c r="AC6" s="254" t="b">
        <f t="shared" si="3"/>
        <v>1</v>
      </c>
      <c r="AD6" s="254" t="b">
        <f t="shared" si="4"/>
        <v>1</v>
      </c>
    </row>
    <row r="7" spans="1:30" ht="36.75" customHeight="1" x14ac:dyDescent="0.25">
      <c r="A7" s="337">
        <v>5</v>
      </c>
      <c r="B7" s="338">
        <v>53</v>
      </c>
      <c r="C7" s="338" t="s">
        <v>114</v>
      </c>
      <c r="D7" s="365" t="s">
        <v>332</v>
      </c>
      <c r="E7" s="366">
        <v>2002013</v>
      </c>
      <c r="F7" s="365" t="s">
        <v>48</v>
      </c>
      <c r="G7" s="367" t="s">
        <v>436</v>
      </c>
      <c r="H7" s="365" t="s">
        <v>66</v>
      </c>
      <c r="I7" s="368">
        <v>0.64200000000000002</v>
      </c>
      <c r="J7" s="365" t="s">
        <v>322</v>
      </c>
      <c r="K7" s="369">
        <v>10465680.57</v>
      </c>
      <c r="L7" s="378">
        <f t="shared" si="5"/>
        <v>5232840.28</v>
      </c>
      <c r="M7" s="377">
        <f t="shared" si="6"/>
        <v>5232840.29</v>
      </c>
      <c r="N7" s="371">
        <v>0.5</v>
      </c>
      <c r="O7" s="387">
        <v>0</v>
      </c>
      <c r="P7" s="387">
        <v>0</v>
      </c>
      <c r="Q7" s="387">
        <v>0</v>
      </c>
      <c r="R7" s="387">
        <v>0</v>
      </c>
      <c r="S7" s="387">
        <v>0</v>
      </c>
      <c r="T7" s="387">
        <v>0</v>
      </c>
      <c r="U7" s="387">
        <v>0</v>
      </c>
      <c r="V7" s="388">
        <f t="shared" si="7"/>
        <v>5232840.28</v>
      </c>
      <c r="W7" s="389">
        <v>0</v>
      </c>
      <c r="X7" s="389">
        <v>0</v>
      </c>
      <c r="Y7" s="389">
        <v>0</v>
      </c>
      <c r="Z7" s="389">
        <v>0</v>
      </c>
      <c r="AA7" s="238" t="b">
        <f t="shared" si="1"/>
        <v>1</v>
      </c>
      <c r="AB7" s="253">
        <f t="shared" si="2"/>
        <v>0.5</v>
      </c>
      <c r="AC7" s="254" t="b">
        <f t="shared" si="3"/>
        <v>1</v>
      </c>
      <c r="AD7" s="254" t="b">
        <f t="shared" si="4"/>
        <v>1</v>
      </c>
    </row>
    <row r="8" spans="1:30" ht="36.75" customHeight="1" x14ac:dyDescent="0.25">
      <c r="A8" s="333">
        <v>6</v>
      </c>
      <c r="B8" s="338">
        <v>360</v>
      </c>
      <c r="C8" s="338" t="s">
        <v>114</v>
      </c>
      <c r="D8" s="365" t="s">
        <v>160</v>
      </c>
      <c r="E8" s="366">
        <v>2002162</v>
      </c>
      <c r="F8" s="365" t="s">
        <v>48</v>
      </c>
      <c r="G8" s="367" t="s">
        <v>437</v>
      </c>
      <c r="H8" s="365" t="s">
        <v>66</v>
      </c>
      <c r="I8" s="368">
        <v>0.54700000000000004</v>
      </c>
      <c r="J8" s="365" t="s">
        <v>317</v>
      </c>
      <c r="K8" s="369">
        <v>4164233.45</v>
      </c>
      <c r="L8" s="378">
        <f t="shared" si="5"/>
        <v>2082116.72</v>
      </c>
      <c r="M8" s="377">
        <f t="shared" si="6"/>
        <v>2082116.7300000002</v>
      </c>
      <c r="N8" s="371">
        <v>0.5</v>
      </c>
      <c r="O8" s="372">
        <v>0</v>
      </c>
      <c r="P8" s="372">
        <v>0</v>
      </c>
      <c r="Q8" s="372">
        <v>0</v>
      </c>
      <c r="R8" s="372">
        <v>0</v>
      </c>
      <c r="S8" s="372">
        <v>0</v>
      </c>
      <c r="T8" s="372">
        <v>0</v>
      </c>
      <c r="U8" s="372">
        <v>0</v>
      </c>
      <c r="V8" s="222">
        <f t="shared" si="7"/>
        <v>2082116.72</v>
      </c>
      <c r="W8" s="222">
        <v>0</v>
      </c>
      <c r="X8" s="222">
        <v>0</v>
      </c>
      <c r="Y8" s="222">
        <v>0</v>
      </c>
      <c r="Z8" s="222">
        <v>0</v>
      </c>
      <c r="AA8" s="238" t="b">
        <f t="shared" si="1"/>
        <v>1</v>
      </c>
      <c r="AB8" s="253">
        <f t="shared" si="2"/>
        <v>0.5</v>
      </c>
      <c r="AC8" s="254" t="b">
        <f t="shared" si="3"/>
        <v>1</v>
      </c>
      <c r="AD8" s="254" t="b">
        <f t="shared" si="4"/>
        <v>1</v>
      </c>
    </row>
    <row r="9" spans="1:30" ht="36.75" customHeight="1" x14ac:dyDescent="0.25">
      <c r="A9" s="335">
        <v>7</v>
      </c>
      <c r="B9" s="213">
        <v>227</v>
      </c>
      <c r="C9" s="213" t="s">
        <v>483</v>
      </c>
      <c r="D9" s="200" t="s">
        <v>421</v>
      </c>
      <c r="E9" s="346">
        <v>2002063</v>
      </c>
      <c r="F9" s="200" t="s">
        <v>48</v>
      </c>
      <c r="G9" s="347" t="s">
        <v>440</v>
      </c>
      <c r="H9" s="200" t="s">
        <v>66</v>
      </c>
      <c r="I9" s="348">
        <v>0.46</v>
      </c>
      <c r="J9" s="200" t="s">
        <v>441</v>
      </c>
      <c r="K9" s="210">
        <v>2903500</v>
      </c>
      <c r="L9" s="384">
        <f t="shared" si="5"/>
        <v>1451750</v>
      </c>
      <c r="M9" s="230">
        <f t="shared" si="6"/>
        <v>1451750</v>
      </c>
      <c r="N9" s="385">
        <v>0.5</v>
      </c>
      <c r="O9" s="386">
        <v>0</v>
      </c>
      <c r="P9" s="386">
        <v>0</v>
      </c>
      <c r="Q9" s="386">
        <v>0</v>
      </c>
      <c r="R9" s="386">
        <v>0</v>
      </c>
      <c r="S9" s="386">
        <v>0</v>
      </c>
      <c r="T9" s="386">
        <v>0</v>
      </c>
      <c r="U9" s="386">
        <v>0</v>
      </c>
      <c r="V9" s="207">
        <f>961500*N9</f>
        <v>480750</v>
      </c>
      <c r="W9" s="205">
        <f>1942000*N9</f>
        <v>971000</v>
      </c>
      <c r="X9" s="205">
        <v>0</v>
      </c>
      <c r="Y9" s="205">
        <v>0</v>
      </c>
      <c r="Z9" s="205">
        <v>0</v>
      </c>
      <c r="AA9" s="238" t="b">
        <f t="shared" si="1"/>
        <v>1</v>
      </c>
      <c r="AB9" s="253">
        <f t="shared" si="2"/>
        <v>0.5</v>
      </c>
      <c r="AC9" s="254" t="b">
        <f t="shared" si="3"/>
        <v>1</v>
      </c>
      <c r="AD9" s="254" t="b">
        <f t="shared" si="4"/>
        <v>1</v>
      </c>
    </row>
    <row r="10" spans="1:30" ht="36.75" customHeight="1" x14ac:dyDescent="0.25">
      <c r="A10" s="339">
        <v>8</v>
      </c>
      <c r="B10" s="213">
        <v>119</v>
      </c>
      <c r="C10" s="213" t="s">
        <v>483</v>
      </c>
      <c r="D10" s="200" t="s">
        <v>428</v>
      </c>
      <c r="E10" s="346">
        <v>2003052</v>
      </c>
      <c r="F10" s="200" t="s">
        <v>49</v>
      </c>
      <c r="G10" s="347" t="s">
        <v>442</v>
      </c>
      <c r="H10" s="200" t="s">
        <v>67</v>
      </c>
      <c r="I10" s="348">
        <v>0.16</v>
      </c>
      <c r="J10" s="200" t="s">
        <v>247</v>
      </c>
      <c r="K10" s="210">
        <v>97919.09</v>
      </c>
      <c r="L10" s="384">
        <f t="shared" si="5"/>
        <v>48959.54</v>
      </c>
      <c r="M10" s="230">
        <f t="shared" si="6"/>
        <v>48959.549999999996</v>
      </c>
      <c r="N10" s="385">
        <v>0.5</v>
      </c>
      <c r="O10" s="236">
        <v>0</v>
      </c>
      <c r="P10" s="236">
        <v>0</v>
      </c>
      <c r="Q10" s="236">
        <v>0</v>
      </c>
      <c r="R10" s="236">
        <v>0</v>
      </c>
      <c r="S10" s="236">
        <v>0</v>
      </c>
      <c r="T10" s="236">
        <v>0</v>
      </c>
      <c r="U10" s="236">
        <v>0</v>
      </c>
      <c r="V10" s="205">
        <f>90000*N10</f>
        <v>45000</v>
      </c>
      <c r="W10" s="205">
        <f>ROUNDDOWN(7919.09*N10,2)</f>
        <v>3959.54</v>
      </c>
      <c r="X10" s="205">
        <v>0</v>
      </c>
      <c r="Y10" s="205">
        <v>0</v>
      </c>
      <c r="Z10" s="205">
        <v>0</v>
      </c>
      <c r="AA10" s="238" t="b">
        <f t="shared" si="1"/>
        <v>1</v>
      </c>
      <c r="AB10" s="253">
        <f t="shared" si="2"/>
        <v>0.5</v>
      </c>
      <c r="AC10" s="254" t="b">
        <f t="shared" si="3"/>
        <v>1</v>
      </c>
      <c r="AD10" s="254" t="b">
        <f t="shared" si="4"/>
        <v>1</v>
      </c>
    </row>
    <row r="11" spans="1:30" ht="36.75" customHeight="1" x14ac:dyDescent="0.25">
      <c r="A11" s="337">
        <v>9</v>
      </c>
      <c r="B11" s="338">
        <v>248</v>
      </c>
      <c r="C11" s="338" t="s">
        <v>114</v>
      </c>
      <c r="D11" s="365" t="s">
        <v>139</v>
      </c>
      <c r="E11" s="366">
        <v>2063011</v>
      </c>
      <c r="F11" s="365" t="s">
        <v>139</v>
      </c>
      <c r="G11" s="367" t="s">
        <v>444</v>
      </c>
      <c r="H11" s="365" t="s">
        <v>67</v>
      </c>
      <c r="I11" s="368">
        <v>1.7</v>
      </c>
      <c r="J11" s="365" t="s">
        <v>233</v>
      </c>
      <c r="K11" s="369">
        <v>6877010</v>
      </c>
      <c r="L11" s="378">
        <f t="shared" si="5"/>
        <v>3438505</v>
      </c>
      <c r="M11" s="377">
        <f t="shared" si="6"/>
        <v>3438505</v>
      </c>
      <c r="N11" s="371">
        <v>0.5</v>
      </c>
      <c r="O11" s="372">
        <v>0</v>
      </c>
      <c r="P11" s="372">
        <v>0</v>
      </c>
      <c r="Q11" s="372">
        <v>0</v>
      </c>
      <c r="R11" s="372">
        <v>0</v>
      </c>
      <c r="S11" s="372">
        <v>0</v>
      </c>
      <c r="T11" s="372">
        <v>0</v>
      </c>
      <c r="U11" s="372">
        <v>0</v>
      </c>
      <c r="V11" s="222">
        <f t="shared" ref="V11:V18" si="8">L11</f>
        <v>3438505</v>
      </c>
      <c r="W11" s="222">
        <v>0</v>
      </c>
      <c r="X11" s="222">
        <v>0</v>
      </c>
      <c r="Y11" s="222">
        <v>0</v>
      </c>
      <c r="Z11" s="222">
        <v>0</v>
      </c>
      <c r="AA11" s="238" t="b">
        <f t="shared" si="1"/>
        <v>1</v>
      </c>
      <c r="AB11" s="253">
        <f t="shared" si="2"/>
        <v>0.5</v>
      </c>
      <c r="AC11" s="254" t="b">
        <f t="shared" si="3"/>
        <v>1</v>
      </c>
      <c r="AD11" s="254" t="b">
        <f t="shared" si="4"/>
        <v>1</v>
      </c>
    </row>
    <row r="12" spans="1:30" ht="36.75" customHeight="1" x14ac:dyDescent="0.25">
      <c r="A12" s="333">
        <v>10</v>
      </c>
      <c r="B12" s="338">
        <v>306</v>
      </c>
      <c r="C12" s="338" t="s">
        <v>114</v>
      </c>
      <c r="D12" s="365" t="s">
        <v>315</v>
      </c>
      <c r="E12" s="366">
        <v>2002145</v>
      </c>
      <c r="F12" s="365" t="s">
        <v>48</v>
      </c>
      <c r="G12" s="367" t="s">
        <v>445</v>
      </c>
      <c r="H12" s="365" t="s">
        <v>66</v>
      </c>
      <c r="I12" s="368">
        <v>1.47</v>
      </c>
      <c r="J12" s="365" t="s">
        <v>317</v>
      </c>
      <c r="K12" s="369">
        <v>3602500</v>
      </c>
      <c r="L12" s="378">
        <f t="shared" si="5"/>
        <v>1801250</v>
      </c>
      <c r="M12" s="377">
        <f t="shared" si="6"/>
        <v>1801250</v>
      </c>
      <c r="N12" s="371">
        <v>0.5</v>
      </c>
      <c r="O12" s="372">
        <v>0</v>
      </c>
      <c r="P12" s="372">
        <v>0</v>
      </c>
      <c r="Q12" s="372">
        <v>0</v>
      </c>
      <c r="R12" s="372"/>
      <c r="S12" s="372">
        <v>0</v>
      </c>
      <c r="T12" s="372">
        <v>0</v>
      </c>
      <c r="U12" s="372">
        <v>0</v>
      </c>
      <c r="V12" s="390">
        <f t="shared" si="8"/>
        <v>1801250</v>
      </c>
      <c r="W12" s="390">
        <v>0</v>
      </c>
      <c r="X12" s="222">
        <v>0</v>
      </c>
      <c r="Y12" s="222">
        <v>0</v>
      </c>
      <c r="Z12" s="222">
        <v>0</v>
      </c>
      <c r="AA12" s="238" t="b">
        <f t="shared" si="1"/>
        <v>1</v>
      </c>
      <c r="AB12" s="253">
        <f t="shared" si="2"/>
        <v>0.5</v>
      </c>
      <c r="AC12" s="254" t="b">
        <f t="shared" si="3"/>
        <v>1</v>
      </c>
      <c r="AD12" s="254" t="b">
        <f t="shared" si="4"/>
        <v>1</v>
      </c>
    </row>
    <row r="13" spans="1:30" ht="36.75" customHeight="1" x14ac:dyDescent="0.25">
      <c r="A13" s="340">
        <v>11</v>
      </c>
      <c r="B13" s="213">
        <v>56</v>
      </c>
      <c r="C13" s="213" t="s">
        <v>483</v>
      </c>
      <c r="D13" s="200" t="s">
        <v>332</v>
      </c>
      <c r="E13" s="346">
        <v>2002013</v>
      </c>
      <c r="F13" s="200" t="s">
        <v>48</v>
      </c>
      <c r="G13" s="347" t="s">
        <v>446</v>
      </c>
      <c r="H13" s="200" t="s">
        <v>65</v>
      </c>
      <c r="I13" s="348">
        <v>0.88</v>
      </c>
      <c r="J13" s="200" t="s">
        <v>447</v>
      </c>
      <c r="K13" s="210">
        <v>5406507.2699999996</v>
      </c>
      <c r="L13" s="384">
        <f t="shared" si="5"/>
        <v>2703253.63</v>
      </c>
      <c r="M13" s="230">
        <f t="shared" si="6"/>
        <v>2703253.6399999997</v>
      </c>
      <c r="N13" s="385">
        <v>0.5</v>
      </c>
      <c r="O13" s="236">
        <v>0</v>
      </c>
      <c r="P13" s="236">
        <v>0</v>
      </c>
      <c r="Q13" s="236">
        <v>0</v>
      </c>
      <c r="R13" s="236">
        <v>0</v>
      </c>
      <c r="S13" s="236">
        <v>0</v>
      </c>
      <c r="T13" s="236">
        <v>0</v>
      </c>
      <c r="U13" s="236">
        <v>0</v>
      </c>
      <c r="V13" s="207">
        <f>4325205.82*N13</f>
        <v>2162602.91</v>
      </c>
      <c r="W13" s="205">
        <f>ROUNDDOWN(1081301.45*N13,2)</f>
        <v>540650.72</v>
      </c>
      <c r="X13" s="205">
        <v>0</v>
      </c>
      <c r="Y13" s="205">
        <v>0</v>
      </c>
      <c r="Z13" s="205">
        <v>0</v>
      </c>
      <c r="AA13" s="238" t="b">
        <f t="shared" si="1"/>
        <v>1</v>
      </c>
      <c r="AB13" s="253">
        <f t="shared" si="2"/>
        <v>0.5</v>
      </c>
      <c r="AC13" s="254" t="b">
        <f t="shared" si="3"/>
        <v>1</v>
      </c>
      <c r="AD13" s="254" t="b">
        <f t="shared" si="4"/>
        <v>1</v>
      </c>
    </row>
    <row r="14" spans="1:30" ht="36.75" customHeight="1" x14ac:dyDescent="0.25">
      <c r="A14" s="337">
        <v>12</v>
      </c>
      <c r="B14" s="338">
        <v>256</v>
      </c>
      <c r="C14" s="338" t="s">
        <v>114</v>
      </c>
      <c r="D14" s="365" t="s">
        <v>323</v>
      </c>
      <c r="E14" s="366">
        <v>2002133</v>
      </c>
      <c r="F14" s="365" t="s">
        <v>48</v>
      </c>
      <c r="G14" s="367" t="s">
        <v>448</v>
      </c>
      <c r="H14" s="365" t="s">
        <v>65</v>
      </c>
      <c r="I14" s="368">
        <v>0.70899999999999996</v>
      </c>
      <c r="J14" s="365" t="s">
        <v>325</v>
      </c>
      <c r="K14" s="369">
        <v>1455000</v>
      </c>
      <c r="L14" s="378">
        <f t="shared" si="5"/>
        <v>727500</v>
      </c>
      <c r="M14" s="377">
        <f t="shared" si="6"/>
        <v>727500</v>
      </c>
      <c r="N14" s="371">
        <v>0.5</v>
      </c>
      <c r="O14" s="372">
        <v>0</v>
      </c>
      <c r="P14" s="372">
        <v>0</v>
      </c>
      <c r="Q14" s="372">
        <v>0</v>
      </c>
      <c r="R14" s="372">
        <v>0</v>
      </c>
      <c r="S14" s="372">
        <v>0</v>
      </c>
      <c r="T14" s="372">
        <v>0</v>
      </c>
      <c r="U14" s="372">
        <v>0</v>
      </c>
      <c r="V14" s="221">
        <f t="shared" si="8"/>
        <v>727500</v>
      </c>
      <c r="W14" s="222">
        <v>0</v>
      </c>
      <c r="X14" s="222">
        <v>0</v>
      </c>
      <c r="Y14" s="222">
        <v>0</v>
      </c>
      <c r="Z14" s="222">
        <v>0</v>
      </c>
      <c r="AA14" s="238" t="b">
        <f t="shared" si="1"/>
        <v>1</v>
      </c>
      <c r="AB14" s="253">
        <f t="shared" si="2"/>
        <v>0.5</v>
      </c>
      <c r="AC14" s="254" t="b">
        <f t="shared" si="3"/>
        <v>1</v>
      </c>
      <c r="AD14" s="254" t="b">
        <f t="shared" si="4"/>
        <v>1</v>
      </c>
    </row>
    <row r="15" spans="1:30" ht="36.75" customHeight="1" x14ac:dyDescent="0.25">
      <c r="A15" s="333">
        <v>13</v>
      </c>
      <c r="B15" s="338">
        <v>62</v>
      </c>
      <c r="C15" s="338" t="s">
        <v>114</v>
      </c>
      <c r="D15" s="365" t="s">
        <v>332</v>
      </c>
      <c r="E15" s="366">
        <v>2002013</v>
      </c>
      <c r="F15" s="365" t="s">
        <v>48</v>
      </c>
      <c r="G15" s="367" t="s">
        <v>449</v>
      </c>
      <c r="H15" s="365" t="s">
        <v>65</v>
      </c>
      <c r="I15" s="368">
        <v>0.67600000000000005</v>
      </c>
      <c r="J15" s="365" t="s">
        <v>327</v>
      </c>
      <c r="K15" s="369">
        <v>5850261.5999999996</v>
      </c>
      <c r="L15" s="378">
        <f t="shared" si="5"/>
        <v>2925130.8</v>
      </c>
      <c r="M15" s="377">
        <f t="shared" si="6"/>
        <v>2925130.8</v>
      </c>
      <c r="N15" s="371">
        <v>0.5</v>
      </c>
      <c r="O15" s="387">
        <v>0</v>
      </c>
      <c r="P15" s="387">
        <v>0</v>
      </c>
      <c r="Q15" s="387">
        <v>0</v>
      </c>
      <c r="R15" s="387">
        <v>0</v>
      </c>
      <c r="S15" s="387">
        <v>0</v>
      </c>
      <c r="T15" s="387">
        <v>0</v>
      </c>
      <c r="U15" s="387">
        <v>0</v>
      </c>
      <c r="V15" s="221">
        <f t="shared" si="8"/>
        <v>2925130.8</v>
      </c>
      <c r="W15" s="222">
        <v>0</v>
      </c>
      <c r="X15" s="222">
        <v>0</v>
      </c>
      <c r="Y15" s="222">
        <v>0</v>
      </c>
      <c r="Z15" s="222">
        <v>0</v>
      </c>
      <c r="AA15" s="238" t="b">
        <f t="shared" si="1"/>
        <v>1</v>
      </c>
      <c r="AB15" s="253">
        <f t="shared" si="2"/>
        <v>0.5</v>
      </c>
      <c r="AC15" s="254" t="b">
        <f t="shared" si="3"/>
        <v>1</v>
      </c>
      <c r="AD15" s="254" t="b">
        <f t="shared" si="4"/>
        <v>1</v>
      </c>
    </row>
    <row r="16" spans="1:30" ht="36.75" customHeight="1" x14ac:dyDescent="0.25">
      <c r="A16" s="337">
        <v>14</v>
      </c>
      <c r="B16" s="338">
        <v>408</v>
      </c>
      <c r="C16" s="338" t="s">
        <v>114</v>
      </c>
      <c r="D16" s="365" t="s">
        <v>323</v>
      </c>
      <c r="E16" s="366">
        <v>2002133</v>
      </c>
      <c r="F16" s="365" t="s">
        <v>48</v>
      </c>
      <c r="G16" s="367" t="s">
        <v>450</v>
      </c>
      <c r="H16" s="365" t="s">
        <v>66</v>
      </c>
      <c r="I16" s="368">
        <v>0.625</v>
      </c>
      <c r="J16" s="365" t="s">
        <v>325</v>
      </c>
      <c r="K16" s="369">
        <v>3453000</v>
      </c>
      <c r="L16" s="378">
        <f t="shared" si="5"/>
        <v>1726500</v>
      </c>
      <c r="M16" s="377">
        <f t="shared" si="6"/>
        <v>1726500</v>
      </c>
      <c r="N16" s="371">
        <v>0.5</v>
      </c>
      <c r="O16" s="372">
        <v>0</v>
      </c>
      <c r="P16" s="372">
        <v>0</v>
      </c>
      <c r="Q16" s="372">
        <v>0</v>
      </c>
      <c r="R16" s="372">
        <v>0</v>
      </c>
      <c r="S16" s="372">
        <v>0</v>
      </c>
      <c r="T16" s="372">
        <v>0</v>
      </c>
      <c r="U16" s="372">
        <v>0</v>
      </c>
      <c r="V16" s="222">
        <f t="shared" si="8"/>
        <v>1726500</v>
      </c>
      <c r="W16" s="222">
        <v>0</v>
      </c>
      <c r="X16" s="222">
        <v>0</v>
      </c>
      <c r="Y16" s="222">
        <v>0</v>
      </c>
      <c r="Z16" s="222">
        <v>0</v>
      </c>
      <c r="AA16" s="238" t="b">
        <f t="shared" si="1"/>
        <v>1</v>
      </c>
      <c r="AB16" s="253">
        <f t="shared" si="2"/>
        <v>0.5</v>
      </c>
      <c r="AC16" s="254" t="b">
        <f t="shared" si="3"/>
        <v>1</v>
      </c>
      <c r="AD16" s="254" t="b">
        <f t="shared" si="4"/>
        <v>1</v>
      </c>
    </row>
    <row r="17" spans="1:30" ht="36.75" customHeight="1" x14ac:dyDescent="0.25">
      <c r="A17" s="337">
        <v>15</v>
      </c>
      <c r="B17" s="338">
        <v>64</v>
      </c>
      <c r="C17" s="338" t="s">
        <v>114</v>
      </c>
      <c r="D17" s="365" t="s">
        <v>332</v>
      </c>
      <c r="E17" s="366">
        <v>2002013</v>
      </c>
      <c r="F17" s="365" t="s">
        <v>48</v>
      </c>
      <c r="G17" s="367" t="s">
        <v>451</v>
      </c>
      <c r="H17" s="365" t="s">
        <v>66</v>
      </c>
      <c r="I17" s="368">
        <v>0.57799999999999996</v>
      </c>
      <c r="J17" s="365" t="s">
        <v>327</v>
      </c>
      <c r="K17" s="369">
        <v>2892020.08</v>
      </c>
      <c r="L17" s="378">
        <f t="shared" si="5"/>
        <v>1446010.04</v>
      </c>
      <c r="M17" s="377">
        <f t="shared" si="6"/>
        <v>1446010.04</v>
      </c>
      <c r="N17" s="371">
        <v>0.5</v>
      </c>
      <c r="O17" s="387">
        <v>0</v>
      </c>
      <c r="P17" s="387">
        <v>0</v>
      </c>
      <c r="Q17" s="387">
        <v>0</v>
      </c>
      <c r="R17" s="387">
        <v>0</v>
      </c>
      <c r="S17" s="387">
        <v>0</v>
      </c>
      <c r="T17" s="387">
        <v>0</v>
      </c>
      <c r="U17" s="387">
        <v>0</v>
      </c>
      <c r="V17" s="221">
        <f t="shared" si="8"/>
        <v>1446010.04</v>
      </c>
      <c r="W17" s="222">
        <v>0</v>
      </c>
      <c r="X17" s="222">
        <v>0</v>
      </c>
      <c r="Y17" s="222">
        <v>0</v>
      </c>
      <c r="Z17" s="222">
        <v>0</v>
      </c>
      <c r="AA17" s="238" t="b">
        <f t="shared" si="1"/>
        <v>1</v>
      </c>
      <c r="AB17" s="253">
        <f t="shared" si="2"/>
        <v>0.5</v>
      </c>
      <c r="AC17" s="254" t="b">
        <f t="shared" si="3"/>
        <v>1</v>
      </c>
      <c r="AD17" s="254" t="b">
        <f t="shared" si="4"/>
        <v>1</v>
      </c>
    </row>
    <row r="18" spans="1:30" ht="36.75" customHeight="1" x14ac:dyDescent="0.25">
      <c r="A18" s="333">
        <v>16</v>
      </c>
      <c r="B18" s="338">
        <v>403</v>
      </c>
      <c r="C18" s="338" t="s">
        <v>114</v>
      </c>
      <c r="D18" s="365" t="s">
        <v>323</v>
      </c>
      <c r="E18" s="366">
        <v>2002133</v>
      </c>
      <c r="F18" s="365" t="s">
        <v>48</v>
      </c>
      <c r="G18" s="367" t="s">
        <v>452</v>
      </c>
      <c r="H18" s="365" t="s">
        <v>66</v>
      </c>
      <c r="I18" s="368">
        <v>0.54</v>
      </c>
      <c r="J18" s="365" t="s">
        <v>325</v>
      </c>
      <c r="K18" s="369">
        <v>2963000</v>
      </c>
      <c r="L18" s="378">
        <f t="shared" si="5"/>
        <v>1481500</v>
      </c>
      <c r="M18" s="377">
        <f t="shared" si="6"/>
        <v>1481500</v>
      </c>
      <c r="N18" s="371">
        <v>0.5</v>
      </c>
      <c r="O18" s="372">
        <v>0</v>
      </c>
      <c r="P18" s="372">
        <v>0</v>
      </c>
      <c r="Q18" s="372">
        <v>0</v>
      </c>
      <c r="R18" s="372">
        <v>0</v>
      </c>
      <c r="S18" s="372">
        <v>0</v>
      </c>
      <c r="T18" s="372">
        <v>0</v>
      </c>
      <c r="U18" s="372">
        <v>0</v>
      </c>
      <c r="V18" s="222">
        <f t="shared" si="8"/>
        <v>1481500</v>
      </c>
      <c r="W18" s="222">
        <v>0</v>
      </c>
      <c r="X18" s="222">
        <v>0</v>
      </c>
      <c r="Y18" s="222">
        <v>0</v>
      </c>
      <c r="Z18" s="222">
        <v>0</v>
      </c>
      <c r="AA18" s="238" t="b">
        <f t="shared" si="1"/>
        <v>1</v>
      </c>
      <c r="AB18" s="253">
        <f t="shared" si="2"/>
        <v>0.5</v>
      </c>
      <c r="AC18" s="254" t="b">
        <f t="shared" si="3"/>
        <v>1</v>
      </c>
      <c r="AD18" s="254" t="b">
        <f t="shared" si="4"/>
        <v>1</v>
      </c>
    </row>
    <row r="19" spans="1:30" ht="36.75" customHeight="1" x14ac:dyDescent="0.25">
      <c r="A19" s="335">
        <v>17</v>
      </c>
      <c r="B19" s="213">
        <v>42</v>
      </c>
      <c r="C19" s="213" t="s">
        <v>483</v>
      </c>
      <c r="D19" s="200" t="s">
        <v>438</v>
      </c>
      <c r="E19" s="346">
        <v>2010072</v>
      </c>
      <c r="F19" s="200" t="s">
        <v>54</v>
      </c>
      <c r="G19" s="347" t="s">
        <v>454</v>
      </c>
      <c r="H19" s="200" t="s">
        <v>65</v>
      </c>
      <c r="I19" s="348">
        <v>0.46899999999999997</v>
      </c>
      <c r="J19" s="200" t="s">
        <v>455</v>
      </c>
      <c r="K19" s="210">
        <v>950504.54</v>
      </c>
      <c r="L19" s="384">
        <f t="shared" si="5"/>
        <v>475252.27</v>
      </c>
      <c r="M19" s="230">
        <f t="shared" si="6"/>
        <v>475252.27</v>
      </c>
      <c r="N19" s="385">
        <v>0.5</v>
      </c>
      <c r="O19" s="236">
        <v>0</v>
      </c>
      <c r="P19" s="236">
        <v>0</v>
      </c>
      <c r="Q19" s="236">
        <v>0</v>
      </c>
      <c r="R19" s="236">
        <v>0</v>
      </c>
      <c r="S19" s="236">
        <v>0</v>
      </c>
      <c r="T19" s="236">
        <v>0</v>
      </c>
      <c r="U19" s="236">
        <v>0</v>
      </c>
      <c r="V19" s="207">
        <f>150000*N19</f>
        <v>75000</v>
      </c>
      <c r="W19" s="205">
        <f>800504.54*N19</f>
        <v>400252.27</v>
      </c>
      <c r="X19" s="205">
        <v>0</v>
      </c>
      <c r="Y19" s="205">
        <v>0</v>
      </c>
      <c r="Z19" s="205">
        <v>0</v>
      </c>
      <c r="AA19" s="238" t="b">
        <f t="shared" si="1"/>
        <v>1</v>
      </c>
      <c r="AB19" s="253">
        <f t="shared" si="2"/>
        <v>0.5</v>
      </c>
      <c r="AC19" s="254" t="b">
        <f t="shared" si="3"/>
        <v>1</v>
      </c>
      <c r="AD19" s="254" t="b">
        <f t="shared" si="4"/>
        <v>1</v>
      </c>
    </row>
    <row r="20" spans="1:30" ht="36.75" customHeight="1" x14ac:dyDescent="0.25">
      <c r="A20" s="333">
        <v>18</v>
      </c>
      <c r="B20" s="338">
        <v>52</v>
      </c>
      <c r="C20" s="338" t="s">
        <v>114</v>
      </c>
      <c r="D20" s="365" t="s">
        <v>332</v>
      </c>
      <c r="E20" s="366">
        <v>2002013</v>
      </c>
      <c r="F20" s="365" t="s">
        <v>48</v>
      </c>
      <c r="G20" s="367" t="s">
        <v>456</v>
      </c>
      <c r="H20" s="365" t="s">
        <v>65</v>
      </c>
      <c r="I20" s="368">
        <v>0.43</v>
      </c>
      <c r="J20" s="365" t="s">
        <v>327</v>
      </c>
      <c r="K20" s="369">
        <v>3397793.84</v>
      </c>
      <c r="L20" s="378">
        <f t="shared" si="5"/>
        <v>1698896.92</v>
      </c>
      <c r="M20" s="377">
        <f t="shared" si="6"/>
        <v>1698896.92</v>
      </c>
      <c r="N20" s="371">
        <v>0.5</v>
      </c>
      <c r="O20" s="387">
        <v>0</v>
      </c>
      <c r="P20" s="387">
        <v>0</v>
      </c>
      <c r="Q20" s="387">
        <v>0</v>
      </c>
      <c r="R20" s="387">
        <v>0</v>
      </c>
      <c r="S20" s="387">
        <v>0</v>
      </c>
      <c r="T20" s="387">
        <v>0</v>
      </c>
      <c r="U20" s="387">
        <v>0</v>
      </c>
      <c r="V20" s="388">
        <f>L20</f>
        <v>1698896.92</v>
      </c>
      <c r="W20" s="389">
        <v>0</v>
      </c>
      <c r="X20" s="389">
        <v>0</v>
      </c>
      <c r="Y20" s="389">
        <v>0</v>
      </c>
      <c r="Z20" s="389">
        <v>0</v>
      </c>
      <c r="AA20" s="238" t="b">
        <f t="shared" si="1"/>
        <v>1</v>
      </c>
      <c r="AB20" s="253">
        <f t="shared" si="2"/>
        <v>0.5</v>
      </c>
      <c r="AC20" s="254" t="b">
        <f t="shared" si="3"/>
        <v>1</v>
      </c>
      <c r="AD20" s="254" t="b">
        <f t="shared" si="4"/>
        <v>1</v>
      </c>
    </row>
    <row r="21" spans="1:30" ht="36.75" customHeight="1" x14ac:dyDescent="0.25">
      <c r="A21" s="337">
        <v>19</v>
      </c>
      <c r="B21" s="338">
        <v>89</v>
      </c>
      <c r="C21" s="338" t="s">
        <v>114</v>
      </c>
      <c r="D21" s="365" t="s">
        <v>207</v>
      </c>
      <c r="E21" s="366">
        <v>2004011</v>
      </c>
      <c r="F21" s="365" t="s">
        <v>50</v>
      </c>
      <c r="G21" s="367" t="s">
        <v>457</v>
      </c>
      <c r="H21" s="365" t="s">
        <v>65</v>
      </c>
      <c r="I21" s="368">
        <v>0.27200000000000002</v>
      </c>
      <c r="J21" s="365" t="s">
        <v>233</v>
      </c>
      <c r="K21" s="369">
        <v>1864330.12</v>
      </c>
      <c r="L21" s="378">
        <f t="shared" si="5"/>
        <v>932165.06</v>
      </c>
      <c r="M21" s="377">
        <f t="shared" si="6"/>
        <v>932165.06</v>
      </c>
      <c r="N21" s="371">
        <v>0.5</v>
      </c>
      <c r="O21" s="387">
        <v>0</v>
      </c>
      <c r="P21" s="387">
        <v>0</v>
      </c>
      <c r="Q21" s="387">
        <v>0</v>
      </c>
      <c r="R21" s="387">
        <v>0</v>
      </c>
      <c r="S21" s="387">
        <v>0</v>
      </c>
      <c r="T21" s="387">
        <v>0</v>
      </c>
      <c r="U21" s="387">
        <v>0</v>
      </c>
      <c r="V21" s="222">
        <f>L21</f>
        <v>932165.06</v>
      </c>
      <c r="W21" s="222">
        <v>0</v>
      </c>
      <c r="X21" s="222">
        <v>0</v>
      </c>
      <c r="Y21" s="222">
        <v>0</v>
      </c>
      <c r="Z21" s="222">
        <v>0</v>
      </c>
      <c r="AA21" s="238" t="b">
        <f t="shared" si="1"/>
        <v>1</v>
      </c>
      <c r="AB21" s="253">
        <f t="shared" si="2"/>
        <v>0.5</v>
      </c>
      <c r="AC21" s="254" t="b">
        <f t="shared" si="3"/>
        <v>1</v>
      </c>
      <c r="AD21" s="254" t="b">
        <f t="shared" si="4"/>
        <v>1</v>
      </c>
    </row>
    <row r="22" spans="1:30" ht="36.75" customHeight="1" x14ac:dyDescent="0.25">
      <c r="A22" s="340">
        <v>20</v>
      </c>
      <c r="B22" s="213">
        <v>199</v>
      </c>
      <c r="C22" s="213" t="s">
        <v>483</v>
      </c>
      <c r="D22" s="200" t="s">
        <v>458</v>
      </c>
      <c r="E22" s="346">
        <v>2002103</v>
      </c>
      <c r="F22" s="200" t="s">
        <v>48</v>
      </c>
      <c r="G22" s="347" t="s">
        <v>459</v>
      </c>
      <c r="H22" s="200" t="s">
        <v>66</v>
      </c>
      <c r="I22" s="348">
        <v>0.23</v>
      </c>
      <c r="J22" s="200" t="s">
        <v>460</v>
      </c>
      <c r="K22" s="210">
        <v>1050683.54</v>
      </c>
      <c r="L22" s="384">
        <f t="shared" si="5"/>
        <v>525341.77</v>
      </c>
      <c r="M22" s="230">
        <f t="shared" si="6"/>
        <v>525341.77</v>
      </c>
      <c r="N22" s="385">
        <v>0.5</v>
      </c>
      <c r="O22" s="386">
        <v>0</v>
      </c>
      <c r="P22" s="386">
        <v>0</v>
      </c>
      <c r="Q22" s="386">
        <v>0</v>
      </c>
      <c r="R22" s="386">
        <v>0</v>
      </c>
      <c r="S22" s="386">
        <v>0</v>
      </c>
      <c r="T22" s="386">
        <v>0</v>
      </c>
      <c r="U22" s="386">
        <v>0</v>
      </c>
      <c r="V22" s="207">
        <f>525341.77*N22</f>
        <v>262670.88500000001</v>
      </c>
      <c r="W22" s="205">
        <f>525341.77*N22</f>
        <v>262670.88500000001</v>
      </c>
      <c r="X22" s="207">
        <v>0</v>
      </c>
      <c r="Y22" s="207">
        <v>0</v>
      </c>
      <c r="Z22" s="207">
        <v>0</v>
      </c>
      <c r="AA22" s="238" t="b">
        <f t="shared" si="1"/>
        <v>1</v>
      </c>
      <c r="AB22" s="253">
        <f t="shared" si="2"/>
        <v>0.5</v>
      </c>
      <c r="AC22" s="254" t="b">
        <f t="shared" si="3"/>
        <v>1</v>
      </c>
      <c r="AD22" s="254" t="b">
        <f t="shared" si="4"/>
        <v>1</v>
      </c>
    </row>
    <row r="23" spans="1:30" ht="36.75" customHeight="1" x14ac:dyDescent="0.25">
      <c r="A23" s="339">
        <v>21</v>
      </c>
      <c r="B23" s="213">
        <v>240</v>
      </c>
      <c r="C23" s="213" t="s">
        <v>483</v>
      </c>
      <c r="D23" s="200" t="s">
        <v>461</v>
      </c>
      <c r="E23" s="346">
        <v>2006055</v>
      </c>
      <c r="F23" s="200" t="s">
        <v>51</v>
      </c>
      <c r="G23" s="347" t="s">
        <v>462</v>
      </c>
      <c r="H23" s="200" t="s">
        <v>66</v>
      </c>
      <c r="I23" s="348">
        <v>2.99</v>
      </c>
      <c r="J23" s="200" t="s">
        <v>237</v>
      </c>
      <c r="K23" s="210">
        <v>9711000</v>
      </c>
      <c r="L23" s="384">
        <f t="shared" si="5"/>
        <v>4855500</v>
      </c>
      <c r="M23" s="230">
        <f t="shared" si="6"/>
        <v>4855500</v>
      </c>
      <c r="N23" s="385">
        <v>0.5</v>
      </c>
      <c r="O23" s="386">
        <v>0</v>
      </c>
      <c r="P23" s="386">
        <v>0</v>
      </c>
      <c r="Q23" s="386">
        <v>0</v>
      </c>
      <c r="R23" s="386">
        <v>0</v>
      </c>
      <c r="S23" s="386">
        <v>0</v>
      </c>
      <c r="T23" s="386">
        <v>0</v>
      </c>
      <c r="U23" s="386">
        <v>0</v>
      </c>
      <c r="V23" s="207">
        <f>200000*N23</f>
        <v>100000</v>
      </c>
      <c r="W23" s="205">
        <f>9511000*N23</f>
        <v>4755500</v>
      </c>
      <c r="X23" s="205">
        <v>0</v>
      </c>
      <c r="Y23" s="205">
        <v>0</v>
      </c>
      <c r="Z23" s="205">
        <v>0</v>
      </c>
      <c r="AA23" s="238" t="b">
        <f t="shared" si="1"/>
        <v>1</v>
      </c>
      <c r="AB23" s="253">
        <f t="shared" si="2"/>
        <v>0.5</v>
      </c>
      <c r="AC23" s="254" t="b">
        <f t="shared" si="3"/>
        <v>1</v>
      </c>
      <c r="AD23" s="254" t="b">
        <f t="shared" si="4"/>
        <v>1</v>
      </c>
    </row>
    <row r="24" spans="1:30" ht="36.75" customHeight="1" x14ac:dyDescent="0.25">
      <c r="A24" s="337">
        <v>22</v>
      </c>
      <c r="B24" s="338">
        <v>29</v>
      </c>
      <c r="C24" s="338" t="s">
        <v>114</v>
      </c>
      <c r="D24" s="365" t="s">
        <v>463</v>
      </c>
      <c r="E24" s="366">
        <v>2003032</v>
      </c>
      <c r="F24" s="365" t="s">
        <v>49</v>
      </c>
      <c r="G24" s="367" t="s">
        <v>464</v>
      </c>
      <c r="H24" s="365" t="s">
        <v>66</v>
      </c>
      <c r="I24" s="368">
        <v>2.9119999999999999</v>
      </c>
      <c r="J24" s="365" t="s">
        <v>231</v>
      </c>
      <c r="K24" s="369">
        <v>7205000</v>
      </c>
      <c r="L24" s="378">
        <f t="shared" si="5"/>
        <v>3602500</v>
      </c>
      <c r="M24" s="377">
        <f t="shared" si="6"/>
        <v>3602500</v>
      </c>
      <c r="N24" s="371">
        <v>0.5</v>
      </c>
      <c r="O24" s="372">
        <v>0</v>
      </c>
      <c r="P24" s="387">
        <v>0</v>
      </c>
      <c r="Q24" s="387">
        <v>0</v>
      </c>
      <c r="R24" s="387">
        <v>0</v>
      </c>
      <c r="S24" s="387">
        <v>0</v>
      </c>
      <c r="T24" s="387">
        <v>0</v>
      </c>
      <c r="U24" s="387">
        <v>0</v>
      </c>
      <c r="V24" s="388">
        <f>L24</f>
        <v>3602500</v>
      </c>
      <c r="W24" s="389">
        <v>0</v>
      </c>
      <c r="X24" s="389">
        <v>0</v>
      </c>
      <c r="Y24" s="389">
        <v>0</v>
      </c>
      <c r="Z24" s="389">
        <v>0</v>
      </c>
      <c r="AA24" s="238" t="b">
        <f t="shared" si="1"/>
        <v>1</v>
      </c>
      <c r="AB24" s="253">
        <f t="shared" si="2"/>
        <v>0.5</v>
      </c>
      <c r="AC24" s="254" t="b">
        <f t="shared" si="3"/>
        <v>1</v>
      </c>
      <c r="AD24" s="254" t="b">
        <f t="shared" si="4"/>
        <v>1</v>
      </c>
    </row>
    <row r="25" spans="1:30" ht="36.75" customHeight="1" x14ac:dyDescent="0.25">
      <c r="A25" s="335">
        <v>23</v>
      </c>
      <c r="B25" s="213">
        <v>343</v>
      </c>
      <c r="C25" s="213" t="s">
        <v>483</v>
      </c>
      <c r="D25" s="200" t="s">
        <v>96</v>
      </c>
      <c r="E25" s="346">
        <v>2011084</v>
      </c>
      <c r="F25" s="200" t="s">
        <v>55</v>
      </c>
      <c r="G25" s="347" t="s">
        <v>465</v>
      </c>
      <c r="H25" s="200" t="s">
        <v>65</v>
      </c>
      <c r="I25" s="348">
        <v>1.855</v>
      </c>
      <c r="J25" s="200" t="s">
        <v>455</v>
      </c>
      <c r="K25" s="210">
        <v>8702000</v>
      </c>
      <c r="L25" s="384">
        <f t="shared" si="5"/>
        <v>4351000</v>
      </c>
      <c r="M25" s="230">
        <f t="shared" si="6"/>
        <v>4351000</v>
      </c>
      <c r="N25" s="385">
        <v>0.5</v>
      </c>
      <c r="O25" s="386">
        <v>0</v>
      </c>
      <c r="P25" s="386">
        <v>0</v>
      </c>
      <c r="Q25" s="386">
        <v>0</v>
      </c>
      <c r="R25" s="386">
        <v>0</v>
      </c>
      <c r="S25" s="386">
        <v>0</v>
      </c>
      <c r="T25" s="386">
        <v>0</v>
      </c>
      <c r="U25" s="386">
        <v>0</v>
      </c>
      <c r="V25" s="205">
        <f>4351000*N25</f>
        <v>2175500</v>
      </c>
      <c r="W25" s="205">
        <f>4351000*N25</f>
        <v>2175500</v>
      </c>
      <c r="X25" s="205">
        <v>0</v>
      </c>
      <c r="Y25" s="205">
        <v>0</v>
      </c>
      <c r="Z25" s="205">
        <v>0</v>
      </c>
      <c r="AA25" s="238" t="b">
        <f t="shared" si="1"/>
        <v>1</v>
      </c>
      <c r="AB25" s="253">
        <f t="shared" si="2"/>
        <v>0.5</v>
      </c>
      <c r="AC25" s="254" t="b">
        <f t="shared" si="3"/>
        <v>1</v>
      </c>
      <c r="AD25" s="254" t="b">
        <f t="shared" si="4"/>
        <v>1</v>
      </c>
    </row>
    <row r="26" spans="1:30" ht="36.75" customHeight="1" x14ac:dyDescent="0.25">
      <c r="A26" s="333">
        <v>24</v>
      </c>
      <c r="B26" s="338">
        <v>255</v>
      </c>
      <c r="C26" s="338" t="s">
        <v>114</v>
      </c>
      <c r="D26" s="365" t="s">
        <v>341</v>
      </c>
      <c r="E26" s="366">
        <v>2001032</v>
      </c>
      <c r="F26" s="365" t="s">
        <v>200</v>
      </c>
      <c r="G26" s="367" t="s">
        <v>466</v>
      </c>
      <c r="H26" s="365" t="s">
        <v>66</v>
      </c>
      <c r="I26" s="368">
        <v>1.4</v>
      </c>
      <c r="J26" s="365" t="s">
        <v>264</v>
      </c>
      <c r="K26" s="369">
        <v>1983400</v>
      </c>
      <c r="L26" s="378">
        <f t="shared" si="5"/>
        <v>991700</v>
      </c>
      <c r="M26" s="377">
        <f t="shared" si="6"/>
        <v>991700</v>
      </c>
      <c r="N26" s="371">
        <v>0.5</v>
      </c>
      <c r="O26" s="372">
        <v>0</v>
      </c>
      <c r="P26" s="372">
        <v>0</v>
      </c>
      <c r="Q26" s="372">
        <v>0</v>
      </c>
      <c r="R26" s="372">
        <v>0</v>
      </c>
      <c r="S26" s="372">
        <v>0</v>
      </c>
      <c r="T26" s="372">
        <v>0</v>
      </c>
      <c r="U26" s="372">
        <v>0</v>
      </c>
      <c r="V26" s="221">
        <f t="shared" ref="V26:V36" si="9">L26</f>
        <v>991700</v>
      </c>
      <c r="W26" s="222">
        <v>0</v>
      </c>
      <c r="X26" s="222">
        <v>0</v>
      </c>
      <c r="Y26" s="222">
        <v>0</v>
      </c>
      <c r="Z26" s="222">
        <v>0</v>
      </c>
      <c r="AA26" s="238" t="b">
        <f t="shared" si="1"/>
        <v>1</v>
      </c>
      <c r="AB26" s="253">
        <f t="shared" si="2"/>
        <v>0.5</v>
      </c>
      <c r="AC26" s="254" t="b">
        <f t="shared" si="3"/>
        <v>1</v>
      </c>
      <c r="AD26" s="254" t="b">
        <f t="shared" si="4"/>
        <v>1</v>
      </c>
    </row>
    <row r="27" spans="1:30" ht="36.75" customHeight="1" x14ac:dyDescent="0.25">
      <c r="A27" s="337">
        <v>25</v>
      </c>
      <c r="B27" s="338">
        <v>346</v>
      </c>
      <c r="C27" s="338" t="s">
        <v>114</v>
      </c>
      <c r="D27" s="365" t="s">
        <v>418</v>
      </c>
      <c r="E27" s="366">
        <v>2006062</v>
      </c>
      <c r="F27" s="365" t="s">
        <v>51</v>
      </c>
      <c r="G27" s="367" t="s">
        <v>467</v>
      </c>
      <c r="H27" s="365" t="s">
        <v>67</v>
      </c>
      <c r="I27" s="368">
        <v>1.3420000000000001</v>
      </c>
      <c r="J27" s="365" t="s">
        <v>233</v>
      </c>
      <c r="K27" s="369">
        <v>1453000</v>
      </c>
      <c r="L27" s="378">
        <f t="shared" si="5"/>
        <v>726500</v>
      </c>
      <c r="M27" s="377">
        <f t="shared" si="6"/>
        <v>726500</v>
      </c>
      <c r="N27" s="371">
        <v>0.5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222">
        <f t="shared" si="9"/>
        <v>726500</v>
      </c>
      <c r="W27" s="222">
        <v>0</v>
      </c>
      <c r="X27" s="222">
        <v>0</v>
      </c>
      <c r="Y27" s="222">
        <v>0</v>
      </c>
      <c r="Z27" s="222">
        <v>0</v>
      </c>
      <c r="AA27" s="238" t="b">
        <f t="shared" si="1"/>
        <v>1</v>
      </c>
      <c r="AB27" s="253">
        <f t="shared" si="2"/>
        <v>0.5</v>
      </c>
      <c r="AC27" s="254" t="b">
        <f t="shared" si="3"/>
        <v>1</v>
      </c>
      <c r="AD27" s="254" t="b">
        <f t="shared" si="4"/>
        <v>1</v>
      </c>
    </row>
    <row r="28" spans="1:30" ht="36.75" customHeight="1" x14ac:dyDescent="0.25">
      <c r="A28" s="337">
        <v>26</v>
      </c>
      <c r="B28" s="338">
        <v>291</v>
      </c>
      <c r="C28" s="338" t="s">
        <v>114</v>
      </c>
      <c r="D28" s="365" t="s">
        <v>204</v>
      </c>
      <c r="E28" s="366">
        <v>2001011</v>
      </c>
      <c r="F28" s="365" t="s">
        <v>200</v>
      </c>
      <c r="G28" s="367" t="s">
        <v>468</v>
      </c>
      <c r="H28" s="365" t="s">
        <v>66</v>
      </c>
      <c r="I28" s="368">
        <v>0.98899999999999999</v>
      </c>
      <c r="J28" s="365" t="s">
        <v>389</v>
      </c>
      <c r="K28" s="369">
        <v>11684170.5</v>
      </c>
      <c r="L28" s="378">
        <f t="shared" si="5"/>
        <v>5842085.25</v>
      </c>
      <c r="M28" s="377">
        <f t="shared" si="6"/>
        <v>5842085.25</v>
      </c>
      <c r="N28" s="371">
        <v>0.5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222">
        <f t="shared" si="9"/>
        <v>5842085.25</v>
      </c>
      <c r="W28" s="222">
        <v>0</v>
      </c>
      <c r="X28" s="222">
        <v>0</v>
      </c>
      <c r="Y28" s="222">
        <v>0</v>
      </c>
      <c r="Z28" s="222">
        <v>0</v>
      </c>
      <c r="AA28" s="238" t="b">
        <f t="shared" si="1"/>
        <v>1</v>
      </c>
      <c r="AB28" s="253">
        <f t="shared" si="2"/>
        <v>0.5</v>
      </c>
      <c r="AC28" s="254" t="b">
        <f t="shared" si="3"/>
        <v>1</v>
      </c>
      <c r="AD28" s="254" t="b">
        <f t="shared" si="4"/>
        <v>1</v>
      </c>
    </row>
    <row r="29" spans="1:30" ht="36.75" customHeight="1" x14ac:dyDescent="0.25">
      <c r="A29" s="337">
        <v>27</v>
      </c>
      <c r="B29" s="338">
        <v>254</v>
      </c>
      <c r="C29" s="338" t="s">
        <v>114</v>
      </c>
      <c r="D29" s="365" t="s">
        <v>341</v>
      </c>
      <c r="E29" s="366">
        <v>2001032</v>
      </c>
      <c r="F29" s="365" t="s">
        <v>200</v>
      </c>
      <c r="G29" s="367" t="s">
        <v>469</v>
      </c>
      <c r="H29" s="365" t="s">
        <v>66</v>
      </c>
      <c r="I29" s="368">
        <v>0.98</v>
      </c>
      <c r="J29" s="365" t="s">
        <v>264</v>
      </c>
      <c r="K29" s="369">
        <v>1363460</v>
      </c>
      <c r="L29" s="378">
        <f t="shared" si="5"/>
        <v>681730</v>
      </c>
      <c r="M29" s="377">
        <f t="shared" si="6"/>
        <v>681730</v>
      </c>
      <c r="N29" s="371">
        <v>0.5</v>
      </c>
      <c r="O29" s="372">
        <v>0</v>
      </c>
      <c r="P29" s="372">
        <v>0</v>
      </c>
      <c r="Q29" s="372">
        <v>0</v>
      </c>
      <c r="R29" s="372">
        <v>0</v>
      </c>
      <c r="S29" s="372">
        <v>0</v>
      </c>
      <c r="T29" s="372">
        <v>0</v>
      </c>
      <c r="U29" s="372">
        <v>0</v>
      </c>
      <c r="V29" s="221">
        <f t="shared" si="9"/>
        <v>681730</v>
      </c>
      <c r="W29" s="222">
        <v>0</v>
      </c>
      <c r="X29" s="222">
        <v>0</v>
      </c>
      <c r="Y29" s="222">
        <v>0</v>
      </c>
      <c r="Z29" s="222">
        <v>0</v>
      </c>
      <c r="AA29" s="238" t="b">
        <f t="shared" si="1"/>
        <v>1</v>
      </c>
      <c r="AB29" s="253">
        <f t="shared" si="2"/>
        <v>0.5</v>
      </c>
      <c r="AC29" s="254" t="b">
        <f t="shared" si="3"/>
        <v>1</v>
      </c>
      <c r="AD29" s="254" t="b">
        <f t="shared" si="4"/>
        <v>1</v>
      </c>
    </row>
    <row r="30" spans="1:30" ht="36.75" customHeight="1" x14ac:dyDescent="0.25">
      <c r="A30" s="337">
        <v>28</v>
      </c>
      <c r="B30" s="338">
        <v>295</v>
      </c>
      <c r="C30" s="338" t="s">
        <v>114</v>
      </c>
      <c r="D30" s="365" t="s">
        <v>204</v>
      </c>
      <c r="E30" s="366">
        <v>2001011</v>
      </c>
      <c r="F30" s="365" t="s">
        <v>200</v>
      </c>
      <c r="G30" s="367" t="s">
        <v>470</v>
      </c>
      <c r="H30" s="365" t="s">
        <v>66</v>
      </c>
      <c r="I30" s="368">
        <v>0.93500000000000005</v>
      </c>
      <c r="J30" s="365" t="s">
        <v>389</v>
      </c>
      <c r="K30" s="369">
        <v>9676885.6500000004</v>
      </c>
      <c r="L30" s="378">
        <f t="shared" si="5"/>
        <v>4838442.82</v>
      </c>
      <c r="M30" s="377">
        <f t="shared" si="6"/>
        <v>4838442.83</v>
      </c>
      <c r="N30" s="371">
        <v>0.5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222">
        <f t="shared" si="9"/>
        <v>4838442.82</v>
      </c>
      <c r="W30" s="222">
        <v>0</v>
      </c>
      <c r="X30" s="222">
        <v>0</v>
      </c>
      <c r="Y30" s="222">
        <v>0</v>
      </c>
      <c r="Z30" s="222">
        <v>0</v>
      </c>
      <c r="AA30" s="238" t="b">
        <f t="shared" si="1"/>
        <v>1</v>
      </c>
      <c r="AB30" s="253">
        <f t="shared" si="2"/>
        <v>0.5</v>
      </c>
      <c r="AC30" s="254" t="b">
        <f t="shared" si="3"/>
        <v>1</v>
      </c>
      <c r="AD30" s="254" t="b">
        <f t="shared" si="4"/>
        <v>1</v>
      </c>
    </row>
    <row r="31" spans="1:30" ht="36.75" customHeight="1" x14ac:dyDescent="0.25">
      <c r="A31" s="337">
        <v>29</v>
      </c>
      <c r="B31" s="338">
        <v>293</v>
      </c>
      <c r="C31" s="338" t="s">
        <v>114</v>
      </c>
      <c r="D31" s="365" t="s">
        <v>204</v>
      </c>
      <c r="E31" s="366">
        <v>2001011</v>
      </c>
      <c r="F31" s="365" t="s">
        <v>200</v>
      </c>
      <c r="G31" s="367" t="s">
        <v>471</v>
      </c>
      <c r="H31" s="365" t="s">
        <v>66</v>
      </c>
      <c r="I31" s="368">
        <v>0.91200000000000003</v>
      </c>
      <c r="J31" s="365" t="s">
        <v>389</v>
      </c>
      <c r="K31" s="369">
        <v>4369374.46</v>
      </c>
      <c r="L31" s="378">
        <f t="shared" si="5"/>
        <v>2184687.23</v>
      </c>
      <c r="M31" s="377">
        <f t="shared" si="6"/>
        <v>2184687.23</v>
      </c>
      <c r="N31" s="371">
        <v>0.5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222">
        <f t="shared" si="9"/>
        <v>2184687.23</v>
      </c>
      <c r="W31" s="222">
        <v>0</v>
      </c>
      <c r="X31" s="222">
        <v>0</v>
      </c>
      <c r="Y31" s="222">
        <v>0</v>
      </c>
      <c r="Z31" s="222">
        <v>0</v>
      </c>
      <c r="AA31" s="238" t="b">
        <f t="shared" si="1"/>
        <v>1</v>
      </c>
      <c r="AB31" s="253">
        <f t="shared" si="2"/>
        <v>0.5</v>
      </c>
      <c r="AC31" s="254" t="b">
        <f t="shared" si="3"/>
        <v>1</v>
      </c>
      <c r="AD31" s="254" t="b">
        <f t="shared" si="4"/>
        <v>1</v>
      </c>
    </row>
    <row r="32" spans="1:30" ht="36.75" customHeight="1" x14ac:dyDescent="0.25">
      <c r="A32" s="341">
        <v>30</v>
      </c>
      <c r="B32" s="342">
        <v>57</v>
      </c>
      <c r="C32" s="342" t="s">
        <v>114</v>
      </c>
      <c r="D32" s="391" t="s">
        <v>332</v>
      </c>
      <c r="E32" s="392">
        <v>2002013</v>
      </c>
      <c r="F32" s="391" t="s">
        <v>48</v>
      </c>
      <c r="G32" s="393" t="s">
        <v>472</v>
      </c>
      <c r="H32" s="391" t="s">
        <v>66</v>
      </c>
      <c r="I32" s="394">
        <v>0.72799999999999998</v>
      </c>
      <c r="J32" s="391" t="s">
        <v>327</v>
      </c>
      <c r="K32" s="395">
        <v>8566789.9399999995</v>
      </c>
      <c r="L32" s="378">
        <f t="shared" si="5"/>
        <v>4283394.97</v>
      </c>
      <c r="M32" s="377">
        <f t="shared" si="6"/>
        <v>4283394.97</v>
      </c>
      <c r="N32" s="396">
        <v>0.5</v>
      </c>
      <c r="O32" s="397">
        <v>0</v>
      </c>
      <c r="P32" s="397">
        <v>0</v>
      </c>
      <c r="Q32" s="397">
        <v>0</v>
      </c>
      <c r="R32" s="397">
        <v>0</v>
      </c>
      <c r="S32" s="397">
        <v>0</v>
      </c>
      <c r="T32" s="397">
        <v>0</v>
      </c>
      <c r="U32" s="397">
        <v>0</v>
      </c>
      <c r="V32" s="398">
        <f t="shared" si="9"/>
        <v>4283394.97</v>
      </c>
      <c r="W32" s="399">
        <v>0</v>
      </c>
      <c r="X32" s="399">
        <v>0</v>
      </c>
      <c r="Y32" s="399">
        <v>0</v>
      </c>
      <c r="Z32" s="399">
        <v>0</v>
      </c>
      <c r="AA32" s="238" t="b">
        <f t="shared" si="1"/>
        <v>1</v>
      </c>
      <c r="AB32" s="253">
        <f t="shared" si="2"/>
        <v>0.5</v>
      </c>
      <c r="AC32" s="254" t="b">
        <f t="shared" si="3"/>
        <v>1</v>
      </c>
      <c r="AD32" s="254" t="b">
        <f t="shared" si="4"/>
        <v>1</v>
      </c>
    </row>
    <row r="33" spans="1:30" ht="36.75" customHeight="1" x14ac:dyDescent="0.25">
      <c r="A33" s="341">
        <v>31</v>
      </c>
      <c r="B33" s="342">
        <v>406</v>
      </c>
      <c r="C33" s="342" t="s">
        <v>114</v>
      </c>
      <c r="D33" s="391" t="s">
        <v>323</v>
      </c>
      <c r="E33" s="392">
        <v>2002133</v>
      </c>
      <c r="F33" s="391" t="s">
        <v>48</v>
      </c>
      <c r="G33" s="393" t="s">
        <v>473</v>
      </c>
      <c r="H33" s="391" t="s">
        <v>66</v>
      </c>
      <c r="I33" s="394">
        <v>0.69499999999999995</v>
      </c>
      <c r="J33" s="391" t="s">
        <v>325</v>
      </c>
      <c r="K33" s="395">
        <v>3593000</v>
      </c>
      <c r="L33" s="378">
        <f t="shared" si="5"/>
        <v>1796500</v>
      </c>
      <c r="M33" s="377">
        <f t="shared" si="6"/>
        <v>1796500</v>
      </c>
      <c r="N33" s="396">
        <v>0.5</v>
      </c>
      <c r="O33" s="400">
        <v>0</v>
      </c>
      <c r="P33" s="400">
        <v>0</v>
      </c>
      <c r="Q33" s="400">
        <v>0</v>
      </c>
      <c r="R33" s="400">
        <v>0</v>
      </c>
      <c r="S33" s="400">
        <v>0</v>
      </c>
      <c r="T33" s="400">
        <v>0</v>
      </c>
      <c r="U33" s="400">
        <v>0</v>
      </c>
      <c r="V33" s="302">
        <f t="shared" si="9"/>
        <v>1796500</v>
      </c>
      <c r="W33" s="302">
        <v>0</v>
      </c>
      <c r="X33" s="302">
        <v>0</v>
      </c>
      <c r="Y33" s="302">
        <v>0</v>
      </c>
      <c r="Z33" s="302">
        <v>0</v>
      </c>
      <c r="AA33" s="238" t="b">
        <f t="shared" si="1"/>
        <v>1</v>
      </c>
      <c r="AB33" s="253">
        <f t="shared" si="2"/>
        <v>0.5</v>
      </c>
      <c r="AC33" s="254" t="b">
        <f t="shared" si="3"/>
        <v>1</v>
      </c>
      <c r="AD33" s="254" t="b">
        <f t="shared" si="4"/>
        <v>1</v>
      </c>
    </row>
    <row r="34" spans="1:30" ht="36.75" customHeight="1" x14ac:dyDescent="0.25">
      <c r="A34" s="337">
        <v>32</v>
      </c>
      <c r="B34" s="338">
        <v>289</v>
      </c>
      <c r="C34" s="338" t="s">
        <v>114</v>
      </c>
      <c r="D34" s="365" t="s">
        <v>204</v>
      </c>
      <c r="E34" s="366">
        <v>2001011</v>
      </c>
      <c r="F34" s="365" t="s">
        <v>200</v>
      </c>
      <c r="G34" s="367" t="s">
        <v>474</v>
      </c>
      <c r="H34" s="365" t="s">
        <v>66</v>
      </c>
      <c r="I34" s="368">
        <v>0.57399999999999995</v>
      </c>
      <c r="J34" s="365" t="s">
        <v>389</v>
      </c>
      <c r="K34" s="369">
        <v>5993761.9400000004</v>
      </c>
      <c r="L34" s="378">
        <f t="shared" si="5"/>
        <v>2996880.97</v>
      </c>
      <c r="M34" s="377">
        <f t="shared" si="6"/>
        <v>2996880.97</v>
      </c>
      <c r="N34" s="371">
        <v>0.5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222">
        <f t="shared" si="9"/>
        <v>2996880.97</v>
      </c>
      <c r="W34" s="222">
        <v>0</v>
      </c>
      <c r="X34" s="222">
        <v>0</v>
      </c>
      <c r="Y34" s="222">
        <v>0</v>
      </c>
      <c r="Z34" s="222">
        <v>0</v>
      </c>
      <c r="AA34" s="238" t="b">
        <f t="shared" si="1"/>
        <v>1</v>
      </c>
      <c r="AB34" s="253">
        <f t="shared" si="2"/>
        <v>0.5</v>
      </c>
      <c r="AC34" s="254" t="b">
        <f t="shared" si="3"/>
        <v>1</v>
      </c>
      <c r="AD34" s="254" t="b">
        <f t="shared" si="4"/>
        <v>1</v>
      </c>
    </row>
    <row r="35" spans="1:30" ht="36.75" customHeight="1" x14ac:dyDescent="0.25">
      <c r="A35" s="337">
        <v>33</v>
      </c>
      <c r="B35" s="338">
        <v>225</v>
      </c>
      <c r="C35" s="338" t="s">
        <v>114</v>
      </c>
      <c r="D35" s="365" t="s">
        <v>421</v>
      </c>
      <c r="E35" s="366">
        <v>2002063</v>
      </c>
      <c r="F35" s="365" t="s">
        <v>48</v>
      </c>
      <c r="G35" s="367" t="s">
        <v>475</v>
      </c>
      <c r="H35" s="365" t="s">
        <v>66</v>
      </c>
      <c r="I35" s="368">
        <v>0.56999999999999995</v>
      </c>
      <c r="J35" s="365" t="s">
        <v>235</v>
      </c>
      <c r="K35" s="369">
        <v>2803500</v>
      </c>
      <c r="L35" s="378">
        <f t="shared" si="5"/>
        <v>1401750</v>
      </c>
      <c r="M35" s="377">
        <f t="shared" si="6"/>
        <v>1401750</v>
      </c>
      <c r="N35" s="371">
        <v>0.5</v>
      </c>
      <c r="O35" s="372">
        <v>0</v>
      </c>
      <c r="P35" s="372">
        <v>0</v>
      </c>
      <c r="Q35" s="372">
        <v>0</v>
      </c>
      <c r="R35" s="372">
        <v>0</v>
      </c>
      <c r="S35" s="372">
        <v>0</v>
      </c>
      <c r="T35" s="372">
        <v>0</v>
      </c>
      <c r="U35" s="372">
        <v>0</v>
      </c>
      <c r="V35" s="221">
        <f t="shared" si="9"/>
        <v>1401750</v>
      </c>
      <c r="W35" s="222">
        <v>0</v>
      </c>
      <c r="X35" s="222">
        <v>0</v>
      </c>
      <c r="Y35" s="222">
        <v>0</v>
      </c>
      <c r="Z35" s="222">
        <v>0</v>
      </c>
      <c r="AA35" s="238" t="b">
        <f t="shared" si="1"/>
        <v>1</v>
      </c>
      <c r="AB35" s="253">
        <f t="shared" si="2"/>
        <v>0.5</v>
      </c>
      <c r="AC35" s="254" t="b">
        <f t="shared" si="3"/>
        <v>1</v>
      </c>
      <c r="AD35" s="254" t="b">
        <f t="shared" si="4"/>
        <v>1</v>
      </c>
    </row>
    <row r="36" spans="1:30" ht="36.75" customHeight="1" x14ac:dyDescent="0.25">
      <c r="A36" s="333">
        <v>34</v>
      </c>
      <c r="B36" s="338">
        <v>341</v>
      </c>
      <c r="C36" s="338" t="s">
        <v>114</v>
      </c>
      <c r="D36" s="365" t="s">
        <v>96</v>
      </c>
      <c r="E36" s="366">
        <v>2011084</v>
      </c>
      <c r="F36" s="365" t="s">
        <v>55</v>
      </c>
      <c r="G36" s="367" t="s">
        <v>478</v>
      </c>
      <c r="H36" s="365" t="s">
        <v>66</v>
      </c>
      <c r="I36" s="368">
        <v>0.47499999999999998</v>
      </c>
      <c r="J36" s="365" t="s">
        <v>479</v>
      </c>
      <c r="K36" s="369">
        <v>4830470.78</v>
      </c>
      <c r="L36" s="378">
        <f t="shared" si="5"/>
        <v>2415235.39</v>
      </c>
      <c r="M36" s="377">
        <f t="shared" si="6"/>
        <v>2415235.39</v>
      </c>
      <c r="N36" s="371">
        <v>0.5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222">
        <f t="shared" si="9"/>
        <v>2415235.39</v>
      </c>
      <c r="W36" s="222">
        <v>0</v>
      </c>
      <c r="X36" s="222">
        <v>0</v>
      </c>
      <c r="Y36" s="222">
        <v>0</v>
      </c>
      <c r="Z36" s="222">
        <v>0</v>
      </c>
      <c r="AA36" s="238" t="b">
        <f t="shared" si="1"/>
        <v>1</v>
      </c>
      <c r="AB36" s="253">
        <f t="shared" si="2"/>
        <v>0.5</v>
      </c>
      <c r="AC36" s="254" t="b">
        <f t="shared" si="3"/>
        <v>1</v>
      </c>
      <c r="AD36" s="254" t="b">
        <f t="shared" si="4"/>
        <v>1</v>
      </c>
    </row>
    <row r="37" spans="1:30" ht="36.75" customHeight="1" x14ac:dyDescent="0.25">
      <c r="A37" s="340">
        <v>35</v>
      </c>
      <c r="B37" s="213">
        <v>249</v>
      </c>
      <c r="C37" s="213" t="s">
        <v>483</v>
      </c>
      <c r="D37" s="200" t="s">
        <v>139</v>
      </c>
      <c r="E37" s="346">
        <v>2063011</v>
      </c>
      <c r="F37" s="200" t="s">
        <v>139</v>
      </c>
      <c r="G37" s="347" t="s">
        <v>480</v>
      </c>
      <c r="H37" s="200" t="s">
        <v>65</v>
      </c>
      <c r="I37" s="348">
        <v>0.42</v>
      </c>
      <c r="J37" s="200" t="s">
        <v>481</v>
      </c>
      <c r="K37" s="210">
        <v>4210600</v>
      </c>
      <c r="L37" s="384">
        <f t="shared" si="5"/>
        <v>2105300</v>
      </c>
      <c r="M37" s="230">
        <f t="shared" si="6"/>
        <v>2105300</v>
      </c>
      <c r="N37" s="385">
        <v>0.5</v>
      </c>
      <c r="O37" s="386">
        <v>0</v>
      </c>
      <c r="P37" s="386">
        <v>0</v>
      </c>
      <c r="Q37" s="386">
        <v>0</v>
      </c>
      <c r="R37" s="386">
        <v>0</v>
      </c>
      <c r="S37" s="386">
        <v>0</v>
      </c>
      <c r="T37" s="386">
        <v>0</v>
      </c>
      <c r="U37" s="386">
        <v>0</v>
      </c>
      <c r="V37" s="207">
        <f>380600*N37</f>
        <v>190300</v>
      </c>
      <c r="W37" s="205">
        <f>3830000*N37</f>
        <v>1915000</v>
      </c>
      <c r="X37" s="205">
        <v>0</v>
      </c>
      <c r="Y37" s="205">
        <v>0</v>
      </c>
      <c r="Z37" s="205">
        <v>0</v>
      </c>
      <c r="AA37" s="238" t="b">
        <f t="shared" si="1"/>
        <v>1</v>
      </c>
      <c r="AB37" s="253">
        <f t="shared" si="2"/>
        <v>0.5</v>
      </c>
      <c r="AC37" s="254" t="b">
        <f t="shared" si="3"/>
        <v>1</v>
      </c>
      <c r="AD37" s="254" t="b">
        <f t="shared" si="4"/>
        <v>1</v>
      </c>
    </row>
    <row r="38" spans="1:30" ht="36.75" customHeight="1" x14ac:dyDescent="0.25">
      <c r="A38" s="337" t="s">
        <v>500</v>
      </c>
      <c r="B38" s="338">
        <v>299</v>
      </c>
      <c r="C38" s="338" t="s">
        <v>114</v>
      </c>
      <c r="D38" s="365" t="s">
        <v>204</v>
      </c>
      <c r="E38" s="366">
        <v>2001011</v>
      </c>
      <c r="F38" s="365" t="s">
        <v>200</v>
      </c>
      <c r="G38" s="367" t="s">
        <v>482</v>
      </c>
      <c r="H38" s="365" t="s">
        <v>66</v>
      </c>
      <c r="I38" s="368">
        <v>0.41499999999999998</v>
      </c>
      <c r="J38" s="365" t="s">
        <v>389</v>
      </c>
      <c r="K38" s="369">
        <v>2767169.6</v>
      </c>
      <c r="L38" s="370">
        <f>ROUNDDOWN(K38*N38,2)-665282.03</f>
        <v>718302.77</v>
      </c>
      <c r="M38" s="369">
        <f t="shared" si="6"/>
        <v>2048866.83</v>
      </c>
      <c r="N38" s="371">
        <v>0.5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222">
        <f>L38</f>
        <v>718302.77</v>
      </c>
      <c r="W38" s="222">
        <v>0</v>
      </c>
      <c r="X38" s="222">
        <v>0</v>
      </c>
      <c r="Y38" s="222">
        <v>0</v>
      </c>
      <c r="Z38" s="222">
        <v>0</v>
      </c>
      <c r="AA38" s="238" t="b">
        <f t="shared" si="1"/>
        <v>1</v>
      </c>
      <c r="AB38" s="253">
        <f t="shared" si="2"/>
        <v>0.2596</v>
      </c>
      <c r="AC38" s="254" t="b">
        <f t="shared" si="3"/>
        <v>0</v>
      </c>
      <c r="AD38" s="254" t="b">
        <f t="shared" si="4"/>
        <v>1</v>
      </c>
    </row>
    <row r="39" spans="1:30" ht="20.100000000000001" customHeight="1" x14ac:dyDescent="0.25">
      <c r="A39" s="475" t="s">
        <v>44</v>
      </c>
      <c r="B39" s="475"/>
      <c r="C39" s="475"/>
      <c r="D39" s="475"/>
      <c r="E39" s="475"/>
      <c r="F39" s="475"/>
      <c r="G39" s="475"/>
      <c r="H39" s="475"/>
      <c r="I39" s="157">
        <f>SUM(I3:I38)</f>
        <v>33.138999999999996</v>
      </c>
      <c r="J39" s="255" t="s">
        <v>14</v>
      </c>
      <c r="K39" s="256">
        <f>SUM(K3:K38)</f>
        <v>164358706.35000002</v>
      </c>
      <c r="L39" s="256">
        <f>SUM(L3:L38)</f>
        <v>81514071.120000005</v>
      </c>
      <c r="M39" s="256">
        <f>SUM(M3:M38)</f>
        <v>82844635.230000004</v>
      </c>
      <c r="N39" s="161" t="s">
        <v>14</v>
      </c>
      <c r="O39" s="257">
        <f t="shared" ref="O39:Z39" si="10">SUM(O3:O38)</f>
        <v>0</v>
      </c>
      <c r="P39" s="257">
        <f t="shared" si="10"/>
        <v>0</v>
      </c>
      <c r="Q39" s="257">
        <f t="shared" si="10"/>
        <v>0</v>
      </c>
      <c r="R39" s="257">
        <f t="shared" si="10"/>
        <v>0</v>
      </c>
      <c r="S39" s="257">
        <f t="shared" si="10"/>
        <v>0</v>
      </c>
      <c r="T39" s="257">
        <f t="shared" si="10"/>
        <v>0</v>
      </c>
      <c r="U39" s="257">
        <f t="shared" si="10"/>
        <v>0</v>
      </c>
      <c r="V39" s="257">
        <f t="shared" si="10"/>
        <v>67695967.859999999</v>
      </c>
      <c r="W39" s="257">
        <f t="shared" si="10"/>
        <v>13569568.34</v>
      </c>
      <c r="X39" s="257">
        <f t="shared" si="10"/>
        <v>248534.92</v>
      </c>
      <c r="Y39" s="257">
        <f t="shared" si="10"/>
        <v>0</v>
      </c>
      <c r="Z39" s="257">
        <f t="shared" si="10"/>
        <v>0</v>
      </c>
      <c r="AA39" s="238" t="b">
        <f t="shared" ref="AA39:AA41" si="11">L39=SUM(O39:Z39)</f>
        <v>1</v>
      </c>
      <c r="AB39" s="253">
        <f>ROUND(L39/K39,4)</f>
        <v>0.496</v>
      </c>
      <c r="AC39" s="254" t="s">
        <v>14</v>
      </c>
      <c r="AD39" s="254" t="b">
        <f t="shared" ref="AD39" si="12">K39=L39+M39</f>
        <v>1</v>
      </c>
    </row>
    <row r="40" spans="1:30" ht="20.100000000000001" customHeight="1" x14ac:dyDescent="0.25">
      <c r="A40" s="478" t="s">
        <v>38</v>
      </c>
      <c r="B40" s="479"/>
      <c r="C40" s="479"/>
      <c r="D40" s="479"/>
      <c r="E40" s="479"/>
      <c r="F40" s="479"/>
      <c r="G40" s="479"/>
      <c r="H40" s="480"/>
      <c r="I40" s="48">
        <f>SUMIF($C$3:$C$38,"N",I3:I38)</f>
        <v>23.595000000000002</v>
      </c>
      <c r="J40" s="247" t="s">
        <v>14</v>
      </c>
      <c r="K40" s="248">
        <f>SUMIF($C$3:$C$38,"N",K3:K38)</f>
        <v>121742312.52999999</v>
      </c>
      <c r="L40" s="248">
        <f>SUMIF($C$3:$C$38,"N",L3:L38)</f>
        <v>60205874.219999991</v>
      </c>
      <c r="M40" s="248">
        <f>SUMIF($C$3:$C$38,"N",M3:M38)</f>
        <v>61536438.309999995</v>
      </c>
      <c r="N40" s="52" t="s">
        <v>14</v>
      </c>
      <c r="O40" s="258">
        <f t="shared" ref="O40:Z40" si="13">SUMIF($C$3:$C$38,"N",O3:O38)</f>
        <v>0</v>
      </c>
      <c r="P40" s="258">
        <f t="shared" si="13"/>
        <v>0</v>
      </c>
      <c r="Q40" s="258">
        <f t="shared" si="13"/>
        <v>0</v>
      </c>
      <c r="R40" s="258">
        <f t="shared" si="13"/>
        <v>0</v>
      </c>
      <c r="S40" s="258">
        <f t="shared" si="13"/>
        <v>0</v>
      </c>
      <c r="T40" s="258">
        <f t="shared" si="13"/>
        <v>0</v>
      </c>
      <c r="U40" s="258">
        <f t="shared" si="13"/>
        <v>0</v>
      </c>
      <c r="V40" s="258">
        <f t="shared" si="13"/>
        <v>60205874.219999991</v>
      </c>
      <c r="W40" s="258">
        <f t="shared" si="13"/>
        <v>0</v>
      </c>
      <c r="X40" s="258">
        <f t="shared" si="13"/>
        <v>0</v>
      </c>
      <c r="Y40" s="258">
        <f t="shared" si="13"/>
        <v>0</v>
      </c>
      <c r="Z40" s="258">
        <f t="shared" si="13"/>
        <v>0</v>
      </c>
      <c r="AA40" s="238" t="b">
        <f t="shared" si="11"/>
        <v>1</v>
      </c>
      <c r="AB40" s="253">
        <f t="shared" ref="AB40" si="14">ROUND(L40/K40,4)</f>
        <v>0.4945</v>
      </c>
      <c r="AC40" s="254" t="s">
        <v>14</v>
      </c>
      <c r="AD40" s="254" t="b">
        <f t="shared" ref="AD40" si="15">K40=L40+M40</f>
        <v>1</v>
      </c>
    </row>
    <row r="41" spans="1:30" ht="20.100000000000001" customHeight="1" x14ac:dyDescent="0.25">
      <c r="A41" s="474" t="s">
        <v>39</v>
      </c>
      <c r="B41" s="474"/>
      <c r="C41" s="474"/>
      <c r="D41" s="474"/>
      <c r="E41" s="474"/>
      <c r="F41" s="474"/>
      <c r="G41" s="474"/>
      <c r="H41" s="474"/>
      <c r="I41" s="54">
        <f>SUMIF($C$3:$C$38,"W",I3:I38)</f>
        <v>9.5440000000000005</v>
      </c>
      <c r="J41" s="250" t="s">
        <v>14</v>
      </c>
      <c r="K41" s="210">
        <f>SUMIF($C$3:$C$38,"W",K3:K38)</f>
        <v>42616393.819999993</v>
      </c>
      <c r="L41" s="210">
        <f>SUMIF($C$3:$C$38,"W",L3:L38)</f>
        <v>21308196.899999999</v>
      </c>
      <c r="M41" s="210">
        <f>SUMIF($C$3:$C$38,"W",M3:M38)</f>
        <v>21308196.919999998</v>
      </c>
      <c r="N41" s="58" t="s">
        <v>14</v>
      </c>
      <c r="O41" s="203">
        <f t="shared" ref="O41:Z41" si="16">SUMIF($C$3:$C$38,"W",O3:O38)</f>
        <v>0</v>
      </c>
      <c r="P41" s="203">
        <f t="shared" si="16"/>
        <v>0</v>
      </c>
      <c r="Q41" s="203">
        <f t="shared" si="16"/>
        <v>0</v>
      </c>
      <c r="R41" s="203">
        <f t="shared" si="16"/>
        <v>0</v>
      </c>
      <c r="S41" s="203">
        <f t="shared" si="16"/>
        <v>0</v>
      </c>
      <c r="T41" s="203">
        <f t="shared" si="16"/>
        <v>0</v>
      </c>
      <c r="U41" s="203">
        <f t="shared" si="16"/>
        <v>0</v>
      </c>
      <c r="V41" s="203">
        <f t="shared" si="16"/>
        <v>7490093.6399999997</v>
      </c>
      <c r="W41" s="203">
        <f t="shared" si="16"/>
        <v>13569568.34</v>
      </c>
      <c r="X41" s="203">
        <f t="shared" si="16"/>
        <v>248534.92</v>
      </c>
      <c r="Y41" s="203">
        <f t="shared" si="16"/>
        <v>0</v>
      </c>
      <c r="Z41" s="203">
        <f t="shared" si="16"/>
        <v>0</v>
      </c>
      <c r="AA41" s="238" t="b">
        <f t="shared" si="11"/>
        <v>1</v>
      </c>
      <c r="AB41" s="253">
        <f t="shared" ref="AB41" si="17">ROUND(L41/K41,4)</f>
        <v>0.5</v>
      </c>
      <c r="AC41" s="254" t="s">
        <v>14</v>
      </c>
      <c r="AD41" s="254" t="b">
        <f t="shared" ref="AD41" si="18">K41=L41+M41</f>
        <v>1</v>
      </c>
    </row>
    <row r="42" spans="1:30" ht="4.5" customHeight="1" x14ac:dyDescent="0.25">
      <c r="A42" s="38"/>
      <c r="AD42" s="36"/>
    </row>
    <row r="43" spans="1:30" x14ac:dyDescent="0.25">
      <c r="A43" s="33" t="s">
        <v>24</v>
      </c>
    </row>
    <row r="44" spans="1:30" x14ac:dyDescent="0.25">
      <c r="A44" s="34" t="s">
        <v>25</v>
      </c>
    </row>
    <row r="45" spans="1:30" x14ac:dyDescent="0.25">
      <c r="A45" s="33" t="s">
        <v>35</v>
      </c>
    </row>
    <row r="46" spans="1:30" x14ac:dyDescent="0.2">
      <c r="A46" s="454" t="s">
        <v>151</v>
      </c>
      <c r="B46" s="454"/>
      <c r="C46" s="454"/>
      <c r="D46" s="454"/>
      <c r="E46" s="454"/>
      <c r="F46" s="454"/>
      <c r="G46" s="454"/>
      <c r="H46" s="454"/>
      <c r="I46" s="454"/>
      <c r="J46" s="454"/>
      <c r="K46" s="454"/>
      <c r="L46" s="454"/>
      <c r="M46" s="454"/>
      <c r="N46" s="454"/>
      <c r="O46" s="454"/>
      <c r="P46" s="454"/>
      <c r="Q46" s="454"/>
      <c r="R46" s="454"/>
    </row>
  </sheetData>
  <mergeCells count="19">
    <mergeCell ref="A1:A2"/>
    <mergeCell ref="B1:B2"/>
    <mergeCell ref="C1:C2"/>
    <mergeCell ref="F1:F2"/>
    <mergeCell ref="G1:G2"/>
    <mergeCell ref="H1:H2"/>
    <mergeCell ref="A46:R46"/>
    <mergeCell ref="A40:H40"/>
    <mergeCell ref="D1:D2"/>
    <mergeCell ref="A41:H41"/>
    <mergeCell ref="E1:E2"/>
    <mergeCell ref="O1:Z1"/>
    <mergeCell ref="M1:M2"/>
    <mergeCell ref="N1:N2"/>
    <mergeCell ref="A39:H39"/>
    <mergeCell ref="I1:I2"/>
    <mergeCell ref="J1:J2"/>
    <mergeCell ref="K1:K2"/>
    <mergeCell ref="L1:L2"/>
  </mergeCells>
  <conditionalFormatting sqref="AA3:AC41">
    <cfRule type="containsText" dxfId="2" priority="3" operator="containsText" text="fałsz">
      <formula>NOT(ISERROR(SEARCH("fałsz",AA3)))</formula>
    </cfRule>
  </conditionalFormatting>
  <conditionalFormatting sqref="AB3:AD39 AA3:AA41 AB40:AC41">
    <cfRule type="cellIs" dxfId="1" priority="5" operator="equal">
      <formula>FALSE</formula>
    </cfRule>
  </conditionalFormatting>
  <conditionalFormatting sqref="AD40:AD42">
    <cfRule type="cellIs" dxfId="0" priority="1" operator="equal">
      <formula>FALSE</formula>
    </cfRule>
  </conditionalFormatting>
  <dataValidations count="1">
    <dataValidation type="list" allowBlank="1" showInputMessage="1" showErrorMessage="1" sqref="C3:C38">
      <formula1>"N,K,W"</formula1>
    </dataValidation>
  </dataValidations>
  <pageMargins left="0.23622047244094491" right="0.23622047244094491" top="0.51181102362204722" bottom="0.35433070866141736" header="0.31496062992125984" footer="0.31496062992125984"/>
  <pageSetup paperSize="8" scale="46" fitToHeight="0" orientation="landscape" r:id="rId1"/>
  <headerFooter>
    <oddHeader>&amp;LWojewództwo podlaskie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Grzegorczuk Katarzyna</cp:lastModifiedBy>
  <cp:lastPrinted>2025-12-17T08:37:02Z</cp:lastPrinted>
  <dcterms:created xsi:type="dcterms:W3CDTF">2019-02-25T10:53:14Z</dcterms:created>
  <dcterms:modified xsi:type="dcterms:W3CDTF">2026-02-12T14:19:46Z</dcterms:modified>
</cp:coreProperties>
</file>