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'doch_wyd'!$A$1:$M$103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5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<sst xmlns="http://schemas.openxmlformats.org/spreadsheetml/2006/main" count="244" uniqueCount="104">
  <si>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</si>
  <si>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</si>
  <si>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</si>
  <si>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</si>
  <si>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</si>
  <si>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</si>
  <si>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</si>
  <si>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</si>
  <si>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</si>
  <si>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</si>
  <si>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</si>
  <si>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</si>
  <si>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</si>
  <si>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</si>
  <si>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</si>
  <si>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</si>
  <si>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</si>
  <si>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</si>
  <si>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</si>
  <si>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dochodowy od osób fizycznych </t>
  </si>
  <si>
    <t xml:space="preserve">podatek rolny  </t>
  </si>
  <si>
    <t xml:space="preserve">podatek od nieruchomości </t>
  </si>
  <si>
    <t xml:space="preserve">podatek leśny        </t>
  </si>
  <si>
    <t>podatek od środków transportowych</t>
  </si>
  <si>
    <t>dochody z majątku</t>
  </si>
  <si>
    <t xml:space="preserve">pozostałe dochody </t>
  </si>
  <si>
    <t>Struktura</t>
  </si>
  <si>
    <t>Wskaźnik</t>
  </si>
  <si>
    <t xml:space="preserve">podatek od spadków i darowizn       </t>
  </si>
  <si>
    <t>podatek od czynności cywilnoprawnych</t>
  </si>
  <si>
    <t xml:space="preserve">wpływy z opłaty skarbowej        </t>
  </si>
  <si>
    <t>wpływy z opłaty eksploatacyjnej</t>
  </si>
  <si>
    <t>wpływy z opłaty targowej</t>
  </si>
  <si>
    <t>inne cele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</si>
  <si>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</si>
  <si>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</si>
  <si>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</si>
  <si>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</si>
  <si>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</si>
  <si>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</si>
  <si>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r>
      <t xml:space="preserve">Obniżenie górnych stawek podatkowych
</t>
    </r>
    <r>
      <rPr>
        <b/>
        <sz val="10"/>
        <color indexed="8"/>
        <rFont val="Arial"/>
        <family val="2"/>
      </rPr>
      <t>R7</t>
    </r>
  </si>
  <si>
    <r>
      <t xml:space="preserve">Ulgi i zwolnienia
</t>
    </r>
    <r>
      <rPr>
        <b/>
        <sz val="10"/>
        <color indexed="8"/>
        <rFont val="Arial"/>
        <family val="2"/>
      </rPr>
      <t>R8</t>
    </r>
  </si>
  <si>
    <r>
      <t xml:space="preserve">Umorzenie zaległości podatkowych
</t>
    </r>
    <r>
      <rPr>
        <b/>
        <sz val="10"/>
        <color indexed="8"/>
        <rFont val="Arial"/>
        <family val="2"/>
      </rPr>
      <t>R11Z</t>
    </r>
  </si>
  <si>
    <r>
      <t xml:space="preserve">Rozłożenie na raty, odroczenie terminu płatności
</t>
    </r>
    <r>
      <rPr>
        <b/>
        <sz val="10"/>
        <color indexed="8"/>
        <rFont val="Arial"/>
        <family val="2"/>
      </rPr>
      <t>R11R</t>
    </r>
  </si>
  <si>
    <r>
      <t xml:space="preserve">Potrącenia 
</t>
    </r>
    <r>
      <rPr>
        <b/>
        <sz val="10"/>
        <color indexed="8"/>
        <rFont val="Arial"/>
        <family val="2"/>
      </rPr>
      <t>R3</t>
    </r>
  </si>
  <si>
    <t>uzupełnienie subwencji ogólnej</t>
  </si>
  <si>
    <t xml:space="preserve">podatek od dział. gosp. osób fizycznych, opłacany w formie karty podatkowej </t>
  </si>
  <si>
    <t>część równoważąca</t>
  </si>
  <si>
    <t>część rekompensująca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</si>
  <si>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</si>
  <si>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</si>
  <si>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</si>
  <si>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</si>
  <si>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</si>
  <si>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</si>
  <si>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</si>
  <si>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</si>
  <si>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</si>
  <si>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</si>
  <si>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</si>
  <si>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#</t>
  </si>
  <si>
    <t>Razem dochody własne 
z tego: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</si>
  <si>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</si>
  <si>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</si>
  <si>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</si>
  <si>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</si>
  <si>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</si>
  <si>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</si>
  <si>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</si>
  <si>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Dotacje ogółem                     z tego:</t>
  </si>
  <si>
    <t>świadczenia na rzecz osób fizycznych</t>
  </si>
  <si>
    <t>majątkowe</t>
  </si>
  <si>
    <t>bieżące</t>
  </si>
  <si>
    <t>Dochody bieżące minus                  wydatki bieżące</t>
  </si>
  <si>
    <t>UE</t>
  </si>
  <si>
    <t>Wydatki ogółem UE        z tego:</t>
  </si>
  <si>
    <t>wydatki majątkowe</t>
  </si>
  <si>
    <t>wydatki bieżące</t>
  </si>
  <si>
    <t>w złotych</t>
  </si>
  <si>
    <t>z tytułu pomocy finansowej udzielanej między jst na dofinansowanie własnych zadań</t>
  </si>
  <si>
    <t>wolne środki, o których mowa w art. 217 ust. 2 pkt 6 ustawy o finansach publicznych  w tym: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</si>
  <si>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</si>
  <si>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</si>
  <si>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</si>
  <si>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</si>
  <si>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</si>
  <si>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</si>
  <si>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</si>
  <si>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</si>
  <si>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</si>
  <si>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</si>
  <si>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</si>
  <si>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</si>
  <si>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</si>
  <si>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spłaty kredytów i pożyczek, wykup papierów wartościowych w tym:</t>
  </si>
  <si>
    <t>wykup papierów wartościowych</t>
  </si>
  <si>
    <t>udzielone pożyczki</t>
  </si>
  <si>
    <t>Dotacje §§ 200 i 620</t>
  </si>
  <si>
    <t>w tym: inwestycyjne § 620</t>
  </si>
  <si>
    <t>Dotacje §§ 205 i 625</t>
  </si>
  <si>
    <t>w tym: inwestycyjne § 625</t>
  </si>
  <si>
    <t>wydatki na wynagrodzenia i pochodne od wynagrodzeń</t>
  </si>
  <si>
    <t>niewykorzystane środki pieniężne o których mowa w art..217 ust.2 pkt.8 ustawy o finansach publicznych</t>
  </si>
  <si>
    <t xml:space="preserve">Informacja z wykonania budżetów gmin za I Kwartał 2021 rok   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</si>
</sst>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[$-415]d\ mmmm\ yyyy"/>
    <numFmt numFmtId="169" formatCode="dd/mm/yy\ h:mm;@"/>
    <numFmt numFmtId="170" formatCode="yyyy/mm/dd;@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3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4" fontId="5" fillId="0" borderId="10" xfId="0" applyNumberFormat="1" applyFont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13" fillId="34" borderId="10" xfId="0" applyNumberFormat="1" applyFont="1" applyFill="1" applyBorder="1" applyAlignment="1">
      <alignment horizontal="right" vertical="center"/>
    </xf>
    <xf numFmtId="4" fontId="13" fillId="34" borderId="1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0" fontId="7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 indent="2"/>
    </xf>
    <xf numFmtId="0" fontId="5" fillId="0" borderId="10" xfId="0" applyFont="1" applyFill="1" applyBorder="1" applyAlignment="1">
      <alignment horizontal="left" vertical="center" wrapText="1" indent="1"/>
    </xf>
    <xf numFmtId="164" fontId="13" fillId="34" borderId="10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right" vertical="center"/>
    </xf>
    <xf numFmtId="164" fontId="12" fillId="34" borderId="10" xfId="0" applyNumberFormat="1" applyFont="1" applyFill="1" applyBorder="1" applyAlignment="1">
      <alignment horizontal="right" vertical="center"/>
    </xf>
    <xf numFmtId="164" fontId="7" fillId="0" borderId="10" xfId="0" applyNumberFormat="1" applyFont="1" applyBorder="1" applyAlignment="1">
      <alignment horizontal="right" vertical="center"/>
    </xf>
    <xf numFmtId="164" fontId="12" fillId="34" borderId="10" xfId="42" applyNumberFormat="1" applyFont="1" applyFill="1" applyBorder="1" applyAlignment="1">
      <alignment horizontal="right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4" fontId="12" fillId="34" borderId="11" xfId="0" applyNumberFormat="1" applyFont="1" applyFill="1" applyBorder="1" applyAlignment="1">
      <alignment horizontal="right" vertical="center"/>
    </xf>
    <xf numFmtId="4" fontId="12" fillId="34" borderId="12" xfId="0" applyNumberFormat="1" applyFont="1" applyFill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4" fontId="7" fillId="34" borderId="12" xfId="0" applyNumberFormat="1" applyFont="1" applyFill="1" applyBorder="1" applyAlignment="1">
      <alignment horizontal="right" vertical="center"/>
    </xf>
    <xf numFmtId="4" fontId="13" fillId="35" borderId="10" xfId="0" applyNumberFormat="1" applyFont="1" applyFill="1" applyBorder="1" applyAlignment="1">
      <alignment horizontal="right" vertical="center"/>
    </xf>
    <xf numFmtId="164" fontId="13" fillId="35" borderId="10" xfId="0" applyNumberFormat="1" applyFont="1" applyFill="1" applyBorder="1" applyAlignment="1">
      <alignment horizontal="right" vertical="center"/>
    </xf>
    <xf numFmtId="4" fontId="7" fillId="34" borderId="11" xfId="0" applyNumberFormat="1" applyFont="1" applyFill="1" applyBorder="1" applyAlignment="1">
      <alignment horizontal="right" vertical="center"/>
    </xf>
    <xf numFmtId="4" fontId="7" fillId="36" borderId="12" xfId="0" applyNumberFormat="1" applyFont="1" applyFill="1" applyBorder="1" applyAlignment="1">
      <alignment horizontal="right" vertical="center"/>
    </xf>
    <xf numFmtId="4" fontId="7" fillId="36" borderId="11" xfId="0" applyNumberFormat="1" applyFont="1" applyFill="1" applyBorder="1" applyAlignment="1">
      <alignment horizontal="right" vertical="center"/>
    </xf>
    <xf numFmtId="4" fontId="12" fillId="35" borderId="11" xfId="0" applyNumberFormat="1" applyFont="1" applyFill="1" applyBorder="1" applyAlignment="1">
      <alignment horizontal="right" vertical="center"/>
    </xf>
    <xf numFmtId="4" fontId="12" fillId="35" borderId="12" xfId="0" applyNumberFormat="1" applyFont="1" applyFill="1" applyBorder="1" applyAlignment="1">
      <alignment horizontal="right" vertical="center"/>
    </xf>
    <xf numFmtId="164" fontId="12" fillId="36" borderId="10" xfId="42" applyNumberFormat="1" applyFont="1" applyFill="1" applyBorder="1" applyAlignment="1">
      <alignment horizontal="right" vertical="center"/>
    </xf>
    <xf numFmtId="164" fontId="12" fillId="36" borderId="10" xfId="0" applyNumberFormat="1" applyFont="1" applyFill="1" applyBorder="1" applyAlignment="1">
      <alignment horizontal="right" vertical="center"/>
    </xf>
    <xf numFmtId="164" fontId="12" fillId="35" borderId="10" xfId="0" applyNumberFormat="1" applyFont="1" applyFill="1" applyBorder="1" applyAlignment="1">
      <alignment horizontal="right" vertical="center"/>
    </xf>
    <xf numFmtId="0" fontId="50" fillId="0" borderId="10" xfId="52" applyFont="1" applyBorder="1" applyAlignment="1">
      <alignment horizontal="left" vertical="top" wrapText="1"/>
      <protection/>
    </xf>
    <xf numFmtId="0" fontId="7" fillId="0" borderId="10" xfId="0" applyFont="1" applyBorder="1" applyAlignment="1">
      <alignment horizontal="left" vertical="top" wrapText="1"/>
    </xf>
    <xf numFmtId="0" fontId="50" fillId="35" borderId="10" xfId="52" applyFont="1" applyFill="1" applyBorder="1" applyAlignment="1">
      <alignment horizontal="left" vertical="top" wrapText="1"/>
      <protection/>
    </xf>
    <xf numFmtId="4" fontId="7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 indent="2"/>
    </xf>
    <xf numFmtId="164" fontId="5" fillId="35" borderId="10" xfId="0" applyNumberFormat="1" applyFont="1" applyFill="1" applyBorder="1" applyAlignment="1">
      <alignment horizontal="right" vertical="center"/>
    </xf>
    <xf numFmtId="164" fontId="6" fillId="35" borderId="10" xfId="0" applyNumberFormat="1" applyFont="1" applyFill="1" applyBorder="1" applyAlignment="1">
      <alignment horizontal="center" vertical="center"/>
    </xf>
    <xf numFmtId="4" fontId="12" fillId="35" borderId="10" xfId="0" applyNumberFormat="1" applyFont="1" applyFill="1" applyBorder="1" applyAlignment="1">
      <alignment horizontal="right" vertical="center"/>
    </xf>
    <xf numFmtId="164" fontId="12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164" fontId="7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164" fontId="7" fillId="35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top" wrapText="1" indent="1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164" fontId="12" fillId="0" borderId="10" xfId="42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 indent="1"/>
    </xf>
    <xf numFmtId="0" fontId="13" fillId="34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/>
    </xf>
    <xf numFmtId="4" fontId="5" fillId="37" borderId="10" xfId="0" applyNumberFormat="1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13" fillId="34" borderId="1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" fontId="12" fillId="35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" fontId="13" fillId="37" borderId="10" xfId="0" applyNumberFormat="1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02"/>
  <sheetViews>
    <sheetView tabSelected="1" workbookViewId="0" topLeftCell="B1">
      <selection activeCell="B6" sqref="B6"/>
    </sheetView>
  </sheetViews>
  <sheetFormatPr defaultColWidth="9.00390625" defaultRowHeight="12.75"/>
  <cols>
    <col min="1" max="1" width="5.75390625" style="1" hidden="1" customWidth="1"/>
    <col min="2" max="2" width="22.875" style="1" customWidth="1"/>
    <col min="3" max="5" width="14.625" style="1" customWidth="1"/>
    <col min="6" max="6" width="13.875" style="1" customWidth="1"/>
    <col min="7" max="7" width="13.00390625" style="1" customWidth="1"/>
    <col min="8" max="8" width="11.875" style="1" customWidth="1"/>
    <col min="9" max="9" width="13.00390625" style="1" customWidth="1"/>
    <col min="10" max="10" width="12.75390625" style="1" customWidth="1"/>
    <col min="11" max="11" width="7.375" style="1" customWidth="1"/>
    <col min="12" max="12" width="7.25390625" style="1" customWidth="1"/>
    <col min="13" max="13" width="8.125" style="1" customWidth="1"/>
    <col min="14" max="16384" width="9.125" style="1" customWidth="1"/>
  </cols>
  <sheetData>
    <row r="1" spans="2:13" ht="15">
      <c r="B1" s="98" t="s">
        <v>103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ht="0.75" customHeight="1"/>
    <row r="3" spans="2:13" ht="63.75" customHeight="1">
      <c r="B3" s="101" t="s">
        <v>0</v>
      </c>
      <c r="C3" s="15" t="s">
        <v>37</v>
      </c>
      <c r="D3" s="15" t="s">
        <v>38</v>
      </c>
      <c r="E3" s="15" t="s">
        <v>39</v>
      </c>
      <c r="F3" s="15" t="s">
        <v>40</v>
      </c>
      <c r="G3" s="15" t="s">
        <v>41</v>
      </c>
      <c r="H3" s="15" t="s">
        <v>42</v>
      </c>
      <c r="I3" s="15" t="s">
        <v>43</v>
      </c>
      <c r="J3" s="15" t="s">
        <v>44</v>
      </c>
      <c r="K3" s="17" t="s">
        <v>2</v>
      </c>
      <c r="L3" s="15" t="s">
        <v>18</v>
      </c>
      <c r="M3" s="15" t="s">
        <v>3</v>
      </c>
    </row>
    <row r="4" spans="2:13" ht="12.75">
      <c r="B4" s="101"/>
      <c r="C4" s="102" t="s">
        <v>78</v>
      </c>
      <c r="D4" s="102"/>
      <c r="E4" s="102"/>
      <c r="F4" s="102"/>
      <c r="G4" s="102"/>
      <c r="H4" s="102"/>
      <c r="I4" s="102"/>
      <c r="J4" s="102"/>
      <c r="K4" s="102" t="s">
        <v>4</v>
      </c>
      <c r="L4" s="102"/>
      <c r="M4" s="102"/>
    </row>
    <row r="5" spans="2:13" ht="12.75">
      <c r="B5" s="17">
        <v>1</v>
      </c>
      <c r="C5" s="19">
        <v>2</v>
      </c>
      <c r="D5" s="19">
        <v>3</v>
      </c>
      <c r="E5" s="19">
        <v>4</v>
      </c>
      <c r="F5" s="17">
        <v>5</v>
      </c>
      <c r="G5" s="19">
        <v>6</v>
      </c>
      <c r="H5" s="17">
        <v>7</v>
      </c>
      <c r="I5" s="19">
        <v>8</v>
      </c>
      <c r="J5" s="17">
        <v>9</v>
      </c>
      <c r="K5" s="19">
        <v>10</v>
      </c>
      <c r="L5" s="17">
        <v>11</v>
      </c>
      <c r="M5" s="19">
        <v>12</v>
      </c>
    </row>
    <row r="6" spans="2:13" ht="12.75">
      <c r="B6" s="80" t="s">
        <v>5</v>
      </c>
      <c r="C6" s="49">
        <f>145807548796.86</f>
        <v>145807548796.86</v>
      </c>
      <c r="D6" s="49">
        <f>40174200426.28</f>
        <v>40174200426.28</v>
      </c>
      <c r="E6" s="49">
        <f>37773601675.78</f>
        <v>37773601675.78</v>
      </c>
      <c r="F6" s="49">
        <f>818190472.24</f>
        <v>818190472.24</v>
      </c>
      <c r="G6" s="49">
        <f>224077317.06</f>
        <v>224077317.06</v>
      </c>
      <c r="H6" s="49">
        <f>34405468.18</f>
        <v>34405468.18</v>
      </c>
      <c r="I6" s="49">
        <f>80891953.17</f>
        <v>80891953.17</v>
      </c>
      <c r="J6" s="49">
        <f>129026.51</f>
        <v>129026.51</v>
      </c>
      <c r="K6" s="50">
        <f aca="true" t="shared" si="0" ref="K6:K49">IF($D$6=0,"",100*$D6/$D$6)</f>
        <v>100</v>
      </c>
      <c r="L6" s="50">
        <f aca="true" t="shared" si="1" ref="L6:L45">IF(C6=0,"",100*D6/C6)</f>
        <v>27.55289472855137</v>
      </c>
      <c r="M6" s="50"/>
    </row>
    <row r="7" spans="2:13" ht="25.5" customHeight="1">
      <c r="B7" s="80" t="s">
        <v>61</v>
      </c>
      <c r="C7" s="25">
        <f>C6-C22-C40</f>
        <v>63502235397.66</v>
      </c>
      <c r="D7" s="25">
        <f>D6-D22-D40</f>
        <v>17249599109.21</v>
      </c>
      <c r="E7" s="25">
        <f>E6-E22-E40</f>
        <v>16613988669.150002</v>
      </c>
      <c r="F7" s="25">
        <f>F6</f>
        <v>818190472.24</v>
      </c>
      <c r="G7" s="25">
        <f>G6</f>
        <v>224077317.06</v>
      </c>
      <c r="H7" s="25">
        <f>H6</f>
        <v>34405468.18</v>
      </c>
      <c r="I7" s="25">
        <f>I6</f>
        <v>80891953.17</v>
      </c>
      <c r="J7" s="25">
        <f>J6</f>
        <v>129026.51</v>
      </c>
      <c r="K7" s="33">
        <f t="shared" si="0"/>
        <v>42.937006651478136</v>
      </c>
      <c r="L7" s="33">
        <f t="shared" si="1"/>
        <v>27.16376675748588</v>
      </c>
      <c r="M7" s="33">
        <f aca="true" t="shared" si="2" ref="M7:M21">IF($D$7=0,"",100*$D7/$D$7)</f>
        <v>100</v>
      </c>
    </row>
    <row r="8" spans="2:13" ht="22.5" customHeight="1">
      <c r="B8" s="32" t="s">
        <v>35</v>
      </c>
      <c r="C8" s="24">
        <f>1043211951.23</f>
        <v>1043211951.23</v>
      </c>
      <c r="D8" s="24">
        <f>268877649.68</f>
        <v>268877649.68</v>
      </c>
      <c r="E8" s="24">
        <f>286972422.4</f>
        <v>286972422.4</v>
      </c>
      <c r="F8" s="24">
        <f>0</f>
        <v>0</v>
      </c>
      <c r="G8" s="24">
        <f>0</f>
        <v>0</v>
      </c>
      <c r="H8" s="24">
        <f>0</f>
        <v>0</v>
      </c>
      <c r="I8" s="24">
        <f>0</f>
        <v>0</v>
      </c>
      <c r="J8" s="24">
        <f>0</f>
        <v>0</v>
      </c>
      <c r="K8" s="34">
        <f t="shared" si="0"/>
        <v>0.6692794052575926</v>
      </c>
      <c r="L8" s="34">
        <f t="shared" si="1"/>
        <v>25.774019302882753</v>
      </c>
      <c r="M8" s="34">
        <f t="shared" si="2"/>
        <v>1.5587472379948784</v>
      </c>
    </row>
    <row r="9" spans="2:13" ht="22.5" customHeight="1">
      <c r="B9" s="32" t="s">
        <v>19</v>
      </c>
      <c r="C9" s="24">
        <f>23872464335.03</f>
        <v>23872464335.03</v>
      </c>
      <c r="D9" s="24">
        <f>5350090563</f>
        <v>5350090563</v>
      </c>
      <c r="E9" s="24">
        <f>4852084109.24</f>
        <v>4852084109.24</v>
      </c>
      <c r="F9" s="24">
        <f>0</f>
        <v>0</v>
      </c>
      <c r="G9" s="24">
        <f>0</f>
        <v>0</v>
      </c>
      <c r="H9" s="24">
        <f>0</f>
        <v>0</v>
      </c>
      <c r="I9" s="24">
        <f>0</f>
        <v>0</v>
      </c>
      <c r="J9" s="24">
        <f>0</f>
        <v>0</v>
      </c>
      <c r="K9" s="34">
        <f t="shared" si="0"/>
        <v>13.317229730103682</v>
      </c>
      <c r="L9" s="34">
        <f t="shared" si="1"/>
        <v>22.41113647889874</v>
      </c>
      <c r="M9" s="34">
        <f t="shared" si="2"/>
        <v>31.015738563706392</v>
      </c>
    </row>
    <row r="10" spans="2:13" ht="13.5" customHeight="1">
      <c r="B10" s="32" t="s">
        <v>20</v>
      </c>
      <c r="C10" s="24">
        <f>1646360393.13</f>
        <v>1646360393.13</v>
      </c>
      <c r="D10" s="24">
        <f>627813835.52</f>
        <v>627813835.52</v>
      </c>
      <c r="E10" s="24">
        <f>627491152.68</f>
        <v>627491152.68</v>
      </c>
      <c r="F10" s="24">
        <f>40271970.67</f>
        <v>40271970.67</v>
      </c>
      <c r="G10" s="24">
        <f>435390.22</f>
        <v>435390.22</v>
      </c>
      <c r="H10" s="24">
        <f>1115065.6</f>
        <v>1115065.6</v>
      </c>
      <c r="I10" s="24">
        <f>1706564.52</f>
        <v>1706564.52</v>
      </c>
      <c r="J10" s="24">
        <f>667.56</f>
        <v>667.56</v>
      </c>
      <c r="K10" s="34">
        <f t="shared" si="0"/>
        <v>1.5627288878394574</v>
      </c>
      <c r="L10" s="34">
        <f t="shared" si="1"/>
        <v>38.133438956607996</v>
      </c>
      <c r="M10" s="34">
        <f t="shared" si="2"/>
        <v>3.6395850798920555</v>
      </c>
    </row>
    <row r="11" spans="2:13" ht="13.5" customHeight="1">
      <c r="B11" s="32" t="s">
        <v>21</v>
      </c>
      <c r="C11" s="24">
        <f>15599201649.78</f>
        <v>15599201649.78</v>
      </c>
      <c r="D11" s="62">
        <f>4628590871.39</f>
        <v>4628590871.39</v>
      </c>
      <c r="E11" s="24">
        <f>4630936847.05</f>
        <v>4630936847.05</v>
      </c>
      <c r="F11" s="24">
        <f>538149036.04</f>
        <v>538149036.04</v>
      </c>
      <c r="G11" s="24">
        <f>193970697.45</f>
        <v>193970697.45</v>
      </c>
      <c r="H11" s="24">
        <f>27847750.57</f>
        <v>27847750.57</v>
      </c>
      <c r="I11" s="24">
        <f>64405950.34</f>
        <v>64405950.34</v>
      </c>
      <c r="J11" s="24">
        <f>124309.97</f>
        <v>124309.97</v>
      </c>
      <c r="K11" s="34">
        <f t="shared" si="0"/>
        <v>11.521301786412662</v>
      </c>
      <c r="L11" s="34">
        <f t="shared" si="1"/>
        <v>29.671972805449816</v>
      </c>
      <c r="M11" s="34">
        <f t="shared" si="2"/>
        <v>26.83303444958717</v>
      </c>
    </row>
    <row r="12" spans="2:13" ht="13.5" customHeight="1">
      <c r="B12" s="32" t="s">
        <v>22</v>
      </c>
      <c r="C12" s="24">
        <f>302540266.1</f>
        <v>302540266.1</v>
      </c>
      <c r="D12" s="62">
        <f>97012509.54</f>
        <v>97012509.54</v>
      </c>
      <c r="E12" s="24">
        <f>97012503.82</f>
        <v>97012503.82</v>
      </c>
      <c r="F12" s="24">
        <f>407405.39</f>
        <v>407405.39</v>
      </c>
      <c r="G12" s="24">
        <f>205930.75</f>
        <v>205930.75</v>
      </c>
      <c r="H12" s="24">
        <f>35425.16</f>
        <v>35425.16</v>
      </c>
      <c r="I12" s="24">
        <f>13278.04</f>
        <v>13278.04</v>
      </c>
      <c r="J12" s="24">
        <f>111.39</f>
        <v>111.39</v>
      </c>
      <c r="K12" s="34">
        <f t="shared" si="0"/>
        <v>0.24147962749879437</v>
      </c>
      <c r="L12" s="34">
        <f t="shared" si="1"/>
        <v>32.06598275018837</v>
      </c>
      <c r="M12" s="34">
        <f t="shared" si="2"/>
        <v>0.5624044299568827</v>
      </c>
    </row>
    <row r="13" spans="2:13" ht="22.5" customHeight="1">
      <c r="B13" s="32" t="s">
        <v>23</v>
      </c>
      <c r="C13" s="24">
        <f>850852377.81</f>
        <v>850852377.81</v>
      </c>
      <c r="D13" s="62">
        <f>383784486.91</f>
        <v>383784486.91</v>
      </c>
      <c r="E13" s="24">
        <f>383705541.92</f>
        <v>383705541.92</v>
      </c>
      <c r="F13" s="24">
        <f>237730506.11</f>
        <v>237730506.11</v>
      </c>
      <c r="G13" s="24">
        <f>1086763.16</f>
        <v>1086763.16</v>
      </c>
      <c r="H13" s="24">
        <f>1978019.78</f>
        <v>1978019.78</v>
      </c>
      <c r="I13" s="24">
        <f>5247805.83</f>
        <v>5247805.83</v>
      </c>
      <c r="J13" s="24">
        <f>495.43</f>
        <v>495.43</v>
      </c>
      <c r="K13" s="34">
        <f t="shared" si="0"/>
        <v>0.9553008717976798</v>
      </c>
      <c r="L13" s="34">
        <f t="shared" si="1"/>
        <v>45.10588404275474</v>
      </c>
      <c r="M13" s="34">
        <f t="shared" si="2"/>
        <v>2.224889311804862</v>
      </c>
    </row>
    <row r="14" spans="2:13" ht="33" customHeight="1">
      <c r="B14" s="32" t="s">
        <v>46</v>
      </c>
      <c r="C14" s="24">
        <f>37745755.56</f>
        <v>37745755.56</v>
      </c>
      <c r="D14" s="62">
        <f>8094692.25</f>
        <v>8094692.25</v>
      </c>
      <c r="E14" s="24">
        <f>7393789.65</f>
        <v>7393789.65</v>
      </c>
      <c r="F14" s="24">
        <f>0</f>
        <v>0</v>
      </c>
      <c r="G14" s="24">
        <f>0</f>
        <v>0</v>
      </c>
      <c r="H14" s="24">
        <f>10369.1</f>
        <v>10369.1</v>
      </c>
      <c r="I14" s="24">
        <f>77188.01</f>
        <v>77188.01</v>
      </c>
      <c r="J14" s="24">
        <f>0</f>
        <v>0</v>
      </c>
      <c r="K14" s="34">
        <f t="shared" si="0"/>
        <v>0.02014898159542423</v>
      </c>
      <c r="L14" s="34">
        <f t="shared" si="1"/>
        <v>21.445304590956766</v>
      </c>
      <c r="M14" s="34">
        <f t="shared" si="2"/>
        <v>0.04692684275588781</v>
      </c>
    </row>
    <row r="15" spans="2:13" ht="22.5" customHeight="1">
      <c r="B15" s="32" t="s">
        <v>28</v>
      </c>
      <c r="C15" s="24">
        <f>107719644.98</f>
        <v>107719644.98</v>
      </c>
      <c r="D15" s="62">
        <f>39449486.5</f>
        <v>39449486.5</v>
      </c>
      <c r="E15" s="24">
        <f>38793676.54</f>
        <v>38793676.54</v>
      </c>
      <c r="F15" s="24">
        <f>0</f>
        <v>0</v>
      </c>
      <c r="G15" s="24">
        <f>0</f>
        <v>0</v>
      </c>
      <c r="H15" s="24">
        <f>1128371.87</f>
        <v>1128371.87</v>
      </c>
      <c r="I15" s="24">
        <f>1819846.75</f>
        <v>1819846.75</v>
      </c>
      <c r="J15" s="24">
        <f>0</f>
        <v>0</v>
      </c>
      <c r="K15" s="34">
        <f t="shared" si="0"/>
        <v>0.09819607131295655</v>
      </c>
      <c r="L15" s="34">
        <f t="shared" si="1"/>
        <v>36.62236958479066</v>
      </c>
      <c r="M15" s="34">
        <f t="shared" si="2"/>
        <v>0.22869799031408747</v>
      </c>
    </row>
    <row r="16" spans="2:13" ht="22.5" customHeight="1">
      <c r="B16" s="32" t="s">
        <v>29</v>
      </c>
      <c r="C16" s="24">
        <f>1164723214.22</f>
        <v>1164723214.22</v>
      </c>
      <c r="D16" s="62">
        <f>409743613.62</f>
        <v>409743613.62</v>
      </c>
      <c r="E16" s="24">
        <f>405695713.04</f>
        <v>405695713.04</v>
      </c>
      <c r="F16" s="24">
        <f>0</f>
        <v>0</v>
      </c>
      <c r="G16" s="24">
        <f>0</f>
        <v>0</v>
      </c>
      <c r="H16" s="24">
        <f>20768.07</f>
        <v>20768.07</v>
      </c>
      <c r="I16" s="24">
        <f>315591.06</f>
        <v>315591.06</v>
      </c>
      <c r="J16" s="24">
        <f>0</f>
        <v>0</v>
      </c>
      <c r="K16" s="34">
        <f t="shared" si="0"/>
        <v>1.0199172834114845</v>
      </c>
      <c r="L16" s="34">
        <f t="shared" si="1"/>
        <v>35.17948372776274</v>
      </c>
      <c r="M16" s="34">
        <f t="shared" si="2"/>
        <v>2.3753805002994386</v>
      </c>
    </row>
    <row r="17" spans="2:13" ht="13.5" customHeight="1">
      <c r="B17" s="32" t="s">
        <v>30</v>
      </c>
      <c r="C17" s="24">
        <f>173357767.93</f>
        <v>173357767.93</v>
      </c>
      <c r="D17" s="62">
        <f>51553625.2</f>
        <v>51553625.2</v>
      </c>
      <c r="E17" s="24">
        <f>51400569.78</f>
        <v>51400569.78</v>
      </c>
      <c r="F17" s="24">
        <f>0</f>
        <v>0</v>
      </c>
      <c r="G17" s="24">
        <f>6888.88</f>
        <v>6888.88</v>
      </c>
      <c r="H17" s="24">
        <f>155</f>
        <v>155</v>
      </c>
      <c r="I17" s="24">
        <f>13897.4</f>
        <v>13897.4</v>
      </c>
      <c r="J17" s="24">
        <f>0</f>
        <v>0</v>
      </c>
      <c r="K17" s="34">
        <f t="shared" si="0"/>
        <v>0.12832520536308206</v>
      </c>
      <c r="L17" s="34">
        <f t="shared" si="1"/>
        <v>29.738283905926153</v>
      </c>
      <c r="M17" s="34">
        <f t="shared" si="2"/>
        <v>0.2988685410809009</v>
      </c>
    </row>
    <row r="18" spans="2:13" ht="22.5" customHeight="1">
      <c r="B18" s="32" t="s">
        <v>31</v>
      </c>
      <c r="C18" s="24">
        <f>380618096.38</f>
        <v>380618096.38</v>
      </c>
      <c r="D18" s="62">
        <f>188011849.57</f>
        <v>188011849.57</v>
      </c>
      <c r="E18" s="24">
        <f>188021546.57</f>
        <v>188021546.57</v>
      </c>
      <c r="F18" s="24">
        <f>0</f>
        <v>0</v>
      </c>
      <c r="G18" s="24">
        <f>9918.88</f>
        <v>9918.88</v>
      </c>
      <c r="H18" s="24">
        <f>2639.89</f>
        <v>2639.89</v>
      </c>
      <c r="I18" s="24">
        <f>175812.82</f>
        <v>175812.82</v>
      </c>
      <c r="J18" s="24">
        <f>0</f>
        <v>0</v>
      </c>
      <c r="K18" s="34">
        <f t="shared" si="0"/>
        <v>0.4679915158859312</v>
      </c>
      <c r="L18" s="34">
        <f t="shared" si="1"/>
        <v>49.39645575398325</v>
      </c>
      <c r="M18" s="34">
        <f t="shared" si="2"/>
        <v>1.0899490960900982</v>
      </c>
    </row>
    <row r="19" spans="2:13" ht="13.5" customHeight="1">
      <c r="B19" s="32" t="s">
        <v>32</v>
      </c>
      <c r="C19" s="24">
        <f>31662225.58</f>
        <v>31662225.58</v>
      </c>
      <c r="D19" s="62">
        <f>979891.38</f>
        <v>979891.38</v>
      </c>
      <c r="E19" s="24">
        <f>994477.48</f>
        <v>994477.48</v>
      </c>
      <c r="F19" s="24">
        <f>20794.66</f>
        <v>20794.66</v>
      </c>
      <c r="G19" s="24">
        <f>0</f>
        <v>0</v>
      </c>
      <c r="H19" s="24">
        <f>195</f>
        <v>195</v>
      </c>
      <c r="I19" s="24">
        <f>0</f>
        <v>0</v>
      </c>
      <c r="J19" s="24">
        <f>0</f>
        <v>0</v>
      </c>
      <c r="K19" s="34">
        <f t="shared" si="0"/>
        <v>0.0024391061168674883</v>
      </c>
      <c r="L19" s="34">
        <f t="shared" si="1"/>
        <v>3.0948278652242487</v>
      </c>
      <c r="M19" s="34">
        <f t="shared" si="2"/>
        <v>0.005680661757969848</v>
      </c>
    </row>
    <row r="20" spans="2:13" ht="13.5" customHeight="1">
      <c r="B20" s="32" t="s">
        <v>24</v>
      </c>
      <c r="C20" s="24">
        <f>3828841102.75</f>
        <v>3828841102.75</v>
      </c>
      <c r="D20" s="62">
        <f>905961612.66</f>
        <v>905961612.66</v>
      </c>
      <c r="E20" s="24">
        <f>907042608.01</f>
        <v>907042608.01</v>
      </c>
      <c r="F20" s="24">
        <f>0</f>
        <v>0</v>
      </c>
      <c r="G20" s="24">
        <f>39521.85</f>
        <v>39521.85</v>
      </c>
      <c r="H20" s="24">
        <f>0</f>
        <v>0</v>
      </c>
      <c r="I20" s="24">
        <f>133624.4</f>
        <v>133624.4</v>
      </c>
      <c r="J20" s="24">
        <f>0</f>
        <v>0</v>
      </c>
      <c r="K20" s="34">
        <f t="shared" si="0"/>
        <v>2.2550831206272477</v>
      </c>
      <c r="L20" s="34">
        <f t="shared" si="1"/>
        <v>23.661509797554892</v>
      </c>
      <c r="M20" s="34">
        <f t="shared" si="2"/>
        <v>5.252073436166317</v>
      </c>
    </row>
    <row r="21" spans="2:13" ht="13.5" customHeight="1">
      <c r="B21" s="32" t="s">
        <v>25</v>
      </c>
      <c r="C21" s="24">
        <f>C7-C8-C9-C10-C11-C12-C13-C14-C15-C16-C17-C18-C19-C20</f>
        <v>14462936617.18</v>
      </c>
      <c r="D21" s="24">
        <f aca="true" t="shared" si="3" ref="D21:J21">D7-D8-D9-D10-D11-D12-D13-D14-D15-D16-D17-D18-D19-D20</f>
        <v>4289634421.989999</v>
      </c>
      <c r="E21" s="24">
        <f t="shared" si="3"/>
        <v>4136443710.970003</v>
      </c>
      <c r="F21" s="24">
        <f t="shared" si="3"/>
        <v>1610759.3700000907</v>
      </c>
      <c r="G21" s="24">
        <f t="shared" si="3"/>
        <v>28322205.870000016</v>
      </c>
      <c r="H21" s="24">
        <f t="shared" si="3"/>
        <v>2266708.1399999973</v>
      </c>
      <c r="I21" s="24">
        <f t="shared" si="3"/>
        <v>6982394.000000003</v>
      </c>
      <c r="J21" s="24">
        <f t="shared" si="3"/>
        <v>3442.159999999996</v>
      </c>
      <c r="K21" s="34">
        <f t="shared" si="0"/>
        <v>10.677585058255271</v>
      </c>
      <c r="L21" s="34">
        <f t="shared" si="1"/>
        <v>29.659498174765538</v>
      </c>
      <c r="M21" s="34">
        <f t="shared" si="2"/>
        <v>24.868023858593062</v>
      </c>
    </row>
    <row r="22" spans="2:13" ht="26.25" customHeight="1">
      <c r="B22" s="80" t="s">
        <v>69</v>
      </c>
      <c r="C22" s="49">
        <f>C23+C36+C38</f>
        <v>49581091182.19999</v>
      </c>
      <c r="D22" s="49">
        <f>D23+D36+D38</f>
        <v>11632395971.069998</v>
      </c>
      <c r="E22" s="49">
        <f>E23+E36+E38</f>
        <v>11608535238.63</v>
      </c>
      <c r="F22" s="41" t="s">
        <v>60</v>
      </c>
      <c r="G22" s="41" t="s">
        <v>60</v>
      </c>
      <c r="H22" s="41" t="s">
        <v>60</v>
      </c>
      <c r="I22" s="41" t="s">
        <v>60</v>
      </c>
      <c r="J22" s="41" t="s">
        <v>60</v>
      </c>
      <c r="K22" s="50">
        <f t="shared" si="0"/>
        <v>28.954891068499407</v>
      </c>
      <c r="L22" s="50">
        <f t="shared" si="1"/>
        <v>23.461355314515792</v>
      </c>
      <c r="M22" s="28"/>
    </row>
    <row r="23" spans="2:13" ht="25.5" customHeight="1">
      <c r="B23" s="80" t="s">
        <v>62</v>
      </c>
      <c r="C23" s="49">
        <f>C24+C26+C28+C30+C32+C34</f>
        <v>41651870688.77999</v>
      </c>
      <c r="D23" s="49">
        <f>D24+D26+D28+D30+D32+D34</f>
        <v>10800430559.449999</v>
      </c>
      <c r="E23" s="49">
        <f>E24+E26+E28+E30+E32+E34</f>
        <v>10787611374.849998</v>
      </c>
      <c r="F23" s="41" t="s">
        <v>60</v>
      </c>
      <c r="G23" s="41" t="s">
        <v>60</v>
      </c>
      <c r="H23" s="41" t="s">
        <v>60</v>
      </c>
      <c r="I23" s="41" t="s">
        <v>60</v>
      </c>
      <c r="J23" s="41" t="s">
        <v>60</v>
      </c>
      <c r="K23" s="50">
        <f t="shared" si="0"/>
        <v>26.88399630820004</v>
      </c>
      <c r="L23" s="50">
        <f t="shared" si="1"/>
        <v>25.93024126131116</v>
      </c>
      <c r="M23" s="28"/>
    </row>
    <row r="24" spans="2:13" ht="22.5" customHeight="1">
      <c r="B24" s="32" t="s">
        <v>9</v>
      </c>
      <c r="C24" s="24">
        <f>37603389077.84</f>
        <v>37603389077.84</v>
      </c>
      <c r="D24" s="24">
        <f>9934233374.18</f>
        <v>9934233374.18</v>
      </c>
      <c r="E24" s="24">
        <f>9926765966.42</f>
        <v>9926765966.42</v>
      </c>
      <c r="F24" s="24" t="s">
        <v>60</v>
      </c>
      <c r="G24" s="24" t="s">
        <v>60</v>
      </c>
      <c r="H24" s="24" t="s">
        <v>60</v>
      </c>
      <c r="I24" s="24" t="s">
        <v>60</v>
      </c>
      <c r="J24" s="24" t="s">
        <v>60</v>
      </c>
      <c r="K24" s="34">
        <f t="shared" si="0"/>
        <v>24.72789319705168</v>
      </c>
      <c r="L24" s="34">
        <f t="shared" si="1"/>
        <v>26.418452213485008</v>
      </c>
      <c r="M24" s="28"/>
    </row>
    <row r="25" spans="2:13" ht="13.5" customHeight="1">
      <c r="B25" s="63" t="s">
        <v>6</v>
      </c>
      <c r="C25" s="24">
        <f>1357873</f>
        <v>1357873</v>
      </c>
      <c r="D25" s="24">
        <f>167001</f>
        <v>167001</v>
      </c>
      <c r="E25" s="24">
        <f>167001</f>
        <v>167001</v>
      </c>
      <c r="F25" s="24" t="s">
        <v>60</v>
      </c>
      <c r="G25" s="24" t="s">
        <v>60</v>
      </c>
      <c r="H25" s="24" t="s">
        <v>60</v>
      </c>
      <c r="I25" s="24" t="s">
        <v>60</v>
      </c>
      <c r="J25" s="24" t="s">
        <v>60</v>
      </c>
      <c r="K25" s="34">
        <f t="shared" si="0"/>
        <v>0.00041569215622958884</v>
      </c>
      <c r="L25" s="34">
        <f t="shared" si="1"/>
        <v>12.29872013067496</v>
      </c>
      <c r="M25" s="28"/>
    </row>
    <row r="26" spans="2:13" ht="13.5" customHeight="1">
      <c r="B26" s="32" t="s">
        <v>7</v>
      </c>
      <c r="C26" s="24">
        <f>3102237064.1</f>
        <v>3102237064.1</v>
      </c>
      <c r="D26" s="24">
        <f>722227743.39</f>
        <v>722227743.39</v>
      </c>
      <c r="E26" s="24">
        <f>718084530.68</f>
        <v>718084530.68</v>
      </c>
      <c r="F26" s="24" t="s">
        <v>60</v>
      </c>
      <c r="G26" s="24" t="s">
        <v>60</v>
      </c>
      <c r="H26" s="24" t="s">
        <v>60</v>
      </c>
      <c r="I26" s="24" t="s">
        <v>60</v>
      </c>
      <c r="J26" s="24" t="s">
        <v>60</v>
      </c>
      <c r="K26" s="34">
        <f t="shared" si="0"/>
        <v>1.7977401808289728</v>
      </c>
      <c r="L26" s="34">
        <f t="shared" si="1"/>
        <v>23.280868884839006</v>
      </c>
      <c r="M26" s="28"/>
    </row>
    <row r="27" spans="2:13" ht="13.5" customHeight="1">
      <c r="B27" s="63" t="s">
        <v>6</v>
      </c>
      <c r="C27" s="24">
        <f>373395835.96</f>
        <v>373395835.96</v>
      </c>
      <c r="D27" s="24">
        <f>25198270.58</f>
        <v>25198270.58</v>
      </c>
      <c r="E27" s="24">
        <f>25190173.77</f>
        <v>25190173.77</v>
      </c>
      <c r="F27" s="24" t="s">
        <v>60</v>
      </c>
      <c r="G27" s="24" t="s">
        <v>60</v>
      </c>
      <c r="H27" s="24" t="s">
        <v>60</v>
      </c>
      <c r="I27" s="24" t="s">
        <v>60</v>
      </c>
      <c r="J27" s="24" t="s">
        <v>60</v>
      </c>
      <c r="K27" s="34">
        <f t="shared" si="0"/>
        <v>0.0627225192104048</v>
      </c>
      <c r="L27" s="34">
        <f t="shared" si="1"/>
        <v>6.748406959390775</v>
      </c>
      <c r="M27" s="28"/>
    </row>
    <row r="28" spans="2:13" ht="33" customHeight="1">
      <c r="B28" s="32" t="s">
        <v>10</v>
      </c>
      <c r="C28" s="24">
        <f>15330370.22</f>
        <v>15330370.22</v>
      </c>
      <c r="D28" s="24">
        <f>2651271.73</f>
        <v>2651271.73</v>
      </c>
      <c r="E28" s="24">
        <f>2643640.57</f>
        <v>2643640.57</v>
      </c>
      <c r="F28" s="24" t="s">
        <v>60</v>
      </c>
      <c r="G28" s="24" t="s">
        <v>60</v>
      </c>
      <c r="H28" s="24" t="s">
        <v>60</v>
      </c>
      <c r="I28" s="24" t="s">
        <v>60</v>
      </c>
      <c r="J28" s="24" t="s">
        <v>60</v>
      </c>
      <c r="K28" s="34">
        <f t="shared" si="0"/>
        <v>0.0065994386991350485</v>
      </c>
      <c r="L28" s="34">
        <f t="shared" si="1"/>
        <v>17.294244639579226</v>
      </c>
      <c r="M28" s="28"/>
    </row>
    <row r="29" spans="2:13" ht="13.5" customHeight="1">
      <c r="B29" s="63" t="s">
        <v>6</v>
      </c>
      <c r="C29" s="24">
        <f>6941231</f>
        <v>6941231</v>
      </c>
      <c r="D29" s="24">
        <f>26469.6</f>
        <v>26469.6</v>
      </c>
      <c r="E29" s="24">
        <f>26469.6</f>
        <v>26469.6</v>
      </c>
      <c r="F29" s="24" t="s">
        <v>60</v>
      </c>
      <c r="G29" s="24" t="s">
        <v>60</v>
      </c>
      <c r="H29" s="24" t="s">
        <v>60</v>
      </c>
      <c r="I29" s="24" t="s">
        <v>60</v>
      </c>
      <c r="J29" s="24" t="s">
        <v>60</v>
      </c>
      <c r="K29" s="34">
        <f t="shared" si="0"/>
        <v>6.588706114654837E-05</v>
      </c>
      <c r="L29" s="34">
        <f t="shared" si="1"/>
        <v>0.38133869914428725</v>
      </c>
      <c r="M29" s="28"/>
    </row>
    <row r="30" spans="2:13" ht="33.75">
      <c r="B30" s="32" t="s">
        <v>11</v>
      </c>
      <c r="C30" s="24">
        <f>489362462.17</f>
        <v>489362462.17</v>
      </c>
      <c r="D30" s="24">
        <f>88040072.47</f>
        <v>88040072.47</v>
      </c>
      <c r="E30" s="24">
        <f>87068179.21</f>
        <v>87068179.21</v>
      </c>
      <c r="F30" s="24" t="s">
        <v>60</v>
      </c>
      <c r="G30" s="24" t="s">
        <v>60</v>
      </c>
      <c r="H30" s="24" t="s">
        <v>60</v>
      </c>
      <c r="I30" s="24" t="s">
        <v>60</v>
      </c>
      <c r="J30" s="24" t="s">
        <v>60</v>
      </c>
      <c r="K30" s="34">
        <f t="shared" si="0"/>
        <v>0.21914579888541724</v>
      </c>
      <c r="L30" s="34">
        <f t="shared" si="1"/>
        <v>17.990769475778812</v>
      </c>
      <c r="M30" s="28"/>
    </row>
    <row r="31" spans="2:13" ht="12.75">
      <c r="B31" s="63" t="s">
        <v>6</v>
      </c>
      <c r="C31" s="24">
        <f>189160999.51</f>
        <v>189160999.51</v>
      </c>
      <c r="D31" s="24">
        <f>13895299.56</f>
        <v>13895299.56</v>
      </c>
      <c r="E31" s="24">
        <f>12959027.99</f>
        <v>12959027.99</v>
      </c>
      <c r="F31" s="24" t="s">
        <v>60</v>
      </c>
      <c r="G31" s="24" t="s">
        <v>60</v>
      </c>
      <c r="H31" s="24" t="s">
        <v>60</v>
      </c>
      <c r="I31" s="24" t="s">
        <v>60</v>
      </c>
      <c r="J31" s="24" t="s">
        <v>60</v>
      </c>
      <c r="K31" s="34">
        <f t="shared" si="0"/>
        <v>0.034587619448700646</v>
      </c>
      <c r="L31" s="34">
        <f t="shared" si="1"/>
        <v>7.345752875061027</v>
      </c>
      <c r="M31" s="28"/>
    </row>
    <row r="32" spans="2:13" ht="45">
      <c r="B32" s="32" t="s">
        <v>79</v>
      </c>
      <c r="C32" s="24">
        <f>198782502.74</f>
        <v>198782502.74</v>
      </c>
      <c r="D32" s="24">
        <f>28218358.77</f>
        <v>28218358.77</v>
      </c>
      <c r="E32" s="24">
        <f>28208016.65</f>
        <v>28208016.65</v>
      </c>
      <c r="F32" s="24" t="s">
        <v>60</v>
      </c>
      <c r="G32" s="24" t="s">
        <v>60</v>
      </c>
      <c r="H32" s="24" t="s">
        <v>60</v>
      </c>
      <c r="I32" s="24" t="s">
        <v>60</v>
      </c>
      <c r="J32" s="24" t="s">
        <v>60</v>
      </c>
      <c r="K32" s="34">
        <f t="shared" si="0"/>
        <v>0.0702400009722183</v>
      </c>
      <c r="L32" s="34">
        <f t="shared" si="1"/>
        <v>14.19559487431776</v>
      </c>
      <c r="M32" s="28"/>
    </row>
    <row r="33" spans="2:13" ht="12.75">
      <c r="B33" s="63" t="s">
        <v>6</v>
      </c>
      <c r="C33" s="24">
        <f>185317548.55</f>
        <v>185317548.55</v>
      </c>
      <c r="D33" s="24">
        <f>20725233.32</f>
        <v>20725233.32</v>
      </c>
      <c r="E33" s="24">
        <f>20725142.57</f>
        <v>20725142.57</v>
      </c>
      <c r="F33" s="24" t="s">
        <v>60</v>
      </c>
      <c r="G33" s="24" t="s">
        <v>60</v>
      </c>
      <c r="H33" s="24" t="s">
        <v>60</v>
      </c>
      <c r="I33" s="24" t="s">
        <v>60</v>
      </c>
      <c r="J33" s="24" t="s">
        <v>60</v>
      </c>
      <c r="K33" s="34">
        <f t="shared" si="0"/>
        <v>0.05158841520201748</v>
      </c>
      <c r="L33" s="34">
        <f t="shared" si="1"/>
        <v>11.183632355469122</v>
      </c>
      <c r="M33" s="28"/>
    </row>
    <row r="34" spans="2:13" ht="22.5">
      <c r="B34" s="32" t="s">
        <v>8</v>
      </c>
      <c r="C34" s="24">
        <f>242769211.71</f>
        <v>242769211.71</v>
      </c>
      <c r="D34" s="24">
        <f>25059738.91</f>
        <v>25059738.91</v>
      </c>
      <c r="E34" s="24">
        <f>24841041.32</f>
        <v>24841041.32</v>
      </c>
      <c r="F34" s="24" t="s">
        <v>60</v>
      </c>
      <c r="G34" s="24" t="s">
        <v>60</v>
      </c>
      <c r="H34" s="24" t="s">
        <v>60</v>
      </c>
      <c r="I34" s="24" t="s">
        <v>60</v>
      </c>
      <c r="J34" s="24" t="s">
        <v>60</v>
      </c>
      <c r="K34" s="34">
        <f t="shared" si="0"/>
        <v>0.062377691762614755</v>
      </c>
      <c r="L34" s="34">
        <f t="shared" si="1"/>
        <v>10.322453466601488</v>
      </c>
      <c r="M34" s="28"/>
    </row>
    <row r="35" spans="2:13" ht="12.75">
      <c r="B35" s="31" t="s">
        <v>6</v>
      </c>
      <c r="C35" s="22">
        <f>220150173.7</f>
        <v>220150173.7</v>
      </c>
      <c r="D35" s="22">
        <f>16359650.96</f>
        <v>16359650.96</v>
      </c>
      <c r="E35" s="22">
        <f>16178575.96</f>
        <v>16178575.96</v>
      </c>
      <c r="F35" s="24" t="s">
        <v>60</v>
      </c>
      <c r="G35" s="24" t="s">
        <v>60</v>
      </c>
      <c r="H35" s="24" t="s">
        <v>60</v>
      </c>
      <c r="I35" s="24" t="s">
        <v>60</v>
      </c>
      <c r="J35" s="24" t="s">
        <v>60</v>
      </c>
      <c r="K35" s="34">
        <f t="shared" si="0"/>
        <v>0.04072178359845668</v>
      </c>
      <c r="L35" s="34">
        <f t="shared" si="1"/>
        <v>7.431132433396758</v>
      </c>
      <c r="M35" s="28"/>
    </row>
    <row r="36" spans="2:13" ht="12.75">
      <c r="B36" s="80" t="s">
        <v>97</v>
      </c>
      <c r="C36" s="49">
        <f>1125678719.64</f>
        <v>1125678719.64</v>
      </c>
      <c r="D36" s="49">
        <f>113691029.39</f>
        <v>113691029.39</v>
      </c>
      <c r="E36" s="49">
        <f>111258169.01</f>
        <v>111258169.01</v>
      </c>
      <c r="F36" s="41" t="s">
        <v>60</v>
      </c>
      <c r="G36" s="41" t="s">
        <v>60</v>
      </c>
      <c r="H36" s="41" t="s">
        <v>60</v>
      </c>
      <c r="I36" s="41" t="s">
        <v>60</v>
      </c>
      <c r="J36" s="41" t="s">
        <v>60</v>
      </c>
      <c r="K36" s="50">
        <f t="shared" si="0"/>
        <v>0.282995126682419</v>
      </c>
      <c r="L36" s="50">
        <f t="shared" si="1"/>
        <v>10.099776020138249</v>
      </c>
      <c r="M36" s="28"/>
    </row>
    <row r="37" spans="2:13" ht="13.5" customHeight="1">
      <c r="B37" s="31" t="s">
        <v>98</v>
      </c>
      <c r="C37" s="22">
        <f>1024770199.66</f>
        <v>1024770199.66</v>
      </c>
      <c r="D37" s="22">
        <f>87794963.91</f>
        <v>87794963.91</v>
      </c>
      <c r="E37" s="22">
        <f>85596443.36</f>
        <v>85596443.36</v>
      </c>
      <c r="F37" s="24" t="s">
        <v>60</v>
      </c>
      <c r="G37" s="24" t="s">
        <v>60</v>
      </c>
      <c r="H37" s="24" t="s">
        <v>60</v>
      </c>
      <c r="I37" s="24" t="s">
        <v>60</v>
      </c>
      <c r="J37" s="24" t="s">
        <v>60</v>
      </c>
      <c r="K37" s="34">
        <f t="shared" si="0"/>
        <v>0.21853568453989397</v>
      </c>
      <c r="L37" s="34">
        <f t="shared" si="1"/>
        <v>8.567283078599354</v>
      </c>
      <c r="M37" s="28"/>
    </row>
    <row r="38" spans="2:13" ht="13.5" customHeight="1">
      <c r="B38" s="80" t="s">
        <v>99</v>
      </c>
      <c r="C38" s="41">
        <f>6803541773.78</f>
        <v>6803541773.78</v>
      </c>
      <c r="D38" s="41">
        <f>718274382.23</f>
        <v>718274382.23</v>
      </c>
      <c r="E38" s="41">
        <f>709665694.77</f>
        <v>709665694.77</v>
      </c>
      <c r="F38" s="41" t="s">
        <v>60</v>
      </c>
      <c r="G38" s="41" t="s">
        <v>60</v>
      </c>
      <c r="H38" s="41" t="s">
        <v>60</v>
      </c>
      <c r="I38" s="41" t="s">
        <v>60</v>
      </c>
      <c r="J38" s="41" t="s">
        <v>60</v>
      </c>
      <c r="K38" s="64">
        <f t="shared" si="0"/>
        <v>1.787899633616952</v>
      </c>
      <c r="L38" s="64">
        <f t="shared" si="1"/>
        <v>10.557359771026023</v>
      </c>
      <c r="M38" s="28"/>
    </row>
    <row r="39" spans="2:13" ht="13.5" customHeight="1">
      <c r="B39" s="31" t="s">
        <v>100</v>
      </c>
      <c r="C39" s="22">
        <f>6118963034.02</f>
        <v>6118963034.02</v>
      </c>
      <c r="D39" s="22">
        <f>514623569.81</f>
        <v>514623569.81</v>
      </c>
      <c r="E39" s="22">
        <f>509373658.57</f>
        <v>509373658.57</v>
      </c>
      <c r="F39" s="24" t="s">
        <v>60</v>
      </c>
      <c r="G39" s="24" t="s">
        <v>60</v>
      </c>
      <c r="H39" s="24" t="s">
        <v>60</v>
      </c>
      <c r="I39" s="24" t="s">
        <v>60</v>
      </c>
      <c r="J39" s="24" t="s">
        <v>60</v>
      </c>
      <c r="K39" s="34">
        <f t="shared" si="0"/>
        <v>1.2809802419200318</v>
      </c>
      <c r="L39" s="34">
        <f t="shared" si="1"/>
        <v>8.410306892668146</v>
      </c>
      <c r="M39" s="28"/>
    </row>
    <row r="40" spans="2:13" s="5" customFormat="1" ht="25.5" customHeight="1">
      <c r="B40" s="80" t="s">
        <v>63</v>
      </c>
      <c r="C40" s="25">
        <f>C41+C42+C43+C44+C45</f>
        <v>32724222217</v>
      </c>
      <c r="D40" s="25">
        <f>D41+D42+D43+D44+D45</f>
        <v>11292205346</v>
      </c>
      <c r="E40" s="25">
        <f>E41+E42+E43+E44+E45</f>
        <v>9551077768</v>
      </c>
      <c r="F40" s="23" t="s">
        <v>60</v>
      </c>
      <c r="G40" s="23" t="s">
        <v>60</v>
      </c>
      <c r="H40" s="23" t="s">
        <v>60</v>
      </c>
      <c r="I40" s="23" t="s">
        <v>60</v>
      </c>
      <c r="J40" s="23" t="s">
        <v>60</v>
      </c>
      <c r="K40" s="33">
        <f t="shared" si="0"/>
        <v>28.108102280022457</v>
      </c>
      <c r="L40" s="33">
        <f t="shared" si="1"/>
        <v>34.50717719467685</v>
      </c>
      <c r="M40" s="29"/>
    </row>
    <row r="41" spans="2:13" ht="13.5" customHeight="1">
      <c r="B41" s="20" t="s">
        <v>50</v>
      </c>
      <c r="C41" s="22">
        <f>9262708896</f>
        <v>9262708896</v>
      </c>
      <c r="D41" s="22">
        <f>2316873657</f>
        <v>2316873657</v>
      </c>
      <c r="E41" s="22">
        <f>2316586356</f>
        <v>2316586356</v>
      </c>
      <c r="F41" s="24" t="s">
        <v>60</v>
      </c>
      <c r="G41" s="24" t="s">
        <v>60</v>
      </c>
      <c r="H41" s="24" t="s">
        <v>60</v>
      </c>
      <c r="I41" s="24" t="s">
        <v>60</v>
      </c>
      <c r="J41" s="24" t="s">
        <v>60</v>
      </c>
      <c r="K41" s="34">
        <f t="shared" si="0"/>
        <v>5.767068497732725</v>
      </c>
      <c r="L41" s="34">
        <f t="shared" si="1"/>
        <v>25.012916664157682</v>
      </c>
      <c r="M41" s="28"/>
    </row>
    <row r="42" spans="2:13" ht="13.5" customHeight="1">
      <c r="B42" s="32" t="s">
        <v>49</v>
      </c>
      <c r="C42" s="24">
        <f>23124976432</f>
        <v>23124976432</v>
      </c>
      <c r="D42" s="24">
        <f>8891216075</f>
        <v>8891216075</v>
      </c>
      <c r="E42" s="24">
        <f>7150393454</f>
        <v>7150393454</v>
      </c>
      <c r="F42" s="24" t="s">
        <v>60</v>
      </c>
      <c r="G42" s="24" t="s">
        <v>60</v>
      </c>
      <c r="H42" s="24" t="s">
        <v>60</v>
      </c>
      <c r="I42" s="24" t="s">
        <v>60</v>
      </c>
      <c r="J42" s="24" t="s">
        <v>60</v>
      </c>
      <c r="K42" s="34">
        <f t="shared" si="0"/>
        <v>22.131656587205654</v>
      </c>
      <c r="L42" s="34">
        <f t="shared" si="1"/>
        <v>38.44854113103643</v>
      </c>
      <c r="M42" s="28"/>
    </row>
    <row r="43" spans="2:13" ht="13.5" customHeight="1">
      <c r="B43" s="32" t="s">
        <v>48</v>
      </c>
      <c r="C43" s="24">
        <f>20784</f>
        <v>20784</v>
      </c>
      <c r="D43" s="24">
        <f>0</f>
        <v>0</v>
      </c>
      <c r="E43" s="24">
        <f>0</f>
        <v>0</v>
      </c>
      <c r="F43" s="24" t="s">
        <v>60</v>
      </c>
      <c r="G43" s="24" t="s">
        <v>60</v>
      </c>
      <c r="H43" s="24" t="s">
        <v>60</v>
      </c>
      <c r="I43" s="24" t="s">
        <v>60</v>
      </c>
      <c r="J43" s="24" t="s">
        <v>60</v>
      </c>
      <c r="K43" s="34">
        <f t="shared" si="0"/>
        <v>0</v>
      </c>
      <c r="L43" s="34">
        <f t="shared" si="1"/>
        <v>0</v>
      </c>
      <c r="M43" s="28"/>
    </row>
    <row r="44" spans="2:13" ht="13.5" customHeight="1">
      <c r="B44" s="32" t="s">
        <v>47</v>
      </c>
      <c r="C44" s="24">
        <f>336516105</f>
        <v>336516105</v>
      </c>
      <c r="D44" s="24">
        <f>84115614</f>
        <v>84115614</v>
      </c>
      <c r="E44" s="24">
        <f>84097958</f>
        <v>84097958</v>
      </c>
      <c r="F44" s="24" t="s">
        <v>60</v>
      </c>
      <c r="G44" s="24" t="s">
        <v>60</v>
      </c>
      <c r="H44" s="24" t="s">
        <v>60</v>
      </c>
      <c r="I44" s="24" t="s">
        <v>60</v>
      </c>
      <c r="J44" s="24" t="s">
        <v>60</v>
      </c>
      <c r="K44" s="34">
        <f t="shared" si="0"/>
        <v>0.2093771950840761</v>
      </c>
      <c r="L44" s="34">
        <f t="shared" si="1"/>
        <v>24.996014380946196</v>
      </c>
      <c r="M44" s="28"/>
    </row>
    <row r="45" spans="2:13" s="5" customFormat="1" ht="22.5" customHeight="1">
      <c r="B45" s="32" t="s">
        <v>45</v>
      </c>
      <c r="C45" s="24">
        <f>0</f>
        <v>0</v>
      </c>
      <c r="D45" s="24">
        <f>0</f>
        <v>0</v>
      </c>
      <c r="E45" s="24">
        <f>0</f>
        <v>0</v>
      </c>
      <c r="F45" s="24" t="s">
        <v>60</v>
      </c>
      <c r="G45" s="24" t="s">
        <v>60</v>
      </c>
      <c r="H45" s="24" t="s">
        <v>60</v>
      </c>
      <c r="I45" s="24" t="s">
        <v>60</v>
      </c>
      <c r="J45" s="24" t="s">
        <v>60</v>
      </c>
      <c r="K45" s="34">
        <f t="shared" si="0"/>
        <v>0</v>
      </c>
      <c r="L45" s="34">
        <f t="shared" si="1"/>
      </c>
      <c r="M45" s="29"/>
    </row>
    <row r="46" spans="1:13" s="5" customFormat="1" ht="9" customHeight="1">
      <c r="A46" s="2"/>
      <c r="B46" s="21"/>
      <c r="C46" s="7"/>
      <c r="D46" s="8"/>
      <c r="E46" s="8"/>
      <c r="F46" s="16"/>
      <c r="G46" s="16"/>
      <c r="H46" s="16"/>
      <c r="I46" s="16"/>
      <c r="J46" s="16"/>
      <c r="K46" s="9"/>
      <c r="L46" s="9"/>
      <c r="M46" s="3"/>
    </row>
    <row r="47" spans="1:13" s="5" customFormat="1" ht="13.5" customHeight="1">
      <c r="A47" s="2"/>
      <c r="B47" s="80" t="s">
        <v>5</v>
      </c>
      <c r="C47" s="41">
        <f aca="true" t="shared" si="4" ref="C47:J47">+C6</f>
        <v>145807548796.86</v>
      </c>
      <c r="D47" s="41">
        <f t="shared" si="4"/>
        <v>40174200426.28</v>
      </c>
      <c r="E47" s="41">
        <f t="shared" si="4"/>
        <v>37773601675.78</v>
      </c>
      <c r="F47" s="41">
        <f t="shared" si="4"/>
        <v>818190472.24</v>
      </c>
      <c r="G47" s="41">
        <f t="shared" si="4"/>
        <v>224077317.06</v>
      </c>
      <c r="H47" s="41">
        <f t="shared" si="4"/>
        <v>34405468.18</v>
      </c>
      <c r="I47" s="41">
        <f t="shared" si="4"/>
        <v>80891953.17</v>
      </c>
      <c r="J47" s="41">
        <f t="shared" si="4"/>
        <v>129026.51</v>
      </c>
      <c r="K47" s="65">
        <f t="shared" si="0"/>
        <v>100</v>
      </c>
      <c r="L47" s="65">
        <f>IF(C47=0,"",100*D47/C47)</f>
        <v>27.55289472855137</v>
      </c>
      <c r="M47" s="65"/>
    </row>
    <row r="48" spans="1:13" s="5" customFormat="1" ht="13.5" customHeight="1">
      <c r="A48" s="2"/>
      <c r="B48" s="81" t="s">
        <v>71</v>
      </c>
      <c r="C48" s="24">
        <f>13184185446.83</f>
        <v>13184185446.83</v>
      </c>
      <c r="D48" s="24">
        <f>2198217029.55</f>
        <v>2198217029.55</v>
      </c>
      <c r="E48" s="24">
        <f>2031262565.86</f>
        <v>2031262565.86</v>
      </c>
      <c r="F48" s="24">
        <f>0</f>
        <v>0</v>
      </c>
      <c r="G48" s="24">
        <f>221.16</f>
        <v>221.16</v>
      </c>
      <c r="H48" s="24">
        <f>0</f>
        <v>0</v>
      </c>
      <c r="I48" s="24">
        <f>133624.4</f>
        <v>133624.4</v>
      </c>
      <c r="J48" s="24">
        <f>0</f>
        <v>0</v>
      </c>
      <c r="K48" s="38">
        <f t="shared" si="0"/>
        <v>5.4717132045571075</v>
      </c>
      <c r="L48" s="38">
        <f>IF(C48=0,"",100*D48/C48)</f>
        <v>16.673134934388674</v>
      </c>
      <c r="M48" s="38"/>
    </row>
    <row r="49" spans="1:13" s="5" customFormat="1" ht="13.5" customHeight="1">
      <c r="A49" s="2"/>
      <c r="B49" s="81" t="s">
        <v>72</v>
      </c>
      <c r="C49" s="24">
        <f>C47-C48</f>
        <v>132623363350.02998</v>
      </c>
      <c r="D49" s="24">
        <f aca="true" t="shared" si="5" ref="D49:J49">D47-D48</f>
        <v>37975983396.729996</v>
      </c>
      <c r="E49" s="24">
        <f t="shared" si="5"/>
        <v>35742339109.92</v>
      </c>
      <c r="F49" s="24">
        <f t="shared" si="5"/>
        <v>818190472.24</v>
      </c>
      <c r="G49" s="24">
        <f t="shared" si="5"/>
        <v>224077095.9</v>
      </c>
      <c r="H49" s="24">
        <f t="shared" si="5"/>
        <v>34405468.18</v>
      </c>
      <c r="I49" s="24">
        <f t="shared" si="5"/>
        <v>80758328.77</v>
      </c>
      <c r="J49" s="24">
        <f t="shared" si="5"/>
        <v>129026.51</v>
      </c>
      <c r="K49" s="38">
        <f t="shared" si="0"/>
        <v>94.52828679544288</v>
      </c>
      <c r="L49" s="38">
        <f>IF(C49=0,"",100*D49/C49)</f>
        <v>28.63445959857073</v>
      </c>
      <c r="M49" s="38"/>
    </row>
    <row r="50" spans="2:13" ht="15">
      <c r="B50" s="98" t="s">
        <v>103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</row>
    <row r="51" spans="2:13" s="5" customFormat="1" ht="7.5" customHeight="1">
      <c r="B51" s="6"/>
      <c r="C51" s="7"/>
      <c r="D51" s="8"/>
      <c r="E51" s="8"/>
      <c r="F51" s="4"/>
      <c r="G51" s="4"/>
      <c r="H51" s="4"/>
      <c r="I51" s="4"/>
      <c r="J51" s="4"/>
      <c r="K51" s="9"/>
      <c r="L51" s="9"/>
      <c r="M51" s="3"/>
    </row>
    <row r="52" spans="2:27" ht="29.25" customHeight="1">
      <c r="B52" s="101" t="s">
        <v>0</v>
      </c>
      <c r="C52" s="103" t="s">
        <v>56</v>
      </c>
      <c r="D52" s="103" t="s">
        <v>57</v>
      </c>
      <c r="E52" s="103" t="s">
        <v>58</v>
      </c>
      <c r="F52" s="103" t="s">
        <v>12</v>
      </c>
      <c r="G52" s="103"/>
      <c r="H52" s="103"/>
      <c r="I52" s="103" t="s">
        <v>88</v>
      </c>
      <c r="J52" s="103"/>
      <c r="K52" s="103" t="s">
        <v>2</v>
      </c>
      <c r="L52" s="86" t="s">
        <v>36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2:27" ht="18" customHeight="1">
      <c r="B53" s="101"/>
      <c r="C53" s="103"/>
      <c r="D53" s="99"/>
      <c r="E53" s="103"/>
      <c r="F53" s="91" t="s">
        <v>59</v>
      </c>
      <c r="G53" s="105" t="s">
        <v>34</v>
      </c>
      <c r="H53" s="99"/>
      <c r="I53" s="103"/>
      <c r="J53" s="103"/>
      <c r="K53" s="103"/>
      <c r="L53" s="86"/>
      <c r="M53" s="11"/>
      <c r="N53" s="12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2:27" ht="36" customHeight="1">
      <c r="B54" s="101"/>
      <c r="C54" s="103"/>
      <c r="D54" s="99"/>
      <c r="E54" s="103"/>
      <c r="F54" s="99"/>
      <c r="G54" s="18" t="s">
        <v>54</v>
      </c>
      <c r="H54" s="18" t="s">
        <v>55</v>
      </c>
      <c r="I54" s="103"/>
      <c r="J54" s="103"/>
      <c r="K54" s="103"/>
      <c r="L54" s="86"/>
      <c r="M54" s="11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2:27" ht="13.5" customHeight="1">
      <c r="B55" s="101"/>
      <c r="C55" s="102" t="s">
        <v>78</v>
      </c>
      <c r="D55" s="102"/>
      <c r="E55" s="102"/>
      <c r="F55" s="102"/>
      <c r="G55" s="102"/>
      <c r="H55" s="102"/>
      <c r="I55" s="102"/>
      <c r="J55" s="102"/>
      <c r="K55" s="102" t="s">
        <v>4</v>
      </c>
      <c r="L55" s="102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2:27" ht="11.25" customHeight="1">
      <c r="B56" s="17">
        <v>1</v>
      </c>
      <c r="C56" s="19">
        <v>2</v>
      </c>
      <c r="D56" s="19">
        <v>3</v>
      </c>
      <c r="E56" s="19">
        <v>4</v>
      </c>
      <c r="F56" s="17">
        <v>5</v>
      </c>
      <c r="G56" s="17">
        <v>6</v>
      </c>
      <c r="H56" s="19">
        <v>7</v>
      </c>
      <c r="I56" s="99">
        <v>8</v>
      </c>
      <c r="J56" s="99"/>
      <c r="K56" s="17">
        <v>9</v>
      </c>
      <c r="L56" s="19">
        <v>10</v>
      </c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2:12" ht="25.5" customHeight="1">
      <c r="B57" s="80" t="s">
        <v>64</v>
      </c>
      <c r="C57" s="66">
        <f>158829020910.19</f>
        <v>158829020910.19</v>
      </c>
      <c r="D57" s="66">
        <f>90512196054.26</f>
        <v>90512196054.26</v>
      </c>
      <c r="E57" s="66">
        <f>33027452208.12</f>
        <v>33027452208.12</v>
      </c>
      <c r="F57" s="66">
        <f>2903236302.11</f>
        <v>2903236302.11</v>
      </c>
      <c r="G57" s="66">
        <f>3614481.73</f>
        <v>3614481.73</v>
      </c>
      <c r="H57" s="66">
        <f>7418081.17</f>
        <v>7418081.17</v>
      </c>
      <c r="I57" s="100">
        <f>0</f>
        <v>0</v>
      </c>
      <c r="J57" s="100"/>
      <c r="K57" s="58">
        <f aca="true" t="shared" si="6" ref="K57:K66">IF($E$57=0,"",100*$E57/$E$57)</f>
        <v>100</v>
      </c>
      <c r="L57" s="58">
        <f aca="true" t="shared" si="7" ref="L57:L66">IF(C57=0,"",100*E57/C57)</f>
        <v>20.794343514083234</v>
      </c>
    </row>
    <row r="58" spans="2:12" ht="24" customHeight="1">
      <c r="B58" s="80" t="s">
        <v>14</v>
      </c>
      <c r="C58" s="26">
        <f>30023347395.34</f>
        <v>30023347395.34</v>
      </c>
      <c r="D58" s="26">
        <f>9509882581.39</f>
        <v>9509882581.39</v>
      </c>
      <c r="E58" s="26">
        <f>1664813811.32</f>
        <v>1664813811.32</v>
      </c>
      <c r="F58" s="26">
        <f>540952463.39</f>
        <v>540952463.39</v>
      </c>
      <c r="G58" s="26">
        <f>413444.24</f>
        <v>413444.24</v>
      </c>
      <c r="H58" s="26">
        <f>197227</f>
        <v>197227</v>
      </c>
      <c r="I58" s="97">
        <f>0</f>
        <v>0</v>
      </c>
      <c r="J58" s="104"/>
      <c r="K58" s="35">
        <f t="shared" si="6"/>
        <v>5.040697056585841</v>
      </c>
      <c r="L58" s="35">
        <f t="shared" si="7"/>
        <v>5.545063944396819</v>
      </c>
    </row>
    <row r="59" spans="2:12" ht="22.5" customHeight="1">
      <c r="B59" s="20" t="s">
        <v>13</v>
      </c>
      <c r="C59" s="22">
        <f>29496525938.54</f>
        <v>29496525938.54</v>
      </c>
      <c r="D59" s="22">
        <f>9343611185.68</f>
        <v>9343611185.68</v>
      </c>
      <c r="E59" s="22">
        <f>1548412373.24</f>
        <v>1548412373.24</v>
      </c>
      <c r="F59" s="22">
        <f>470996448.34</f>
        <v>470996448.34</v>
      </c>
      <c r="G59" s="22">
        <f>413444.24</f>
        <v>413444.24</v>
      </c>
      <c r="H59" s="22">
        <f>197227</f>
        <v>197227</v>
      </c>
      <c r="I59" s="87">
        <f>0</f>
        <v>0</v>
      </c>
      <c r="J59" s="88"/>
      <c r="K59" s="36">
        <f t="shared" si="6"/>
        <v>4.688258614327246</v>
      </c>
      <c r="L59" s="36">
        <f t="shared" si="7"/>
        <v>5.249473705704619</v>
      </c>
    </row>
    <row r="60" spans="2:12" ht="25.5" customHeight="1">
      <c r="B60" s="80" t="s">
        <v>65</v>
      </c>
      <c r="C60" s="26">
        <f aca="true" t="shared" si="8" ref="C60:I60">C57-C58</f>
        <v>128805673514.85</v>
      </c>
      <c r="D60" s="26">
        <f t="shared" si="8"/>
        <v>81002313472.87</v>
      </c>
      <c r="E60" s="26">
        <f t="shared" si="8"/>
        <v>31362638396.8</v>
      </c>
      <c r="F60" s="26">
        <f t="shared" si="8"/>
        <v>2362283838.7200003</v>
      </c>
      <c r="G60" s="26">
        <f t="shared" si="8"/>
        <v>3201037.49</v>
      </c>
      <c r="H60" s="26">
        <f t="shared" si="8"/>
        <v>7220854.17</v>
      </c>
      <c r="I60" s="97">
        <f t="shared" si="8"/>
        <v>0</v>
      </c>
      <c r="J60" s="97"/>
      <c r="K60" s="35">
        <f t="shared" si="6"/>
        <v>94.95930294341416</v>
      </c>
      <c r="L60" s="35">
        <f t="shared" si="7"/>
        <v>24.348801990608123</v>
      </c>
    </row>
    <row r="61" spans="2:12" ht="22.5">
      <c r="B61" s="20" t="s">
        <v>101</v>
      </c>
      <c r="C61" s="22">
        <f>48496655937.18</f>
        <v>48496655937.18</v>
      </c>
      <c r="D61" s="22">
        <f>39431864351.04</f>
        <v>39431864351.04</v>
      </c>
      <c r="E61" s="22">
        <f>13065143595.83</f>
        <v>13065143595.83</v>
      </c>
      <c r="F61" s="22">
        <f>1062949869.23</f>
        <v>1062949869.23</v>
      </c>
      <c r="G61" s="22">
        <f>1396104.05</f>
        <v>1396104.05</v>
      </c>
      <c r="H61" s="22">
        <f>1271632.79</f>
        <v>1271632.79</v>
      </c>
      <c r="I61" s="87">
        <f>0</f>
        <v>0</v>
      </c>
      <c r="J61" s="88"/>
      <c r="K61" s="36">
        <f t="shared" si="6"/>
        <v>39.55843615638585</v>
      </c>
      <c r="L61" s="36">
        <f t="shared" si="7"/>
        <v>26.94029793054988</v>
      </c>
    </row>
    <row r="62" spans="2:12" ht="13.5" customHeight="1">
      <c r="B62" s="32" t="s">
        <v>53</v>
      </c>
      <c r="C62" s="68">
        <f>9075970873.06</f>
        <v>9075970873.06</v>
      </c>
      <c r="D62" s="68">
        <f>4937273702.37</f>
        <v>4937273702.37</v>
      </c>
      <c r="E62" s="68">
        <f>2324276970.44</f>
        <v>2324276970.44</v>
      </c>
      <c r="F62" s="68">
        <f>40214086.79</f>
        <v>40214086.79</v>
      </c>
      <c r="G62" s="68">
        <f>150205.88</f>
        <v>150205.88</v>
      </c>
      <c r="H62" s="68">
        <f>42494.95</f>
        <v>42494.95</v>
      </c>
      <c r="I62" s="96">
        <f>0</f>
        <v>0</v>
      </c>
      <c r="J62" s="96"/>
      <c r="K62" s="69">
        <f t="shared" si="6"/>
        <v>7.03740923094444</v>
      </c>
      <c r="L62" s="69">
        <f t="shared" si="7"/>
        <v>25.60912769496759</v>
      </c>
    </row>
    <row r="63" spans="2:12" ht="13.5" customHeight="1">
      <c r="B63" s="32" t="s">
        <v>52</v>
      </c>
      <c r="C63" s="24">
        <f>900123415.09</f>
        <v>900123415.09</v>
      </c>
      <c r="D63" s="24">
        <f>214560954.49</f>
        <v>214560954.49</v>
      </c>
      <c r="E63" s="24">
        <f>77355194.68</f>
        <v>77355194.68</v>
      </c>
      <c r="F63" s="24">
        <f>14769738.79</f>
        <v>14769738.79</v>
      </c>
      <c r="G63" s="24">
        <f>0</f>
        <v>0</v>
      </c>
      <c r="H63" s="24">
        <f>10079.79</f>
        <v>10079.79</v>
      </c>
      <c r="I63" s="108">
        <f>0</f>
        <v>0</v>
      </c>
      <c r="J63" s="108"/>
      <c r="K63" s="69">
        <f t="shared" si="6"/>
        <v>0.23421484101332457</v>
      </c>
      <c r="L63" s="69">
        <f t="shared" si="7"/>
        <v>8.593843175634483</v>
      </c>
    </row>
    <row r="64" spans="2:12" ht="22.5" customHeight="1">
      <c r="B64" s="32" t="s">
        <v>68</v>
      </c>
      <c r="C64" s="68">
        <f>137688121.35</f>
        <v>137688121.35</v>
      </c>
      <c r="D64" s="68">
        <f>12603729.18</f>
        <v>12603729.18</v>
      </c>
      <c r="E64" s="68">
        <f>658336.31</f>
        <v>658336.31</v>
      </c>
      <c r="F64" s="68">
        <f>471.64</f>
        <v>471.64</v>
      </c>
      <c r="G64" s="68">
        <f>0</f>
        <v>0</v>
      </c>
      <c r="H64" s="68">
        <f>0</f>
        <v>0</v>
      </c>
      <c r="I64" s="96">
        <f>0</f>
        <v>0</v>
      </c>
      <c r="J64" s="96"/>
      <c r="K64" s="69">
        <f t="shared" si="6"/>
        <v>0.001993300318327746</v>
      </c>
      <c r="L64" s="69">
        <f t="shared" si="7"/>
        <v>0.47813587951172964</v>
      </c>
    </row>
    <row r="65" spans="2:12" ht="22.5" customHeight="1">
      <c r="B65" s="32" t="s">
        <v>70</v>
      </c>
      <c r="C65" s="68">
        <f>39756516804.13</f>
        <v>39756516804.13</v>
      </c>
      <c r="D65" s="68">
        <f>22708487770.95</f>
        <v>22708487770.95</v>
      </c>
      <c r="E65" s="68">
        <f>10107283742</f>
        <v>10107283742</v>
      </c>
      <c r="F65" s="68">
        <f>485355363.42</f>
        <v>485355363.42</v>
      </c>
      <c r="G65" s="68">
        <f>21078.73</f>
        <v>21078.73</v>
      </c>
      <c r="H65" s="68">
        <f>46422.44</f>
        <v>46422.44</v>
      </c>
      <c r="I65" s="106">
        <f>0</f>
        <v>0</v>
      </c>
      <c r="J65" s="107"/>
      <c r="K65" s="69">
        <f t="shared" si="6"/>
        <v>30.602674642626727</v>
      </c>
      <c r="L65" s="69">
        <f t="shared" si="7"/>
        <v>25.422960949511634</v>
      </c>
    </row>
    <row r="66" spans="2:12" ht="13.5" customHeight="1">
      <c r="B66" s="32" t="s">
        <v>51</v>
      </c>
      <c r="C66" s="24">
        <f aca="true" t="shared" si="9" ref="C66:I66">C60-C61-C62-C63-C64-C65</f>
        <v>30438718364.040016</v>
      </c>
      <c r="D66" s="24">
        <f t="shared" si="9"/>
        <v>13697522964.839993</v>
      </c>
      <c r="E66" s="24">
        <f t="shared" si="9"/>
        <v>5787920557.540001</v>
      </c>
      <c r="F66" s="24">
        <f t="shared" si="9"/>
        <v>758994308.8500001</v>
      </c>
      <c r="G66" s="24">
        <f t="shared" si="9"/>
        <v>1633648.83</v>
      </c>
      <c r="H66" s="24">
        <f t="shared" si="9"/>
        <v>5850224.199999999</v>
      </c>
      <c r="I66" s="96">
        <f t="shared" si="9"/>
        <v>0</v>
      </c>
      <c r="J66" s="96" t="e">
        <f>J60-J61-#REF!-J62-J63-J64-J65</f>
        <v>#REF!</v>
      </c>
      <c r="K66" s="69">
        <f t="shared" si="6"/>
        <v>17.524574772125494</v>
      </c>
      <c r="L66" s="69">
        <f t="shared" si="7"/>
        <v>19.014994285626003</v>
      </c>
    </row>
    <row r="67" spans="2:13" ht="18" customHeight="1">
      <c r="B67" s="80" t="s">
        <v>15</v>
      </c>
      <c r="C67" s="26">
        <f>C6-C57</f>
        <v>-13021472113.330017</v>
      </c>
      <c r="D67" s="26"/>
      <c r="E67" s="26">
        <f>D6-E57</f>
        <v>7146748218.16</v>
      </c>
      <c r="F67" s="26"/>
      <c r="G67" s="26"/>
      <c r="H67" s="26"/>
      <c r="I67" s="97"/>
      <c r="J67" s="97"/>
      <c r="K67" s="27"/>
      <c r="L67" s="27"/>
      <c r="M67" s="13"/>
    </row>
    <row r="68" spans="2:13" ht="33" customHeight="1">
      <c r="B68" s="82" t="s">
        <v>73</v>
      </c>
      <c r="C68" s="26">
        <f>+C49-C60</f>
        <v>3817689835.1799774</v>
      </c>
      <c r="D68" s="26"/>
      <c r="E68" s="26">
        <f>+D49-E60</f>
        <v>6613344999.9299965</v>
      </c>
      <c r="F68" s="26"/>
      <c r="G68" s="26"/>
      <c r="H68" s="26"/>
      <c r="I68" s="26"/>
      <c r="J68" s="26"/>
      <c r="K68" s="27"/>
      <c r="L68" s="27"/>
      <c r="M68" s="13"/>
    </row>
    <row r="69" spans="2:13" ht="8.25" customHeight="1" thickBot="1">
      <c r="B69" s="70"/>
      <c r="C69" s="71"/>
      <c r="D69" s="71"/>
      <c r="E69" s="71"/>
      <c r="F69" s="71"/>
      <c r="G69" s="71"/>
      <c r="H69" s="71"/>
      <c r="I69" s="71"/>
      <c r="J69" s="71"/>
      <c r="K69" s="27"/>
      <c r="L69" s="27"/>
      <c r="M69" s="13"/>
    </row>
    <row r="70" spans="2:13" ht="14.25" customHeight="1">
      <c r="B70" s="83" t="s">
        <v>74</v>
      </c>
      <c r="C70" s="71"/>
      <c r="D70" s="71"/>
      <c r="E70" s="71"/>
      <c r="F70" s="71"/>
      <c r="G70" s="71"/>
      <c r="H70" s="71"/>
      <c r="I70" s="71"/>
      <c r="J70" s="71"/>
      <c r="K70" s="27"/>
      <c r="L70" s="27"/>
      <c r="M70" s="13"/>
    </row>
    <row r="71" spans="2:13" ht="24" customHeight="1">
      <c r="B71" s="80" t="s">
        <v>75</v>
      </c>
      <c r="C71" s="41">
        <f>11710132856.03</f>
        <v>11710132856.03</v>
      </c>
      <c r="D71" s="41">
        <f>4447226381.83</f>
        <v>4447226381.83</v>
      </c>
      <c r="E71" s="41">
        <f>871665472.44</f>
        <v>871665472.44</v>
      </c>
      <c r="F71" s="41">
        <f>162792670.87</f>
        <v>162792670.87</v>
      </c>
      <c r="G71" s="41">
        <f>71175.08</f>
        <v>71175.08</v>
      </c>
      <c r="H71" s="41">
        <f>105057.54</f>
        <v>105057.54</v>
      </c>
      <c r="I71" s="41">
        <f>0</f>
        <v>0</v>
      </c>
      <c r="J71" s="41">
        <f>0</f>
        <v>0</v>
      </c>
      <c r="K71" s="72">
        <f>IF($E$57=0,"",100*$E71/$E$71)</f>
        <v>100</v>
      </c>
      <c r="L71" s="72">
        <f>IF(C71=0,"",100*E71/C71)</f>
        <v>7.443685593978088</v>
      </c>
      <c r="M71" s="13"/>
    </row>
    <row r="72" spans="2:13" ht="15" customHeight="1">
      <c r="B72" s="84" t="s">
        <v>76</v>
      </c>
      <c r="C72" s="22">
        <f>10619693570.02</f>
        <v>10619693570.02</v>
      </c>
      <c r="D72" s="22">
        <f>4073665177.54</f>
        <v>4073665177.54</v>
      </c>
      <c r="E72" s="22">
        <f>714102740.39</f>
        <v>714102740.39</v>
      </c>
      <c r="F72" s="22">
        <f>156587198.89</f>
        <v>156587198.89</v>
      </c>
      <c r="G72" s="22">
        <f>71175.08</f>
        <v>71175.08</v>
      </c>
      <c r="H72" s="22">
        <f>96725</f>
        <v>96725</v>
      </c>
      <c r="I72" s="22">
        <f>0</f>
        <v>0</v>
      </c>
      <c r="J72" s="22">
        <f>0</f>
        <v>0</v>
      </c>
      <c r="K72" s="36">
        <f>IF($E$57=0,"",100*$E72/$E$71)</f>
        <v>81.92394478939904</v>
      </c>
      <c r="L72" s="36">
        <f>IF(C72=0,"",100*E72/C72)</f>
        <v>6.72432528944105</v>
      </c>
      <c r="M72" s="13"/>
    </row>
    <row r="73" spans="2:13" ht="14.25" customHeight="1">
      <c r="B73" s="85" t="s">
        <v>77</v>
      </c>
      <c r="C73" s="22">
        <f>+C71-C72</f>
        <v>1090439286.0100002</v>
      </c>
      <c r="D73" s="22">
        <f aca="true" t="shared" si="10" ref="D73:J73">+D71-D72</f>
        <v>373561204.28999996</v>
      </c>
      <c r="E73" s="22">
        <f t="shared" si="10"/>
        <v>157562732.05000007</v>
      </c>
      <c r="F73" s="22">
        <f t="shared" si="10"/>
        <v>6205471.980000019</v>
      </c>
      <c r="G73" s="22">
        <f t="shared" si="10"/>
        <v>0</v>
      </c>
      <c r="H73" s="22">
        <f t="shared" si="10"/>
        <v>8332.539999999994</v>
      </c>
      <c r="I73" s="22">
        <f t="shared" si="10"/>
        <v>0</v>
      </c>
      <c r="J73" s="22">
        <f t="shared" si="10"/>
        <v>0</v>
      </c>
      <c r="K73" s="36">
        <f>IF($E$57=0,"",100*$E73/$E$71)</f>
        <v>18.076055210600956</v>
      </c>
      <c r="L73" s="36">
        <f>IF(C73=0,"",100*E73/C73)</f>
        <v>14.44947316842683</v>
      </c>
      <c r="M73" s="10"/>
    </row>
    <row r="74" spans="2:13" ht="15">
      <c r="B74" s="98" t="s">
        <v>103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</row>
    <row r="75" ht="6.75" customHeight="1"/>
    <row r="76" spans="2:8" ht="18" customHeight="1">
      <c r="B76" s="79" t="s">
        <v>16</v>
      </c>
      <c r="C76" s="89" t="s">
        <v>17</v>
      </c>
      <c r="D76" s="90"/>
      <c r="E76" s="89" t="s">
        <v>1</v>
      </c>
      <c r="F76" s="90"/>
      <c r="G76" s="19" t="s">
        <v>26</v>
      </c>
      <c r="H76" s="19" t="s">
        <v>27</v>
      </c>
    </row>
    <row r="77" spans="2:10" ht="13.5" customHeight="1">
      <c r="B77" s="40"/>
      <c r="C77" s="91" t="s">
        <v>78</v>
      </c>
      <c r="D77" s="92"/>
      <c r="E77" s="92"/>
      <c r="F77" s="93"/>
      <c r="G77" s="94" t="s">
        <v>4</v>
      </c>
      <c r="H77" s="95"/>
      <c r="J77" s="14"/>
    </row>
    <row r="78" spans="2:10" ht="11.25" customHeight="1">
      <c r="B78" s="39">
        <v>1</v>
      </c>
      <c r="C78" s="42">
        <v>2</v>
      </c>
      <c r="D78" s="43"/>
      <c r="E78" s="42">
        <v>3</v>
      </c>
      <c r="F78" s="43"/>
      <c r="G78" s="30">
        <v>4</v>
      </c>
      <c r="H78" s="30">
        <v>5</v>
      </c>
      <c r="J78" s="10"/>
    </row>
    <row r="79" spans="2:8" ht="25.5" customHeight="1">
      <c r="B79" s="78" t="s">
        <v>66</v>
      </c>
      <c r="C79" s="44">
        <f>17624652220.73</f>
        <v>17624652220.73</v>
      </c>
      <c r="D79" s="45"/>
      <c r="E79" s="44">
        <f>16661988687.75</f>
        <v>16661988687.75</v>
      </c>
      <c r="F79" s="45"/>
      <c r="G79" s="37">
        <f aca="true" t="shared" si="11" ref="G79:G87">IF($E$79=0,"",100*$E79/$E$79)</f>
        <v>100</v>
      </c>
      <c r="H79" s="35">
        <f>IF(C79=0,"",100*E79/C79)</f>
        <v>94.53797146789812</v>
      </c>
    </row>
    <row r="80" spans="2:8" ht="26.25" customHeight="1">
      <c r="B80" s="60" t="s">
        <v>89</v>
      </c>
      <c r="C80" s="46">
        <f>8202246447.2</f>
        <v>8202246447.2</v>
      </c>
      <c r="D80" s="47"/>
      <c r="E80" s="46">
        <f>136981580.97</f>
        <v>136981580.97</v>
      </c>
      <c r="F80" s="47"/>
      <c r="G80" s="56">
        <f t="shared" si="11"/>
        <v>0.8221202374882761</v>
      </c>
      <c r="H80" s="57">
        <f aca="true" t="shared" si="12" ref="H80:H92">IF(C80=0,"",100*E80/C80)</f>
        <v>1.6700495632725274</v>
      </c>
    </row>
    <row r="81" spans="2:8" ht="22.5">
      <c r="B81" s="73" t="s">
        <v>90</v>
      </c>
      <c r="C81" s="74">
        <f>293267332.15</f>
        <v>293267332.15</v>
      </c>
      <c r="D81" s="75"/>
      <c r="E81" s="74">
        <f>800000</f>
        <v>800000</v>
      </c>
      <c r="F81" s="75"/>
      <c r="G81" s="76">
        <f t="shared" si="11"/>
        <v>0.004801347636180818</v>
      </c>
      <c r="H81" s="67">
        <f t="shared" si="12"/>
        <v>0.27278865127426366</v>
      </c>
    </row>
    <row r="82" spans="2:8" ht="12.75">
      <c r="B82" s="77" t="s">
        <v>91</v>
      </c>
      <c r="C82" s="74">
        <f>56893813.55</f>
        <v>56893813.55</v>
      </c>
      <c r="D82" s="75"/>
      <c r="E82" s="74">
        <f>7189001.72</f>
        <v>7189001.72</v>
      </c>
      <c r="F82" s="75"/>
      <c r="G82" s="76">
        <f t="shared" si="11"/>
        <v>0.0431461205185273</v>
      </c>
      <c r="H82" s="67">
        <f t="shared" si="12"/>
        <v>12.63582324936276</v>
      </c>
    </row>
    <row r="83" spans="2:8" ht="12.75">
      <c r="B83" s="77" t="s">
        <v>92</v>
      </c>
      <c r="C83" s="74">
        <f>1539098907.27</f>
        <v>1539098907.27</v>
      </c>
      <c r="D83" s="75"/>
      <c r="E83" s="74">
        <f>3045027649.02</f>
        <v>3045027649.02</v>
      </c>
      <c r="F83" s="75"/>
      <c r="G83" s="76">
        <f t="shared" si="11"/>
        <v>18.275295380909267</v>
      </c>
      <c r="H83" s="67">
        <f t="shared" si="12"/>
        <v>197.8448321051156</v>
      </c>
    </row>
    <row r="84" spans="2:8" ht="45">
      <c r="B84" s="77" t="s">
        <v>102</v>
      </c>
      <c r="C84" s="74">
        <f>3689889165.55</f>
        <v>3689889165.55</v>
      </c>
      <c r="D84" s="75"/>
      <c r="E84" s="74">
        <f>4520748857.06</f>
        <v>4520748857.06</v>
      </c>
      <c r="F84" s="75"/>
      <c r="G84" s="76">
        <f t="shared" si="11"/>
        <v>27.132108548265215</v>
      </c>
      <c r="H84" s="67">
        <f t="shared" si="12"/>
        <v>122.51719914156706</v>
      </c>
    </row>
    <row r="85" spans="2:8" ht="13.5" customHeight="1">
      <c r="B85" s="77" t="s">
        <v>93</v>
      </c>
      <c r="C85" s="74">
        <f>500000</f>
        <v>500000</v>
      </c>
      <c r="D85" s="75"/>
      <c r="E85" s="74">
        <f>0</f>
        <v>0</v>
      </c>
      <c r="F85" s="75"/>
      <c r="G85" s="76">
        <f t="shared" si="11"/>
        <v>0</v>
      </c>
      <c r="H85" s="67">
        <f t="shared" si="12"/>
        <v>0</v>
      </c>
    </row>
    <row r="86" spans="2:8" ht="40.5" customHeight="1">
      <c r="B86" s="77" t="s">
        <v>80</v>
      </c>
      <c r="C86" s="74">
        <f>4101887697.59</f>
        <v>4101887697.59</v>
      </c>
      <c r="D86" s="75"/>
      <c r="E86" s="74">
        <f>8933463312.29</f>
        <v>8933463312.29</v>
      </c>
      <c r="F86" s="75"/>
      <c r="G86" s="76">
        <f t="shared" si="11"/>
        <v>53.61582869671458</v>
      </c>
      <c r="H86" s="67">
        <f t="shared" si="12"/>
        <v>217.78907593054578</v>
      </c>
    </row>
    <row r="87" spans="2:8" ht="12.75">
      <c r="B87" s="77" t="s">
        <v>81</v>
      </c>
      <c r="C87" s="74">
        <f>34136189.57</f>
        <v>34136189.57</v>
      </c>
      <c r="D87" s="75"/>
      <c r="E87" s="74">
        <f>18578286.69</f>
        <v>18578286.69</v>
      </c>
      <c r="F87" s="75"/>
      <c r="G87" s="76">
        <f t="shared" si="11"/>
        <v>0.11150101610415135</v>
      </c>
      <c r="H87" s="67">
        <f t="shared" si="12"/>
        <v>54.424020149944354</v>
      </c>
    </row>
    <row r="88" spans="2:8" ht="25.5" customHeight="1">
      <c r="B88" s="78" t="s">
        <v>67</v>
      </c>
      <c r="C88" s="54">
        <f>4600401929.78</f>
        <v>4600401929.78</v>
      </c>
      <c r="D88" s="55"/>
      <c r="E88" s="54">
        <f>1610899551.01</f>
        <v>1610899551.01</v>
      </c>
      <c r="F88" s="55"/>
      <c r="G88" s="37">
        <f>IF($E$88=0,"",100*$E88/$E$88)</f>
        <v>100</v>
      </c>
      <c r="H88" s="35">
        <f t="shared" si="12"/>
        <v>35.01649585402718</v>
      </c>
    </row>
    <row r="89" spans="2:8" ht="36" customHeight="1">
      <c r="B89" s="60" t="s">
        <v>94</v>
      </c>
      <c r="C89" s="46">
        <f>3999257712.08</f>
        <v>3999257712.08</v>
      </c>
      <c r="D89" s="52"/>
      <c r="E89" s="53">
        <f>871068135.98</f>
        <v>871068135.98</v>
      </c>
      <c r="F89" s="52"/>
      <c r="G89" s="56">
        <f>IF($E$88=0,"",100*$E89/$E$88)</f>
        <v>54.07339864449392</v>
      </c>
      <c r="H89" s="57">
        <f t="shared" si="12"/>
        <v>21.780745295530366</v>
      </c>
    </row>
    <row r="90" spans="2:8" ht="24.75" customHeight="1">
      <c r="B90" s="77" t="s">
        <v>95</v>
      </c>
      <c r="C90" s="74">
        <f>101532709.57</f>
        <v>101532709.57</v>
      </c>
      <c r="D90" s="75"/>
      <c r="E90" s="74">
        <f>7052420</f>
        <v>7052420</v>
      </c>
      <c r="F90" s="75"/>
      <c r="G90" s="76">
        <f>IF($E$88=0,"",100*$E90/$E$88)</f>
        <v>0.4377939018965076</v>
      </c>
      <c r="H90" s="67">
        <f t="shared" si="12"/>
        <v>6.945958627389757</v>
      </c>
    </row>
    <row r="91" spans="2:8" ht="12.75">
      <c r="B91" s="73" t="s">
        <v>96</v>
      </c>
      <c r="C91" s="74">
        <f>39078949.32</f>
        <v>39078949.32</v>
      </c>
      <c r="D91" s="75"/>
      <c r="E91" s="74">
        <f>15751971.67</f>
        <v>15751971.67</v>
      </c>
      <c r="F91" s="75"/>
      <c r="G91" s="76">
        <f>IF($E$88=0,"",100*$E91/$E$88)</f>
        <v>0.9778369892848904</v>
      </c>
      <c r="H91" s="67">
        <f t="shared" si="12"/>
        <v>40.30807364091128</v>
      </c>
    </row>
    <row r="92" spans="2:8" ht="12.75">
      <c r="B92" s="77" t="s">
        <v>33</v>
      </c>
      <c r="C92" s="74">
        <f>562065268.38</f>
        <v>562065268.38</v>
      </c>
      <c r="D92" s="75"/>
      <c r="E92" s="74">
        <f>724079443.36</f>
        <v>724079443.36</v>
      </c>
      <c r="F92" s="75"/>
      <c r="G92" s="76">
        <f>IF($E$88=0,"",100*$E92/$E$88)</f>
        <v>44.94876436622119</v>
      </c>
      <c r="H92" s="67">
        <f t="shared" si="12"/>
        <v>128.82479742022875</v>
      </c>
    </row>
    <row r="93" ht="7.5" customHeight="1"/>
    <row r="94" spans="2:8" ht="12.75">
      <c r="B94" s="79" t="s">
        <v>16</v>
      </c>
      <c r="C94" s="89" t="s">
        <v>17</v>
      </c>
      <c r="D94" s="90"/>
      <c r="E94" s="89" t="s">
        <v>1</v>
      </c>
      <c r="F94" s="90"/>
      <c r="G94" s="19" t="s">
        <v>26</v>
      </c>
      <c r="H94" s="19" t="s">
        <v>27</v>
      </c>
    </row>
    <row r="95" spans="2:8" ht="12.75">
      <c r="B95" s="40"/>
      <c r="C95" s="91" t="s">
        <v>78</v>
      </c>
      <c r="D95" s="92"/>
      <c r="E95" s="92"/>
      <c r="F95" s="93"/>
      <c r="G95" s="94" t="s">
        <v>4</v>
      </c>
      <c r="H95" s="95"/>
    </row>
    <row r="96" spans="2:8" ht="12.75">
      <c r="B96" s="39">
        <v>1</v>
      </c>
      <c r="C96" s="42">
        <v>2</v>
      </c>
      <c r="D96" s="43"/>
      <c r="E96" s="42">
        <v>3</v>
      </c>
      <c r="F96" s="43"/>
      <c r="G96" s="30">
        <v>4</v>
      </c>
      <c r="H96" s="30">
        <v>5</v>
      </c>
    </row>
    <row r="97" spans="2:8" ht="31.5" customHeight="1">
      <c r="B97" s="61" t="s">
        <v>82</v>
      </c>
      <c r="C97" s="51">
        <f>13161653641.14</f>
        <v>13161653641.14</v>
      </c>
      <c r="D97" s="48"/>
      <c r="E97" s="51">
        <f>0</f>
        <v>0</v>
      </c>
      <c r="F97" s="45"/>
      <c r="G97" s="37"/>
      <c r="H97" s="35"/>
    </row>
    <row r="98" spans="2:8" ht="47.25" customHeight="1">
      <c r="B98" s="59" t="s">
        <v>83</v>
      </c>
      <c r="C98" s="53">
        <f>240648799.41</f>
        <v>240648799.41</v>
      </c>
      <c r="D98" s="52"/>
      <c r="E98" s="53">
        <f>0</f>
        <v>0</v>
      </c>
      <c r="F98" s="52"/>
      <c r="G98" s="56"/>
      <c r="H98" s="57"/>
    </row>
    <row r="99" spans="2:8" ht="12.75">
      <c r="B99" s="59" t="s">
        <v>84</v>
      </c>
      <c r="C99" s="53">
        <f>5636162365.37</f>
        <v>5636162365.37</v>
      </c>
      <c r="D99" s="52"/>
      <c r="E99" s="53">
        <f>0</f>
        <v>0</v>
      </c>
      <c r="F99" s="52"/>
      <c r="G99" s="56"/>
      <c r="H99" s="57"/>
    </row>
    <row r="100" spans="2:8" ht="25.5" customHeight="1">
      <c r="B100" s="59" t="s">
        <v>85</v>
      </c>
      <c r="C100" s="53">
        <f>0</f>
        <v>0</v>
      </c>
      <c r="D100" s="52"/>
      <c r="E100" s="53">
        <f>0</f>
        <v>0</v>
      </c>
      <c r="F100" s="52"/>
      <c r="G100" s="56"/>
      <c r="H100" s="57"/>
    </row>
    <row r="101" spans="2:8" ht="33.75">
      <c r="B101" s="59" t="s">
        <v>86</v>
      </c>
      <c r="C101" s="53">
        <f>1004452634.92</f>
        <v>1004452634.92</v>
      </c>
      <c r="D101" s="52"/>
      <c r="E101" s="53">
        <f>0</f>
        <v>0</v>
      </c>
      <c r="F101" s="52"/>
      <c r="G101" s="56"/>
      <c r="H101" s="57"/>
    </row>
    <row r="102" spans="2:8" ht="91.5" customHeight="1">
      <c r="B102" s="59" t="s">
        <v>87</v>
      </c>
      <c r="C102" s="53">
        <f>3049563428.69</f>
        <v>3049563428.69</v>
      </c>
      <c r="D102" s="52"/>
      <c r="E102" s="53">
        <f>0</f>
        <v>0</v>
      </c>
      <c r="F102" s="52"/>
      <c r="G102" s="56"/>
      <c r="H102" s="57"/>
    </row>
    <row r="103" ht="7.5" customHeight="1"/>
    <row r="104" ht="7.5" customHeight="1"/>
  </sheetData>
  <sheetProtection/>
  <mergeCells count="38">
    <mergeCell ref="I61:J61"/>
    <mergeCell ref="I62:J62"/>
    <mergeCell ref="I65:J65"/>
    <mergeCell ref="C76:D76"/>
    <mergeCell ref="E76:F76"/>
    <mergeCell ref="C77:F77"/>
    <mergeCell ref="G77:H77"/>
    <mergeCell ref="I63:J63"/>
    <mergeCell ref="I64:J64"/>
    <mergeCell ref="I58:J58"/>
    <mergeCell ref="B1:M1"/>
    <mergeCell ref="I52:J54"/>
    <mergeCell ref="D52:D54"/>
    <mergeCell ref="E52:E54"/>
    <mergeCell ref="F53:F54"/>
    <mergeCell ref="F52:H52"/>
    <mergeCell ref="B52:B55"/>
    <mergeCell ref="K52:K54"/>
    <mergeCell ref="K55:L55"/>
    <mergeCell ref="I56:J56"/>
    <mergeCell ref="I57:J57"/>
    <mergeCell ref="B3:B4"/>
    <mergeCell ref="K4:M4"/>
    <mergeCell ref="C4:J4"/>
    <mergeCell ref="C55:J55"/>
    <mergeCell ref="C52:C54"/>
    <mergeCell ref="B50:M50"/>
    <mergeCell ref="G53:H53"/>
    <mergeCell ref="L52:L54"/>
    <mergeCell ref="I59:J59"/>
    <mergeCell ref="C94:D94"/>
    <mergeCell ref="E94:F94"/>
    <mergeCell ref="C95:F95"/>
    <mergeCell ref="G95:H95"/>
    <mergeCell ref="I66:J66"/>
    <mergeCell ref="I67:J67"/>
    <mergeCell ref="B74:M74"/>
    <mergeCell ref="I60:J60"/>
  </mergeCells>
  <printOptions/>
  <pageMargins left="0.1968503937007874" right="0.1968503937007874" top="0.35433070866141736" bottom="0.3937007874015748" header="0.31496062992125984" footer="0.1968503937007874"/>
  <pageSetup firstPageNumber="1" useFirstPageNumber="1" horizontalDpi="600" verticalDpi="600" orientation="landscape" paperSize="9" scale="95" r:id="rId3"/>
  <headerFooter alignWithMargins="0">
    <oddFooter>&amp;RStrona &amp;P z &amp;N</oddFooter>
  </headerFooter>
  <rowBreaks count="6" manualBreakCount="6">
    <brk id="21" max="255" man="1"/>
    <brk id="49" max="255" man="1"/>
    <brk id="73" max="255" man="1"/>
    <brk id="93" max="12" man="1"/>
    <brk id="102" max="12" man="1"/>
    <brk id="103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2018-03-19T09:08:58Z</cp:lastPrinted>
  <dcterms:created xsi:type="dcterms:W3CDTF">2001-05-17T08:58:03Z</dcterms:created>
  <dcterms:modified xsi:type="dcterms:W3CDTF">2021-05-31T09:22:25Z</dcterms:modified>
  <cp:category/>
  <cp:version/>
  <cp:contentType/>
  <cp:contentStatus/>
</cp:coreProperties>
</file>