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DE38D0E5-496A-470D-9668-68C39CD4F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85" i="7" l="1"/>
  <c r="A66" i="7"/>
  <c r="A29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<sst xmlns="http://schemas.openxmlformats.org/spreadsheetml/2006/main" count="97" uniqueCount="81">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</sst>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7" t="str">
        <f>CONCATENATE("Informacja z wykonania budżetów województw za  ",$C$93," ",$B$94," roku    ",$B$96,"")</f>
        <v xml:space="preserve">Informacja z wykonania budżetów województw za  III Kwartały 2025 roku    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8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7" ht="13.5" customHeight="1" x14ac:dyDescent="0.2">
      <c r="B5" s="1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1"/>
      <c r="O5" s="11"/>
      <c r="P5" s="11"/>
      <c r="Q5" s="11"/>
    </row>
    <row r="6" spans="1:17" ht="13.5" customHeight="1" x14ac:dyDescent="0.2">
      <c r="A6" s="39" t="s">
        <v>0</v>
      </c>
      <c r="B6" s="42" t="s">
        <v>63</v>
      </c>
      <c r="C6" s="47" t="s">
        <v>67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  <c r="O6" s="47" t="s">
        <v>66</v>
      </c>
      <c r="P6" s="48"/>
      <c r="Q6" s="49"/>
    </row>
    <row r="7" spans="1:17" ht="13.5" customHeight="1" x14ac:dyDescent="0.2">
      <c r="A7" s="40"/>
      <c r="B7" s="36"/>
      <c r="C7" s="35" t="s">
        <v>64</v>
      </c>
      <c r="D7" s="35" t="s">
        <v>75</v>
      </c>
      <c r="E7" s="35" t="s">
        <v>68</v>
      </c>
      <c r="F7" s="35" t="s">
        <v>69</v>
      </c>
      <c r="G7" s="35" t="s">
        <v>27</v>
      </c>
      <c r="H7" s="35" t="s">
        <v>28</v>
      </c>
      <c r="I7" s="50" t="s">
        <v>65</v>
      </c>
      <c r="J7" s="35" t="s">
        <v>16</v>
      </c>
      <c r="K7" s="35" t="s">
        <v>17</v>
      </c>
      <c r="L7" s="35" t="s">
        <v>18</v>
      </c>
      <c r="M7" s="35" t="s">
        <v>19</v>
      </c>
      <c r="N7" s="36" t="s">
        <v>20</v>
      </c>
      <c r="O7" s="31" t="s">
        <v>21</v>
      </c>
      <c r="P7" s="31" t="s">
        <v>22</v>
      </c>
      <c r="Q7" s="31" t="s">
        <v>23</v>
      </c>
    </row>
    <row r="8" spans="1:17" ht="13.5" customHeight="1" x14ac:dyDescent="0.2">
      <c r="A8" s="40"/>
      <c r="B8" s="36"/>
      <c r="C8" s="31"/>
      <c r="D8" s="31"/>
      <c r="E8" s="31"/>
      <c r="F8" s="31"/>
      <c r="G8" s="31"/>
      <c r="H8" s="31"/>
      <c r="I8" s="50"/>
      <c r="J8" s="31"/>
      <c r="K8" s="31"/>
      <c r="L8" s="31"/>
      <c r="M8" s="31"/>
      <c r="N8" s="36"/>
      <c r="O8" s="31"/>
      <c r="P8" s="31"/>
      <c r="Q8" s="31"/>
    </row>
    <row r="9" spans="1:17" ht="11.25" customHeight="1" x14ac:dyDescent="0.2">
      <c r="A9" s="40"/>
      <c r="B9" s="36"/>
      <c r="C9" s="31"/>
      <c r="D9" s="31"/>
      <c r="E9" s="31"/>
      <c r="F9" s="31"/>
      <c r="G9" s="31"/>
      <c r="H9" s="31"/>
      <c r="I9" s="50"/>
      <c r="J9" s="31"/>
      <c r="K9" s="31"/>
      <c r="L9" s="31"/>
      <c r="M9" s="31"/>
      <c r="N9" s="36"/>
      <c r="O9" s="31"/>
      <c r="P9" s="31"/>
      <c r="Q9" s="31"/>
    </row>
    <row r="10" spans="1:17" ht="27.75" customHeight="1" x14ac:dyDescent="0.2">
      <c r="A10" s="41"/>
      <c r="B10" s="35"/>
      <c r="C10" s="31"/>
      <c r="D10" s="31"/>
      <c r="E10" s="31"/>
      <c r="F10" s="31"/>
      <c r="G10" s="31"/>
      <c r="H10" s="31"/>
      <c r="I10" s="51"/>
      <c r="J10" s="31"/>
      <c r="K10" s="31"/>
      <c r="L10" s="31"/>
      <c r="M10" s="31"/>
      <c r="N10" s="35"/>
      <c r="O10" s="31"/>
      <c r="P10" s="31"/>
      <c r="Q10" s="31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43" t="s">
        <v>78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3.5" customHeight="1" x14ac:dyDescent="0.2">
      <c r="A13" s="19" t="s">
        <v>79</v>
      </c>
      <c r="B13" s="20">
        <f>4061668689.24</f>
        <v>4061668689.2399998</v>
      </c>
      <c r="C13" s="20">
        <f>2538916663.14</f>
        <v>2538916663.1399999</v>
      </c>
      <c r="D13" s="20">
        <f>146671155.42</f>
        <v>146671155.41999999</v>
      </c>
      <c r="E13" s="20">
        <f>146000000</f>
        <v>146000000</v>
      </c>
      <c r="F13" s="20">
        <f>0</f>
        <v>0</v>
      </c>
      <c r="G13" s="20">
        <f>671155.42</f>
        <v>671155.42</v>
      </c>
      <c r="H13" s="20">
        <f>0</f>
        <v>0</v>
      </c>
      <c r="I13" s="20">
        <f>0</f>
        <v>0</v>
      </c>
      <c r="J13" s="20">
        <f>2263919713.14</f>
        <v>2263919713.1399999</v>
      </c>
      <c r="K13" s="20">
        <f>0</f>
        <v>0</v>
      </c>
      <c r="L13" s="20">
        <f>128061516.32</f>
        <v>128061516.31999999</v>
      </c>
      <c r="M13" s="20">
        <f>263978.26</f>
        <v>263978.26</v>
      </c>
      <c r="N13" s="20">
        <f>300</f>
        <v>300</v>
      </c>
      <c r="O13" s="20">
        <f>1522752026.1</f>
        <v>1522752026.0999999</v>
      </c>
      <c r="P13" s="20">
        <f>1522752026.1</f>
        <v>1522752026.0999999</v>
      </c>
      <c r="Q13" s="20">
        <f>0</f>
        <v>0</v>
      </c>
    </row>
    <row r="14" spans="1:17" ht="28.5" customHeight="1" x14ac:dyDescent="0.2">
      <c r="A14" s="19" t="s">
        <v>45</v>
      </c>
      <c r="B14" s="20">
        <f>585950000</f>
        <v>585950000</v>
      </c>
      <c r="C14" s="20">
        <f>585950000</f>
        <v>585950000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585950000</f>
        <v>585950000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585950000</f>
        <v>585950000</v>
      </c>
      <c r="C16" s="21">
        <f>585950000</f>
        <v>585950000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585950000</f>
        <v>585950000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3475171849.09</f>
        <v>3475171849.0900002</v>
      </c>
      <c r="C17" s="20">
        <f>1952419822.99</f>
        <v>1952419822.99</v>
      </c>
      <c r="D17" s="20">
        <f>146645816.6</f>
        <v>146645816.59999999</v>
      </c>
      <c r="E17" s="20">
        <f>146000000</f>
        <v>146000000</v>
      </c>
      <c r="F17" s="20">
        <f>0</f>
        <v>0</v>
      </c>
      <c r="G17" s="20">
        <f>645816.6</f>
        <v>645816.6</v>
      </c>
      <c r="H17" s="20">
        <f>0</f>
        <v>0</v>
      </c>
      <c r="I17" s="20">
        <f>0</f>
        <v>0</v>
      </c>
      <c r="J17" s="20">
        <f>1677969713.14</f>
        <v>1677969713.1400001</v>
      </c>
      <c r="K17" s="20">
        <f>0</f>
        <v>0</v>
      </c>
      <c r="L17" s="20">
        <f>127804293.25</f>
        <v>127804293.25</v>
      </c>
      <c r="M17" s="20">
        <f>0</f>
        <v>0</v>
      </c>
      <c r="N17" s="20">
        <f>0</f>
        <v>0</v>
      </c>
      <c r="O17" s="20">
        <f>1522752026.1</f>
        <v>1522752026.0999999</v>
      </c>
      <c r="P17" s="20">
        <f>1522752026.1</f>
        <v>1522752026.0999999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3475171849.09</f>
        <v>3475171849.0900002</v>
      </c>
      <c r="C19" s="21">
        <f>1952419822.99</f>
        <v>1952419822.99</v>
      </c>
      <c r="D19" s="21">
        <f>146645816.6</f>
        <v>146645816.59999999</v>
      </c>
      <c r="E19" s="21">
        <f>146000000</f>
        <v>146000000</v>
      </c>
      <c r="F19" s="21">
        <f>0</f>
        <v>0</v>
      </c>
      <c r="G19" s="21">
        <f>645816.6</f>
        <v>645816.6</v>
      </c>
      <c r="H19" s="21">
        <f>0</f>
        <v>0</v>
      </c>
      <c r="I19" s="21">
        <f>0</f>
        <v>0</v>
      </c>
      <c r="J19" s="21">
        <f>1677969713.14</f>
        <v>1677969713.1400001</v>
      </c>
      <c r="K19" s="21">
        <f>0</f>
        <v>0</v>
      </c>
      <c r="L19" s="21">
        <f>127804293.25</f>
        <v>127804293.25</v>
      </c>
      <c r="M19" s="21">
        <f>0</f>
        <v>0</v>
      </c>
      <c r="N19" s="21">
        <f>0</f>
        <v>0</v>
      </c>
      <c r="O19" s="21">
        <f>1522752026.1</f>
        <v>1522752026.0999999</v>
      </c>
      <c r="P19" s="21">
        <f>1522752026.1</f>
        <v>1522752026.0999999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546840.15</f>
        <v>546840.15</v>
      </c>
      <c r="C21" s="20">
        <f>546840.15</f>
        <v>546840.15</v>
      </c>
      <c r="D21" s="20">
        <f>25338.82</f>
        <v>25338.82</v>
      </c>
      <c r="E21" s="20">
        <f>0</f>
        <v>0</v>
      </c>
      <c r="F21" s="20">
        <f>0</f>
        <v>0</v>
      </c>
      <c r="G21" s="20">
        <f>25338.82</f>
        <v>25338.82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257223.07</f>
        <v>257223.07</v>
      </c>
      <c r="M21" s="20">
        <f>263978.26</f>
        <v>263978.26</v>
      </c>
      <c r="N21" s="20">
        <f>300</f>
        <v>300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233088.49</f>
        <v>233088.49</v>
      </c>
      <c r="C22" s="21">
        <f>233088.49</f>
        <v>233088.49</v>
      </c>
      <c r="D22" s="21">
        <f>25338.82</f>
        <v>25338.82</v>
      </c>
      <c r="E22" s="21">
        <f>0</f>
        <v>0</v>
      </c>
      <c r="F22" s="21">
        <f>0</f>
        <v>0</v>
      </c>
      <c r="G22" s="21">
        <f>25338.82</f>
        <v>25338.82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152344.91</f>
        <v>152344.91</v>
      </c>
      <c r="M22" s="21">
        <f>55104.76</f>
        <v>55104.76</v>
      </c>
      <c r="N22" s="21">
        <f>300</f>
        <v>300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313751.66</f>
        <v>313751.65999999997</v>
      </c>
      <c r="C23" s="21">
        <f>313751.66</f>
        <v>313751.65999999997</v>
      </c>
      <c r="D23" s="21">
        <f>0</f>
        <v>0</v>
      </c>
      <c r="E23" s="21">
        <f>0</f>
        <v>0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104878.16</f>
        <v>104878.16</v>
      </c>
      <c r="M23" s="21">
        <f>208873.5</f>
        <v>208873.5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7" t="str">
        <f>CONCATENATE("Informacja z wykonania budżetów województw za  ",$C$93," ",$B$94," roku    ",$B$96,"")</f>
        <v xml:space="preserve">Informacja z wykonania budżetów województw za  III Kwartały 2025 roku    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1" spans="1:17" ht="13.5" customHeight="1" x14ac:dyDescent="0.2">
      <c r="A31" s="38" t="s">
        <v>11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3" spans="1:17" ht="13.5" customHeight="1" x14ac:dyDescent="0.2">
      <c r="A33" s="39" t="s">
        <v>0</v>
      </c>
      <c r="B33" s="42" t="s">
        <v>12</v>
      </c>
      <c r="C33" s="32" t="s">
        <v>14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 t="s">
        <v>24</v>
      </c>
      <c r="P33" s="33"/>
      <c r="Q33" s="34"/>
    </row>
    <row r="34" spans="1:17" ht="13.5" customHeight="1" x14ac:dyDescent="0.2">
      <c r="A34" s="40"/>
      <c r="B34" s="36"/>
      <c r="C34" s="36" t="s">
        <v>13</v>
      </c>
      <c r="D34" s="31" t="s">
        <v>15</v>
      </c>
      <c r="E34" s="31" t="s">
        <v>25</v>
      </c>
      <c r="F34" s="31" t="s">
        <v>26</v>
      </c>
      <c r="G34" s="31" t="s">
        <v>72</v>
      </c>
      <c r="H34" s="31" t="s">
        <v>28</v>
      </c>
      <c r="I34" s="31" t="s">
        <v>1</v>
      </c>
      <c r="J34" s="31" t="s">
        <v>16</v>
      </c>
      <c r="K34" s="31" t="s">
        <v>17</v>
      </c>
      <c r="L34" s="31" t="s">
        <v>18</v>
      </c>
      <c r="M34" s="31" t="s">
        <v>19</v>
      </c>
      <c r="N34" s="74" t="s">
        <v>20</v>
      </c>
      <c r="O34" s="31" t="s">
        <v>21</v>
      </c>
      <c r="P34" s="31" t="s">
        <v>22</v>
      </c>
      <c r="Q34" s="42" t="s">
        <v>23</v>
      </c>
    </row>
    <row r="35" spans="1:17" ht="13.5" customHeight="1" x14ac:dyDescent="0.2">
      <c r="A35" s="40"/>
      <c r="B35" s="36"/>
      <c r="C35" s="3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4"/>
      <c r="O35" s="31"/>
      <c r="P35" s="31"/>
      <c r="Q35" s="36"/>
    </row>
    <row r="36" spans="1:17" ht="11.25" customHeight="1" x14ac:dyDescent="0.2">
      <c r="A36" s="40"/>
      <c r="B36" s="36"/>
      <c r="C36" s="3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4"/>
      <c r="O36" s="31"/>
      <c r="P36" s="31"/>
      <c r="Q36" s="36"/>
    </row>
    <row r="37" spans="1:17" ht="11.25" customHeight="1" x14ac:dyDescent="0.2">
      <c r="A37" s="41"/>
      <c r="B37" s="35"/>
      <c r="C37" s="3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4"/>
      <c r="O37" s="31"/>
      <c r="P37" s="31"/>
      <c r="Q37" s="35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43" t="s">
        <v>78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776799775.74</f>
        <v>776799775.74000001</v>
      </c>
      <c r="C43" s="22">
        <f>776799775.74</f>
        <v>776799775.74000001</v>
      </c>
      <c r="D43" s="22">
        <f>716615836.03</f>
        <v>716615836.02999997</v>
      </c>
      <c r="E43" s="22">
        <f>70087.89</f>
        <v>70087.89</v>
      </c>
      <c r="F43" s="22">
        <f>16341.1</f>
        <v>16341.1</v>
      </c>
      <c r="G43" s="22">
        <f>716529407.04</f>
        <v>716529407.03999996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55067947.39</f>
        <v>55067947.390000001</v>
      </c>
      <c r="M43" s="22">
        <f>4081424.14</f>
        <v>4081424.14</v>
      </c>
      <c r="N43" s="22">
        <f>1034568.18</f>
        <v>1034568.18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22408540.07</f>
        <v>22408540.07</v>
      </c>
      <c r="C44" s="23">
        <f>22408540.07</f>
        <v>22408540.07</v>
      </c>
      <c r="D44" s="23">
        <f>22325518.45</f>
        <v>22325518.449999999</v>
      </c>
      <c r="E44" s="23">
        <f>0</f>
        <v>0</v>
      </c>
      <c r="F44" s="23">
        <f>0</f>
        <v>0</v>
      </c>
      <c r="G44" s="23">
        <f>22325518.45</f>
        <v>22325518.449999999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754391235.67</f>
        <v>754391235.66999996</v>
      </c>
      <c r="C45" s="23">
        <f>754391235.67</f>
        <v>754391235.66999996</v>
      </c>
      <c r="D45" s="23">
        <f>694290317.58</f>
        <v>694290317.58000004</v>
      </c>
      <c r="E45" s="23">
        <f>70087.89</f>
        <v>70087.89</v>
      </c>
      <c r="F45" s="23">
        <f>16341.1</f>
        <v>16341.1</v>
      </c>
      <c r="G45" s="23">
        <f>694203888.59</f>
        <v>694203888.59000003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54984925.77</f>
        <v>54984925.770000003</v>
      </c>
      <c r="M45" s="23">
        <f>4081424.14</f>
        <v>4081424.14</v>
      </c>
      <c r="N45" s="23">
        <f>1034568.18</f>
        <v>1034568.18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12749215089.83</f>
        <v>12749215089.83</v>
      </c>
      <c r="C46" s="22">
        <f>12748950703.12</f>
        <v>12748950703.120001</v>
      </c>
      <c r="D46" s="22">
        <f>354427.02</f>
        <v>354427.02</v>
      </c>
      <c r="E46" s="22">
        <f>600</f>
        <v>600</v>
      </c>
      <c r="F46" s="22">
        <f>21265.52</f>
        <v>21265.52</v>
      </c>
      <c r="G46" s="22">
        <f>332561.5</f>
        <v>332561.5</v>
      </c>
      <c r="H46" s="22">
        <f>0</f>
        <v>0</v>
      </c>
      <c r="I46" s="22">
        <f>0</f>
        <v>0</v>
      </c>
      <c r="J46" s="22">
        <f>12743500108.58</f>
        <v>12743500108.58</v>
      </c>
      <c r="K46" s="22">
        <f>0</f>
        <v>0</v>
      </c>
      <c r="L46" s="22">
        <f>5087103.89</f>
        <v>5087103.8899999997</v>
      </c>
      <c r="M46" s="22">
        <f>9063.63</f>
        <v>9063.6299999999992</v>
      </c>
      <c r="N46" s="22">
        <f>0</f>
        <v>0</v>
      </c>
      <c r="O46" s="22">
        <f>264386.71</f>
        <v>264386.71000000002</v>
      </c>
      <c r="P46" s="22">
        <f>264386.71</f>
        <v>264386.71000000002</v>
      </c>
      <c r="Q46" s="22">
        <f>0</f>
        <v>0</v>
      </c>
    </row>
    <row r="47" spans="1:17" ht="24" customHeight="1" x14ac:dyDescent="0.2">
      <c r="A47" s="18" t="s">
        <v>33</v>
      </c>
      <c r="B47" s="23">
        <f>332561.5</f>
        <v>332561.5</v>
      </c>
      <c r="C47" s="23">
        <f>332561.5</f>
        <v>332561.5</v>
      </c>
      <c r="D47" s="23">
        <f>332561.5</f>
        <v>332561.5</v>
      </c>
      <c r="E47" s="23">
        <f>0</f>
        <v>0</v>
      </c>
      <c r="F47" s="23">
        <f>0</f>
        <v>0</v>
      </c>
      <c r="G47" s="23">
        <f>332561.5</f>
        <v>332561.5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8815241960.88</f>
        <v>8815241960.8799992</v>
      </c>
      <c r="C48" s="23">
        <f>8815241960.88</f>
        <v>8815241960.8799992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8810184010.67</f>
        <v>8810184010.6700001</v>
      </c>
      <c r="K48" s="23">
        <f>0</f>
        <v>0</v>
      </c>
      <c r="L48" s="23">
        <f>5048286.58</f>
        <v>5048286.58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3933640567.45</f>
        <v>3933640567.4499998</v>
      </c>
      <c r="C49" s="23">
        <f>3933376180.74</f>
        <v>3933376180.7399998</v>
      </c>
      <c r="D49" s="23">
        <f>21265.52</f>
        <v>21265.52</v>
      </c>
      <c r="E49" s="23">
        <f>0</f>
        <v>0</v>
      </c>
      <c r="F49" s="23">
        <f>21265.52</f>
        <v>21265.52</v>
      </c>
      <c r="G49" s="23">
        <f>0</f>
        <v>0</v>
      </c>
      <c r="H49" s="23">
        <f>0</f>
        <v>0</v>
      </c>
      <c r="I49" s="23">
        <f>0</f>
        <v>0</v>
      </c>
      <c r="J49" s="23">
        <f>3933316097.91</f>
        <v>3933316097.9099998</v>
      </c>
      <c r="K49" s="23">
        <f>0</f>
        <v>0</v>
      </c>
      <c r="L49" s="23">
        <f>38817.31</f>
        <v>38817.31</v>
      </c>
      <c r="M49" s="23">
        <f>0</f>
        <v>0</v>
      </c>
      <c r="N49" s="23">
        <f>0</f>
        <v>0</v>
      </c>
      <c r="O49" s="23">
        <f>264386.71</f>
        <v>264386.71000000002</v>
      </c>
      <c r="P49" s="23">
        <f>264386.71</f>
        <v>264386.71000000002</v>
      </c>
      <c r="Q49" s="23">
        <f>0</f>
        <v>0</v>
      </c>
    </row>
    <row r="50" spans="1:17" ht="30.75" customHeight="1" x14ac:dyDescent="0.2">
      <c r="A50" s="24" t="s">
        <v>43</v>
      </c>
      <c r="B50" s="22">
        <f>5221210376.78</f>
        <v>5221210376.7799997</v>
      </c>
      <c r="C50" s="22">
        <f>5218812551.97</f>
        <v>5218812551.9700003</v>
      </c>
      <c r="D50" s="22">
        <f>14050966.76</f>
        <v>14050966.76</v>
      </c>
      <c r="E50" s="22">
        <f>73482.81</f>
        <v>73482.81</v>
      </c>
      <c r="F50" s="22">
        <f>113180.72</f>
        <v>113180.72</v>
      </c>
      <c r="G50" s="22">
        <f>13864102.73</f>
        <v>13864102.73</v>
      </c>
      <c r="H50" s="22">
        <f>200.5</f>
        <v>200.5</v>
      </c>
      <c r="I50" s="22">
        <f>0</f>
        <v>0</v>
      </c>
      <c r="J50" s="22">
        <f>92582.77</f>
        <v>92582.77</v>
      </c>
      <c r="K50" s="22">
        <f>15866489.18</f>
        <v>15866489.18</v>
      </c>
      <c r="L50" s="22">
        <f>2249734249.59</f>
        <v>2249734249.5900002</v>
      </c>
      <c r="M50" s="22">
        <f>2909422617.94</f>
        <v>2909422617.9400001</v>
      </c>
      <c r="N50" s="22">
        <f>29645645.73</f>
        <v>29645645.73</v>
      </c>
      <c r="O50" s="22">
        <f>2397824.81</f>
        <v>2397824.81</v>
      </c>
      <c r="P50" s="22">
        <f>1862160.95</f>
        <v>1862160.95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98274472.94</f>
        <v>98274472.939999998</v>
      </c>
      <c r="C51" s="23">
        <f>98267165.32</f>
        <v>98267165.319999993</v>
      </c>
      <c r="D51" s="23">
        <f>812193.49</f>
        <v>812193.49</v>
      </c>
      <c r="E51" s="23">
        <f>0</f>
        <v>0</v>
      </c>
      <c r="F51" s="23">
        <f>3666.25</f>
        <v>3666.25</v>
      </c>
      <c r="G51" s="23">
        <f>808527.24</f>
        <v>808527.24</v>
      </c>
      <c r="H51" s="23">
        <f>0</f>
        <v>0</v>
      </c>
      <c r="I51" s="23">
        <f>0</f>
        <v>0</v>
      </c>
      <c r="J51" s="23">
        <f>998.91</f>
        <v>998.91</v>
      </c>
      <c r="K51" s="23">
        <f>22.5</f>
        <v>22.5</v>
      </c>
      <c r="L51" s="23">
        <f>89268378.18</f>
        <v>89268378.180000007</v>
      </c>
      <c r="M51" s="23">
        <f>7617709.26</f>
        <v>7617709.2599999998</v>
      </c>
      <c r="N51" s="23">
        <f>567862.98</f>
        <v>567862.98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5122935903.84</f>
        <v>5122935903.8400002</v>
      </c>
      <c r="C52" s="23">
        <f>5120545386.65</f>
        <v>5120545386.6499996</v>
      </c>
      <c r="D52" s="23">
        <f>13238773.27</f>
        <v>13238773.27</v>
      </c>
      <c r="E52" s="23">
        <f>73482.81</f>
        <v>73482.81</v>
      </c>
      <c r="F52" s="23">
        <f>109514.47</f>
        <v>109514.47</v>
      </c>
      <c r="G52" s="23">
        <f>13055575.49</f>
        <v>13055575.49</v>
      </c>
      <c r="H52" s="23">
        <f>200.5</f>
        <v>200.5</v>
      </c>
      <c r="I52" s="23">
        <f>0</f>
        <v>0</v>
      </c>
      <c r="J52" s="23">
        <f>91583.86</f>
        <v>91583.86</v>
      </c>
      <c r="K52" s="23">
        <f>15866466.68</f>
        <v>15866466.68</v>
      </c>
      <c r="L52" s="23">
        <f>2160465871.41</f>
        <v>2160465871.4099998</v>
      </c>
      <c r="M52" s="23">
        <f>2901804908.68</f>
        <v>2901804908.6799998</v>
      </c>
      <c r="N52" s="23">
        <f>29077782.75</f>
        <v>29077782.75</v>
      </c>
      <c r="O52" s="23">
        <f>2390517.19</f>
        <v>2390517.19</v>
      </c>
      <c r="P52" s="23">
        <f>1854853.33</f>
        <v>1854853.33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1460549793.97</f>
        <v>1460549793.97</v>
      </c>
      <c r="C53" s="22">
        <f>1452265301.96</f>
        <v>1452265301.96</v>
      </c>
      <c r="D53" s="22">
        <f>248734987.49</f>
        <v>248734987.49000001</v>
      </c>
      <c r="E53" s="22">
        <f>103469595.8</f>
        <v>103469595.8</v>
      </c>
      <c r="F53" s="22">
        <f>3545136.86</f>
        <v>3545136.86</v>
      </c>
      <c r="G53" s="22">
        <f>141335097.98</f>
        <v>141335097.97999999</v>
      </c>
      <c r="H53" s="22">
        <f>385156.85</f>
        <v>385156.85</v>
      </c>
      <c r="I53" s="22">
        <f>0</f>
        <v>0</v>
      </c>
      <c r="J53" s="22">
        <f>686701.33</f>
        <v>686701.33</v>
      </c>
      <c r="K53" s="22">
        <f>1707.41</f>
        <v>1707.41</v>
      </c>
      <c r="L53" s="22">
        <f>984135917.75</f>
        <v>984135917.75</v>
      </c>
      <c r="M53" s="22">
        <f>211947749.78</f>
        <v>211947749.78</v>
      </c>
      <c r="N53" s="22">
        <f>6758238.2</f>
        <v>6758238.2000000002</v>
      </c>
      <c r="O53" s="22">
        <f>8284492.01</f>
        <v>8284492.0099999998</v>
      </c>
      <c r="P53" s="22">
        <f>2060349.47</f>
        <v>2060349.47</v>
      </c>
      <c r="Q53" s="22">
        <f>6224142.54</f>
        <v>6224142.54</v>
      </c>
    </row>
    <row r="54" spans="1:17" ht="30" customHeight="1" x14ac:dyDescent="0.2">
      <c r="A54" s="18" t="s">
        <v>38</v>
      </c>
      <c r="B54" s="23">
        <f>57260474.76</f>
        <v>57260474.759999998</v>
      </c>
      <c r="C54" s="23">
        <f>57182980.36</f>
        <v>57182980.359999999</v>
      </c>
      <c r="D54" s="23">
        <f>3240700.65</f>
        <v>3240700.65</v>
      </c>
      <c r="E54" s="23">
        <f>59096.77</f>
        <v>59096.77</v>
      </c>
      <c r="F54" s="23">
        <f>128660.97</f>
        <v>128660.97</v>
      </c>
      <c r="G54" s="23">
        <f>3052942.91</f>
        <v>3052942.91</v>
      </c>
      <c r="H54" s="23">
        <f>0</f>
        <v>0</v>
      </c>
      <c r="I54" s="23">
        <f>0</f>
        <v>0</v>
      </c>
      <c r="J54" s="23">
        <f>0</f>
        <v>0</v>
      </c>
      <c r="K54" s="23">
        <f>379.07</f>
        <v>379.07</v>
      </c>
      <c r="L54" s="23">
        <f>50512505.83</f>
        <v>50512505.829999998</v>
      </c>
      <c r="M54" s="23">
        <f>2894489.34</f>
        <v>2894489.34</v>
      </c>
      <c r="N54" s="23">
        <f>534905.47</f>
        <v>534905.47</v>
      </c>
      <c r="O54" s="23">
        <f>77494.4</f>
        <v>77494.399999999994</v>
      </c>
      <c r="P54" s="23">
        <f>48861.86</f>
        <v>48861.86</v>
      </c>
      <c r="Q54" s="23">
        <f>28632.54</f>
        <v>28632.54</v>
      </c>
    </row>
    <row r="55" spans="1:17" ht="33" customHeight="1" x14ac:dyDescent="0.2">
      <c r="A55" s="18" t="s">
        <v>80</v>
      </c>
      <c r="B55" s="23">
        <f>0</f>
        <v>0</v>
      </c>
      <c r="C55" s="23">
        <f>0</f>
        <v>0</v>
      </c>
      <c r="D55" s="23">
        <f>0</f>
        <v>0</v>
      </c>
      <c r="E55" s="23">
        <f>0</f>
        <v>0</v>
      </c>
      <c r="F55" s="23">
        <f>0</f>
        <v>0</v>
      </c>
      <c r="G55" s="23">
        <f>0</f>
        <v>0</v>
      </c>
      <c r="H55" s="23">
        <f>0</f>
        <v>0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1403289319.21</f>
        <v>1403289319.21</v>
      </c>
      <c r="C56" s="23">
        <f>1395082321.6</f>
        <v>1395082321.5999999</v>
      </c>
      <c r="D56" s="23">
        <f>245494286.84</f>
        <v>245494286.84</v>
      </c>
      <c r="E56" s="23">
        <f>103410499.03</f>
        <v>103410499.03</v>
      </c>
      <c r="F56" s="23">
        <f>3416475.89</f>
        <v>3416475.89</v>
      </c>
      <c r="G56" s="23">
        <f>138282155.07</f>
        <v>138282155.06999999</v>
      </c>
      <c r="H56" s="23">
        <f>385156.85</f>
        <v>385156.85</v>
      </c>
      <c r="I56" s="23">
        <f>0</f>
        <v>0</v>
      </c>
      <c r="J56" s="23">
        <f>686701.33</f>
        <v>686701.33</v>
      </c>
      <c r="K56" s="23">
        <f>1328.34</f>
        <v>1328.34</v>
      </c>
      <c r="L56" s="23">
        <f>933623411.92</f>
        <v>933623411.91999996</v>
      </c>
      <c r="M56" s="23">
        <f>209053260.44</f>
        <v>209053260.44</v>
      </c>
      <c r="N56" s="23">
        <f>6223332.73</f>
        <v>6223332.7300000004</v>
      </c>
      <c r="O56" s="23">
        <f>8206997.61</f>
        <v>8206997.6100000003</v>
      </c>
      <c r="P56" s="23">
        <f>2011487.61</f>
        <v>2011487.61</v>
      </c>
      <c r="Q56" s="23">
        <f>6195510</f>
        <v>6195510</v>
      </c>
    </row>
    <row r="66" spans="1:13" ht="67.5" customHeight="1" x14ac:dyDescent="0.2">
      <c r="A66" s="37" t="str">
        <f>CONCATENATE("Informacja z wykonania budżetów województw za  ",$C$93," ",$B$94," roku    ",$B$96,"")</f>
        <v xml:space="preserve">Informacja z wykonania budżetów województw za  III Kwartały 2025 roku    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3.5" customHeight="1" x14ac:dyDescent="0.2">
      <c r="B67" s="38" t="s">
        <v>2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9" spans="1:13" ht="13.5" customHeight="1" x14ac:dyDescent="0.2">
      <c r="B69" s="61" t="s">
        <v>0</v>
      </c>
      <c r="C69" s="62"/>
      <c r="D69" s="62"/>
      <c r="E69" s="63"/>
      <c r="F69" s="70" t="s">
        <v>70</v>
      </c>
      <c r="G69" s="27" t="s">
        <v>76</v>
      </c>
      <c r="H69" s="56"/>
      <c r="I69" s="56"/>
      <c r="J69" s="56"/>
      <c r="K69" s="56"/>
      <c r="L69" s="57"/>
    </row>
    <row r="70" spans="1:13" ht="13.5" customHeight="1" x14ac:dyDescent="0.2">
      <c r="B70" s="64"/>
      <c r="C70" s="65"/>
      <c r="D70" s="65"/>
      <c r="E70" s="66"/>
      <c r="F70" s="71"/>
      <c r="G70" s="73" t="s">
        <v>71</v>
      </c>
      <c r="H70" s="26" t="s">
        <v>68</v>
      </c>
      <c r="I70" s="26" t="s">
        <v>69</v>
      </c>
      <c r="J70" s="26" t="s">
        <v>72</v>
      </c>
      <c r="K70" s="26" t="s">
        <v>73</v>
      </c>
      <c r="L70" s="30" t="s">
        <v>74</v>
      </c>
    </row>
    <row r="71" spans="1:13" ht="13.5" customHeight="1" x14ac:dyDescent="0.2">
      <c r="B71" s="64"/>
      <c r="C71" s="65"/>
      <c r="D71" s="65"/>
      <c r="E71" s="66"/>
      <c r="F71" s="71"/>
      <c r="G71" s="73"/>
      <c r="H71" s="26"/>
      <c r="I71" s="26"/>
      <c r="J71" s="26"/>
      <c r="K71" s="26"/>
      <c r="L71" s="30"/>
    </row>
    <row r="72" spans="1:13" ht="11.25" customHeight="1" x14ac:dyDescent="0.2">
      <c r="B72" s="64"/>
      <c r="C72" s="65"/>
      <c r="D72" s="65"/>
      <c r="E72" s="66"/>
      <c r="F72" s="71"/>
      <c r="G72" s="73"/>
      <c r="H72" s="26"/>
      <c r="I72" s="26"/>
      <c r="J72" s="26"/>
      <c r="K72" s="26"/>
      <c r="L72" s="30"/>
    </row>
    <row r="73" spans="1:13" ht="11.25" customHeight="1" x14ac:dyDescent="0.2">
      <c r="B73" s="67"/>
      <c r="C73" s="68"/>
      <c r="D73" s="68"/>
      <c r="E73" s="69"/>
      <c r="F73" s="72"/>
      <c r="G73" s="73"/>
      <c r="H73" s="26"/>
      <c r="I73" s="26"/>
      <c r="J73" s="26"/>
      <c r="K73" s="26"/>
      <c r="L73" s="30"/>
    </row>
    <row r="74" spans="1:13" ht="11.25" customHeight="1" x14ac:dyDescent="0.2">
      <c r="B74" s="26">
        <v>1</v>
      </c>
      <c r="C74" s="26"/>
      <c r="D74" s="26"/>
      <c r="E74" s="26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26"/>
      <c r="C75" s="26"/>
      <c r="D75" s="26"/>
      <c r="E75" s="26"/>
      <c r="F75" s="27" t="s">
        <v>78</v>
      </c>
      <c r="G75" s="28"/>
      <c r="H75" s="28"/>
      <c r="I75" s="28"/>
      <c r="J75" s="28"/>
      <c r="K75" s="28"/>
      <c r="L75" s="29"/>
    </row>
    <row r="76" spans="1:13" ht="33.75" customHeight="1" x14ac:dyDescent="0.2">
      <c r="B76" s="58" t="s">
        <v>55</v>
      </c>
      <c r="C76" s="59"/>
      <c r="D76" s="59"/>
      <c r="E76" s="60"/>
      <c r="F76" s="25">
        <f>1193119869.01</f>
        <v>1193119869.01</v>
      </c>
      <c r="G76" s="25">
        <f>215911848.07</f>
        <v>215911848.06999999</v>
      </c>
      <c r="H76" s="25">
        <f>0</f>
        <v>0</v>
      </c>
      <c r="I76" s="25">
        <f>0</f>
        <v>0</v>
      </c>
      <c r="J76" s="25">
        <f>215911848.07</f>
        <v>215911848.06999999</v>
      </c>
      <c r="K76" s="25">
        <f>0</f>
        <v>0</v>
      </c>
      <c r="L76" s="25">
        <f>977208020.94</f>
        <v>977208020.94000006</v>
      </c>
    </row>
    <row r="77" spans="1:13" ht="33.75" customHeight="1" x14ac:dyDescent="0.2">
      <c r="B77" s="58" t="s">
        <v>56</v>
      </c>
      <c r="C77" s="59"/>
      <c r="D77" s="59"/>
      <c r="E77" s="60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58" t="s">
        <v>57</v>
      </c>
      <c r="C78" s="59"/>
      <c r="D78" s="59"/>
      <c r="E78" s="60"/>
      <c r="F78" s="25">
        <f>303000000</f>
        <v>303000000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303000000</f>
        <v>303000000</v>
      </c>
    </row>
    <row r="79" spans="1:13" ht="22.5" customHeight="1" x14ac:dyDescent="0.2">
      <c r="B79" s="58" t="s">
        <v>58</v>
      </c>
      <c r="C79" s="59"/>
      <c r="D79" s="59"/>
      <c r="E79" s="60"/>
      <c r="F79" s="25">
        <f>13273661.35</f>
        <v>13273661.35</v>
      </c>
      <c r="G79" s="25">
        <f>11773661.41</f>
        <v>11773661.41</v>
      </c>
      <c r="H79" s="25">
        <f>0</f>
        <v>0</v>
      </c>
      <c r="I79" s="25">
        <f>0</f>
        <v>0</v>
      </c>
      <c r="J79" s="25">
        <f>11773661.41</f>
        <v>11773661.41</v>
      </c>
      <c r="K79" s="25">
        <f>0</f>
        <v>0</v>
      </c>
      <c r="L79" s="25">
        <f>1499999.94</f>
        <v>1499999.94</v>
      </c>
    </row>
    <row r="80" spans="1:13" ht="33.75" customHeight="1" x14ac:dyDescent="0.2">
      <c r="B80" s="58" t="s">
        <v>59</v>
      </c>
      <c r="C80" s="59"/>
      <c r="D80" s="59"/>
      <c r="E80" s="60"/>
      <c r="F80" s="25">
        <f>484529.22</f>
        <v>484529.22</v>
      </c>
      <c r="G80" s="25">
        <f>416465.29</f>
        <v>416465.29</v>
      </c>
      <c r="H80" s="25">
        <f>0</f>
        <v>0</v>
      </c>
      <c r="I80" s="25">
        <f>0</f>
        <v>0</v>
      </c>
      <c r="J80" s="25">
        <f>416465.29</f>
        <v>416465.29</v>
      </c>
      <c r="K80" s="25">
        <f>0</f>
        <v>0</v>
      </c>
      <c r="L80" s="25">
        <f>68063.93</f>
        <v>68063.929999999993</v>
      </c>
    </row>
    <row r="81" spans="1:13" ht="33.75" customHeight="1" x14ac:dyDescent="0.2">
      <c r="B81" s="58" t="s">
        <v>60</v>
      </c>
      <c r="C81" s="59"/>
      <c r="D81" s="59"/>
      <c r="E81" s="60"/>
      <c r="F81" s="25">
        <f>13231669.32</f>
        <v>13231669.32</v>
      </c>
      <c r="G81" s="25">
        <f>11731669.38</f>
        <v>11731669.380000001</v>
      </c>
      <c r="H81" s="25">
        <f>0</f>
        <v>0</v>
      </c>
      <c r="I81" s="25">
        <f>0</f>
        <v>0</v>
      </c>
      <c r="J81" s="25">
        <f>11731669.38</f>
        <v>11731669.380000001</v>
      </c>
      <c r="K81" s="25">
        <f>0</f>
        <v>0</v>
      </c>
      <c r="L81" s="25">
        <f>1499999.94</f>
        <v>1499999.94</v>
      </c>
    </row>
    <row r="82" spans="1:13" ht="33" customHeight="1" x14ac:dyDescent="0.2">
      <c r="B82" s="58" t="s">
        <v>61</v>
      </c>
      <c r="C82" s="59"/>
      <c r="D82" s="59"/>
      <c r="E82" s="60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7" t="str">
        <f>CONCATENATE("Informacja z wykonania budżetów województw za  ",$C$93," ",$B$94," roku    ",$B$96,"")</f>
        <v xml:space="preserve">Informacja z wykonania budżetów województw za  III Kwartały 2025 roku    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1:13" ht="13.5" customHeight="1" x14ac:dyDescent="0.2">
      <c r="B86" s="4"/>
    </row>
    <row r="87" spans="1:13" ht="13.5" customHeight="1" x14ac:dyDescent="0.2">
      <c r="B87" s="5"/>
      <c r="C87" s="27"/>
      <c r="D87" s="56"/>
      <c r="E87" s="56"/>
      <c r="F87" s="57"/>
      <c r="G87" s="27" t="s">
        <v>3</v>
      </c>
      <c r="H87" s="57"/>
      <c r="I87" s="27" t="s">
        <v>4</v>
      </c>
      <c r="J87" s="57"/>
      <c r="K87" s="5"/>
    </row>
    <row r="88" spans="1:13" ht="18" customHeight="1" x14ac:dyDescent="0.2">
      <c r="B88" s="6"/>
      <c r="C88" s="58" t="s">
        <v>5</v>
      </c>
      <c r="D88" s="59"/>
      <c r="E88" s="59"/>
      <c r="F88" s="60"/>
      <c r="G88" s="52">
        <f>16</f>
        <v>16</v>
      </c>
      <c r="H88" s="53"/>
      <c r="I88" s="54">
        <f>5915514012.79</f>
        <v>5915514012.79</v>
      </c>
      <c r="J88" s="55"/>
      <c r="K88" s="7"/>
    </row>
    <row r="89" spans="1:13" ht="22.5" customHeight="1" x14ac:dyDescent="0.2">
      <c r="B89" s="6"/>
      <c r="C89" s="58" t="s">
        <v>6</v>
      </c>
      <c r="D89" s="59"/>
      <c r="E89" s="59"/>
      <c r="F89" s="60"/>
      <c r="G89" s="52">
        <f>0</f>
        <v>0</v>
      </c>
      <c r="H89" s="53"/>
      <c r="I89" s="54">
        <f>0</f>
        <v>0</v>
      </c>
      <c r="J89" s="55"/>
      <c r="K89" s="7"/>
    </row>
    <row r="90" spans="1:13" ht="21" customHeight="1" x14ac:dyDescent="0.2">
      <c r="B90" s="6"/>
      <c r="C90" s="58" t="s">
        <v>7</v>
      </c>
      <c r="D90" s="59"/>
      <c r="E90" s="59"/>
      <c r="F90" s="60"/>
      <c r="G90" s="52">
        <f>0</f>
        <v>0</v>
      </c>
      <c r="H90" s="53"/>
      <c r="I90" s="54">
        <f>0</f>
        <v>0</v>
      </c>
      <c r="J90" s="55"/>
      <c r="K90" s="7"/>
    </row>
    <row r="93" spans="1:13" ht="13.5" customHeight="1" x14ac:dyDescent="0.2">
      <c r="A93" s="8" t="s">
        <v>8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9</v>
      </c>
      <c r="B94" s="8">
        <f>2025</f>
        <v>2025</v>
      </c>
      <c r="C94" s="9"/>
    </row>
    <row r="95" spans="1:13" ht="13.5" customHeight="1" x14ac:dyDescent="0.2">
      <c r="A95" s="8" t="s">
        <v>10</v>
      </c>
      <c r="B95" s="10" t="str">
        <f>"Nov 14 2025 12:00AM"</f>
        <v>Nov 14 2025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A33:A37"/>
    <mergeCell ref="C34:C37"/>
    <mergeCell ref="E34:E37"/>
    <mergeCell ref="B33:B37"/>
    <mergeCell ref="B12:Q12"/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J34:J37"/>
    <mergeCell ref="H70:H73"/>
    <mergeCell ref="I70:I73"/>
    <mergeCell ref="J70:J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2025-11-20T08:23:05Z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2025-11-19T09:58:50.8885269+01:00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GRN-e949440d-8f68-40ae-bde1-0f5f42acb21d</vt:lpwstr>
  </property>
  <property fmtid="{D5CDD505-2E9C-101B-9397-08002B2CF9AE}" pid="7" name="MFHash">
    <vt:lpwstr>vUvRas/345m1WjvZcu8AOzujEBCyVc+PhxNbzAeAgFM=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