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<sst xmlns="http://schemas.openxmlformats.org/spreadsheetml/2006/main" count="98" uniqueCount="79">
  <si>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</si>
  <si>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</si>
  <si>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</si>
  <si>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</si>
  <si>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</si>
  <si>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</si>
  <si>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</si>
  <si>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</si>
  <si>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</si>
  <si>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</si>
  <si>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</si>
  <si>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</si>
  <si>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</si>
  <si>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</si>
  <si>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</si>
  <si>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</si>
  <si>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</si>
  <si>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</si>
  <si>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</si>
  <si>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</si>
  <si>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</si>
  <si>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</si>
  <si>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</si>
  <si>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</si>
  <si>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</si>
  <si>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</si>
  <si>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</si>
  <si>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</si>
  <si>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</si>
  <si>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</si>
  <si>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</si>
  <si>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</si>
  <si>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</si>
  <si>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</si>
  <si>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</si>
  <si>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</si>
  <si>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</si>
  <si>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</si>
  <si>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</si>
  <si>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</si>
  <si>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</si>
  <si>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</si>
  <si>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</si>
  <si>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</si>
  <si>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</si>
  <si>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</si>
  <si>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</si>
  <si>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</si>
  <si>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</si>
  <si>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</si>
  <si>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</si>
  <si>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</si>
  <si>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</si>
  <si>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</si>
  <si>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</si>
  <si>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</si>
  <si>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</si>
  <si>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</si>
  <si>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</si>
  <si>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</si>
  <si>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</si>
  <si>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</si>
  <si>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</si>
  <si>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</si>
  <si>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</si>
  <si>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</si>
  <si>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</si>
  <si>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</si>
  <si>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</si>
  <si>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</si>
  <si>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</si>
  <si>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</si>
  <si>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</si>
  <si>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</si>
  <si>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</si>
  <si>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</si>
  <si>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</si>
  <si>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</si>
  <si>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IV Kwartały 2019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</si>
</sst>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6" sqref="A6:A10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6" width="11.875" style="2" customWidth="1"/>
    <col min="7" max="7" width="11.00390625" style="2" customWidth="1"/>
    <col min="8" max="8" width="11.125" style="2" customWidth="1"/>
    <col min="9" max="9" width="12.25390625" style="2" customWidth="1"/>
    <col min="10" max="10" width="13.625" style="2" customWidth="1"/>
    <col min="11" max="11" width="12.125" style="2" customWidth="1"/>
    <col min="12" max="12" width="13.25390625" style="2" customWidth="1"/>
    <col min="13" max="13" width="11.125" style="2" bestFit="1" customWidth="1"/>
    <col min="14" max="14" width="11.25390625" style="2" bestFit="1" customWidth="1"/>
    <col min="15" max="15" width="9.25390625" style="2" bestFit="1" customWidth="1"/>
    <col min="16" max="16" width="7.625" style="2" bestFit="1" customWidth="1"/>
    <col min="17" max="17" width="9.87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32369253074.68</f>
        <v>32369253074.68</v>
      </c>
      <c r="C13" s="27">
        <f>32369252309</f>
        <v>32369252309</v>
      </c>
      <c r="D13" s="27">
        <f>2719943721.91</f>
        <v>2719943721.91</v>
      </c>
      <c r="E13" s="27">
        <f>277792900.93</f>
        <v>277792900.93</v>
      </c>
      <c r="F13" s="27">
        <f>256380501.68</f>
        <v>256380501.68</v>
      </c>
      <c r="G13" s="27">
        <f>2181869783.7</f>
        <v>2181869783.7</v>
      </c>
      <c r="H13" s="27">
        <f>3900535.6</f>
        <v>3900535.6</v>
      </c>
      <c r="I13" s="27">
        <f>0</f>
        <v>0</v>
      </c>
      <c r="J13" s="27">
        <f>28848986806.59</f>
        <v>28848986806.59</v>
      </c>
      <c r="K13" s="27">
        <f>588006227.88</f>
        <v>588006227.88</v>
      </c>
      <c r="L13" s="27">
        <f>170395481.88</f>
        <v>170395481.88</v>
      </c>
      <c r="M13" s="27">
        <f>27323072.82</f>
        <v>27323072.82</v>
      </c>
      <c r="N13" s="27">
        <f>14596997.92</f>
        <v>14596997.92</v>
      </c>
      <c r="O13" s="27">
        <f>765.68</f>
        <v>765.68</v>
      </c>
      <c r="P13" s="27">
        <f>765.68</f>
        <v>765.68</v>
      </c>
      <c r="Q13" s="27">
        <f>0</f>
        <v>0</v>
      </c>
    </row>
    <row r="14" spans="1:17" ht="26.25" customHeight="1">
      <c r="A14" s="28" t="s">
        <v>45</v>
      </c>
      <c r="B14" s="27">
        <f>448047000</f>
        <v>448047000</v>
      </c>
      <c r="C14" s="27">
        <f>448047000</f>
        <v>448047000</v>
      </c>
      <c r="D14" s="27">
        <f>0</f>
        <v>0</v>
      </c>
      <c r="E14" s="27">
        <f>0</f>
        <v>0</v>
      </c>
      <c r="F14" s="27">
        <f>0</f>
        <v>0</v>
      </c>
      <c r="G14" s="27">
        <f>0</f>
        <v>0</v>
      </c>
      <c r="H14" s="27">
        <f>0</f>
        <v>0</v>
      </c>
      <c r="I14" s="27">
        <f>0</f>
        <v>0</v>
      </c>
      <c r="J14" s="27">
        <f>389443000</f>
        <v>389443000</v>
      </c>
      <c r="K14" s="27">
        <f>58264000</f>
        <v>58264000</v>
      </c>
      <c r="L14" s="27">
        <f>340000</f>
        <v>340000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0</f>
        <v>0</v>
      </c>
      <c r="C15" s="32">
        <f>0</f>
        <v>0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0</f>
        <v>0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448047000</f>
        <v>448047000</v>
      </c>
      <c r="C16" s="32">
        <f>448047000</f>
        <v>448047000</v>
      </c>
      <c r="D16" s="32">
        <f>0</f>
        <v>0</v>
      </c>
      <c r="E16" s="32">
        <f>0</f>
        <v>0</v>
      </c>
      <c r="F16" s="32">
        <f>0</f>
        <v>0</v>
      </c>
      <c r="G16" s="32">
        <f>0</f>
        <v>0</v>
      </c>
      <c r="H16" s="32">
        <f>0</f>
        <v>0</v>
      </c>
      <c r="I16" s="32">
        <f>0</f>
        <v>0</v>
      </c>
      <c r="J16" s="32">
        <f>389443000</f>
        <v>389443000</v>
      </c>
      <c r="K16" s="32">
        <f>58264000</f>
        <v>58264000</v>
      </c>
      <c r="L16" s="32">
        <f>340000</f>
        <v>340000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31884942101.8</f>
        <v>31884942101.8</v>
      </c>
      <c r="C17" s="27">
        <f>31884942101.8</f>
        <v>31884942101.8</v>
      </c>
      <c r="D17" s="27">
        <f>2712467225.15</f>
        <v>2712467225.15</v>
      </c>
      <c r="E17" s="27">
        <f>277143564.11</f>
        <v>277143564.11</v>
      </c>
      <c r="F17" s="27">
        <f>256379622.67</f>
        <v>256379622.67</v>
      </c>
      <c r="G17" s="27">
        <f>2176715748.86</f>
        <v>2176715748.86</v>
      </c>
      <c r="H17" s="27">
        <f>2228289.51</f>
        <v>2228289.51</v>
      </c>
      <c r="I17" s="27">
        <f>0</f>
        <v>0</v>
      </c>
      <c r="J17" s="27">
        <f>28459524201.93</f>
        <v>28459524201.93</v>
      </c>
      <c r="K17" s="27">
        <f>529739707.11</f>
        <v>529739707.11</v>
      </c>
      <c r="L17" s="27">
        <f>157078640.04</f>
        <v>157078640.04</v>
      </c>
      <c r="M17" s="27">
        <f>15496441.31</f>
        <v>15496441.31</v>
      </c>
      <c r="N17" s="27">
        <f>10635886.26</f>
        <v>10635886.26</v>
      </c>
      <c r="O17" s="27">
        <f>0</f>
        <v>0</v>
      </c>
      <c r="P17" s="27">
        <f>0</f>
        <v>0</v>
      </c>
      <c r="Q17" s="27">
        <f>0</f>
        <v>0</v>
      </c>
    </row>
    <row r="18" spans="1:17" ht="33" customHeight="1">
      <c r="A18" s="19" t="s">
        <v>49</v>
      </c>
      <c r="B18" s="32">
        <f>163297840.57</f>
        <v>163297840.57</v>
      </c>
      <c r="C18" s="32">
        <f>163297840.57</f>
        <v>163297840.57</v>
      </c>
      <c r="D18" s="32">
        <f>41158463.06</f>
        <v>41158463.06</v>
      </c>
      <c r="E18" s="32">
        <f>24353530.84</f>
        <v>24353530.84</v>
      </c>
      <c r="F18" s="32">
        <f>4098626.23</f>
        <v>4098626.23</v>
      </c>
      <c r="G18" s="32">
        <f>12706305.99</f>
        <v>12706305.99</v>
      </c>
      <c r="H18" s="32">
        <f>0</f>
        <v>0</v>
      </c>
      <c r="I18" s="32">
        <f>0</f>
        <v>0</v>
      </c>
      <c r="J18" s="32">
        <f>105045954.07</f>
        <v>105045954.07</v>
      </c>
      <c r="K18" s="32">
        <f>11873052</f>
        <v>11873052</v>
      </c>
      <c r="L18" s="32">
        <f>1338269.97</f>
        <v>1338269.97</v>
      </c>
      <c r="M18" s="32">
        <f>3514725</f>
        <v>3514725</v>
      </c>
      <c r="N18" s="32">
        <f>367376.47</f>
        <v>367376.47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31721644261.23</f>
        <v>31721644261.23</v>
      </c>
      <c r="C19" s="32">
        <f>31721644261.23</f>
        <v>31721644261.23</v>
      </c>
      <c r="D19" s="32">
        <f>2671308762.09</f>
        <v>2671308762.09</v>
      </c>
      <c r="E19" s="32">
        <f>252790033.27</f>
        <v>252790033.27</v>
      </c>
      <c r="F19" s="32">
        <f>252280996.44</f>
        <v>252280996.44</v>
      </c>
      <c r="G19" s="32">
        <f>2164009442.87</f>
        <v>2164009442.87</v>
      </c>
      <c r="H19" s="32">
        <f>2228289.51</f>
        <v>2228289.51</v>
      </c>
      <c r="I19" s="32">
        <f>0</f>
        <v>0</v>
      </c>
      <c r="J19" s="32">
        <f>28354478247.86</f>
        <v>28354478247.86</v>
      </c>
      <c r="K19" s="32">
        <f>517866655.11</f>
        <v>517866655.11</v>
      </c>
      <c r="L19" s="32">
        <f>155740370.07</f>
        <v>155740370.07</v>
      </c>
      <c r="M19" s="32">
        <f>11981716.31</f>
        <v>11981716.31</v>
      </c>
      <c r="N19" s="32">
        <f>10268509.79</f>
        <v>10268509.79</v>
      </c>
      <c r="O19" s="32">
        <f>0</f>
        <v>0</v>
      </c>
      <c r="P19" s="32">
        <f>0</f>
        <v>0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36263972.88</f>
        <v>36263972.88</v>
      </c>
      <c r="C21" s="27">
        <f>36263207.2</f>
        <v>36263207.2</v>
      </c>
      <c r="D21" s="27">
        <f>7476496.76</f>
        <v>7476496.76</v>
      </c>
      <c r="E21" s="27">
        <f>649336.82</f>
        <v>649336.82</v>
      </c>
      <c r="F21" s="27">
        <f>879.01</f>
        <v>879.01</v>
      </c>
      <c r="G21" s="27">
        <f>5154034.84</f>
        <v>5154034.84</v>
      </c>
      <c r="H21" s="27">
        <f>1672246.09</f>
        <v>1672246.09</v>
      </c>
      <c r="I21" s="27">
        <f>0</f>
        <v>0</v>
      </c>
      <c r="J21" s="27">
        <f>19604.66</f>
        <v>19604.66</v>
      </c>
      <c r="K21" s="27">
        <f>2520.77</f>
        <v>2520.77</v>
      </c>
      <c r="L21" s="27">
        <f>12976841.84</f>
        <v>12976841.84</v>
      </c>
      <c r="M21" s="27">
        <f>11826631.51</f>
        <v>11826631.51</v>
      </c>
      <c r="N21" s="27">
        <f>3961111.66</f>
        <v>3961111.66</v>
      </c>
      <c r="O21" s="27">
        <f>765.68</f>
        <v>765.68</v>
      </c>
      <c r="P21" s="27">
        <f>765.68</f>
        <v>765.68</v>
      </c>
      <c r="Q21" s="27">
        <f>0</f>
        <v>0</v>
      </c>
    </row>
    <row r="22" spans="1:17" ht="27" customHeight="1">
      <c r="A22" s="18" t="s">
        <v>53</v>
      </c>
      <c r="B22" s="32">
        <f>24952149.59</f>
        <v>24952149.59</v>
      </c>
      <c r="C22" s="32">
        <f>24952149.59</f>
        <v>24952149.59</v>
      </c>
      <c r="D22" s="32">
        <f>1119304.49</f>
        <v>1119304.49</v>
      </c>
      <c r="E22" s="32">
        <f>317677.18</f>
        <v>317677.18</v>
      </c>
      <c r="F22" s="32">
        <f>118.62</f>
        <v>118.62</v>
      </c>
      <c r="G22" s="32">
        <f>801313.12</f>
        <v>801313.12</v>
      </c>
      <c r="H22" s="32">
        <f>195.57</f>
        <v>195.57</v>
      </c>
      <c r="I22" s="32">
        <f>0</f>
        <v>0</v>
      </c>
      <c r="J22" s="32">
        <f>0</f>
        <v>0</v>
      </c>
      <c r="K22" s="32">
        <f>2520.77</f>
        <v>2520.77</v>
      </c>
      <c r="L22" s="32">
        <f>11795567.04</f>
        <v>11795567.04</v>
      </c>
      <c r="M22" s="32">
        <f>8168504.4</f>
        <v>8168504.4</v>
      </c>
      <c r="N22" s="32">
        <f>3866252.89</f>
        <v>3866252.89</v>
      </c>
      <c r="O22" s="32">
        <f>0</f>
        <v>0</v>
      </c>
      <c r="P22" s="32">
        <f>0</f>
        <v>0</v>
      </c>
      <c r="Q22" s="32">
        <f>0</f>
        <v>0</v>
      </c>
    </row>
    <row r="23" spans="1:17" ht="31.5" customHeight="1">
      <c r="A23" s="24" t="s">
        <v>54</v>
      </c>
      <c r="B23" s="32">
        <f>11311823.29</f>
        <v>11311823.29</v>
      </c>
      <c r="C23" s="32">
        <f>11311057.61</f>
        <v>11311057.61</v>
      </c>
      <c r="D23" s="32">
        <f>6357192.27</f>
        <v>6357192.27</v>
      </c>
      <c r="E23" s="32">
        <f>331659.64</f>
        <v>331659.64</v>
      </c>
      <c r="F23" s="32">
        <f>760.39</f>
        <v>760.39</v>
      </c>
      <c r="G23" s="32">
        <f>4352721.72</f>
        <v>4352721.72</v>
      </c>
      <c r="H23" s="32">
        <f>1672050.52</f>
        <v>1672050.52</v>
      </c>
      <c r="I23" s="32">
        <f>0</f>
        <v>0</v>
      </c>
      <c r="J23" s="32">
        <f>19604.66</f>
        <v>19604.66</v>
      </c>
      <c r="K23" s="32">
        <f>0</f>
        <v>0</v>
      </c>
      <c r="L23" s="32">
        <f>1181274.8</f>
        <v>1181274.8</v>
      </c>
      <c r="M23" s="32">
        <f>3658127.11</f>
        <v>3658127.11</v>
      </c>
      <c r="N23" s="32">
        <f>94858.77</f>
        <v>94858.77</v>
      </c>
      <c r="O23" s="32">
        <f>765.68</f>
        <v>765.68</v>
      </c>
      <c r="P23" s="32">
        <f>765.68</f>
        <v>765.68</v>
      </c>
      <c r="Q23" s="32">
        <f>0</f>
        <v>0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3303412.6</f>
        <v>3303412.6</v>
      </c>
      <c r="C45" s="34">
        <f>3303412.6</f>
        <v>3303412.6</v>
      </c>
      <c r="D45" s="34">
        <f>0</f>
        <v>0</v>
      </c>
      <c r="E45" s="34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143852.6</f>
        <v>143852.6</v>
      </c>
      <c r="K45" s="34">
        <f>3024560</f>
        <v>3024560</v>
      </c>
      <c r="L45" s="34">
        <f>135000</f>
        <v>135000</v>
      </c>
      <c r="M45" s="34">
        <f>0</f>
        <v>0</v>
      </c>
      <c r="N45" s="34">
        <f>0</f>
        <v>0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6000</f>
        <v>6000</v>
      </c>
      <c r="C46" s="25">
        <f>6000</f>
        <v>6000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6000</f>
        <v>6000</v>
      </c>
      <c r="K46" s="25">
        <f>0</f>
        <v>0</v>
      </c>
      <c r="L46" s="25">
        <f>0</f>
        <v>0</v>
      </c>
      <c r="M46" s="25">
        <f>0</f>
        <v>0</v>
      </c>
      <c r="N46" s="25">
        <f>0</f>
        <v>0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3297412.6</f>
        <v>3297412.6</v>
      </c>
      <c r="C47" s="25">
        <f>3297412.6</f>
        <v>3297412.6</v>
      </c>
      <c r="D47" s="25">
        <f>0</f>
        <v>0</v>
      </c>
      <c r="E47" s="25">
        <f>0</f>
        <v>0</v>
      </c>
      <c r="F47" s="25">
        <f>0</f>
        <v>0</v>
      </c>
      <c r="G47" s="25">
        <f>0</f>
        <v>0</v>
      </c>
      <c r="H47" s="25">
        <f>0</f>
        <v>0</v>
      </c>
      <c r="I47" s="25">
        <f>0</f>
        <v>0</v>
      </c>
      <c r="J47" s="25">
        <f>137852.6</f>
        <v>137852.6</v>
      </c>
      <c r="K47" s="25">
        <f>3024560</f>
        <v>3024560</v>
      </c>
      <c r="L47" s="25">
        <f>135000</f>
        <v>135000</v>
      </c>
      <c r="M47" s="25">
        <f>0</f>
        <v>0</v>
      </c>
      <c r="N47" s="25">
        <f>0</f>
        <v>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366125779.81</f>
        <v>366125779.81</v>
      </c>
      <c r="C48" s="25">
        <f>365994468</f>
        <v>365994468</v>
      </c>
      <c r="D48" s="25">
        <f>13186542.45</f>
        <v>13186542.45</v>
      </c>
      <c r="E48" s="25">
        <f>158137.4</f>
        <v>158137.4</v>
      </c>
      <c r="F48" s="25">
        <f>869943.88</f>
        <v>869943.88</v>
      </c>
      <c r="G48" s="25">
        <f>12130899.65</f>
        <v>12130899.65</v>
      </c>
      <c r="H48" s="25">
        <f>27561.52</f>
        <v>27561.52</v>
      </c>
      <c r="I48" s="25">
        <f>0</f>
        <v>0</v>
      </c>
      <c r="J48" s="25">
        <f>1264640.93</f>
        <v>1264640.93</v>
      </c>
      <c r="K48" s="25">
        <f>0</f>
        <v>0</v>
      </c>
      <c r="L48" s="25">
        <f>116417032.15</f>
        <v>116417032.15</v>
      </c>
      <c r="M48" s="25">
        <f>203316118.55</f>
        <v>203316118.55</v>
      </c>
      <c r="N48" s="25">
        <f>31810133.92</f>
        <v>31810133.92</v>
      </c>
      <c r="O48" s="14">
        <f>131311.81</f>
        <v>131311.81</v>
      </c>
      <c r="P48" s="14">
        <f>6311.81</f>
        <v>6311.81</v>
      </c>
      <c r="Q48" s="14">
        <f>125000</f>
        <v>125000</v>
      </c>
    </row>
    <row r="49" spans="1:17" ht="24.75" customHeight="1">
      <c r="A49" s="22" t="s">
        <v>29</v>
      </c>
      <c r="B49" s="25">
        <f>20665593.64</f>
        <v>20665593.64</v>
      </c>
      <c r="C49" s="25">
        <f>20540593.64</f>
        <v>20540593.64</v>
      </c>
      <c r="D49" s="25">
        <f>1112220.18</f>
        <v>1112220.18</v>
      </c>
      <c r="E49" s="25">
        <f>51</f>
        <v>51</v>
      </c>
      <c r="F49" s="25">
        <f>0</f>
        <v>0</v>
      </c>
      <c r="G49" s="25">
        <f>1112169.18</f>
        <v>1112169.18</v>
      </c>
      <c r="H49" s="25">
        <f>0</f>
        <v>0</v>
      </c>
      <c r="I49" s="25">
        <f>0</f>
        <v>0</v>
      </c>
      <c r="J49" s="25">
        <f>0</f>
        <v>0</v>
      </c>
      <c r="K49" s="25">
        <f>0</f>
        <v>0</v>
      </c>
      <c r="L49" s="25">
        <f>6608484.68</f>
        <v>6608484.68</v>
      </c>
      <c r="M49" s="25">
        <f>2244388.89</f>
        <v>2244388.89</v>
      </c>
      <c r="N49" s="25">
        <f>10575499.89</f>
        <v>10575499.89</v>
      </c>
      <c r="O49" s="14">
        <f>125000</f>
        <v>125000</v>
      </c>
      <c r="P49" s="14">
        <f>0</f>
        <v>0</v>
      </c>
      <c r="Q49" s="14">
        <f>125000</f>
        <v>125000</v>
      </c>
    </row>
    <row r="50" spans="1:17" ht="24.75" customHeight="1">
      <c r="A50" s="22" t="s">
        <v>30</v>
      </c>
      <c r="B50" s="25">
        <f>345460186.17</f>
        <v>345460186.17</v>
      </c>
      <c r="C50" s="25">
        <f>345453874.36</f>
        <v>345453874.36</v>
      </c>
      <c r="D50" s="25">
        <f>12074322.27</f>
        <v>12074322.27</v>
      </c>
      <c r="E50" s="25">
        <f>158086.4</f>
        <v>158086.4</v>
      </c>
      <c r="F50" s="25">
        <f>869943.88</f>
        <v>869943.88</v>
      </c>
      <c r="G50" s="25">
        <f>11018730.47</f>
        <v>11018730.47</v>
      </c>
      <c r="H50" s="25">
        <f>27561.52</f>
        <v>27561.52</v>
      </c>
      <c r="I50" s="25">
        <f>0</f>
        <v>0</v>
      </c>
      <c r="J50" s="25">
        <f>1264640.93</f>
        <v>1264640.93</v>
      </c>
      <c r="K50" s="25">
        <f>0</f>
        <v>0</v>
      </c>
      <c r="L50" s="25">
        <f>109808547.47</f>
        <v>109808547.47</v>
      </c>
      <c r="M50" s="25">
        <f>201071729.66</f>
        <v>201071729.66</v>
      </c>
      <c r="N50" s="25">
        <f>21234634.03</f>
        <v>21234634.03</v>
      </c>
      <c r="O50" s="14">
        <f>6311.81</f>
        <v>6311.81</v>
      </c>
      <c r="P50" s="14">
        <f>6311.81</f>
        <v>6311.81</v>
      </c>
      <c r="Q50" s="14">
        <f>0</f>
        <v>0</v>
      </c>
    </row>
    <row r="51" spans="1:17" ht="24.75" customHeight="1">
      <c r="A51" s="33" t="s">
        <v>41</v>
      </c>
      <c r="B51" s="34">
        <f>11181468926.23</f>
        <v>11181468926.23</v>
      </c>
      <c r="C51" s="34">
        <f>11181468926.23</f>
        <v>11181468926.23</v>
      </c>
      <c r="D51" s="34">
        <f>12780258.5</f>
        <v>12780258.5</v>
      </c>
      <c r="E51" s="34">
        <f>11729409.77</f>
        <v>11729409.77</v>
      </c>
      <c r="F51" s="34">
        <f>12114.58</f>
        <v>12114.58</v>
      </c>
      <c r="G51" s="34">
        <f>1038547.49</f>
        <v>1038547.49</v>
      </c>
      <c r="H51" s="34">
        <f>186.66</f>
        <v>186.66</v>
      </c>
      <c r="I51" s="34">
        <f>0</f>
        <v>0</v>
      </c>
      <c r="J51" s="34">
        <f>11166500775.37</f>
        <v>11166500775.37</v>
      </c>
      <c r="K51" s="34">
        <f>2506.32</f>
        <v>2506.32</v>
      </c>
      <c r="L51" s="34">
        <f>2075942.58</f>
        <v>2075942.58</v>
      </c>
      <c r="M51" s="34">
        <f>109443.46</f>
        <v>109443.46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1002410.24</f>
        <v>1002410.24</v>
      </c>
      <c r="C52" s="25">
        <f>1002410.24</f>
        <v>1002410.24</v>
      </c>
      <c r="D52" s="25">
        <f>1002410.24</f>
        <v>1002410.24</v>
      </c>
      <c r="E52" s="25">
        <f>0</f>
        <v>0</v>
      </c>
      <c r="F52" s="25">
        <f>0</f>
        <v>0</v>
      </c>
      <c r="G52" s="25">
        <f>1002410.24</f>
        <v>1002410.24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10122208507.48</f>
        <v>10122208507.48</v>
      </c>
      <c r="C53" s="25">
        <f>10122208507.48</f>
        <v>10122208507.48</v>
      </c>
      <c r="D53" s="25">
        <f>11563442.55</f>
        <v>11563442.55</v>
      </c>
      <c r="E53" s="25">
        <f>11530892.6</f>
        <v>11530892.6</v>
      </c>
      <c r="F53" s="25">
        <f>6490</f>
        <v>6490</v>
      </c>
      <c r="G53" s="25">
        <f>25873.29</f>
        <v>25873.29</v>
      </c>
      <c r="H53" s="25">
        <f>186.66</f>
        <v>186.66</v>
      </c>
      <c r="I53" s="25">
        <f>0</f>
        <v>0</v>
      </c>
      <c r="J53" s="25">
        <f>10108854964.9</f>
        <v>10108854964.9</v>
      </c>
      <c r="K53" s="25">
        <f>0</f>
        <v>0</v>
      </c>
      <c r="L53" s="25">
        <f>1788100.03</f>
        <v>1788100.03</v>
      </c>
      <c r="M53" s="25">
        <f>2000</f>
        <v>2000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1058258008.51</f>
        <v>1058258008.51</v>
      </c>
      <c r="C54" s="25">
        <f>1058258008.51</f>
        <v>1058258008.51</v>
      </c>
      <c r="D54" s="25">
        <f>214405.71</f>
        <v>214405.71</v>
      </c>
      <c r="E54" s="25">
        <f>198517.17</f>
        <v>198517.17</v>
      </c>
      <c r="F54" s="25">
        <f>5624.58</f>
        <v>5624.58</v>
      </c>
      <c r="G54" s="25">
        <f>10263.96</f>
        <v>10263.96</v>
      </c>
      <c r="H54" s="25">
        <f>0</f>
        <v>0</v>
      </c>
      <c r="I54" s="25">
        <f>0</f>
        <v>0</v>
      </c>
      <c r="J54" s="25">
        <f>1057645810.47</f>
        <v>1057645810.47</v>
      </c>
      <c r="K54" s="25">
        <f>2506.32</f>
        <v>2506.32</v>
      </c>
      <c r="L54" s="25">
        <f>287842.55</f>
        <v>287842.55</v>
      </c>
      <c r="M54" s="25">
        <f>107443.46</f>
        <v>107443.46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8673125990.34</f>
        <v>8673125990.34</v>
      </c>
      <c r="C55" s="34">
        <f>8652128546.65</f>
        <v>8652128546.65</v>
      </c>
      <c r="D55" s="34">
        <f>141501923.24</f>
        <v>141501923.24</v>
      </c>
      <c r="E55" s="34">
        <f>97654528.84</f>
        <v>97654528.84</v>
      </c>
      <c r="F55" s="34">
        <f>2734978.34</f>
        <v>2734978.34</v>
      </c>
      <c r="G55" s="34">
        <f>40697504.23</f>
        <v>40697504.23</v>
      </c>
      <c r="H55" s="34">
        <f>414911.83</f>
        <v>414911.83</v>
      </c>
      <c r="I55" s="34">
        <f>0</f>
        <v>0</v>
      </c>
      <c r="J55" s="34">
        <f>9041906.27</f>
        <v>9041906.27</v>
      </c>
      <c r="K55" s="34">
        <f>33625545.34</f>
        <v>33625545.34</v>
      </c>
      <c r="L55" s="34">
        <f>1845438596.56</f>
        <v>1845438596.56</v>
      </c>
      <c r="M55" s="34">
        <f>6592208860.32</f>
        <v>6592208860.32</v>
      </c>
      <c r="N55" s="34">
        <f>30311714.92</f>
        <v>30311714.92</v>
      </c>
      <c r="O55" s="34">
        <f>20997443.69</f>
        <v>20997443.69</v>
      </c>
      <c r="P55" s="34">
        <f>14537286.24</f>
        <v>14537286.24</v>
      </c>
      <c r="Q55" s="34">
        <f>6460157.45</f>
        <v>6460157.45</v>
      </c>
    </row>
    <row r="56" spans="1:17" ht="24.75" customHeight="1">
      <c r="A56" s="21" t="s">
        <v>34</v>
      </c>
      <c r="B56" s="25">
        <f>1071377224.87</f>
        <v>1071377224.87</v>
      </c>
      <c r="C56" s="25">
        <f>1071164516.87</f>
        <v>1071164516.87</v>
      </c>
      <c r="D56" s="25">
        <f>4700281.42</f>
        <v>4700281.42</v>
      </c>
      <c r="E56" s="25">
        <f>2121086.76</f>
        <v>2121086.76</v>
      </c>
      <c r="F56" s="25">
        <f>160439.18</f>
        <v>160439.18</v>
      </c>
      <c r="G56" s="25">
        <f>2093098.78</f>
        <v>2093098.78</v>
      </c>
      <c r="H56" s="25">
        <f>325656.7</f>
        <v>325656.7</v>
      </c>
      <c r="I56" s="25">
        <f>0</f>
        <v>0</v>
      </c>
      <c r="J56" s="25">
        <f>453313.03</f>
        <v>453313.03</v>
      </c>
      <c r="K56" s="25">
        <f>4618979.42</f>
        <v>4618979.42</v>
      </c>
      <c r="L56" s="25">
        <f>154848430.6</f>
        <v>154848430.6</v>
      </c>
      <c r="M56" s="25">
        <f>900523511.63</f>
        <v>900523511.63</v>
      </c>
      <c r="N56" s="25">
        <f>6020000.77</f>
        <v>6020000.77</v>
      </c>
      <c r="O56" s="14">
        <f>212708</f>
        <v>212708</v>
      </c>
      <c r="P56" s="14">
        <f>123494.4</f>
        <v>123494.4</v>
      </c>
      <c r="Q56" s="14">
        <f>89213.6</f>
        <v>89213.6</v>
      </c>
    </row>
    <row r="57" spans="1:17" ht="24.75" customHeight="1">
      <c r="A57" s="22" t="s">
        <v>35</v>
      </c>
      <c r="B57" s="25">
        <f>7601748765.47</f>
        <v>7601748765.47</v>
      </c>
      <c r="C57" s="25">
        <f>7580964029.78</f>
        <v>7580964029.78</v>
      </c>
      <c r="D57" s="25">
        <f>136801641.82</f>
        <v>136801641.82</v>
      </c>
      <c r="E57" s="25">
        <f>95533442.08</f>
        <v>95533442.08</v>
      </c>
      <c r="F57" s="25">
        <f>2574539.16</f>
        <v>2574539.16</v>
      </c>
      <c r="G57" s="25">
        <f>38604405.45</f>
        <v>38604405.45</v>
      </c>
      <c r="H57" s="25">
        <f>89255.13</f>
        <v>89255.13</v>
      </c>
      <c r="I57" s="25">
        <f>0</f>
        <v>0</v>
      </c>
      <c r="J57" s="25">
        <f>8588593.24</f>
        <v>8588593.24</v>
      </c>
      <c r="K57" s="25">
        <f>29006565.92</f>
        <v>29006565.92</v>
      </c>
      <c r="L57" s="25">
        <f>1690590165.96</f>
        <v>1690590165.96</v>
      </c>
      <c r="M57" s="25">
        <f>5691685348.69</f>
        <v>5691685348.69</v>
      </c>
      <c r="N57" s="25">
        <f>24291714.15</f>
        <v>24291714.15</v>
      </c>
      <c r="O57" s="14">
        <f>20784735.69</f>
        <v>20784735.69</v>
      </c>
      <c r="P57" s="14">
        <f>14413791.84</f>
        <v>14413791.84</v>
      </c>
      <c r="Q57" s="14">
        <f>6370943.85</f>
        <v>6370943.85</v>
      </c>
    </row>
    <row r="58" spans="1:17" ht="24.75" customHeight="1">
      <c r="A58" s="33" t="s">
        <v>43</v>
      </c>
      <c r="B58" s="34">
        <f>1793065341.64</f>
        <v>1793065341.64</v>
      </c>
      <c r="C58" s="34">
        <f>1792999586.86</f>
        <v>1792999586.86</v>
      </c>
      <c r="D58" s="34">
        <f>332758593.58</f>
        <v>332758593.58</v>
      </c>
      <c r="E58" s="34">
        <f>233402074.32</f>
        <v>233402074.32</v>
      </c>
      <c r="F58" s="34">
        <f>7875750</f>
        <v>7875750</v>
      </c>
      <c r="G58" s="34">
        <f>88720165.44</f>
        <v>88720165.44</v>
      </c>
      <c r="H58" s="34">
        <f>2760603.82</f>
        <v>2760603.82</v>
      </c>
      <c r="I58" s="34">
        <f>0</f>
        <v>0</v>
      </c>
      <c r="J58" s="34">
        <f>776964.86</f>
        <v>776964.86</v>
      </c>
      <c r="K58" s="34">
        <f>9907503.92</f>
        <v>9907503.92</v>
      </c>
      <c r="L58" s="34">
        <f>759115752.5</f>
        <v>759115752.5</v>
      </c>
      <c r="M58" s="34">
        <f>666696130.19</f>
        <v>666696130.19</v>
      </c>
      <c r="N58" s="34">
        <f>23744641.81</f>
        <v>23744641.81</v>
      </c>
      <c r="O58" s="34">
        <f>65754.78</f>
        <v>65754.78</v>
      </c>
      <c r="P58" s="34">
        <f>5655.66</f>
        <v>5655.66</v>
      </c>
      <c r="Q58" s="34">
        <f>60099.12</f>
        <v>60099.12</v>
      </c>
    </row>
    <row r="59" spans="1:17" ht="30" customHeight="1">
      <c r="A59" s="21" t="s">
        <v>36</v>
      </c>
      <c r="B59" s="25">
        <f>406150201.34</f>
        <v>406150201.34</v>
      </c>
      <c r="C59" s="25">
        <f>406136698.05</f>
        <v>406136698.05</v>
      </c>
      <c r="D59" s="25">
        <f>23461770.79</f>
        <v>23461770.79</v>
      </c>
      <c r="E59" s="25">
        <f>4921345.57</f>
        <v>4921345.57</v>
      </c>
      <c r="F59" s="25">
        <f>461871.55</f>
        <v>461871.55</v>
      </c>
      <c r="G59" s="25">
        <f>17590460.06</f>
        <v>17590460.06</v>
      </c>
      <c r="H59" s="25">
        <f>488093.61</f>
        <v>488093.61</v>
      </c>
      <c r="I59" s="25">
        <f>0</f>
        <v>0</v>
      </c>
      <c r="J59" s="25">
        <f>174128.84</f>
        <v>174128.84</v>
      </c>
      <c r="K59" s="25">
        <f>2645024.12</f>
        <v>2645024.12</v>
      </c>
      <c r="L59" s="25">
        <f>126168788.78</f>
        <v>126168788.78</v>
      </c>
      <c r="M59" s="25">
        <f>249985461.88</f>
        <v>249985461.88</v>
      </c>
      <c r="N59" s="25">
        <f>3701523.64</f>
        <v>3701523.64</v>
      </c>
      <c r="O59" s="14">
        <f>13503.29</f>
        <v>13503.29</v>
      </c>
      <c r="P59" s="14">
        <f>4000.28</f>
        <v>4000.28</v>
      </c>
      <c r="Q59" s="14">
        <f>9503.01</f>
        <v>9503.01</v>
      </c>
    </row>
    <row r="60" spans="1:17" ht="36">
      <c r="A60" s="21" t="s">
        <v>37</v>
      </c>
      <c r="B60" s="25">
        <f>339374920.69</f>
        <v>339374920.69</v>
      </c>
      <c r="C60" s="25">
        <f>339353955.17</f>
        <v>339353955.17</v>
      </c>
      <c r="D60" s="25">
        <f>127877872.97</f>
        <v>127877872.97</v>
      </c>
      <c r="E60" s="25">
        <f>117823182.8</f>
        <v>117823182.8</v>
      </c>
      <c r="F60" s="25">
        <f>759121.87</f>
        <v>759121.87</v>
      </c>
      <c r="G60" s="25">
        <f>8545138.79</f>
        <v>8545138.79</v>
      </c>
      <c r="H60" s="25">
        <f>750429.51</f>
        <v>750429.51</v>
      </c>
      <c r="I60" s="25">
        <f>0</f>
        <v>0</v>
      </c>
      <c r="J60" s="25">
        <f>46246.96</f>
        <v>46246.96</v>
      </c>
      <c r="K60" s="25">
        <f>4121943.44</f>
        <v>4121943.44</v>
      </c>
      <c r="L60" s="25">
        <f>117820140.27</f>
        <v>117820140.27</v>
      </c>
      <c r="M60" s="25">
        <f>88724566.8</f>
        <v>88724566.8</v>
      </c>
      <c r="N60" s="25">
        <f>763184.73</f>
        <v>763184.73</v>
      </c>
      <c r="O60" s="14">
        <f>20965.52</f>
        <v>20965.52</v>
      </c>
      <c r="P60" s="14">
        <f>446.04</f>
        <v>446.04</v>
      </c>
      <c r="Q60" s="14">
        <f>20519.48</f>
        <v>20519.48</v>
      </c>
    </row>
    <row r="61" spans="1:17" ht="30.75" customHeight="1">
      <c r="A61" s="21" t="s">
        <v>38</v>
      </c>
      <c r="B61" s="25">
        <f>1047540219.61</f>
        <v>1047540219.61</v>
      </c>
      <c r="C61" s="25">
        <f>1047508933.64</f>
        <v>1047508933.64</v>
      </c>
      <c r="D61" s="25">
        <f>181418949.82</f>
        <v>181418949.82</v>
      </c>
      <c r="E61" s="25">
        <f>110657545.95</f>
        <v>110657545.95</v>
      </c>
      <c r="F61" s="25">
        <f>6654756.58</f>
        <v>6654756.58</v>
      </c>
      <c r="G61" s="25">
        <f>62584566.59</f>
        <v>62584566.59</v>
      </c>
      <c r="H61" s="25">
        <f>1522080.7</f>
        <v>1522080.7</v>
      </c>
      <c r="I61" s="25">
        <f>0</f>
        <v>0</v>
      </c>
      <c r="J61" s="25">
        <f>556589.06</f>
        <v>556589.06</v>
      </c>
      <c r="K61" s="25">
        <f>3140536.36</f>
        <v>3140536.36</v>
      </c>
      <c r="L61" s="25">
        <f>515126823.45</f>
        <v>515126823.45</v>
      </c>
      <c r="M61" s="25">
        <f>327986101.51</f>
        <v>327986101.51</v>
      </c>
      <c r="N61" s="25">
        <f>19279933.44</f>
        <v>19279933.44</v>
      </c>
      <c r="O61" s="14">
        <f>31285.97</f>
        <v>31285.97</v>
      </c>
      <c r="P61" s="14">
        <f>1209.34</f>
        <v>1209.34</v>
      </c>
      <c r="Q61" s="14">
        <f>30076.63</f>
        <v>30076.63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1093646576.41</f>
        <v>1093646576.41</v>
      </c>
      <c r="G88" s="32">
        <f>387677352.96</f>
        <v>387677352.96</v>
      </c>
      <c r="H88" s="32">
        <f>33506476.38</f>
        <v>33506476.38</v>
      </c>
      <c r="I88" s="32">
        <f>144716271.65</f>
        <v>144716271.65</v>
      </c>
      <c r="J88" s="32">
        <f>207069247.97</f>
        <v>207069247.97</v>
      </c>
      <c r="K88" s="32">
        <f>2385356.96</f>
        <v>2385356.96</v>
      </c>
      <c r="L88" s="32">
        <f>705969223.45</f>
        <v>705969223.45</v>
      </c>
    </row>
    <row r="89" spans="2:12" ht="33.75" customHeight="1">
      <c r="B89" s="72" t="s">
        <v>56</v>
      </c>
      <c r="C89" s="73"/>
      <c r="D89" s="73"/>
      <c r="E89" s="74"/>
      <c r="F89" s="32">
        <f>1860668.57</f>
        <v>1860668.57</v>
      </c>
      <c r="G89" s="32">
        <f>1826005.57</f>
        <v>1826005.57</v>
      </c>
      <c r="H89" s="32">
        <f>467445.57</f>
        <v>467445.57</v>
      </c>
      <c r="I89" s="32">
        <f>0</f>
        <v>0</v>
      </c>
      <c r="J89" s="32">
        <f>1358560</f>
        <v>1358560</v>
      </c>
      <c r="K89" s="32">
        <f>0</f>
        <v>0</v>
      </c>
      <c r="L89" s="32">
        <f>34663</f>
        <v>34663</v>
      </c>
    </row>
    <row r="90" spans="2:12" ht="33.75" customHeight="1">
      <c r="B90" s="72" t="s">
        <v>57</v>
      </c>
      <c r="C90" s="73"/>
      <c r="D90" s="73"/>
      <c r="E90" s="74"/>
      <c r="F90" s="32">
        <f>144387545.76</f>
        <v>144387545.76</v>
      </c>
      <c r="G90" s="32">
        <f>88851562.23</f>
        <v>88851562.23</v>
      </c>
      <c r="H90" s="32">
        <f>1083888.66</f>
        <v>1083888.66</v>
      </c>
      <c r="I90" s="32">
        <f>39305040</f>
        <v>39305040</v>
      </c>
      <c r="J90" s="32">
        <f>48432782.22</f>
        <v>48432782.22</v>
      </c>
      <c r="K90" s="32">
        <f>29851.35</f>
        <v>29851.35</v>
      </c>
      <c r="L90" s="32">
        <f>55535983.53</f>
        <v>55535983.53</v>
      </c>
    </row>
    <row r="91" spans="2:12" ht="22.5" customHeight="1">
      <c r="B91" s="72" t="s">
        <v>58</v>
      </c>
      <c r="C91" s="73"/>
      <c r="D91" s="73"/>
      <c r="E91" s="74"/>
      <c r="F91" s="32">
        <f>16610048.72</f>
        <v>16610048.72</v>
      </c>
      <c r="G91" s="32">
        <f>833720</f>
        <v>833720</v>
      </c>
      <c r="H91" s="32">
        <f>0</f>
        <v>0</v>
      </c>
      <c r="I91" s="32">
        <f>0</f>
        <v>0</v>
      </c>
      <c r="J91" s="32">
        <f>833720</f>
        <v>833720</v>
      </c>
      <c r="K91" s="32">
        <f>0</f>
        <v>0</v>
      </c>
      <c r="L91" s="32">
        <f>15776328.72</f>
        <v>15776328.72</v>
      </c>
    </row>
    <row r="92" spans="2:12" ht="33.75" customHeight="1">
      <c r="B92" s="72" t="s">
        <v>59</v>
      </c>
      <c r="C92" s="73"/>
      <c r="D92" s="73"/>
      <c r="E92" s="74"/>
      <c r="F92" s="32">
        <f>20540.75</f>
        <v>20540.75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20540.75</f>
        <v>20540.75</v>
      </c>
    </row>
    <row r="93" spans="2:12" ht="33.75" customHeight="1">
      <c r="B93" s="72" t="s">
        <v>60</v>
      </c>
      <c r="C93" s="73"/>
      <c r="D93" s="73"/>
      <c r="E93" s="74"/>
      <c r="F93" s="32">
        <f>4444922.73</f>
        <v>4444922.73</v>
      </c>
      <c r="G93" s="32">
        <f>192000</f>
        <v>192000</v>
      </c>
      <c r="H93" s="32">
        <f>0</f>
        <v>0</v>
      </c>
      <c r="I93" s="32">
        <f>0</f>
        <v>0</v>
      </c>
      <c r="J93" s="32">
        <f>192000</f>
        <v>192000</v>
      </c>
      <c r="K93" s="32">
        <f>0</f>
        <v>0</v>
      </c>
      <c r="L93" s="32">
        <f>4252922.73</f>
        <v>4252922.73</v>
      </c>
    </row>
    <row r="94" spans="2:12" ht="22.5" customHeight="1">
      <c r="B94" s="72" t="s">
        <v>61</v>
      </c>
      <c r="C94" s="73"/>
      <c r="D94" s="73"/>
      <c r="E94" s="74"/>
      <c r="F94" s="32">
        <f>33000</f>
        <v>33000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33000</f>
        <v>33000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1356</f>
        <v>1356</v>
      </c>
      <c r="H100" s="66"/>
      <c r="I100" s="67">
        <f>3047482694.64</f>
        <v>3047482694.64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1054</f>
        <v>1054</v>
      </c>
      <c r="H101" s="76"/>
      <c r="I101" s="77">
        <f>-3202814983.39</f>
        <v>-3202814983.39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2020-03-26T16:52:33Z</dcterms:modified>
  <cp:category/>
  <cp:version/>
  <cp:contentType/>
  <cp:contentStatus/>
</cp:coreProperties>
</file>