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931B41F5-3E74-4AA0-96D7-033932D44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34" i="7" l="1"/>
  <c r="A77" i="7"/>
  <c r="A1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<sst xmlns="http://schemas.openxmlformats.org/spreadsheetml/2006/main" count="97" uniqueCount="81">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</sst>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 Kwartał 2026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42850300206.15</f>
        <v>42850300206.150002</v>
      </c>
      <c r="C13" s="28">
        <f>42850296121.69</f>
        <v>42850296121.690002</v>
      </c>
      <c r="D13" s="28">
        <f>2403441976.55</f>
        <v>2403441976.5500002</v>
      </c>
      <c r="E13" s="28">
        <f>450255221.25</f>
        <v>450255221.25</v>
      </c>
      <c r="F13" s="28">
        <f>437346216.49</f>
        <v>437346216.49000001</v>
      </c>
      <c r="G13" s="28">
        <f>1515831731.61</f>
        <v>1515831731.6099999</v>
      </c>
      <c r="H13" s="28">
        <f>8807.2</f>
        <v>8807.2000000000007</v>
      </c>
      <c r="I13" s="28">
        <f>0</f>
        <v>0</v>
      </c>
      <c r="J13" s="28">
        <f>38428860427</f>
        <v>38428860427</v>
      </c>
      <c r="K13" s="28">
        <f>1826638730.02</f>
        <v>1826638730.02</v>
      </c>
      <c r="L13" s="28">
        <f>162490967.57</f>
        <v>162490967.56999999</v>
      </c>
      <c r="M13" s="28">
        <f>16851564.25</f>
        <v>16851564.25</v>
      </c>
      <c r="N13" s="28">
        <f>12012456.3</f>
        <v>12012456.300000001</v>
      </c>
      <c r="O13" s="28">
        <f>4084.46</f>
        <v>4084.46</v>
      </c>
      <c r="P13" s="28">
        <f>0</f>
        <v>0</v>
      </c>
      <c r="Q13" s="28">
        <f>4084.46</f>
        <v>4084.46</v>
      </c>
    </row>
    <row r="14" spans="1:17" ht="26.25" customHeight="1" x14ac:dyDescent="0.2">
      <c r="A14" s="29" t="s">
        <v>47</v>
      </c>
      <c r="B14" s="28">
        <f>1655081923.02</f>
        <v>1655081923.02</v>
      </c>
      <c r="C14" s="28">
        <f>1655081923.02</f>
        <v>1655081923.02</v>
      </c>
      <c r="D14" s="28">
        <f>1261225</f>
        <v>1261225</v>
      </c>
      <c r="E14" s="28">
        <f>0</f>
        <v>0</v>
      </c>
      <c r="F14" s="28">
        <f>0</f>
        <v>0</v>
      </c>
      <c r="G14" s="28">
        <f>1261225</f>
        <v>1261225</v>
      </c>
      <c r="H14" s="28">
        <f>0</f>
        <v>0</v>
      </c>
      <c r="I14" s="28">
        <f>0</f>
        <v>0</v>
      </c>
      <c r="J14" s="28">
        <f>1618363568.02</f>
        <v>1618363568.02</v>
      </c>
      <c r="K14" s="28">
        <f>35457130</f>
        <v>35457130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104650000</f>
        <v>104650000</v>
      </c>
      <c r="C15" s="33">
        <f>104650000</f>
        <v>104650000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104000000</f>
        <v>104000000</v>
      </c>
      <c r="K15" s="33">
        <f>650000</f>
        <v>650000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1550431923.02</f>
        <v>1550431923.02</v>
      </c>
      <c r="C16" s="33">
        <f>1550431923.02</f>
        <v>1550431923.02</v>
      </c>
      <c r="D16" s="33">
        <f>1261225</f>
        <v>1261225</v>
      </c>
      <c r="E16" s="33">
        <f>0</f>
        <v>0</v>
      </c>
      <c r="F16" s="33">
        <f>0</f>
        <v>0</v>
      </c>
      <c r="G16" s="33">
        <f>1261225</f>
        <v>1261225</v>
      </c>
      <c r="H16" s="33">
        <f>0</f>
        <v>0</v>
      </c>
      <c r="I16" s="33">
        <f>0</f>
        <v>0</v>
      </c>
      <c r="J16" s="33">
        <f>1514363568.02</f>
        <v>1514363568.02</v>
      </c>
      <c r="K16" s="33">
        <f>34807130</f>
        <v>34807130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41160384118.46</f>
        <v>41160384118.459999</v>
      </c>
      <c r="C17" s="28">
        <f>41160384118.46</f>
        <v>41160384118.459999</v>
      </c>
      <c r="D17" s="28">
        <f>2394903298.63</f>
        <v>2394903298.6300001</v>
      </c>
      <c r="E17" s="28">
        <f>450111663.71</f>
        <v>450111663.70999998</v>
      </c>
      <c r="F17" s="28">
        <f>437317922.32</f>
        <v>437317922.31999999</v>
      </c>
      <c r="G17" s="28">
        <f>1507473712.6</f>
        <v>1507473712.5999999</v>
      </c>
      <c r="H17" s="28">
        <f>0</f>
        <v>0</v>
      </c>
      <c r="I17" s="28">
        <f>0</f>
        <v>0</v>
      </c>
      <c r="J17" s="28">
        <f>36810496858.98</f>
        <v>36810496858.980003</v>
      </c>
      <c r="K17" s="28">
        <f>1790838812.91</f>
        <v>1790838812.9100001</v>
      </c>
      <c r="L17" s="28">
        <f>147574211.58</f>
        <v>147574211.58000001</v>
      </c>
      <c r="M17" s="28">
        <f>7358489.3</f>
        <v>7358489.2999999998</v>
      </c>
      <c r="N17" s="28">
        <f>9212447.06</f>
        <v>9212447.0600000005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181310228.35</f>
        <v>181310228.34999999</v>
      </c>
      <c r="C18" s="33">
        <f>181310228.35</f>
        <v>181310228.34999999</v>
      </c>
      <c r="D18" s="33">
        <f>5164538.49</f>
        <v>5164538.49</v>
      </c>
      <c r="E18" s="33">
        <f>0</f>
        <v>0</v>
      </c>
      <c r="F18" s="33">
        <f>957772.72</f>
        <v>957772.72</v>
      </c>
      <c r="G18" s="33">
        <f>4206765.77</f>
        <v>4206765.7699999996</v>
      </c>
      <c r="H18" s="33">
        <f>0</f>
        <v>0</v>
      </c>
      <c r="I18" s="33">
        <f>0</f>
        <v>0</v>
      </c>
      <c r="J18" s="33">
        <f>174545689.86</f>
        <v>174545689.86000001</v>
      </c>
      <c r="K18" s="33">
        <f>0</f>
        <v>0</v>
      </c>
      <c r="L18" s="33">
        <f>1600000</f>
        <v>1600000</v>
      </c>
      <c r="M18" s="33">
        <f>0</f>
        <v>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40979073890.11</f>
        <v>40979073890.110001</v>
      </c>
      <c r="C19" s="33">
        <f>40979073890.11</f>
        <v>40979073890.110001</v>
      </c>
      <c r="D19" s="33">
        <f>2389738760.14</f>
        <v>2389738760.1399999</v>
      </c>
      <c r="E19" s="33">
        <f>450111663.71</f>
        <v>450111663.70999998</v>
      </c>
      <c r="F19" s="33">
        <f>436360149.6</f>
        <v>436360149.60000002</v>
      </c>
      <c r="G19" s="33">
        <f>1503266946.83</f>
        <v>1503266946.8299999</v>
      </c>
      <c r="H19" s="33">
        <f>0</f>
        <v>0</v>
      </c>
      <c r="I19" s="33">
        <f>0</f>
        <v>0</v>
      </c>
      <c r="J19" s="33">
        <f>36635951169.12</f>
        <v>36635951169.120003</v>
      </c>
      <c r="K19" s="33">
        <f>1790838812.91</f>
        <v>1790838812.9100001</v>
      </c>
      <c r="L19" s="33">
        <f>145974211.58</f>
        <v>145974211.58000001</v>
      </c>
      <c r="M19" s="33">
        <f>7358489.3</f>
        <v>7358489.2999999998</v>
      </c>
      <c r="N19" s="33">
        <f>9212447.06</f>
        <v>9212447.0600000005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34834164.67</f>
        <v>34834164.670000002</v>
      </c>
      <c r="C21" s="28">
        <f>34830080.21</f>
        <v>34830080.210000001</v>
      </c>
      <c r="D21" s="28">
        <f>7277452.92</f>
        <v>7277452.9199999999</v>
      </c>
      <c r="E21" s="28">
        <f>143557.54</f>
        <v>143557.54</v>
      </c>
      <c r="F21" s="28">
        <f>28294.17</f>
        <v>28294.17</v>
      </c>
      <c r="G21" s="28">
        <f>7096794.01</f>
        <v>7096794.0099999998</v>
      </c>
      <c r="H21" s="28">
        <f>8807.2</f>
        <v>8807.2000000000007</v>
      </c>
      <c r="I21" s="28">
        <f>0</f>
        <v>0</v>
      </c>
      <c r="J21" s="28">
        <f>0</f>
        <v>0</v>
      </c>
      <c r="K21" s="28">
        <f>342787.11</f>
        <v>342787.11</v>
      </c>
      <c r="L21" s="28">
        <f>14916755.99</f>
        <v>14916755.99</v>
      </c>
      <c r="M21" s="28">
        <f>9493074.95</f>
        <v>9493074.9499999993</v>
      </c>
      <c r="N21" s="28">
        <f>2800009.24</f>
        <v>2800009.24</v>
      </c>
      <c r="O21" s="28">
        <f>4084.46</f>
        <v>4084.46</v>
      </c>
      <c r="P21" s="28">
        <f>0</f>
        <v>0</v>
      </c>
      <c r="Q21" s="28">
        <f>4084.46</f>
        <v>4084.46</v>
      </c>
    </row>
    <row r="22" spans="1:17" ht="27" customHeight="1" x14ac:dyDescent="0.2">
      <c r="A22" s="19" t="s">
        <v>55</v>
      </c>
      <c r="B22" s="33">
        <f>21740695.06</f>
        <v>21740695.059999999</v>
      </c>
      <c r="C22" s="33">
        <f>21740695.06</f>
        <v>21740695.059999999</v>
      </c>
      <c r="D22" s="33">
        <f>614144.9</f>
        <v>614144.9</v>
      </c>
      <c r="E22" s="33">
        <f>241.8</f>
        <v>241.8</v>
      </c>
      <c r="F22" s="33">
        <f>0</f>
        <v>0</v>
      </c>
      <c r="G22" s="33">
        <f>613903.1</f>
        <v>613903.1</v>
      </c>
      <c r="H22" s="33">
        <f>0</f>
        <v>0</v>
      </c>
      <c r="I22" s="33">
        <f>0</f>
        <v>0</v>
      </c>
      <c r="J22" s="33">
        <f>0</f>
        <v>0</v>
      </c>
      <c r="K22" s="33">
        <f>288293.49</f>
        <v>288293.49</v>
      </c>
      <c r="L22" s="33">
        <f>11302749.37</f>
        <v>11302749.369999999</v>
      </c>
      <c r="M22" s="33">
        <f>6753185.97</f>
        <v>6753185.9699999997</v>
      </c>
      <c r="N22" s="33">
        <f>2782321.33</f>
        <v>2782321.33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13093469.61</f>
        <v>13093469.609999999</v>
      </c>
      <c r="C23" s="33">
        <f>13089385.15</f>
        <v>13089385.15</v>
      </c>
      <c r="D23" s="33">
        <f>6663308.02</f>
        <v>6663308.0199999996</v>
      </c>
      <c r="E23" s="33">
        <f>143315.74</f>
        <v>143315.74</v>
      </c>
      <c r="F23" s="33">
        <f>28294.17</f>
        <v>28294.17</v>
      </c>
      <c r="G23" s="33">
        <f>6482890.91</f>
        <v>6482890.9100000001</v>
      </c>
      <c r="H23" s="33">
        <f>8807.2</f>
        <v>8807.2000000000007</v>
      </c>
      <c r="I23" s="33">
        <f>0</f>
        <v>0</v>
      </c>
      <c r="J23" s="33">
        <f>0</f>
        <v>0</v>
      </c>
      <c r="K23" s="33">
        <f>54493.62</f>
        <v>54493.62</v>
      </c>
      <c r="L23" s="33">
        <f>3614006.62</f>
        <v>3614006.62</v>
      </c>
      <c r="M23" s="33">
        <f>2739888.98</f>
        <v>2739888.98</v>
      </c>
      <c r="N23" s="33">
        <f>17687.91</f>
        <v>17687.91</v>
      </c>
      <c r="O23" s="33">
        <f>4084.46</f>
        <v>4084.46</v>
      </c>
      <c r="P23" s="33">
        <f>0</f>
        <v>0</v>
      </c>
      <c r="Q23" s="33">
        <f>4084.46</f>
        <v>4084.46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 Kwartał 2026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79879705.9</f>
        <v>79879705.900000006</v>
      </c>
      <c r="C44" s="35">
        <f>79879705.9</f>
        <v>79879705.900000006</v>
      </c>
      <c r="D44" s="35">
        <f>69543563.3</f>
        <v>69543563.299999997</v>
      </c>
      <c r="E44" s="35">
        <f>69543563.3</f>
        <v>69543563.299999997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334642.6</f>
        <v>334642.59999999998</v>
      </c>
      <c r="K44" s="35">
        <f>10000000</f>
        <v>10000000</v>
      </c>
      <c r="L44" s="35">
        <f>1500</f>
        <v>1500</v>
      </c>
      <c r="M44" s="35">
        <f>0</f>
        <v>0</v>
      </c>
      <c r="N44" s="35">
        <f>0</f>
        <v>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10000000</f>
        <v>10000000</v>
      </c>
      <c r="C45" s="26">
        <f>10000000</f>
        <v>10000000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10000000</f>
        <v>10000000</v>
      </c>
      <c r="L45" s="26">
        <f>0</f>
        <v>0</v>
      </c>
      <c r="M45" s="26">
        <f>0</f>
        <v>0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69879705.9</f>
        <v>69879705.900000006</v>
      </c>
      <c r="C46" s="26">
        <f>69879705.9</f>
        <v>69879705.900000006</v>
      </c>
      <c r="D46" s="26">
        <f>69543563.3</f>
        <v>69543563.299999997</v>
      </c>
      <c r="E46" s="26">
        <f>69543563.3</f>
        <v>69543563.299999997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334642.6</f>
        <v>334642.59999999998</v>
      </c>
      <c r="K46" s="26">
        <f>0</f>
        <v>0</v>
      </c>
      <c r="L46" s="26">
        <f>1500</f>
        <v>1500</v>
      </c>
      <c r="M46" s="26">
        <f>0</f>
        <v>0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416026554.68</f>
        <v>416026554.68000001</v>
      </c>
      <c r="C47" s="26">
        <f>416012769.06</f>
        <v>416012769.06</v>
      </c>
      <c r="D47" s="26">
        <f>40337806.82</f>
        <v>40337806.82</v>
      </c>
      <c r="E47" s="26">
        <f>77518.02</f>
        <v>77518.02</v>
      </c>
      <c r="F47" s="26">
        <f>3480000</f>
        <v>3480000</v>
      </c>
      <c r="G47" s="26">
        <f>31780288.8</f>
        <v>31780288.800000001</v>
      </c>
      <c r="H47" s="26">
        <f>5000000</f>
        <v>5000000</v>
      </c>
      <c r="I47" s="26">
        <f>0</f>
        <v>0</v>
      </c>
      <c r="J47" s="26">
        <f>588427.78</f>
        <v>588427.78</v>
      </c>
      <c r="K47" s="26">
        <f>455947.19</f>
        <v>455947.19</v>
      </c>
      <c r="L47" s="26">
        <f>183247840.16</f>
        <v>183247840.16</v>
      </c>
      <c r="M47" s="26">
        <f>173201131.35</f>
        <v>173201131.34999999</v>
      </c>
      <c r="N47" s="26">
        <f>18181615.76</f>
        <v>18181615.760000002</v>
      </c>
      <c r="O47" s="15">
        <f>13785.62</f>
        <v>13785.62</v>
      </c>
      <c r="P47" s="15">
        <f>13785.62</f>
        <v>13785.62</v>
      </c>
      <c r="Q47" s="15">
        <f>0</f>
        <v>0</v>
      </c>
    </row>
    <row r="48" spans="1:17" ht="24.75" customHeight="1" x14ac:dyDescent="0.2">
      <c r="A48" s="23" t="s">
        <v>31</v>
      </c>
      <c r="B48" s="26">
        <f>34954759.06</f>
        <v>34954759.060000002</v>
      </c>
      <c r="C48" s="26">
        <f>34954759.06</f>
        <v>34954759.060000002</v>
      </c>
      <c r="D48" s="26">
        <f>14017316.63</f>
        <v>14017316.630000001</v>
      </c>
      <c r="E48" s="26">
        <f>0</f>
        <v>0</v>
      </c>
      <c r="F48" s="26">
        <f>1000000</f>
        <v>1000000</v>
      </c>
      <c r="G48" s="26">
        <f>8017316.63</f>
        <v>8017316.6299999999</v>
      </c>
      <c r="H48" s="26">
        <f>5000000</f>
        <v>5000000</v>
      </c>
      <c r="I48" s="26">
        <f>0</f>
        <v>0</v>
      </c>
      <c r="J48" s="26">
        <f>0</f>
        <v>0</v>
      </c>
      <c r="K48" s="26">
        <f>0</f>
        <v>0</v>
      </c>
      <c r="L48" s="26">
        <f>13836419.83</f>
        <v>13836419.83</v>
      </c>
      <c r="M48" s="26">
        <f>2006655.48</f>
        <v>2006655.48</v>
      </c>
      <c r="N48" s="26">
        <f>5094367.12</f>
        <v>5094367.12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381071795.62</f>
        <v>381071795.62</v>
      </c>
      <c r="C49" s="26">
        <f>381058010</f>
        <v>381058010</v>
      </c>
      <c r="D49" s="26">
        <f>26320490.19</f>
        <v>26320490.190000001</v>
      </c>
      <c r="E49" s="26">
        <f>77518.02</f>
        <v>77518.02</v>
      </c>
      <c r="F49" s="26">
        <f>2480000</f>
        <v>2480000</v>
      </c>
      <c r="G49" s="26">
        <f>23762972.17</f>
        <v>23762972.170000002</v>
      </c>
      <c r="H49" s="26">
        <f>0</f>
        <v>0</v>
      </c>
      <c r="I49" s="26">
        <f>0</f>
        <v>0</v>
      </c>
      <c r="J49" s="26">
        <f>588427.78</f>
        <v>588427.78</v>
      </c>
      <c r="K49" s="26">
        <f>455947.19</f>
        <v>455947.19</v>
      </c>
      <c r="L49" s="26">
        <f>169411420.33</f>
        <v>169411420.33000001</v>
      </c>
      <c r="M49" s="26">
        <f>171194475.87</f>
        <v>171194475.87</v>
      </c>
      <c r="N49" s="26">
        <f>13087248.64</f>
        <v>13087248.640000001</v>
      </c>
      <c r="O49" s="15">
        <f>13785.62</f>
        <v>13785.62</v>
      </c>
      <c r="P49" s="15">
        <f>13785.62</f>
        <v>13785.62</v>
      </c>
      <c r="Q49" s="15">
        <f>0</f>
        <v>0</v>
      </c>
    </row>
    <row r="50" spans="1:17" ht="24.75" customHeight="1" x14ac:dyDescent="0.2">
      <c r="A50" s="34" t="s">
        <v>43</v>
      </c>
      <c r="B50" s="35">
        <f>45269029799.78</f>
        <v>45269029799.779999</v>
      </c>
      <c r="C50" s="35">
        <f>45269029799.78</f>
        <v>45269029799.779999</v>
      </c>
      <c r="D50" s="35">
        <f>9335495.44</f>
        <v>9335495.4399999995</v>
      </c>
      <c r="E50" s="35">
        <f>534324.73</f>
        <v>534324.73</v>
      </c>
      <c r="F50" s="35">
        <f>2780.38</f>
        <v>2780.38</v>
      </c>
      <c r="G50" s="35">
        <f>8798390.33</f>
        <v>8798390.3300000001</v>
      </c>
      <c r="H50" s="35">
        <f>0</f>
        <v>0</v>
      </c>
      <c r="I50" s="35">
        <f>0</f>
        <v>0</v>
      </c>
      <c r="J50" s="35">
        <f>45186681758.05</f>
        <v>45186681758.050003</v>
      </c>
      <c r="K50" s="35">
        <f>10163668.39</f>
        <v>10163668.390000001</v>
      </c>
      <c r="L50" s="35">
        <f>15213440.66</f>
        <v>15213440.66</v>
      </c>
      <c r="M50" s="35">
        <f>47634745.52</f>
        <v>47634745.520000003</v>
      </c>
      <c r="N50" s="35">
        <f>691.72</f>
        <v>691.72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8731057.13</f>
        <v>8731057.1300000008</v>
      </c>
      <c r="C51" s="26">
        <f>8731057.13</f>
        <v>8731057.1300000008</v>
      </c>
      <c r="D51" s="26">
        <f>8726440.13</f>
        <v>8726440.1300000008</v>
      </c>
      <c r="E51" s="26">
        <f>0</f>
        <v>0</v>
      </c>
      <c r="F51" s="26">
        <f>0</f>
        <v>0</v>
      </c>
      <c r="G51" s="26">
        <f>8726440.13</f>
        <v>8726440.1300000008</v>
      </c>
      <c r="H51" s="26">
        <f>0</f>
        <v>0</v>
      </c>
      <c r="I51" s="26">
        <f>0</f>
        <v>0</v>
      </c>
      <c r="J51" s="26">
        <f>4561</f>
        <v>4561</v>
      </c>
      <c r="K51" s="26">
        <f>0</f>
        <v>0</v>
      </c>
      <c r="L51" s="26">
        <f>0</f>
        <v>0</v>
      </c>
      <c r="M51" s="26">
        <f>56</f>
        <v>56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30967069323.28</f>
        <v>30967069323.279999</v>
      </c>
      <c r="C52" s="26">
        <f>30967069323.28</f>
        <v>30967069323.279999</v>
      </c>
      <c r="D52" s="26">
        <f>206011.04</f>
        <v>206011.04</v>
      </c>
      <c r="E52" s="26">
        <f>195011.04</f>
        <v>195011.04</v>
      </c>
      <c r="F52" s="26">
        <f>500</f>
        <v>500</v>
      </c>
      <c r="G52" s="26">
        <f>10500</f>
        <v>10500</v>
      </c>
      <c r="H52" s="26">
        <f>0</f>
        <v>0</v>
      </c>
      <c r="I52" s="26">
        <f>0</f>
        <v>0</v>
      </c>
      <c r="J52" s="26">
        <f>30926247439.22</f>
        <v>30926247439.220001</v>
      </c>
      <c r="K52" s="26">
        <f>163773.36</f>
        <v>163773.35999999999</v>
      </c>
      <c r="L52" s="26">
        <f>14946698.11</f>
        <v>14946698.109999999</v>
      </c>
      <c r="M52" s="26">
        <f>25504709.83</f>
        <v>25504709.829999998</v>
      </c>
      <c r="N52" s="26">
        <f>691.72</f>
        <v>691.72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14293229419.37</f>
        <v>14293229419.370001</v>
      </c>
      <c r="C53" s="26">
        <f>14293229419.37</f>
        <v>14293229419.370001</v>
      </c>
      <c r="D53" s="26">
        <f>403044.27</f>
        <v>403044.27</v>
      </c>
      <c r="E53" s="26">
        <f>339313.69</f>
        <v>339313.69</v>
      </c>
      <c r="F53" s="26">
        <f>2280.38</f>
        <v>2280.38</v>
      </c>
      <c r="G53" s="26">
        <f>61450.2</f>
        <v>61450.2</v>
      </c>
      <c r="H53" s="26">
        <f>0</f>
        <v>0</v>
      </c>
      <c r="I53" s="26">
        <f>0</f>
        <v>0</v>
      </c>
      <c r="J53" s="26">
        <f>14260429757.83</f>
        <v>14260429757.83</v>
      </c>
      <c r="K53" s="26">
        <f>9999895.03</f>
        <v>9999895.0299999993</v>
      </c>
      <c r="L53" s="26">
        <f>266742.55</f>
        <v>266742.55</v>
      </c>
      <c r="M53" s="26">
        <f>22129979.69</f>
        <v>22129979.690000001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10955935370.98</f>
        <v>10955935370.98</v>
      </c>
      <c r="C54" s="35">
        <f>10923862354.51</f>
        <v>10923862354.51</v>
      </c>
      <c r="D54" s="35">
        <f>101003713.45</f>
        <v>101003713.45</v>
      </c>
      <c r="E54" s="35">
        <f>58151699.97</f>
        <v>58151699.969999999</v>
      </c>
      <c r="F54" s="35">
        <f>5562248.35</f>
        <v>5562248.3499999996</v>
      </c>
      <c r="G54" s="35">
        <f>36238055.89</f>
        <v>36238055.890000001</v>
      </c>
      <c r="H54" s="35">
        <f>1051709.24</f>
        <v>1051709.24</v>
      </c>
      <c r="I54" s="35">
        <f>914</f>
        <v>914</v>
      </c>
      <c r="J54" s="35">
        <f>4080752.09</f>
        <v>4080752.09</v>
      </c>
      <c r="K54" s="35">
        <f>24371605.22</f>
        <v>24371605.219999999</v>
      </c>
      <c r="L54" s="35">
        <f>2406362687.98</f>
        <v>2406362687.98</v>
      </c>
      <c r="M54" s="35">
        <f>8294232867.31</f>
        <v>8294232867.3100004</v>
      </c>
      <c r="N54" s="35">
        <f>93809814.46</f>
        <v>93809814.459999993</v>
      </c>
      <c r="O54" s="35">
        <f>32073016.47</f>
        <v>32073016.469999999</v>
      </c>
      <c r="P54" s="35">
        <f>20510564.74</f>
        <v>20510564.739999998</v>
      </c>
      <c r="Q54" s="35">
        <f>11562451.73</f>
        <v>11562451.73</v>
      </c>
    </row>
    <row r="55" spans="1:17" ht="24.75" customHeight="1" x14ac:dyDescent="0.2">
      <c r="A55" s="22" t="s">
        <v>36</v>
      </c>
      <c r="B55" s="26">
        <f>1501548304.08</f>
        <v>1501548304.0799999</v>
      </c>
      <c r="C55" s="26">
        <f>1500796296.84</f>
        <v>1500796296.8399999</v>
      </c>
      <c r="D55" s="26">
        <f>6600624.61</f>
        <v>6600624.6100000003</v>
      </c>
      <c r="E55" s="26">
        <f>379854.04</f>
        <v>379854.04</v>
      </c>
      <c r="F55" s="26">
        <f>168844.55</f>
        <v>168844.55</v>
      </c>
      <c r="G55" s="26">
        <f>5793761.44</f>
        <v>5793761.4400000004</v>
      </c>
      <c r="H55" s="26">
        <f>258164.58</f>
        <v>258164.58</v>
      </c>
      <c r="I55" s="26">
        <f>0</f>
        <v>0</v>
      </c>
      <c r="J55" s="26">
        <f>535277.76</f>
        <v>535277.76</v>
      </c>
      <c r="K55" s="26">
        <f>437388.42</f>
        <v>437388.42</v>
      </c>
      <c r="L55" s="26">
        <f>320933234.82</f>
        <v>320933234.81999999</v>
      </c>
      <c r="M55" s="26">
        <f>1136336055.47</f>
        <v>1136336055.47</v>
      </c>
      <c r="N55" s="26">
        <f>35953715.76</f>
        <v>35953715.759999998</v>
      </c>
      <c r="O55" s="15">
        <f>752007.24</f>
        <v>752007.24</v>
      </c>
      <c r="P55" s="15">
        <f>264234.56</f>
        <v>264234.56</v>
      </c>
      <c r="Q55" s="15">
        <f>487772.68</f>
        <v>487772.68</v>
      </c>
    </row>
    <row r="56" spans="1:17" ht="24.75" customHeight="1" x14ac:dyDescent="0.2">
      <c r="A56" s="23" t="s">
        <v>37</v>
      </c>
      <c r="B56" s="26">
        <f>9454387066.9</f>
        <v>9454387066.8999996</v>
      </c>
      <c r="C56" s="26">
        <f>9423066057.67</f>
        <v>9423066057.6700001</v>
      </c>
      <c r="D56" s="26">
        <f>94403088.84</f>
        <v>94403088.840000004</v>
      </c>
      <c r="E56" s="26">
        <f>57771845.93</f>
        <v>57771845.93</v>
      </c>
      <c r="F56" s="26">
        <f>5393403.8</f>
        <v>5393403.7999999998</v>
      </c>
      <c r="G56" s="26">
        <f>30444294.45</f>
        <v>30444294.449999999</v>
      </c>
      <c r="H56" s="26">
        <f>793544.66</f>
        <v>793544.66</v>
      </c>
      <c r="I56" s="26">
        <f>914</f>
        <v>914</v>
      </c>
      <c r="J56" s="26">
        <f>3545474.33</f>
        <v>3545474.33</v>
      </c>
      <c r="K56" s="26">
        <f>23934216.8</f>
        <v>23934216.800000001</v>
      </c>
      <c r="L56" s="26">
        <f>2085429453.16</f>
        <v>2085429453.1600001</v>
      </c>
      <c r="M56" s="26">
        <f>7157896811.84</f>
        <v>7157896811.8400002</v>
      </c>
      <c r="N56" s="26">
        <f>57856098.7</f>
        <v>57856098.700000003</v>
      </c>
      <c r="O56" s="15">
        <f>31321009.23</f>
        <v>31321009.23</v>
      </c>
      <c r="P56" s="15">
        <f>20246330.18</f>
        <v>20246330.18</v>
      </c>
      <c r="Q56" s="15">
        <f>11074679.05</f>
        <v>11074679.050000001</v>
      </c>
    </row>
    <row r="57" spans="1:17" ht="24.75" customHeight="1" x14ac:dyDescent="0.2">
      <c r="A57" s="34" t="s">
        <v>45</v>
      </c>
      <c r="B57" s="35">
        <f>35336252388.73</f>
        <v>35336252388.730003</v>
      </c>
      <c r="C57" s="35">
        <f>35332945094.83</f>
        <v>35332945094.830002</v>
      </c>
      <c r="D57" s="35">
        <f>880791867.4</f>
        <v>880791867.39999998</v>
      </c>
      <c r="E57" s="35">
        <f>362423716.16</f>
        <v>362423716.16000003</v>
      </c>
      <c r="F57" s="35">
        <f>69503820.48</f>
        <v>69503820.480000004</v>
      </c>
      <c r="G57" s="35">
        <f>430592212.09</f>
        <v>430592212.08999997</v>
      </c>
      <c r="H57" s="35">
        <f>18272118.67</f>
        <v>18272118.670000002</v>
      </c>
      <c r="I57" s="35">
        <f>408611</f>
        <v>408611</v>
      </c>
      <c r="J57" s="35">
        <f>20294956.68</f>
        <v>20294956.68</v>
      </c>
      <c r="K57" s="35">
        <f>122939868.81</f>
        <v>122939868.81</v>
      </c>
      <c r="L57" s="35">
        <f>14740785011.93</f>
        <v>14740785011.93</v>
      </c>
      <c r="M57" s="35">
        <f>19270044763.05</f>
        <v>19270044763.049999</v>
      </c>
      <c r="N57" s="35">
        <f>297680015.96</f>
        <v>297680015.95999998</v>
      </c>
      <c r="O57" s="35">
        <f>3307293.9</f>
        <v>3307293.9</v>
      </c>
      <c r="P57" s="35">
        <f>2423011.26</f>
        <v>2423011.2599999998</v>
      </c>
      <c r="Q57" s="35">
        <f>884282.64</f>
        <v>884282.64</v>
      </c>
    </row>
    <row r="58" spans="1:17" ht="30" customHeight="1" x14ac:dyDescent="0.2">
      <c r="A58" s="22" t="s">
        <v>38</v>
      </c>
      <c r="B58" s="26">
        <f>1427372361.92</f>
        <v>1427372361.9200001</v>
      </c>
      <c r="C58" s="26">
        <f>1426970074.48</f>
        <v>1426970074.48</v>
      </c>
      <c r="D58" s="26">
        <f>62789753.96</f>
        <v>62789753.960000001</v>
      </c>
      <c r="E58" s="26">
        <f>3710792.25</f>
        <v>3710792.25</v>
      </c>
      <c r="F58" s="26">
        <f>1119762.87</f>
        <v>1119762.8700000001</v>
      </c>
      <c r="G58" s="26">
        <f>52607085.65</f>
        <v>52607085.649999999</v>
      </c>
      <c r="H58" s="26">
        <f>5352113.19</f>
        <v>5352113.1900000004</v>
      </c>
      <c r="I58" s="26">
        <f>0</f>
        <v>0</v>
      </c>
      <c r="J58" s="26">
        <f>1634616.51</f>
        <v>1634616.51</v>
      </c>
      <c r="K58" s="26">
        <f>343900.09</f>
        <v>343900.09</v>
      </c>
      <c r="L58" s="26">
        <f>453181209.45</f>
        <v>453181209.44999999</v>
      </c>
      <c r="M58" s="26">
        <f>882529576.3</f>
        <v>882529576.29999995</v>
      </c>
      <c r="N58" s="26">
        <f>26491018.17</f>
        <v>26491018.170000002</v>
      </c>
      <c r="O58" s="15">
        <f>402287.44</f>
        <v>402287.44</v>
      </c>
      <c r="P58" s="15">
        <f>139634.88</f>
        <v>139634.88</v>
      </c>
      <c r="Q58" s="15">
        <f>262652.56</f>
        <v>262652.56</v>
      </c>
    </row>
    <row r="59" spans="1:17" ht="36" x14ac:dyDescent="0.2">
      <c r="A59" s="22" t="s">
        <v>39</v>
      </c>
      <c r="B59" s="26">
        <f>25480140786.47</f>
        <v>25480140786.470001</v>
      </c>
      <c r="C59" s="26">
        <f>25477517211.58</f>
        <v>25477517211.580002</v>
      </c>
      <c r="D59" s="26">
        <f>403026287.42</f>
        <v>403026287.42000002</v>
      </c>
      <c r="E59" s="26">
        <f>175004507.57</f>
        <v>175004507.56999999</v>
      </c>
      <c r="F59" s="26">
        <f>54048558</f>
        <v>54048558</v>
      </c>
      <c r="G59" s="26">
        <f>170595605.99</f>
        <v>170595605.99000001</v>
      </c>
      <c r="H59" s="26">
        <f>3377615.86</f>
        <v>3377615.86</v>
      </c>
      <c r="I59" s="26">
        <f>408611</f>
        <v>408611</v>
      </c>
      <c r="J59" s="26">
        <f>15971404.03</f>
        <v>15971404.029999999</v>
      </c>
      <c r="K59" s="26">
        <f>92576798.7</f>
        <v>92576798.700000003</v>
      </c>
      <c r="L59" s="26">
        <f>11164450793.61</f>
        <v>11164450793.610001</v>
      </c>
      <c r="M59" s="26">
        <f>13726916941.93</f>
        <v>13726916941.93</v>
      </c>
      <c r="N59" s="26">
        <f>74166374.89</f>
        <v>74166374.890000001</v>
      </c>
      <c r="O59" s="15">
        <f>2623574.89</f>
        <v>2623574.89</v>
      </c>
      <c r="P59" s="15">
        <f>2035596.45</f>
        <v>2035596.45</v>
      </c>
      <c r="Q59" s="15">
        <f>587978.44</f>
        <v>587978.43999999994</v>
      </c>
    </row>
    <row r="60" spans="1:17" ht="30.75" customHeight="1" x14ac:dyDescent="0.2">
      <c r="A60" s="22" t="s">
        <v>40</v>
      </c>
      <c r="B60" s="26">
        <f>8428739240.34</f>
        <v>8428739240.3400002</v>
      </c>
      <c r="C60" s="26">
        <f>8428457808.77</f>
        <v>8428457808.7700005</v>
      </c>
      <c r="D60" s="26">
        <f>414975826.02</f>
        <v>414975826.01999998</v>
      </c>
      <c r="E60" s="26">
        <f>183708416.34</f>
        <v>183708416.34</v>
      </c>
      <c r="F60" s="26">
        <f>14335499.61</f>
        <v>14335499.609999999</v>
      </c>
      <c r="G60" s="26">
        <f>207389520.45</f>
        <v>207389520.44999999</v>
      </c>
      <c r="H60" s="26">
        <f>9542389.62</f>
        <v>9542389.6199999992</v>
      </c>
      <c r="I60" s="26">
        <f>0</f>
        <v>0</v>
      </c>
      <c r="J60" s="26">
        <f>2688936.14</f>
        <v>2688936.14</v>
      </c>
      <c r="K60" s="26">
        <f>30019170.02</f>
        <v>30019170.02</v>
      </c>
      <c r="L60" s="26">
        <f>3123153008.87</f>
        <v>3123153008.8699999</v>
      </c>
      <c r="M60" s="26">
        <f>4660598244.82</f>
        <v>4660598244.8199997</v>
      </c>
      <c r="N60" s="26">
        <f>197022622.9</f>
        <v>197022622.90000001</v>
      </c>
      <c r="O60" s="15">
        <f>281431.57</f>
        <v>281431.57</v>
      </c>
      <c r="P60" s="15">
        <f>247779.93</f>
        <v>247779.93</v>
      </c>
      <c r="Q60" s="15">
        <f>33651.64</f>
        <v>33651.64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 Kwartał 2026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1038919516.8</f>
        <v>1038919516.8</v>
      </c>
      <c r="G87" s="33">
        <f>357200318.93</f>
        <v>357200318.93000001</v>
      </c>
      <c r="H87" s="33">
        <f>17957726.55</f>
        <v>17957726.550000001</v>
      </c>
      <c r="I87" s="33">
        <f>112545894.81</f>
        <v>112545894.81</v>
      </c>
      <c r="J87" s="33">
        <f>216406247.9</f>
        <v>216406247.90000001</v>
      </c>
      <c r="K87" s="33">
        <f>10290449.67</f>
        <v>10290449.67</v>
      </c>
      <c r="L87" s="33">
        <f>681719197.87</f>
        <v>681719197.87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12035110.03</f>
        <v>12035110.029999999</v>
      </c>
      <c r="G88" s="33">
        <f>577328.19</f>
        <v>577328.18999999994</v>
      </c>
      <c r="H88" s="33">
        <f>335766</f>
        <v>335766</v>
      </c>
      <c r="I88" s="33">
        <f>0</f>
        <v>0</v>
      </c>
      <c r="J88" s="33">
        <f>41562.19</f>
        <v>41562.19</v>
      </c>
      <c r="K88" s="33">
        <f>200000</f>
        <v>200000</v>
      </c>
      <c r="L88" s="33">
        <f>11457781.84</f>
        <v>11457781.84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22215610.86</f>
        <v>22215610.859999999</v>
      </c>
      <c r="G89" s="33">
        <f>3662350.83</f>
        <v>3662350.83</v>
      </c>
      <c r="H89" s="33">
        <f>0</f>
        <v>0</v>
      </c>
      <c r="I89" s="33">
        <f>61487</f>
        <v>61487</v>
      </c>
      <c r="J89" s="33">
        <f>3369777.79</f>
        <v>3369777.79</v>
      </c>
      <c r="K89" s="33">
        <f>231086.04</f>
        <v>231086.04</v>
      </c>
      <c r="L89" s="33">
        <f>18553260.03</f>
        <v>18553260.030000001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789375.68</f>
        <v>789375.68</v>
      </c>
      <c r="G90" s="33">
        <f>30000</f>
        <v>30000</v>
      </c>
      <c r="H90" s="33">
        <f>0</f>
        <v>0</v>
      </c>
      <c r="I90" s="33">
        <f>30000</f>
        <v>30000</v>
      </c>
      <c r="J90" s="33">
        <f>0</f>
        <v>0</v>
      </c>
      <c r="K90" s="33">
        <f>0</f>
        <v>0</v>
      </c>
      <c r="L90" s="33">
        <f>759375.68</f>
        <v>759375.68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31558.58</f>
        <v>31558.58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31558.58</f>
        <v>31558.58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279392.46</f>
        <v>279392.46000000002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279392.46</f>
        <v>279392.46000000002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20000</f>
        <v>20000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20000</f>
        <v>20000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 Kwartał 2026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2393</f>
        <v>2393</v>
      </c>
      <c r="H99" s="67"/>
      <c r="I99" s="68">
        <f>22320161324.13</f>
        <v>22320161324.130001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20</f>
        <v>20</v>
      </c>
      <c r="H100" s="77"/>
      <c r="I100" s="78">
        <f>-96965193.4</f>
        <v>-96965193.400000006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1</f>
        <v>1</v>
      </c>
      <c r="C104" s="8" t="str">
        <f>IF(B104=1,"I Kwartał",IF(B104=2,"II Kwartały",IF(B104=3,"III Kwartały",IF(B104=4,"IV Kwartały","-"))))</f>
        <v>I Kwartał</v>
      </c>
    </row>
    <row r="105" spans="1:11" ht="13.5" customHeight="1" x14ac:dyDescent="0.2">
      <c r="A105" s="8" t="s">
        <v>9</v>
      </c>
      <c r="B105" s="8">
        <f>2026</f>
        <v>2026</v>
      </c>
      <c r="C105" s="9"/>
    </row>
    <row r="106" spans="1:11" ht="13.5" customHeight="1" x14ac:dyDescent="0.2">
      <c r="A106" s="8" t="s">
        <v>10</v>
      </c>
      <c r="B106" s="10" t="str">
        <f>"May 18 2026 12:00AM"</f>
        <v>May 18 2026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2026-05-29T11:58:01Z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2026-05-29T13:58:00.3294274+02:00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GRN-4492e9b5-8f71-4362-901e-f82ad2f8fe71</vt:lpwstr>
  </property>
  <property fmtid="{D5CDD505-2E9C-101B-9397-08002B2CF9AE}" pid="7" name="MFHash">
    <vt:lpwstr>gUbvbJkG2Md8N5xQUmd20dpb7RYR4WNsOK0M/gVyQOk=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