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II kwartał\2025.11.14 Dane ostateczne\Zbiorówki_2025_k3_2025.11.14\Publikacja\"/>
    </mc:Choice>
  </mc:AlternateContent>
  <xr:revisionPtr revIDLastSave="0" documentId="13_ncr:1_{44AEB638-C790-4A0C-ABF5-BF53E20478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6" i="7" l="1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 l="1"/>
  <c r="A30" i="7" l="1"/>
  <c r="A86" i="7"/>
  <c r="A67" i="7"/>
  <c r="A1" i="7"/>
</calcChain>
</file>

<file path=xl/sharedStrings.xml><?xml version="1.0" encoding="utf-8"?>
<sst xmlns="http://schemas.openxmlformats.org/spreadsheetml/2006/main" count="93" uniqueCount="79">
  <si>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</si>
  <si>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</si>
  <si>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</si>
  <si>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</si>
  <si>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</si>
  <si>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</si>
  <si>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</si>
  <si>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</si>
  <si>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</si>
  <si>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</si>
  <si>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</si>
  <si>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</si>
  <si>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</si>
  <si>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</si>
  <si>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</si>
  <si>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</si>
  <si>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</si>
  <si>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</si>
  <si>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</si>
  <si>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</si>
  <si>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</si>
  <si>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</si>
  <si>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</si>
  <si>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</si>
  <si>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</si>
  <si>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</si>
  <si>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</si>
  <si>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</si>
  <si>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</si>
  <si>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</si>
  <si>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</si>
  <si>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</si>
  <si>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</si>
  <si>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</si>
  <si>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</si>
  <si>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</si>
  <si>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</si>
  <si>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</si>
  <si>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</si>
  <si>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</si>
  <si>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</si>
  <si>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</si>
  <si>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</si>
  <si>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</si>
  <si>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</si>
  <si>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</si>
  <si>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</si>
  <si>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</si>
  <si>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</si>
  <si>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</si>
  <si>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</si>
  <si>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</si>
  <si>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</si>
  <si>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</si>
  <si>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</si>
  <si>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</si>
  <si>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</si>
  <si>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</si>
  <si>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</si>
  <si>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</si>
  <si>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</si>
  <si>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</si>
  <si>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</si>
  <si>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</si>
  <si>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</si>
  <si>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</si>
  <si>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</si>
  <si>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</si>
  <si>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</si>
  <si>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</si>
  <si>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</si>
  <si>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</si>
  <si>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</si>
  <si>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</si>
  <si>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</si>
  <si>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E1 papiery wartościowe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</si>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</sst>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1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2" fillId="0" borderId="10" xfId="37" applyFont="1" applyBorder="1" applyAlignment="1">
      <alignment horizontal="left" vertical="center" wrapText="1"/>
    </xf>
    <xf numFmtId="0" fontId="2" fillId="0" borderId="10" xfId="37" applyFont="1" applyBorder="1" applyAlignment="1">
      <alignment horizontal="left" vertical="top" wrapText="1"/>
    </xf>
    <xf numFmtId="0" fontId="29" fillId="0" borderId="17" xfId="0" applyFont="1" applyFill="1" applyBorder="1" applyAlignment="1">
      <alignment vertical="top" wrapText="1"/>
    </xf>
    <xf numFmtId="0" fontId="8" fillId="20" borderId="10" xfId="37" applyFont="1" applyFill="1" applyBorder="1" applyAlignment="1">
      <alignment horizontal="left" vertical="top" wrapText="1"/>
    </xf>
    <xf numFmtId="0" fontId="2" fillId="20" borderId="10" xfId="37" applyFont="1" applyFill="1" applyBorder="1" applyAlignment="1">
      <alignment horizontal="left" vertical="top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8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28" fillId="21" borderId="17" xfId="0" applyFont="1" applyFill="1" applyBorder="1" applyAlignment="1">
      <alignment vertical="top" wrapText="1"/>
    </xf>
    <xf numFmtId="0" fontId="2" fillId="19" borderId="10" xfId="37" applyFont="1" applyFill="1" applyBorder="1" applyAlignment="1">
      <alignment horizontal="center" vertical="center" wrapText="1"/>
    </xf>
    <xf numFmtId="0" fontId="8" fillId="19" borderId="15" xfId="37" applyFont="1" applyFill="1" applyBorder="1" applyAlignment="1">
      <alignment horizontal="center" vertical="center" wrapText="1"/>
    </xf>
    <xf numFmtId="0" fontId="8" fillId="19" borderId="14" xfId="37" applyFont="1" applyFill="1" applyBorder="1" applyAlignment="1">
      <alignment horizontal="center" vertical="center" wrapText="1"/>
    </xf>
    <xf numFmtId="0" fontId="8" fillId="19" borderId="11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2" fillId="19" borderId="23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30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" fillId="19" borderId="19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19" borderId="21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16.42578125" style="2" customWidth="1"/>
    <col min="2" max="2" width="14.7109375" style="2" customWidth="1"/>
    <col min="3" max="3" width="15.140625" style="2" customWidth="1"/>
    <col min="4" max="4" width="12.5703125" style="2" customWidth="1"/>
    <col min="5" max="5" width="11.42578125" style="2" customWidth="1"/>
    <col min="6" max="7" width="12.5703125" style="2" customWidth="1"/>
    <col min="8" max="8" width="12" style="2" customWidth="1"/>
    <col min="9" max="9" width="11.7109375" style="2" customWidth="1"/>
    <col min="10" max="10" width="13" style="2" customWidth="1"/>
    <col min="11" max="11" width="12.140625" style="2" customWidth="1"/>
    <col min="12" max="12" width="13.28515625" style="2" customWidth="1"/>
    <col min="13" max="13" width="12.85546875" style="2" customWidth="1"/>
    <col min="14" max="14" width="12" style="2" customWidth="1"/>
    <col min="15" max="17" width="11.7109375" style="2" customWidth="1"/>
    <col min="18" max="16384" width="9.140625" style="2"/>
  </cols>
  <sheetData>
    <row r="1" spans="1:17" ht="75" customHeight="1" x14ac:dyDescent="0.2">
      <c r="A1" s="37" t="str">
        <f>CONCATENATE("Informacja z wykonania budżetów jednostek samorządu terytorialnego za ",$C$94," ",$B$95," roku")</f>
        <v>Informacja z wykonania budżetów jednostek samorządu terytorialnego za III Kwartały 2025 roku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9" t="s">
        <v>60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5" spans="1:17" ht="13.5" customHeight="1" x14ac:dyDescent="0.2">
      <c r="B5" s="11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10"/>
      <c r="O5" s="10"/>
      <c r="P5" s="10"/>
      <c r="Q5" s="10"/>
    </row>
    <row r="6" spans="1:17" ht="13.5" customHeight="1" x14ac:dyDescent="0.2">
      <c r="A6" s="41" t="s">
        <v>0</v>
      </c>
      <c r="B6" s="40" t="s">
        <v>61</v>
      </c>
      <c r="C6" s="44" t="s">
        <v>65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6"/>
      <c r="O6" s="44" t="s">
        <v>64</v>
      </c>
      <c r="P6" s="45"/>
      <c r="Q6" s="46"/>
    </row>
    <row r="7" spans="1:17" ht="13.5" customHeight="1" x14ac:dyDescent="0.2">
      <c r="A7" s="42"/>
      <c r="B7" s="34"/>
      <c r="C7" s="33" t="s">
        <v>62</v>
      </c>
      <c r="D7" s="33" t="s">
        <v>73</v>
      </c>
      <c r="E7" s="33" t="s">
        <v>66</v>
      </c>
      <c r="F7" s="33" t="s">
        <v>67</v>
      </c>
      <c r="G7" s="33" t="s">
        <v>27</v>
      </c>
      <c r="H7" s="33" t="s">
        <v>28</v>
      </c>
      <c r="I7" s="35" t="s">
        <v>63</v>
      </c>
      <c r="J7" s="33" t="s">
        <v>16</v>
      </c>
      <c r="K7" s="33" t="s">
        <v>17</v>
      </c>
      <c r="L7" s="33" t="s">
        <v>18</v>
      </c>
      <c r="M7" s="33" t="s">
        <v>19</v>
      </c>
      <c r="N7" s="34" t="s">
        <v>20</v>
      </c>
      <c r="O7" s="29" t="s">
        <v>21</v>
      </c>
      <c r="P7" s="29" t="s">
        <v>22</v>
      </c>
      <c r="Q7" s="29" t="s">
        <v>23</v>
      </c>
    </row>
    <row r="8" spans="1:17" ht="13.5" customHeight="1" x14ac:dyDescent="0.2">
      <c r="A8" s="42"/>
      <c r="B8" s="34"/>
      <c r="C8" s="29"/>
      <c r="D8" s="29"/>
      <c r="E8" s="29"/>
      <c r="F8" s="29"/>
      <c r="G8" s="29"/>
      <c r="H8" s="29"/>
      <c r="I8" s="35"/>
      <c r="J8" s="29"/>
      <c r="K8" s="29"/>
      <c r="L8" s="29"/>
      <c r="M8" s="29"/>
      <c r="N8" s="34"/>
      <c r="O8" s="29"/>
      <c r="P8" s="29"/>
      <c r="Q8" s="29"/>
    </row>
    <row r="9" spans="1:17" ht="13.5" customHeight="1" x14ac:dyDescent="0.2">
      <c r="A9" s="42"/>
      <c r="B9" s="34"/>
      <c r="C9" s="29"/>
      <c r="D9" s="29"/>
      <c r="E9" s="29"/>
      <c r="F9" s="29"/>
      <c r="G9" s="29"/>
      <c r="H9" s="29"/>
      <c r="I9" s="35"/>
      <c r="J9" s="29"/>
      <c r="K9" s="29"/>
      <c r="L9" s="29"/>
      <c r="M9" s="29"/>
      <c r="N9" s="34"/>
      <c r="O9" s="29"/>
      <c r="P9" s="29"/>
      <c r="Q9" s="29"/>
    </row>
    <row r="10" spans="1:17" ht="11.25" customHeight="1" x14ac:dyDescent="0.2">
      <c r="A10" s="42"/>
      <c r="B10" s="34"/>
      <c r="C10" s="29"/>
      <c r="D10" s="29"/>
      <c r="E10" s="29"/>
      <c r="F10" s="29"/>
      <c r="G10" s="29"/>
      <c r="H10" s="29"/>
      <c r="I10" s="35"/>
      <c r="J10" s="29"/>
      <c r="K10" s="29"/>
      <c r="L10" s="29"/>
      <c r="M10" s="29"/>
      <c r="N10" s="34"/>
      <c r="O10" s="29"/>
      <c r="P10" s="29"/>
      <c r="Q10" s="29"/>
    </row>
    <row r="11" spans="1:17" ht="27.75" customHeight="1" x14ac:dyDescent="0.2">
      <c r="A11" s="43"/>
      <c r="B11" s="33"/>
      <c r="C11" s="29"/>
      <c r="D11" s="29"/>
      <c r="E11" s="29"/>
      <c r="F11" s="29"/>
      <c r="G11" s="29"/>
      <c r="H11" s="29"/>
      <c r="I11" s="36"/>
      <c r="J11" s="29"/>
      <c r="K11" s="29"/>
      <c r="L11" s="29"/>
      <c r="M11" s="29"/>
      <c r="N11" s="33"/>
      <c r="O11" s="29"/>
      <c r="P11" s="29"/>
      <c r="Q11" s="29"/>
    </row>
    <row r="12" spans="1:17" ht="13.5" customHeight="1" x14ac:dyDescent="0.2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  <c r="K12" s="12">
        <v>11</v>
      </c>
      <c r="L12" s="12">
        <v>12</v>
      </c>
      <c r="M12" s="12">
        <v>13</v>
      </c>
      <c r="N12" s="12">
        <v>14</v>
      </c>
      <c r="O12" s="12">
        <v>15</v>
      </c>
      <c r="P12" s="12">
        <v>16</v>
      </c>
      <c r="Q12" s="12">
        <v>17</v>
      </c>
    </row>
    <row r="13" spans="1:17" ht="52.5" customHeight="1" x14ac:dyDescent="0.2">
      <c r="A13" s="19" t="s">
        <v>45</v>
      </c>
      <c r="B13" s="21">
        <f>107986633188.31</f>
        <v>107986633188.31</v>
      </c>
      <c r="C13" s="21">
        <f>84194246721.77</f>
        <v>84194246721.770004</v>
      </c>
      <c r="D13" s="21">
        <f>3490532717.96</f>
        <v>3490532717.96</v>
      </c>
      <c r="E13" s="21">
        <f>1133865656.1</f>
        <v>1133865656.0999999</v>
      </c>
      <c r="F13" s="21">
        <f>641807651.79</f>
        <v>641807651.78999996</v>
      </c>
      <c r="G13" s="21">
        <f>1712741349.08</f>
        <v>1712741349.0799999</v>
      </c>
      <c r="H13" s="21">
        <f>2118060.99</f>
        <v>2118060.9900000002</v>
      </c>
      <c r="I13" s="21">
        <f>0</f>
        <v>0</v>
      </c>
      <c r="J13" s="21">
        <f>76427928804.62</f>
        <v>76427928804.619995</v>
      </c>
      <c r="K13" s="21">
        <f>3183766033.87</f>
        <v>3183766033.8699999</v>
      </c>
      <c r="L13" s="21">
        <f>1045912312.2</f>
        <v>1045912312.2</v>
      </c>
      <c r="M13" s="21">
        <f>30450377.06</f>
        <v>30450377.059999999</v>
      </c>
      <c r="N13" s="21">
        <f>15656476.06</f>
        <v>15656476.060000001</v>
      </c>
      <c r="O13" s="21">
        <f>23792386466.54</f>
        <v>23792386466.540001</v>
      </c>
      <c r="P13" s="21">
        <f>21170910365.48</f>
        <v>21170910365.48</v>
      </c>
      <c r="Q13" s="21">
        <f>2621476101.06</f>
        <v>2621476101.0599999</v>
      </c>
    </row>
    <row r="14" spans="1:17" ht="41.25" customHeight="1" x14ac:dyDescent="0.2">
      <c r="A14" s="19" t="s">
        <v>75</v>
      </c>
      <c r="B14" s="21">
        <f>9471783000</f>
        <v>9471783000</v>
      </c>
      <c r="C14" s="21">
        <f>9471783000</f>
        <v>9471783000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9275333000</f>
        <v>9275333000</v>
      </c>
      <c r="K14" s="21">
        <f>196450000</f>
        <v>196450000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2.5" x14ac:dyDescent="0.2">
      <c r="A15" s="16" t="s">
        <v>46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3.25" customHeight="1" x14ac:dyDescent="0.2">
      <c r="A16" s="16" t="s">
        <v>47</v>
      </c>
      <c r="B16" s="22">
        <f>9471783000</f>
        <v>9471783000</v>
      </c>
      <c r="C16" s="22">
        <f>9471783000</f>
        <v>9471783000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9275333000</f>
        <v>9275333000</v>
      </c>
      <c r="K16" s="22">
        <f>196450000</f>
        <v>196450000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3" customHeight="1" x14ac:dyDescent="0.2">
      <c r="A17" s="19" t="s">
        <v>76</v>
      </c>
      <c r="B17" s="21">
        <f>98448943299.96</f>
        <v>98448943299.960007</v>
      </c>
      <c r="C17" s="21">
        <f>74656557714.54</f>
        <v>74656557714.539993</v>
      </c>
      <c r="D17" s="21">
        <f>3471858238.42</f>
        <v>3471858238.4200001</v>
      </c>
      <c r="E17" s="21">
        <f>1133354423.46</f>
        <v>1133354423.46</v>
      </c>
      <c r="F17" s="21">
        <f>641786575.56</f>
        <v>641786575.55999994</v>
      </c>
      <c r="G17" s="21">
        <f>1696717239.4</f>
        <v>1696717239.4000001</v>
      </c>
      <c r="H17" s="21">
        <f>0</f>
        <v>0</v>
      </c>
      <c r="I17" s="21">
        <f>0</f>
        <v>0</v>
      </c>
      <c r="J17" s="21">
        <f>67152595804.61</f>
        <v>67152595804.610001</v>
      </c>
      <c r="K17" s="21">
        <f>2986576103.88</f>
        <v>2986576103.8800001</v>
      </c>
      <c r="L17" s="21">
        <f>1020083598.01</f>
        <v>1020083598.01</v>
      </c>
      <c r="M17" s="21">
        <f>12130919.76</f>
        <v>12130919.76</v>
      </c>
      <c r="N17" s="21">
        <f>13313049.86</f>
        <v>13313049.859999999</v>
      </c>
      <c r="O17" s="21">
        <f>23792385585.42</f>
        <v>23792385585.419998</v>
      </c>
      <c r="P17" s="21">
        <f>21170910365.48</f>
        <v>21170910365.48</v>
      </c>
      <c r="Q17" s="21">
        <f>2621475219.94</f>
        <v>2621475219.9400001</v>
      </c>
    </row>
    <row r="18" spans="1:17" ht="22.5" x14ac:dyDescent="0.2">
      <c r="A18" s="16" t="s">
        <v>48</v>
      </c>
      <c r="B18" s="22">
        <f>604871520.83</f>
        <v>604871520.83000004</v>
      </c>
      <c r="C18" s="22">
        <f>604871520.83</f>
        <v>604871520.83000004</v>
      </c>
      <c r="D18" s="22">
        <f>83239165.35</f>
        <v>83239165.349999994</v>
      </c>
      <c r="E18" s="22">
        <f>71851670.65</f>
        <v>71851670.650000006</v>
      </c>
      <c r="F18" s="22">
        <f>239971</f>
        <v>239971</v>
      </c>
      <c r="G18" s="22">
        <f>11147523.7</f>
        <v>11147523.699999999</v>
      </c>
      <c r="H18" s="22">
        <f>0</f>
        <v>0</v>
      </c>
      <c r="I18" s="22">
        <f>0</f>
        <v>0</v>
      </c>
      <c r="J18" s="22">
        <f>517751837.63</f>
        <v>517751837.63</v>
      </c>
      <c r="K18" s="22">
        <f>2287964.71</f>
        <v>2287964.71</v>
      </c>
      <c r="L18" s="22">
        <f>247009.14</f>
        <v>247009.14</v>
      </c>
      <c r="M18" s="22">
        <f>1345544</f>
        <v>1345544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4" customHeight="1" x14ac:dyDescent="0.2">
      <c r="A19" s="16" t="s">
        <v>49</v>
      </c>
      <c r="B19" s="22">
        <f>97844071779.13</f>
        <v>97844071779.130005</v>
      </c>
      <c r="C19" s="22">
        <f>74051686193.71</f>
        <v>74051686193.710007</v>
      </c>
      <c r="D19" s="22">
        <f>3388619073.07</f>
        <v>3388619073.0700002</v>
      </c>
      <c r="E19" s="22">
        <f>1061502752.81</f>
        <v>1061502752.8099999</v>
      </c>
      <c r="F19" s="22">
        <f>641546604.56</f>
        <v>641546604.55999994</v>
      </c>
      <c r="G19" s="22">
        <f>1685569715.7</f>
        <v>1685569715.7</v>
      </c>
      <c r="H19" s="22">
        <f>0</f>
        <v>0</v>
      </c>
      <c r="I19" s="22">
        <f>0</f>
        <v>0</v>
      </c>
      <c r="J19" s="22">
        <f>66634843966.98</f>
        <v>66634843966.980003</v>
      </c>
      <c r="K19" s="22">
        <f>2984288139.17</f>
        <v>2984288139.1700001</v>
      </c>
      <c r="L19" s="22">
        <f>1019836588.87</f>
        <v>1019836588.87</v>
      </c>
      <c r="M19" s="22">
        <f>10785375.76</f>
        <v>10785375.76</v>
      </c>
      <c r="N19" s="22">
        <f>13313049.86</f>
        <v>13313049.859999999</v>
      </c>
      <c r="O19" s="22">
        <f>23792385585.42</f>
        <v>23792385585.419998</v>
      </c>
      <c r="P19" s="22">
        <f>21170910365.48</f>
        <v>21170910365.48</v>
      </c>
      <c r="Q19" s="22">
        <f>2621475219.94</f>
        <v>2621475219.9400001</v>
      </c>
    </row>
    <row r="20" spans="1:17" ht="24.75" customHeight="1" x14ac:dyDescent="0.2">
      <c r="A20" s="26" t="s">
        <v>50</v>
      </c>
      <c r="B20" s="27">
        <f>6500000</f>
        <v>6500000</v>
      </c>
      <c r="C20" s="27">
        <f>6500000</f>
        <v>6500000</v>
      </c>
      <c r="D20" s="27">
        <f>6500000</f>
        <v>6500000</v>
      </c>
      <c r="E20" s="27">
        <f>0</f>
        <v>0</v>
      </c>
      <c r="F20" s="27">
        <f>0</f>
        <v>0</v>
      </c>
      <c r="G20" s="27">
        <f>6500000</f>
        <v>6500000</v>
      </c>
      <c r="H20" s="27">
        <f>0</f>
        <v>0</v>
      </c>
      <c r="I20" s="27">
        <f>0</f>
        <v>0</v>
      </c>
      <c r="J20" s="27">
        <f>0</f>
        <v>0</v>
      </c>
      <c r="K20" s="27">
        <f>0</f>
        <v>0</v>
      </c>
      <c r="L20" s="27">
        <f>0</f>
        <v>0</v>
      </c>
      <c r="M20" s="27">
        <f>0</f>
        <v>0</v>
      </c>
      <c r="N20" s="27">
        <f>0</f>
        <v>0</v>
      </c>
      <c r="O20" s="27">
        <f>0</f>
        <v>0</v>
      </c>
      <c r="P20" s="27">
        <f>0</f>
        <v>0</v>
      </c>
      <c r="Q20" s="27">
        <f>0</f>
        <v>0</v>
      </c>
    </row>
    <row r="21" spans="1:17" ht="38.25" customHeight="1" x14ac:dyDescent="0.2">
      <c r="A21" s="20" t="s">
        <v>77</v>
      </c>
      <c r="B21" s="21">
        <f>59406888.35</f>
        <v>59406888.350000001</v>
      </c>
      <c r="C21" s="21">
        <f>59406007.23</f>
        <v>59406007.229999997</v>
      </c>
      <c r="D21" s="21">
        <f>12174479.54</f>
        <v>12174479.539999999</v>
      </c>
      <c r="E21" s="21">
        <f>511232.64</f>
        <v>511232.64</v>
      </c>
      <c r="F21" s="21">
        <f>21076.23</f>
        <v>21076.23</v>
      </c>
      <c r="G21" s="21">
        <f>9524109.68</f>
        <v>9524109.6799999997</v>
      </c>
      <c r="H21" s="21">
        <f>2118060.99</f>
        <v>2118060.9900000002</v>
      </c>
      <c r="I21" s="21">
        <f>0</f>
        <v>0</v>
      </c>
      <c r="J21" s="21">
        <f>0.01</f>
        <v>0.01</v>
      </c>
      <c r="K21" s="21">
        <f>739929.99</f>
        <v>739929.99</v>
      </c>
      <c r="L21" s="21">
        <f>25828714.19</f>
        <v>25828714.190000001</v>
      </c>
      <c r="M21" s="21">
        <f>18319457.3</f>
        <v>18319457.300000001</v>
      </c>
      <c r="N21" s="21">
        <f>2343426.2</f>
        <v>2343426.2000000002</v>
      </c>
      <c r="O21" s="21">
        <f>881.12</f>
        <v>881.12</v>
      </c>
      <c r="P21" s="21">
        <f>0</f>
        <v>0</v>
      </c>
      <c r="Q21" s="21">
        <f>881.12</f>
        <v>881.12</v>
      </c>
    </row>
    <row r="22" spans="1:17" ht="33" customHeight="1" x14ac:dyDescent="0.2">
      <c r="A22" s="17" t="s">
        <v>51</v>
      </c>
      <c r="B22" s="22">
        <f>41076065.02</f>
        <v>41076065.020000003</v>
      </c>
      <c r="C22" s="22">
        <f>41076065.02</f>
        <v>41076065.020000003</v>
      </c>
      <c r="D22" s="22">
        <f>1600435.6</f>
        <v>1600435.6</v>
      </c>
      <c r="E22" s="22">
        <f>33852.48</f>
        <v>33852.480000000003</v>
      </c>
      <c r="F22" s="22">
        <f>1050</f>
        <v>1050</v>
      </c>
      <c r="G22" s="22">
        <f>1565533.12</f>
        <v>1565533.12</v>
      </c>
      <c r="H22" s="22">
        <f>0</f>
        <v>0</v>
      </c>
      <c r="I22" s="22">
        <f>0</f>
        <v>0</v>
      </c>
      <c r="J22" s="22">
        <f>0.01</f>
        <v>0.01</v>
      </c>
      <c r="K22" s="22">
        <f>716374.39</f>
        <v>716374.39</v>
      </c>
      <c r="L22" s="22">
        <f>21327371</f>
        <v>21327371</v>
      </c>
      <c r="M22" s="22">
        <f>15116459.46</f>
        <v>15116459.460000001</v>
      </c>
      <c r="N22" s="22">
        <f>2315424.56</f>
        <v>2315424.56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18330823.33</f>
        <v>18330823.329999998</v>
      </c>
      <c r="C23" s="22">
        <f>18329942.21</f>
        <v>18329942.210000001</v>
      </c>
      <c r="D23" s="22">
        <f>10574043.94</f>
        <v>10574043.939999999</v>
      </c>
      <c r="E23" s="22">
        <f>477380.16</f>
        <v>477380.16</v>
      </c>
      <c r="F23" s="22">
        <f>20026.23</f>
        <v>20026.23</v>
      </c>
      <c r="G23" s="22">
        <f>7958576.56</f>
        <v>7958576.5599999996</v>
      </c>
      <c r="H23" s="22">
        <f>2118060.99</f>
        <v>2118060.9900000002</v>
      </c>
      <c r="I23" s="22">
        <f>0</f>
        <v>0</v>
      </c>
      <c r="J23" s="22">
        <f>0</f>
        <v>0</v>
      </c>
      <c r="K23" s="22">
        <f>23555.6</f>
        <v>23555.599999999999</v>
      </c>
      <c r="L23" s="22">
        <f>4501343.19</f>
        <v>4501343.1900000004</v>
      </c>
      <c r="M23" s="22">
        <f>3202997.84</f>
        <v>3202997.84</v>
      </c>
      <c r="N23" s="22">
        <f>28001.64</f>
        <v>28001.64</v>
      </c>
      <c r="O23" s="22">
        <f>881.12</f>
        <v>881.12</v>
      </c>
      <c r="P23" s="22">
        <f>0</f>
        <v>0</v>
      </c>
      <c r="Q23" s="22">
        <f>881.12</f>
        <v>881.12</v>
      </c>
    </row>
    <row r="24" spans="1:17" ht="19.5" customHeight="1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ht="19.5" customHeight="1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ht="19.5" customHeight="1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9.5" customHeight="1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9.5" customHeight="1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9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ht="45.75" customHeight="1" x14ac:dyDescent="0.2">
      <c r="A30" s="37" t="str">
        <f>CONCATENATE("Informacja z wykonania budżetów jednostek samorządu terytorialnego za ",$C$94," ",$B$95," roku")</f>
        <v>Informacja z wykonania budżetów jednostek samorządu terytorialnego za III Kwartały 2025 roku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</row>
    <row r="32" spans="1:17" ht="13.5" customHeight="1" x14ac:dyDescent="0.2">
      <c r="A32" s="39" t="s">
        <v>11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4" spans="1:17" ht="13.5" customHeight="1" x14ac:dyDescent="0.2">
      <c r="A34" s="41" t="s">
        <v>0</v>
      </c>
      <c r="B34" s="40" t="s">
        <v>12</v>
      </c>
      <c r="C34" s="30" t="s">
        <v>14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2"/>
      <c r="O34" s="30" t="s">
        <v>24</v>
      </c>
      <c r="P34" s="31"/>
      <c r="Q34" s="32"/>
    </row>
    <row r="35" spans="1:17" ht="13.5" customHeight="1" x14ac:dyDescent="0.2">
      <c r="A35" s="42"/>
      <c r="B35" s="34"/>
      <c r="C35" s="34" t="s">
        <v>13</v>
      </c>
      <c r="D35" s="29" t="s">
        <v>15</v>
      </c>
      <c r="E35" s="29" t="s">
        <v>25</v>
      </c>
      <c r="F35" s="29" t="s">
        <v>26</v>
      </c>
      <c r="G35" s="29" t="s">
        <v>70</v>
      </c>
      <c r="H35" s="29" t="s">
        <v>28</v>
      </c>
      <c r="I35" s="29" t="s">
        <v>1</v>
      </c>
      <c r="J35" s="29" t="s">
        <v>16</v>
      </c>
      <c r="K35" s="29" t="s">
        <v>17</v>
      </c>
      <c r="L35" s="29" t="s">
        <v>18</v>
      </c>
      <c r="M35" s="29" t="s">
        <v>19</v>
      </c>
      <c r="N35" s="47" t="s">
        <v>20</v>
      </c>
      <c r="O35" s="29" t="s">
        <v>21</v>
      </c>
      <c r="P35" s="29" t="s">
        <v>22</v>
      </c>
      <c r="Q35" s="40" t="s">
        <v>23</v>
      </c>
    </row>
    <row r="36" spans="1:17" ht="13.5" customHeight="1" x14ac:dyDescent="0.2">
      <c r="A36" s="42"/>
      <c r="B36" s="34"/>
      <c r="C36" s="34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47"/>
      <c r="O36" s="29"/>
      <c r="P36" s="29"/>
      <c r="Q36" s="34"/>
    </row>
    <row r="37" spans="1:17" ht="11.25" customHeight="1" x14ac:dyDescent="0.2">
      <c r="A37" s="42"/>
      <c r="B37" s="34"/>
      <c r="C37" s="34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47"/>
      <c r="O37" s="29"/>
      <c r="P37" s="29"/>
      <c r="Q37" s="34"/>
    </row>
    <row r="38" spans="1:17" ht="32.25" customHeight="1" x14ac:dyDescent="0.2">
      <c r="A38" s="43"/>
      <c r="B38" s="33"/>
      <c r="C38" s="33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47"/>
      <c r="O38" s="29"/>
      <c r="P38" s="29"/>
      <c r="Q38" s="33"/>
    </row>
    <row r="39" spans="1:17" ht="13.5" customHeight="1" x14ac:dyDescent="0.2">
      <c r="A39" s="12">
        <v>1</v>
      </c>
      <c r="B39" s="12">
        <v>2</v>
      </c>
      <c r="C39" s="12">
        <v>3</v>
      </c>
      <c r="D39" s="12">
        <v>4</v>
      </c>
      <c r="E39" s="12">
        <v>5</v>
      </c>
      <c r="F39" s="12">
        <v>6</v>
      </c>
      <c r="G39" s="12">
        <v>7</v>
      </c>
      <c r="H39" s="12">
        <v>8</v>
      </c>
      <c r="I39" s="12">
        <v>9</v>
      </c>
      <c r="J39" s="12">
        <v>10</v>
      </c>
      <c r="K39" s="12">
        <v>11</v>
      </c>
      <c r="L39" s="12">
        <v>12</v>
      </c>
      <c r="M39" s="12">
        <v>13</v>
      </c>
      <c r="N39" s="12">
        <v>14</v>
      </c>
      <c r="O39" s="12">
        <v>15</v>
      </c>
      <c r="P39" s="12">
        <v>16</v>
      </c>
      <c r="Q39" s="12">
        <v>17</v>
      </c>
    </row>
    <row r="40" spans="1:17" ht="35.25" customHeight="1" x14ac:dyDescent="0.2">
      <c r="A40" s="28" t="s">
        <v>40</v>
      </c>
      <c r="B40" s="23">
        <f>95945997.29</f>
        <v>95945997.290000007</v>
      </c>
      <c r="C40" s="23">
        <f>95945997.29</f>
        <v>95945997.290000007</v>
      </c>
      <c r="D40" s="23">
        <f>0</f>
        <v>0</v>
      </c>
      <c r="E40" s="23">
        <f>0</f>
        <v>0</v>
      </c>
      <c r="F40" s="23">
        <f>0</f>
        <v>0</v>
      </c>
      <c r="G40" s="23">
        <f>0</f>
        <v>0</v>
      </c>
      <c r="H40" s="23">
        <f>0</f>
        <v>0</v>
      </c>
      <c r="I40" s="23">
        <f>0</f>
        <v>0</v>
      </c>
      <c r="J40" s="23">
        <f>69780161.9</f>
        <v>69780161.900000006</v>
      </c>
      <c r="K40" s="23">
        <f>26085401.79</f>
        <v>26085401.789999999</v>
      </c>
      <c r="L40" s="23">
        <f>80433.6</f>
        <v>80433.600000000006</v>
      </c>
      <c r="M40" s="23">
        <f>0</f>
        <v>0</v>
      </c>
      <c r="N40" s="23">
        <f>0</f>
        <v>0</v>
      </c>
      <c r="O40" s="23">
        <f>0</f>
        <v>0</v>
      </c>
      <c r="P40" s="23">
        <f>0</f>
        <v>0</v>
      </c>
      <c r="Q40" s="23">
        <f>0</f>
        <v>0</v>
      </c>
    </row>
    <row r="41" spans="1:17" ht="28.5" customHeight="1" x14ac:dyDescent="0.2">
      <c r="A41" s="18" t="s">
        <v>29</v>
      </c>
      <c r="B41" s="24">
        <f>26085401.79</f>
        <v>26085401.789999999</v>
      </c>
      <c r="C41" s="24">
        <f>26085401.79</f>
        <v>26085401.789999999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0</f>
        <v>0</v>
      </c>
      <c r="K41" s="24">
        <f>26085401.79</f>
        <v>26085401.789999999</v>
      </c>
      <c r="L41" s="24">
        <f>0</f>
        <v>0</v>
      </c>
      <c r="M41" s="24">
        <f>0</f>
        <v>0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8.5" customHeight="1" x14ac:dyDescent="0.2">
      <c r="A42" s="18" t="s">
        <v>30</v>
      </c>
      <c r="B42" s="24">
        <f>69860595.5</f>
        <v>69860595.5</v>
      </c>
      <c r="C42" s="24">
        <f>69860595.5</f>
        <v>69860595.5</v>
      </c>
      <c r="D42" s="24">
        <f>0</f>
        <v>0</v>
      </c>
      <c r="E42" s="24">
        <f>0</f>
        <v>0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69780161.9</f>
        <v>69780161.900000006</v>
      </c>
      <c r="K42" s="24">
        <f>0</f>
        <v>0</v>
      </c>
      <c r="L42" s="24">
        <f>80433.6</f>
        <v>80433.600000000006</v>
      </c>
      <c r="M42" s="24">
        <f>0</f>
        <v>0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8.5" customHeight="1" x14ac:dyDescent="0.2">
      <c r="A43" s="28" t="s">
        <v>41</v>
      </c>
      <c r="B43" s="23">
        <f>2000083107.07</f>
        <v>2000083107.0699999</v>
      </c>
      <c r="C43" s="23">
        <f>1999904007.85</f>
        <v>1999904007.8499999</v>
      </c>
      <c r="D43" s="23">
        <f>1164003503.24</f>
        <v>1164003503.24</v>
      </c>
      <c r="E43" s="23">
        <f>192763.16</f>
        <v>192763.16</v>
      </c>
      <c r="F43" s="23">
        <f>47419244.3</f>
        <v>47419244.299999997</v>
      </c>
      <c r="G43" s="23">
        <f>1112091495.78</f>
        <v>1112091495.78</v>
      </c>
      <c r="H43" s="23">
        <f>4300000</f>
        <v>4300000</v>
      </c>
      <c r="I43" s="23">
        <f>0</f>
        <v>0</v>
      </c>
      <c r="J43" s="23">
        <f>45615516.91</f>
        <v>45615516.909999996</v>
      </c>
      <c r="K43" s="23">
        <f>0</f>
        <v>0</v>
      </c>
      <c r="L43" s="23">
        <f>461180665.13</f>
        <v>461180665.13</v>
      </c>
      <c r="M43" s="23">
        <f>292112684.66</f>
        <v>292112684.66000003</v>
      </c>
      <c r="N43" s="23">
        <f>36991637.91</f>
        <v>36991637.909999996</v>
      </c>
      <c r="O43" s="23">
        <f>179099.22</f>
        <v>179099.22</v>
      </c>
      <c r="P43" s="23">
        <f>14099.22</f>
        <v>14099.22</v>
      </c>
      <c r="Q43" s="23">
        <f>165000</f>
        <v>165000</v>
      </c>
    </row>
    <row r="44" spans="1:17" ht="32.25" customHeight="1" x14ac:dyDescent="0.2">
      <c r="A44" s="18" t="s">
        <v>31</v>
      </c>
      <c r="B44" s="24">
        <f>214254516.51</f>
        <v>214254516.50999999</v>
      </c>
      <c r="C44" s="24">
        <f>214189516.51</f>
        <v>214189516.50999999</v>
      </c>
      <c r="D44" s="24">
        <f>111262620.34</f>
        <v>111262620.34</v>
      </c>
      <c r="E44" s="24">
        <f>90274.72</f>
        <v>90274.72</v>
      </c>
      <c r="F44" s="24">
        <f>4300000</f>
        <v>4300000</v>
      </c>
      <c r="G44" s="24">
        <f>102572345.62</f>
        <v>102572345.62</v>
      </c>
      <c r="H44" s="24">
        <f>4300000</f>
        <v>4300000</v>
      </c>
      <c r="I44" s="24">
        <f>0</f>
        <v>0</v>
      </c>
      <c r="J44" s="24">
        <f>0</f>
        <v>0</v>
      </c>
      <c r="K44" s="24">
        <f>0</f>
        <v>0</v>
      </c>
      <c r="L44" s="24">
        <f>68675402.72</f>
        <v>68675402.719999999</v>
      </c>
      <c r="M44" s="24">
        <f>23803196.16</f>
        <v>23803196.16</v>
      </c>
      <c r="N44" s="24">
        <f>10448297.29</f>
        <v>10448297.289999999</v>
      </c>
      <c r="O44" s="24">
        <f>65000</f>
        <v>65000</v>
      </c>
      <c r="P44" s="24">
        <f>0</f>
        <v>0</v>
      </c>
      <c r="Q44" s="24">
        <f>65000</f>
        <v>65000</v>
      </c>
    </row>
    <row r="45" spans="1:17" ht="32.25" customHeight="1" x14ac:dyDescent="0.2">
      <c r="A45" s="18" t="s">
        <v>32</v>
      </c>
      <c r="B45" s="24">
        <f>1785828590.56</f>
        <v>1785828590.5599999</v>
      </c>
      <c r="C45" s="24">
        <f>1785714491.34</f>
        <v>1785714491.3399999</v>
      </c>
      <c r="D45" s="24">
        <f>1052740882.9</f>
        <v>1052740882.9</v>
      </c>
      <c r="E45" s="24">
        <f>102488.44</f>
        <v>102488.44</v>
      </c>
      <c r="F45" s="24">
        <f>43119244.3</f>
        <v>43119244.299999997</v>
      </c>
      <c r="G45" s="24">
        <f>1009519150.16</f>
        <v>1009519150.16</v>
      </c>
      <c r="H45" s="24">
        <f>0</f>
        <v>0</v>
      </c>
      <c r="I45" s="24">
        <f>0</f>
        <v>0</v>
      </c>
      <c r="J45" s="24">
        <f>45615516.91</f>
        <v>45615516.909999996</v>
      </c>
      <c r="K45" s="24">
        <f>0</f>
        <v>0</v>
      </c>
      <c r="L45" s="24">
        <f>392505262.41</f>
        <v>392505262.41000003</v>
      </c>
      <c r="M45" s="24">
        <f>268309488.5</f>
        <v>268309488.5</v>
      </c>
      <c r="N45" s="24">
        <f>26543340.62</f>
        <v>26543340.620000001</v>
      </c>
      <c r="O45" s="24">
        <f>114099.22</f>
        <v>114099.22</v>
      </c>
      <c r="P45" s="24">
        <f>14099.22</f>
        <v>14099.22</v>
      </c>
      <c r="Q45" s="24">
        <f>100000</f>
        <v>100000</v>
      </c>
    </row>
    <row r="46" spans="1:17" ht="35.25" customHeight="1" x14ac:dyDescent="0.2">
      <c r="A46" s="28" t="s">
        <v>42</v>
      </c>
      <c r="B46" s="23">
        <f>82534607709.76</f>
        <v>82534607709.759995</v>
      </c>
      <c r="C46" s="23">
        <f>82534343323.05</f>
        <v>82534343323.050003</v>
      </c>
      <c r="D46" s="23">
        <f>34696202.58</f>
        <v>34696202.579999998</v>
      </c>
      <c r="E46" s="23">
        <f>2456562.09</f>
        <v>2456562.09</v>
      </c>
      <c r="F46" s="23">
        <f>52465.58</f>
        <v>52465.58</v>
      </c>
      <c r="G46" s="23">
        <f>32187174.91</f>
        <v>32187174.91</v>
      </c>
      <c r="H46" s="23">
        <f>0</f>
        <v>0</v>
      </c>
      <c r="I46" s="23">
        <f>12379542.7</f>
        <v>12379542.699999999</v>
      </c>
      <c r="J46" s="23">
        <f>82453110627.94</f>
        <v>82453110627.940002</v>
      </c>
      <c r="K46" s="23">
        <f>5401302.37</f>
        <v>5401302.3700000001</v>
      </c>
      <c r="L46" s="23">
        <f>28460071.61</f>
        <v>28460071.609999999</v>
      </c>
      <c r="M46" s="23">
        <f>200643.82</f>
        <v>200643.82</v>
      </c>
      <c r="N46" s="23">
        <f>94932.03</f>
        <v>94932.03</v>
      </c>
      <c r="O46" s="23">
        <f>264386.71</f>
        <v>264386.71000000002</v>
      </c>
      <c r="P46" s="23">
        <f>264386.71</f>
        <v>264386.71000000002</v>
      </c>
      <c r="Q46" s="23">
        <f>0</f>
        <v>0</v>
      </c>
    </row>
    <row r="47" spans="1:17" ht="28.5" customHeight="1" x14ac:dyDescent="0.2">
      <c r="A47" s="18" t="s">
        <v>33</v>
      </c>
      <c r="B47" s="24">
        <f>28858187.1</f>
        <v>28858187.100000001</v>
      </c>
      <c r="C47" s="24">
        <f>28858187.1</f>
        <v>28858187.100000001</v>
      </c>
      <c r="D47" s="24">
        <f>28858187.1</f>
        <v>28858187.100000001</v>
      </c>
      <c r="E47" s="24">
        <f>0</f>
        <v>0</v>
      </c>
      <c r="F47" s="24">
        <f>0</f>
        <v>0</v>
      </c>
      <c r="G47" s="24">
        <f>28858187.1</f>
        <v>28858187.100000001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8.5" customHeight="1" x14ac:dyDescent="0.2">
      <c r="A48" s="18" t="s">
        <v>34</v>
      </c>
      <c r="B48" s="24">
        <f>54086045574.57</f>
        <v>54086045574.57</v>
      </c>
      <c r="C48" s="24">
        <f>54086045574.57</f>
        <v>54086045574.57</v>
      </c>
      <c r="D48" s="24">
        <f>3151956.23</f>
        <v>3151956.23</v>
      </c>
      <c r="E48" s="24">
        <f>27194.14</f>
        <v>27194.14</v>
      </c>
      <c r="F48" s="24">
        <f>500</f>
        <v>500</v>
      </c>
      <c r="G48" s="24">
        <f>3124262.09</f>
        <v>3124262.09</v>
      </c>
      <c r="H48" s="24">
        <f>0</f>
        <v>0</v>
      </c>
      <c r="I48" s="24">
        <f>12295758.17</f>
        <v>12295758.17</v>
      </c>
      <c r="J48" s="24">
        <f>54053472723.86</f>
        <v>54053472723.860001</v>
      </c>
      <c r="K48" s="24">
        <f>386901.53</f>
        <v>386901.53</v>
      </c>
      <c r="L48" s="24">
        <f>16634888.03</f>
        <v>16634888.029999999</v>
      </c>
      <c r="M48" s="24">
        <f>9063.63</f>
        <v>9063.6299999999992</v>
      </c>
      <c r="N48" s="24">
        <f>94283.12</f>
        <v>94283.12</v>
      </c>
      <c r="O48" s="24">
        <f>0</f>
        <v>0</v>
      </c>
      <c r="P48" s="24">
        <f>0</f>
        <v>0</v>
      </c>
      <c r="Q48" s="24">
        <f>0</f>
        <v>0</v>
      </c>
    </row>
    <row r="49" spans="1:17" ht="28.5" customHeight="1" x14ac:dyDescent="0.2">
      <c r="A49" s="18" t="s">
        <v>35</v>
      </c>
      <c r="B49" s="24">
        <f>28419703948.09</f>
        <v>28419703948.09</v>
      </c>
      <c r="C49" s="24">
        <f>28419439561.38</f>
        <v>28419439561.380001</v>
      </c>
      <c r="D49" s="24">
        <f>2686059.25</f>
        <v>2686059.25</v>
      </c>
      <c r="E49" s="24">
        <f>2429367.95</f>
        <v>2429367.9500000002</v>
      </c>
      <c r="F49" s="24">
        <f>51965.58</f>
        <v>51965.58</v>
      </c>
      <c r="G49" s="24">
        <f>204725.72</f>
        <v>204725.72</v>
      </c>
      <c r="H49" s="24">
        <f>0</f>
        <v>0</v>
      </c>
      <c r="I49" s="24">
        <f>83784.53</f>
        <v>83784.53</v>
      </c>
      <c r="J49" s="24">
        <f>28399637904.08</f>
        <v>28399637904.080002</v>
      </c>
      <c r="K49" s="24">
        <f>5014400.84</f>
        <v>5014400.84</v>
      </c>
      <c r="L49" s="24">
        <f>11825183.58</f>
        <v>11825183.58</v>
      </c>
      <c r="M49" s="24">
        <f>191580.19</f>
        <v>191580.19</v>
      </c>
      <c r="N49" s="24">
        <f>648.91</f>
        <v>648.91</v>
      </c>
      <c r="O49" s="24">
        <f>264386.71</f>
        <v>264386.71000000002</v>
      </c>
      <c r="P49" s="24">
        <f>264386.71</f>
        <v>264386.71000000002</v>
      </c>
      <c r="Q49" s="24">
        <f>0</f>
        <v>0</v>
      </c>
    </row>
    <row r="50" spans="1:17" ht="35.25" customHeight="1" x14ac:dyDescent="0.2">
      <c r="A50" s="28" t="s">
        <v>43</v>
      </c>
      <c r="B50" s="23">
        <f>30365175529.68</f>
        <v>30365175529.68</v>
      </c>
      <c r="C50" s="23">
        <f>30276551130.23</f>
        <v>30276551130.23</v>
      </c>
      <c r="D50" s="23">
        <f>462649890.08</f>
        <v>462649890.07999998</v>
      </c>
      <c r="E50" s="23">
        <f>125581364.1</f>
        <v>125581364.09999999</v>
      </c>
      <c r="F50" s="23">
        <f>13702467.15</f>
        <v>13702467.15</v>
      </c>
      <c r="G50" s="23">
        <f>321276022.29</f>
        <v>321276022.29000002</v>
      </c>
      <c r="H50" s="23">
        <f>2090036.54</f>
        <v>2090036.54</v>
      </c>
      <c r="I50" s="23">
        <f>19</f>
        <v>19</v>
      </c>
      <c r="J50" s="23">
        <f>8105168.97</f>
        <v>8105168.9699999997</v>
      </c>
      <c r="K50" s="23">
        <f>45816662.78</f>
        <v>45816662.780000001</v>
      </c>
      <c r="L50" s="23">
        <f>7721009440.43</f>
        <v>7721009440.4300003</v>
      </c>
      <c r="M50" s="23">
        <f>21851256340.58</f>
        <v>21851256340.580002</v>
      </c>
      <c r="N50" s="23">
        <f>187713608.39</f>
        <v>187713608.38999999</v>
      </c>
      <c r="O50" s="23">
        <f>88624399.45</f>
        <v>88624399.450000003</v>
      </c>
      <c r="P50" s="23">
        <f>33662965.65</f>
        <v>33662965.649999999</v>
      </c>
      <c r="Q50" s="23">
        <f>54961433.8</f>
        <v>54961433.799999997</v>
      </c>
    </row>
    <row r="51" spans="1:17" ht="28.5" customHeight="1" x14ac:dyDescent="0.2">
      <c r="A51" s="18" t="s">
        <v>36</v>
      </c>
      <c r="B51" s="24">
        <f>7165933100.27</f>
        <v>7165933100.2700005</v>
      </c>
      <c r="C51" s="24">
        <f>7132766881.35</f>
        <v>7132766881.3500004</v>
      </c>
      <c r="D51" s="24">
        <f>80835750.4</f>
        <v>80835750.400000006</v>
      </c>
      <c r="E51" s="24">
        <f>3295483.28</f>
        <v>3295483.28</v>
      </c>
      <c r="F51" s="24">
        <f>4706487.5</f>
        <v>4706487.5</v>
      </c>
      <c r="G51" s="24">
        <f>72204651.09</f>
        <v>72204651.090000004</v>
      </c>
      <c r="H51" s="24">
        <f>629128.53</f>
        <v>629128.53</v>
      </c>
      <c r="I51" s="24">
        <f>0</f>
        <v>0</v>
      </c>
      <c r="J51" s="24">
        <f>917773.71</f>
        <v>917773.71</v>
      </c>
      <c r="K51" s="24">
        <f>1487227.84</f>
        <v>1487227.84</v>
      </c>
      <c r="L51" s="24">
        <f>1231460196.42</f>
        <v>1231460196.4200001</v>
      </c>
      <c r="M51" s="24">
        <f>5747741449.97</f>
        <v>5747741449.9700003</v>
      </c>
      <c r="N51" s="24">
        <f>70324483.01</f>
        <v>70324483.010000005</v>
      </c>
      <c r="O51" s="24">
        <f>33166218.92</f>
        <v>33166218.920000002</v>
      </c>
      <c r="P51" s="24">
        <f>1096324.73</f>
        <v>1096324.73</v>
      </c>
      <c r="Q51" s="24">
        <f>32069894.19</f>
        <v>32069894.190000001</v>
      </c>
    </row>
    <row r="52" spans="1:17" ht="28.5" customHeight="1" x14ac:dyDescent="0.2">
      <c r="A52" s="18" t="s">
        <v>37</v>
      </c>
      <c r="B52" s="24">
        <f>23199242429.41</f>
        <v>23199242429.41</v>
      </c>
      <c r="C52" s="24">
        <f>23143784248.88</f>
        <v>23143784248.880001</v>
      </c>
      <c r="D52" s="24">
        <f>381814139.68</f>
        <v>381814139.68000001</v>
      </c>
      <c r="E52" s="24">
        <f>122285880.82</f>
        <v>122285880.81999999</v>
      </c>
      <c r="F52" s="24">
        <f>8995979.65</f>
        <v>8995979.6500000004</v>
      </c>
      <c r="G52" s="24">
        <f>249071371.2</f>
        <v>249071371.19999999</v>
      </c>
      <c r="H52" s="24">
        <f>1460908.01</f>
        <v>1460908.01</v>
      </c>
      <c r="I52" s="24">
        <f>19</f>
        <v>19</v>
      </c>
      <c r="J52" s="24">
        <f>7187395.26</f>
        <v>7187395.2599999998</v>
      </c>
      <c r="K52" s="24">
        <f>44329434.94</f>
        <v>44329434.939999998</v>
      </c>
      <c r="L52" s="24">
        <f>6489549244.01</f>
        <v>6489549244.0100002</v>
      </c>
      <c r="M52" s="24">
        <f>16103514890.61</f>
        <v>16103514890.610001</v>
      </c>
      <c r="N52" s="24">
        <f>117389125.38</f>
        <v>117389125.38</v>
      </c>
      <c r="O52" s="24">
        <f>55458180.53</f>
        <v>55458180.530000001</v>
      </c>
      <c r="P52" s="24">
        <f>32566640.92</f>
        <v>32566640.920000002</v>
      </c>
      <c r="Q52" s="24">
        <f>22891539.61</f>
        <v>22891539.609999999</v>
      </c>
    </row>
    <row r="53" spans="1:17" ht="35.25" customHeight="1" x14ac:dyDescent="0.2">
      <c r="A53" s="28" t="s">
        <v>44</v>
      </c>
      <c r="B53" s="23">
        <f>20036001081.39</f>
        <v>20036001081.389999</v>
      </c>
      <c r="C53" s="23">
        <f>20015654973.48</f>
        <v>20015654973.48</v>
      </c>
      <c r="D53" s="23">
        <f>1795183088.62</f>
        <v>1795183088.6199999</v>
      </c>
      <c r="E53" s="23">
        <f>783035070.89</f>
        <v>783035070.88999999</v>
      </c>
      <c r="F53" s="23">
        <f>99170554.69</f>
        <v>99170554.689999998</v>
      </c>
      <c r="G53" s="23">
        <f>882947358.51</f>
        <v>882947358.50999999</v>
      </c>
      <c r="H53" s="23">
        <f>30030104.53</f>
        <v>30030104.530000001</v>
      </c>
      <c r="I53" s="23">
        <f>937744.12</f>
        <v>937744.12</v>
      </c>
      <c r="J53" s="23">
        <f>39609953.83</f>
        <v>39609953.829999998</v>
      </c>
      <c r="K53" s="23">
        <f>51691141.41</f>
        <v>51691141.409999996</v>
      </c>
      <c r="L53" s="23">
        <f>11563171756.54</f>
        <v>11563171756.540001</v>
      </c>
      <c r="M53" s="23">
        <f>6201275863.27</f>
        <v>6201275863.2700005</v>
      </c>
      <c r="N53" s="23">
        <f>363785425.69</f>
        <v>363785425.69</v>
      </c>
      <c r="O53" s="23">
        <f>20346107.91</f>
        <v>20346107.91</v>
      </c>
      <c r="P53" s="23">
        <f>12184279.06</f>
        <v>12184279.060000001</v>
      </c>
      <c r="Q53" s="23">
        <f>8161828.85</f>
        <v>8161828.8499999996</v>
      </c>
    </row>
    <row r="54" spans="1:17" ht="28.5" customHeight="1" x14ac:dyDescent="0.2">
      <c r="A54" s="18" t="s">
        <v>38</v>
      </c>
      <c r="B54" s="24">
        <f>1791107495.2</f>
        <v>1791107495.2</v>
      </c>
      <c r="C54" s="24">
        <f>1790018433.41</f>
        <v>1790018433.4100001</v>
      </c>
      <c r="D54" s="24">
        <f>164501968.58</f>
        <v>164501968.58000001</v>
      </c>
      <c r="E54" s="24">
        <f>10446499.4</f>
        <v>10446499.4</v>
      </c>
      <c r="F54" s="24">
        <f>13684736.09</f>
        <v>13684736.09</v>
      </c>
      <c r="G54" s="24">
        <f>126817314.47</f>
        <v>126817314.47</v>
      </c>
      <c r="H54" s="24">
        <f>13553418.62</f>
        <v>13553418.619999999</v>
      </c>
      <c r="I54" s="24">
        <f>1311.25</f>
        <v>1311.25</v>
      </c>
      <c r="J54" s="24">
        <f>624165.31</f>
        <v>624165.31000000006</v>
      </c>
      <c r="K54" s="24">
        <f>2220906.77</f>
        <v>2220906.77</v>
      </c>
      <c r="L54" s="24">
        <f>690254378.13</f>
        <v>690254378.13</v>
      </c>
      <c r="M54" s="24">
        <f>893548037.59</f>
        <v>893548037.59000003</v>
      </c>
      <c r="N54" s="24">
        <f>38867665.78</f>
        <v>38867665.780000001</v>
      </c>
      <c r="O54" s="24">
        <f>1089061.79</f>
        <v>1089061.79</v>
      </c>
      <c r="P54" s="24">
        <f>818309.74</f>
        <v>818309.74</v>
      </c>
      <c r="Q54" s="24">
        <f>270752.05</f>
        <v>270752.05</v>
      </c>
    </row>
    <row r="55" spans="1:17" ht="47.25" customHeight="1" x14ac:dyDescent="0.2">
      <c r="A55" s="18" t="s">
        <v>78</v>
      </c>
      <c r="B55" s="24">
        <f>9171694428.49</f>
        <v>9171694428.4899998</v>
      </c>
      <c r="C55" s="24">
        <f>9162346502.38</f>
        <v>9162346502.3799992</v>
      </c>
      <c r="D55" s="24">
        <f>424877916.21</f>
        <v>424877916.20999998</v>
      </c>
      <c r="E55" s="24">
        <f>188532290.59</f>
        <v>188532290.59</v>
      </c>
      <c r="F55" s="24">
        <f>51144446.61</f>
        <v>51144446.609999999</v>
      </c>
      <c r="G55" s="24">
        <f>181447871.27</f>
        <v>181447871.27000001</v>
      </c>
      <c r="H55" s="24">
        <f>3753307.74</f>
        <v>3753307.74</v>
      </c>
      <c r="I55" s="24">
        <f>895307.41</f>
        <v>895307.41</v>
      </c>
      <c r="J55" s="24">
        <f>10348370.45</f>
        <v>10348370.449999999</v>
      </c>
      <c r="K55" s="24">
        <f>18529469.93</f>
        <v>18529469.93</v>
      </c>
      <c r="L55" s="24">
        <f>6394693698.65</f>
        <v>6394693698.6499996</v>
      </c>
      <c r="M55" s="24">
        <f>2251666840.75</f>
        <v>2251666840.75</v>
      </c>
      <c r="N55" s="24">
        <f>61334898.98</f>
        <v>61334898.979999997</v>
      </c>
      <c r="O55" s="24">
        <f>9347926.11</f>
        <v>9347926.1099999994</v>
      </c>
      <c r="P55" s="24">
        <f>7786688.74</f>
        <v>7786688.7400000002</v>
      </c>
      <c r="Q55" s="24">
        <f>1561237.37</f>
        <v>1561237.37</v>
      </c>
    </row>
    <row r="56" spans="1:17" ht="35.25" customHeight="1" x14ac:dyDescent="0.2">
      <c r="A56" s="18" t="s">
        <v>39</v>
      </c>
      <c r="B56" s="24">
        <f>9073199157.7</f>
        <v>9073199157.7000008</v>
      </c>
      <c r="C56" s="24">
        <f>9063290037.69</f>
        <v>9063290037.6900005</v>
      </c>
      <c r="D56" s="24">
        <f>1205803203.83</f>
        <v>1205803203.8299999</v>
      </c>
      <c r="E56" s="24">
        <f>584056280.9</f>
        <v>584056280.89999998</v>
      </c>
      <c r="F56" s="24">
        <f>34341371.99</f>
        <v>34341371.990000002</v>
      </c>
      <c r="G56" s="24">
        <f>574682172.77</f>
        <v>574682172.76999998</v>
      </c>
      <c r="H56" s="24">
        <f>12723378.17</f>
        <v>12723378.17</v>
      </c>
      <c r="I56" s="24">
        <f>41125.46</f>
        <v>41125.46</v>
      </c>
      <c r="J56" s="24">
        <f>28637418.07</f>
        <v>28637418.07</v>
      </c>
      <c r="K56" s="24">
        <f>30940764.71</f>
        <v>30940764.710000001</v>
      </c>
      <c r="L56" s="24">
        <f>4478223679.76</f>
        <v>4478223679.7600002</v>
      </c>
      <c r="M56" s="24">
        <f>3056060984.93</f>
        <v>3056060984.9299998</v>
      </c>
      <c r="N56" s="24">
        <f>263582860.93</f>
        <v>263582860.93000001</v>
      </c>
      <c r="O56" s="24">
        <f>9909120.01</f>
        <v>9909120.0099999998</v>
      </c>
      <c r="P56" s="24">
        <f>3579280.58</f>
        <v>3579280.58</v>
      </c>
      <c r="Q56" s="24">
        <f>6329839.43</f>
        <v>6329839.4299999997</v>
      </c>
    </row>
    <row r="67" spans="1:13" ht="75" customHeight="1" x14ac:dyDescent="0.2">
      <c r="A67" s="37" t="str">
        <f>CONCATENATE("Informacja z wykonania budżetów jednostek samorządu terytorialnego za ",$C$94," ",$B$95," roku")</f>
        <v>Informacja z wykonania budżetów jednostek samorządu terytorialnego za III Kwartały 2025 roku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</row>
    <row r="68" spans="1:13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3.5" customHeight="1" x14ac:dyDescent="0.2">
      <c r="B69" s="39" t="s">
        <v>2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</row>
    <row r="71" spans="1:13" ht="13.5" customHeight="1" x14ac:dyDescent="0.2">
      <c r="B71" s="65" t="s">
        <v>0</v>
      </c>
      <c r="C71" s="66"/>
      <c r="D71" s="66"/>
      <c r="E71" s="67"/>
      <c r="F71" s="74" t="s">
        <v>68</v>
      </c>
      <c r="G71" s="44" t="s">
        <v>74</v>
      </c>
      <c r="H71" s="45"/>
      <c r="I71" s="45"/>
      <c r="J71" s="45"/>
      <c r="K71" s="45"/>
      <c r="L71" s="46"/>
    </row>
    <row r="72" spans="1:13" ht="13.5" customHeight="1" x14ac:dyDescent="0.2">
      <c r="B72" s="68"/>
      <c r="C72" s="69"/>
      <c r="D72" s="69"/>
      <c r="E72" s="70"/>
      <c r="F72" s="35"/>
      <c r="G72" s="29" t="s">
        <v>69</v>
      </c>
      <c r="H72" s="29" t="s">
        <v>66</v>
      </c>
      <c r="I72" s="29" t="s">
        <v>67</v>
      </c>
      <c r="J72" s="29" t="s">
        <v>70</v>
      </c>
      <c r="K72" s="29" t="s">
        <v>71</v>
      </c>
      <c r="L72" s="47" t="s">
        <v>72</v>
      </c>
    </row>
    <row r="73" spans="1:13" ht="13.5" customHeight="1" x14ac:dyDescent="0.2">
      <c r="B73" s="68"/>
      <c r="C73" s="69"/>
      <c r="D73" s="69"/>
      <c r="E73" s="70"/>
      <c r="F73" s="35"/>
      <c r="G73" s="29"/>
      <c r="H73" s="29"/>
      <c r="I73" s="29"/>
      <c r="J73" s="29"/>
      <c r="K73" s="29"/>
      <c r="L73" s="47"/>
    </row>
    <row r="74" spans="1:13" ht="11.25" customHeight="1" x14ac:dyDescent="0.2">
      <c r="B74" s="68"/>
      <c r="C74" s="69"/>
      <c r="D74" s="69"/>
      <c r="E74" s="70"/>
      <c r="F74" s="35"/>
      <c r="G74" s="29"/>
      <c r="H74" s="29"/>
      <c r="I74" s="29"/>
      <c r="J74" s="29"/>
      <c r="K74" s="29"/>
      <c r="L74" s="47"/>
    </row>
    <row r="75" spans="1:13" ht="20.25" customHeight="1" x14ac:dyDescent="0.2">
      <c r="B75" s="71"/>
      <c r="C75" s="72"/>
      <c r="D75" s="72"/>
      <c r="E75" s="73"/>
      <c r="F75" s="36"/>
      <c r="G75" s="29"/>
      <c r="H75" s="29"/>
      <c r="I75" s="29"/>
      <c r="J75" s="29"/>
      <c r="K75" s="29"/>
      <c r="L75" s="47"/>
    </row>
    <row r="76" spans="1:13" ht="13.5" customHeight="1" x14ac:dyDescent="0.2">
      <c r="B76" s="29">
        <v>1</v>
      </c>
      <c r="C76" s="29"/>
      <c r="D76" s="29"/>
      <c r="E76" s="29"/>
      <c r="F76" s="15">
        <v>2</v>
      </c>
      <c r="G76" s="15">
        <v>3</v>
      </c>
      <c r="H76" s="15">
        <v>4</v>
      </c>
      <c r="I76" s="15">
        <v>5</v>
      </c>
      <c r="J76" s="15">
        <v>6</v>
      </c>
      <c r="K76" s="15">
        <v>7</v>
      </c>
      <c r="L76" s="15">
        <v>8</v>
      </c>
    </row>
    <row r="77" spans="1:13" ht="33.75" customHeight="1" x14ac:dyDescent="0.2">
      <c r="B77" s="55" t="s">
        <v>53</v>
      </c>
      <c r="C77" s="56"/>
      <c r="D77" s="56"/>
      <c r="E77" s="57"/>
      <c r="F77" s="22">
        <f>4326749196.32</f>
        <v>4326749196.3199997</v>
      </c>
      <c r="G77" s="22">
        <f>1017434677.34</f>
        <v>1017434677.34</v>
      </c>
      <c r="H77" s="22">
        <f>62575519.34</f>
        <v>62575519.340000004</v>
      </c>
      <c r="I77" s="22">
        <f>182768296.12</f>
        <v>182768296.12</v>
      </c>
      <c r="J77" s="22">
        <f>747821148.9</f>
        <v>747821148.89999998</v>
      </c>
      <c r="K77" s="22">
        <f>24269712.98</f>
        <v>24269712.98</v>
      </c>
      <c r="L77" s="22">
        <f>3309314518.98</f>
        <v>3309314518.98</v>
      </c>
    </row>
    <row r="78" spans="1:13" ht="33.75" customHeight="1" x14ac:dyDescent="0.2">
      <c r="B78" s="58" t="s">
        <v>54</v>
      </c>
      <c r="C78" s="59"/>
      <c r="D78" s="59"/>
      <c r="E78" s="60"/>
      <c r="F78" s="25">
        <f>16210877.24</f>
        <v>16210877.24</v>
      </c>
      <c r="G78" s="25">
        <f>5261929.62</f>
        <v>5261929.62</v>
      </c>
      <c r="H78" s="25">
        <f>489495</f>
        <v>489495</v>
      </c>
      <c r="I78" s="25">
        <f>4772434.62</f>
        <v>4772434.62</v>
      </c>
      <c r="J78" s="25">
        <f>0</f>
        <v>0</v>
      </c>
      <c r="K78" s="25">
        <f>0</f>
        <v>0</v>
      </c>
      <c r="L78" s="25">
        <f>10948947.62</f>
        <v>10948947.619999999</v>
      </c>
    </row>
    <row r="79" spans="1:13" ht="33.75" customHeight="1" x14ac:dyDescent="0.2">
      <c r="B79" s="58" t="s">
        <v>55</v>
      </c>
      <c r="C79" s="59"/>
      <c r="D79" s="59"/>
      <c r="E79" s="60"/>
      <c r="F79" s="25">
        <f>516163825.9</f>
        <v>516163825.89999998</v>
      </c>
      <c r="G79" s="25">
        <f>74000668.27</f>
        <v>74000668.269999996</v>
      </c>
      <c r="H79" s="25">
        <f>0</f>
        <v>0</v>
      </c>
      <c r="I79" s="25">
        <f>6945985.48</f>
        <v>6945985.4800000004</v>
      </c>
      <c r="J79" s="25">
        <f>66945096.75</f>
        <v>66945096.75</v>
      </c>
      <c r="K79" s="25">
        <f>109586.04</f>
        <v>109586.04</v>
      </c>
      <c r="L79" s="25">
        <f>442163157.63</f>
        <v>442163157.63</v>
      </c>
    </row>
    <row r="80" spans="1:13" ht="22.5" customHeight="1" x14ac:dyDescent="0.2">
      <c r="B80" s="58" t="s">
        <v>56</v>
      </c>
      <c r="C80" s="59"/>
      <c r="D80" s="59"/>
      <c r="E80" s="60"/>
      <c r="F80" s="25">
        <f>110232294.9</f>
        <v>110232294.90000001</v>
      </c>
      <c r="G80" s="25">
        <f>73001181.41</f>
        <v>73001181.409999996</v>
      </c>
      <c r="H80" s="25">
        <f>0</f>
        <v>0</v>
      </c>
      <c r="I80" s="25">
        <f>0</f>
        <v>0</v>
      </c>
      <c r="J80" s="25">
        <f>73001181.41</f>
        <v>73001181.409999996</v>
      </c>
      <c r="K80" s="25">
        <f>0</f>
        <v>0</v>
      </c>
      <c r="L80" s="25">
        <f>37231113.49</f>
        <v>37231113.490000002</v>
      </c>
    </row>
    <row r="81" spans="1:13" ht="33.75" customHeight="1" x14ac:dyDescent="0.2">
      <c r="B81" s="58" t="s">
        <v>57</v>
      </c>
      <c r="C81" s="59"/>
      <c r="D81" s="59"/>
      <c r="E81" s="60"/>
      <c r="F81" s="25">
        <f>22160279.93</f>
        <v>22160279.93</v>
      </c>
      <c r="G81" s="25">
        <f>22062330.47</f>
        <v>22062330.469999999</v>
      </c>
      <c r="H81" s="25">
        <f>0</f>
        <v>0</v>
      </c>
      <c r="I81" s="25">
        <f>0</f>
        <v>0</v>
      </c>
      <c r="J81" s="25">
        <f>22062330.47</f>
        <v>22062330.469999999</v>
      </c>
      <c r="K81" s="25">
        <f>0</f>
        <v>0</v>
      </c>
      <c r="L81" s="25">
        <f>97949.46</f>
        <v>97949.46</v>
      </c>
    </row>
    <row r="82" spans="1:13" ht="33.75" customHeight="1" x14ac:dyDescent="0.2">
      <c r="B82" s="58" t="s">
        <v>58</v>
      </c>
      <c r="C82" s="59"/>
      <c r="D82" s="59"/>
      <c r="E82" s="60"/>
      <c r="F82" s="25">
        <f>31547556.74</f>
        <v>31547556.739999998</v>
      </c>
      <c r="G82" s="25">
        <f>24936223.79</f>
        <v>24936223.789999999</v>
      </c>
      <c r="H82" s="25">
        <f>0</f>
        <v>0</v>
      </c>
      <c r="I82" s="25">
        <f>30000</f>
        <v>30000</v>
      </c>
      <c r="J82" s="25">
        <f>24906223.79</f>
        <v>24906223.789999999</v>
      </c>
      <c r="K82" s="25">
        <f>0</f>
        <v>0</v>
      </c>
      <c r="L82" s="25">
        <f>6611332.95</f>
        <v>6611332.9500000002</v>
      </c>
    </row>
    <row r="83" spans="1:13" ht="33" customHeight="1" x14ac:dyDescent="0.2">
      <c r="B83" s="55" t="s">
        <v>59</v>
      </c>
      <c r="C83" s="56"/>
      <c r="D83" s="56"/>
      <c r="E83" s="57"/>
      <c r="F83" s="22">
        <f>444570.74</f>
        <v>444570.74</v>
      </c>
      <c r="G83" s="22">
        <f>228.56</f>
        <v>228.56</v>
      </c>
      <c r="H83" s="22">
        <f>0</f>
        <v>0</v>
      </c>
      <c r="I83" s="22">
        <f>0</f>
        <v>0</v>
      </c>
      <c r="J83" s="22">
        <f>228.56</f>
        <v>228.56</v>
      </c>
      <c r="K83" s="22">
        <f>0</f>
        <v>0</v>
      </c>
      <c r="L83" s="22">
        <f>444342.18</f>
        <v>444342.18</v>
      </c>
    </row>
    <row r="86" spans="1:13" ht="75" customHeight="1" x14ac:dyDescent="0.2">
      <c r="A86" s="37" t="str">
        <f>CONCATENATE("Informacja z wykonania budżetów jednostek samorządu terytorialnego za ",$C$94," ",$B$95," roku")</f>
        <v>Informacja z wykonania budżetów jednostek samorządu terytorialnego za III Kwartały 2025 roku</v>
      </c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</row>
    <row r="87" spans="1:13" ht="13.5" customHeight="1" x14ac:dyDescent="0.2">
      <c r="B87" s="3"/>
    </row>
    <row r="88" spans="1:13" ht="13.5" customHeight="1" x14ac:dyDescent="0.2">
      <c r="B88" s="4"/>
      <c r="C88" s="52"/>
      <c r="D88" s="53"/>
      <c r="E88" s="53"/>
      <c r="F88" s="54"/>
      <c r="G88" s="52" t="s">
        <v>3</v>
      </c>
      <c r="H88" s="54"/>
      <c r="I88" s="52" t="s">
        <v>4</v>
      </c>
      <c r="J88" s="54"/>
      <c r="K88" s="4"/>
    </row>
    <row r="89" spans="1:13" ht="13.5" customHeight="1" x14ac:dyDescent="0.2">
      <c r="B89" s="5"/>
      <c r="C89" s="55" t="s">
        <v>5</v>
      </c>
      <c r="D89" s="56"/>
      <c r="E89" s="56"/>
      <c r="F89" s="57"/>
      <c r="G89" s="48">
        <f>2605</f>
        <v>2605</v>
      </c>
      <c r="H89" s="49"/>
      <c r="I89" s="50">
        <f>43538167581.3</f>
        <v>43538167581.300003</v>
      </c>
      <c r="J89" s="51"/>
      <c r="K89" s="6"/>
    </row>
    <row r="90" spans="1:13" ht="13.5" customHeight="1" x14ac:dyDescent="0.2">
      <c r="B90" s="5"/>
      <c r="C90" s="58" t="s">
        <v>6</v>
      </c>
      <c r="D90" s="59"/>
      <c r="E90" s="59"/>
      <c r="F90" s="60"/>
      <c r="G90" s="61">
        <f>204</f>
        <v>204</v>
      </c>
      <c r="H90" s="62"/>
      <c r="I90" s="63">
        <f>-857125746.46</f>
        <v>-857125746.46000004</v>
      </c>
      <c r="J90" s="64"/>
      <c r="K90" s="6"/>
    </row>
    <row r="91" spans="1:13" ht="13.5" customHeight="1" x14ac:dyDescent="0.2">
      <c r="B91" s="5"/>
      <c r="C91" s="55" t="s">
        <v>7</v>
      </c>
      <c r="D91" s="56"/>
      <c r="E91" s="56"/>
      <c r="F91" s="57"/>
      <c r="G91" s="48">
        <f>0</f>
        <v>0</v>
      </c>
      <c r="H91" s="49"/>
      <c r="I91" s="50">
        <f>0</f>
        <v>0</v>
      </c>
      <c r="J91" s="51"/>
      <c r="K91" s="6"/>
    </row>
    <row r="94" spans="1:13" ht="13.5" customHeight="1" x14ac:dyDescent="0.2">
      <c r="A94" s="7" t="s">
        <v>8</v>
      </c>
      <c r="B94" s="7">
        <f>3</f>
        <v>3</v>
      </c>
      <c r="C94" s="7" t="str">
        <f>IF(B94=1,"I Kwartał",IF(B94=2,"II Kwartały",IF(B94=3,"III Kwartały",IF(B94=4,"IV Kwartały","-"))))</f>
        <v>III Kwartały</v>
      </c>
    </row>
    <row r="95" spans="1:13" ht="13.5" customHeight="1" x14ac:dyDescent="0.2">
      <c r="A95" s="7" t="s">
        <v>9</v>
      </c>
      <c r="B95" s="7">
        <f>2025</f>
        <v>2025</v>
      </c>
      <c r="C95" s="8"/>
    </row>
    <row r="96" spans="1:13" ht="13.5" customHeight="1" x14ac:dyDescent="0.2">
      <c r="A96" s="7" t="s">
        <v>10</v>
      </c>
      <c r="B96" s="9" t="str">
        <f>"Nov 14 2025 12:00AM"</f>
        <v>Nov 14 2025 12:00AM</v>
      </c>
      <c r="C96" s="8"/>
    </row>
  </sheetData>
  <mergeCells count="75">
    <mergeCell ref="O6:Q6"/>
    <mergeCell ref="O7:O11"/>
    <mergeCell ref="A67:M67"/>
    <mergeCell ref="L35:L38"/>
    <mergeCell ref="P35:P38"/>
    <mergeCell ref="Q35:Q38"/>
    <mergeCell ref="N35:N38"/>
    <mergeCell ref="O35:O38"/>
    <mergeCell ref="D35:D38"/>
    <mergeCell ref="H7:H11"/>
    <mergeCell ref="M35:M38"/>
    <mergeCell ref="O34:Q34"/>
    <mergeCell ref="A32:M32"/>
    <mergeCell ref="B34:B38"/>
    <mergeCell ref="A34:A38"/>
    <mergeCell ref="C35:C38"/>
    <mergeCell ref="B71:E75"/>
    <mergeCell ref="B83:E83"/>
    <mergeCell ref="A86:M86"/>
    <mergeCell ref="B79:E79"/>
    <mergeCell ref="B80:E80"/>
    <mergeCell ref="B81:E81"/>
    <mergeCell ref="B78:E78"/>
    <mergeCell ref="B77:E77"/>
    <mergeCell ref="F71:F75"/>
    <mergeCell ref="G72:G75"/>
    <mergeCell ref="G71:L71"/>
    <mergeCell ref="A30:M30"/>
    <mergeCell ref="G91:H91"/>
    <mergeCell ref="I91:J91"/>
    <mergeCell ref="C88:F88"/>
    <mergeCell ref="C89:F89"/>
    <mergeCell ref="C90:F90"/>
    <mergeCell ref="C91:F91"/>
    <mergeCell ref="G89:H89"/>
    <mergeCell ref="G88:H88"/>
    <mergeCell ref="G90:H90"/>
    <mergeCell ref="I90:J90"/>
    <mergeCell ref="B82:E82"/>
    <mergeCell ref="I89:J89"/>
    <mergeCell ref="B69:M69"/>
    <mergeCell ref="I88:J88"/>
    <mergeCell ref="B76:E76"/>
    <mergeCell ref="E35:E38"/>
    <mergeCell ref="H72:H75"/>
    <mergeCell ref="I72:I75"/>
    <mergeCell ref="J72:J75"/>
    <mergeCell ref="A1:M1"/>
    <mergeCell ref="C5:M5"/>
    <mergeCell ref="A3:M3"/>
    <mergeCell ref="K7:K11"/>
    <mergeCell ref="C7:C11"/>
    <mergeCell ref="B6:B11"/>
    <mergeCell ref="A6:A11"/>
    <mergeCell ref="C6:N6"/>
    <mergeCell ref="D7:D11"/>
    <mergeCell ref="E7:E11"/>
    <mergeCell ref="L72:L75"/>
    <mergeCell ref="F35:F38"/>
    <mergeCell ref="K72:K75"/>
    <mergeCell ref="G35:G38"/>
    <mergeCell ref="Q7:Q11"/>
    <mergeCell ref="C34:N34"/>
    <mergeCell ref="L7:L11"/>
    <mergeCell ref="M7:M11"/>
    <mergeCell ref="N7:N11"/>
    <mergeCell ref="P7:P11"/>
    <mergeCell ref="G7:G11"/>
    <mergeCell ref="F7:F11"/>
    <mergeCell ref="I7:I11"/>
    <mergeCell ref="J7:J11"/>
    <mergeCell ref="H35:H38"/>
    <mergeCell ref="K35:K38"/>
    <mergeCell ref="I35:I38"/>
    <mergeCell ref="J35:J38"/>
  </mergeCells>
  <phoneticPr fontId="4" type="noConversion"/>
  <pageMargins left="0" right="0" top="0.19685039370078741" bottom="0.19685039370078741" header="0" footer="0"/>
  <pageSetup paperSize="9" scale="67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2016-08-26T11:29:32Z</cp:lastPrinted>
  <dcterms:created xsi:type="dcterms:W3CDTF">2001-05-17T08:58:03Z</dcterms:created>
  <dcterms:modified xsi:type="dcterms:W3CDTF">2025-11-20T08:24:00Z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2025-11-19T09:56:39.3055391+01:00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GRN-11fc3461-c32d-4f63-bb7a-58168dfefd9c</vt:lpwstr>
  </property>
  <property fmtid="{D5CDD505-2E9C-101B-9397-08002B2CF9AE}" pid="7" name="MFHash">
    <vt:lpwstr>FUuDUBezAOALH0MHqLSraasl/ONzit1mzZbZDEC2iYQ=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