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ABBA0A7D-31E3-40EA-A4DC-BB698C57F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66" i="7" l="1"/>
  <c r="A85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<sst xmlns="http://schemas.openxmlformats.org/spreadsheetml/2006/main" count="97" uniqueCount="81">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</sst>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7" t="str">
        <f>CONCATENATE("Informacja z wykonania budżetów województw za  ",$C$93," ",$B$94," roku    ",$B$96,"")</f>
        <v xml:space="preserve">Informacja z wykonania budżetów województw za  I Kwartał 2024 roku    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8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7" ht="13.5" customHeight="1" x14ac:dyDescent="0.2">
      <c r="B5" s="1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1"/>
      <c r="O5" s="11"/>
      <c r="P5" s="11"/>
      <c r="Q5" s="11"/>
    </row>
    <row r="6" spans="1:17" ht="13.5" customHeight="1" x14ac:dyDescent="0.2">
      <c r="A6" s="39" t="s">
        <v>0</v>
      </c>
      <c r="B6" s="42" t="s">
        <v>63</v>
      </c>
      <c r="C6" s="47" t="s">
        <v>67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7" t="s">
        <v>66</v>
      </c>
      <c r="P6" s="48"/>
      <c r="Q6" s="49"/>
    </row>
    <row r="7" spans="1:17" ht="13.5" customHeight="1" x14ac:dyDescent="0.2">
      <c r="A7" s="40"/>
      <c r="B7" s="36"/>
      <c r="C7" s="35" t="s">
        <v>64</v>
      </c>
      <c r="D7" s="35" t="s">
        <v>75</v>
      </c>
      <c r="E7" s="35" t="s">
        <v>68</v>
      </c>
      <c r="F7" s="35" t="s">
        <v>69</v>
      </c>
      <c r="G7" s="35" t="s">
        <v>27</v>
      </c>
      <c r="H7" s="35" t="s">
        <v>28</v>
      </c>
      <c r="I7" s="50" t="s">
        <v>65</v>
      </c>
      <c r="J7" s="35" t="s">
        <v>16</v>
      </c>
      <c r="K7" s="35" t="s">
        <v>17</v>
      </c>
      <c r="L7" s="35" t="s">
        <v>18</v>
      </c>
      <c r="M7" s="35" t="s">
        <v>19</v>
      </c>
      <c r="N7" s="36" t="s">
        <v>20</v>
      </c>
      <c r="O7" s="31" t="s">
        <v>21</v>
      </c>
      <c r="P7" s="31" t="s">
        <v>22</v>
      </c>
      <c r="Q7" s="31" t="s">
        <v>23</v>
      </c>
    </row>
    <row r="8" spans="1:17" ht="13.5" customHeight="1" x14ac:dyDescent="0.2">
      <c r="A8" s="40"/>
      <c r="B8" s="36"/>
      <c r="C8" s="31"/>
      <c r="D8" s="31"/>
      <c r="E8" s="31"/>
      <c r="F8" s="31"/>
      <c r="G8" s="31"/>
      <c r="H8" s="31"/>
      <c r="I8" s="50"/>
      <c r="J8" s="31"/>
      <c r="K8" s="31"/>
      <c r="L8" s="31"/>
      <c r="M8" s="31"/>
      <c r="N8" s="36"/>
      <c r="O8" s="31"/>
      <c r="P8" s="31"/>
      <c r="Q8" s="31"/>
    </row>
    <row r="9" spans="1:17" ht="11.25" customHeight="1" x14ac:dyDescent="0.2">
      <c r="A9" s="40"/>
      <c r="B9" s="36"/>
      <c r="C9" s="31"/>
      <c r="D9" s="31"/>
      <c r="E9" s="31"/>
      <c r="F9" s="31"/>
      <c r="G9" s="31"/>
      <c r="H9" s="31"/>
      <c r="I9" s="50"/>
      <c r="J9" s="31"/>
      <c r="K9" s="31"/>
      <c r="L9" s="31"/>
      <c r="M9" s="31"/>
      <c r="N9" s="36"/>
      <c r="O9" s="31"/>
      <c r="P9" s="31"/>
      <c r="Q9" s="31"/>
    </row>
    <row r="10" spans="1:17" ht="27.75" customHeight="1" x14ac:dyDescent="0.2">
      <c r="A10" s="41"/>
      <c r="B10" s="35"/>
      <c r="C10" s="31"/>
      <c r="D10" s="31"/>
      <c r="E10" s="31"/>
      <c r="F10" s="31"/>
      <c r="G10" s="31"/>
      <c r="H10" s="31"/>
      <c r="I10" s="51"/>
      <c r="J10" s="31"/>
      <c r="K10" s="31"/>
      <c r="L10" s="31"/>
      <c r="M10" s="31"/>
      <c r="N10" s="35"/>
      <c r="O10" s="31"/>
      <c r="P10" s="31"/>
      <c r="Q10" s="31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43" t="s">
        <v>78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3.5" customHeight="1" x14ac:dyDescent="0.2">
      <c r="A13" s="19" t="s">
        <v>79</v>
      </c>
      <c r="B13" s="20">
        <f>4576993028.29</f>
        <v>4576993028.29</v>
      </c>
      <c r="C13" s="20">
        <f>2676904777.42</f>
        <v>2676904777.4200001</v>
      </c>
      <c r="D13" s="20">
        <f>171829695.39</f>
        <v>171829695.38999999</v>
      </c>
      <c r="E13" s="20">
        <f>170000000</f>
        <v>170000000</v>
      </c>
      <c r="F13" s="20">
        <f>0</f>
        <v>0</v>
      </c>
      <c r="G13" s="20">
        <f>1829695.39</f>
        <v>1829695.39</v>
      </c>
      <c r="H13" s="20">
        <f>0</f>
        <v>0</v>
      </c>
      <c r="I13" s="20">
        <f>0</f>
        <v>0</v>
      </c>
      <c r="J13" s="20">
        <f>2323113451.81</f>
        <v>2323113451.8099999</v>
      </c>
      <c r="K13" s="20">
        <f>0</f>
        <v>0</v>
      </c>
      <c r="L13" s="20">
        <f>181051596.7</f>
        <v>181051596.69999999</v>
      </c>
      <c r="M13" s="20">
        <f>689479.06</f>
        <v>689479.06</v>
      </c>
      <c r="N13" s="20">
        <f>220554.46</f>
        <v>220554.46</v>
      </c>
      <c r="O13" s="20">
        <f>1900088250.87</f>
        <v>1900088250.8699999</v>
      </c>
      <c r="P13" s="20">
        <f>1900088250.87</f>
        <v>1900088250.8699999</v>
      </c>
      <c r="Q13" s="20">
        <f>0</f>
        <v>0</v>
      </c>
    </row>
    <row r="14" spans="1:17" ht="28.5" customHeight="1" x14ac:dyDescent="0.2">
      <c r="A14" s="19" t="s">
        <v>45</v>
      </c>
      <c r="B14" s="20">
        <f>202950000</f>
        <v>202950000</v>
      </c>
      <c r="C14" s="20">
        <f>202950000</f>
        <v>202950000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202950000</f>
        <v>202950000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202950000</f>
        <v>202950000</v>
      </c>
      <c r="C16" s="21">
        <f>202950000</f>
        <v>202950000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202950000</f>
        <v>202950000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4372918891.07</f>
        <v>4372918891.0699997</v>
      </c>
      <c r="C17" s="20">
        <f>2472830640.2</f>
        <v>2472830640.1999998</v>
      </c>
      <c r="D17" s="20">
        <f>171801488.39</f>
        <v>171801488.38999999</v>
      </c>
      <c r="E17" s="20">
        <f>170000000</f>
        <v>170000000</v>
      </c>
      <c r="F17" s="20">
        <f>0</f>
        <v>0</v>
      </c>
      <c r="G17" s="20">
        <f>1801488.39</f>
        <v>1801488.39</v>
      </c>
      <c r="H17" s="20">
        <f>0</f>
        <v>0</v>
      </c>
      <c r="I17" s="20">
        <f>0</f>
        <v>0</v>
      </c>
      <c r="J17" s="20">
        <f>2120163451.81</f>
        <v>2120163451.8099999</v>
      </c>
      <c r="K17" s="20">
        <f>0</f>
        <v>0</v>
      </c>
      <c r="L17" s="20">
        <f>180865700</f>
        <v>180865700</v>
      </c>
      <c r="M17" s="20">
        <f>0</f>
        <v>0</v>
      </c>
      <c r="N17" s="20">
        <f>0</f>
        <v>0</v>
      </c>
      <c r="O17" s="20">
        <f>1900088250.87</f>
        <v>1900088250.8699999</v>
      </c>
      <c r="P17" s="20">
        <f>1900088250.87</f>
        <v>1900088250.8699999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4372918891.07</f>
        <v>4372918891.0699997</v>
      </c>
      <c r="C19" s="21">
        <f>2472830640.2</f>
        <v>2472830640.1999998</v>
      </c>
      <c r="D19" s="21">
        <f>171801488.39</f>
        <v>171801488.38999999</v>
      </c>
      <c r="E19" s="21">
        <f>170000000</f>
        <v>170000000</v>
      </c>
      <c r="F19" s="21">
        <f>0</f>
        <v>0</v>
      </c>
      <c r="G19" s="21">
        <f>1801488.39</f>
        <v>1801488.39</v>
      </c>
      <c r="H19" s="21">
        <f>0</f>
        <v>0</v>
      </c>
      <c r="I19" s="21">
        <f>0</f>
        <v>0</v>
      </c>
      <c r="J19" s="21">
        <f>2120163451.81</f>
        <v>2120163451.8099999</v>
      </c>
      <c r="K19" s="21">
        <f>0</f>
        <v>0</v>
      </c>
      <c r="L19" s="21">
        <f>180865700</f>
        <v>180865700</v>
      </c>
      <c r="M19" s="21">
        <f>0</f>
        <v>0</v>
      </c>
      <c r="N19" s="21">
        <f>0</f>
        <v>0</v>
      </c>
      <c r="O19" s="21">
        <f>1900088250.87</f>
        <v>1900088250.8699999</v>
      </c>
      <c r="P19" s="21">
        <f>1900088250.87</f>
        <v>1900088250.8699999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1124137.22</f>
        <v>1124137.22</v>
      </c>
      <c r="C21" s="20">
        <f>1124137.22</f>
        <v>1124137.22</v>
      </c>
      <c r="D21" s="20">
        <f>28207</f>
        <v>28207</v>
      </c>
      <c r="E21" s="20">
        <f>0</f>
        <v>0</v>
      </c>
      <c r="F21" s="20">
        <f>0</f>
        <v>0</v>
      </c>
      <c r="G21" s="20">
        <f>28207</f>
        <v>28207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185896.7</f>
        <v>185896.7</v>
      </c>
      <c r="M21" s="20">
        <f>689479.06</f>
        <v>689479.06</v>
      </c>
      <c r="N21" s="20">
        <f>220554.46</f>
        <v>220554.46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296999.4</f>
        <v>296999.40000000002</v>
      </c>
      <c r="C22" s="21">
        <f>296999.4</f>
        <v>296999.40000000002</v>
      </c>
      <c r="D22" s="21">
        <f>27807</f>
        <v>27807</v>
      </c>
      <c r="E22" s="21">
        <f>0</f>
        <v>0</v>
      </c>
      <c r="F22" s="21">
        <f>0</f>
        <v>0</v>
      </c>
      <c r="G22" s="21">
        <f>27807</f>
        <v>27807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185896.7</f>
        <v>185896.7</v>
      </c>
      <c r="M22" s="21">
        <f>77786.24</f>
        <v>77786.240000000005</v>
      </c>
      <c r="N22" s="21">
        <f>5509.46</f>
        <v>5509.46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827137.82</f>
        <v>827137.82</v>
      </c>
      <c r="C23" s="21">
        <f>827137.82</f>
        <v>827137.82</v>
      </c>
      <c r="D23" s="21">
        <f>400</f>
        <v>400</v>
      </c>
      <c r="E23" s="21">
        <f>0</f>
        <v>0</v>
      </c>
      <c r="F23" s="21">
        <f>0</f>
        <v>0</v>
      </c>
      <c r="G23" s="21">
        <f>400</f>
        <v>400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0</f>
        <v>0</v>
      </c>
      <c r="M23" s="21">
        <f>611692.82</f>
        <v>611692.81999999995</v>
      </c>
      <c r="N23" s="21">
        <f>215045</f>
        <v>215045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7" t="str">
        <f>CONCATENATE("Informacja z wykonania budżetów województw za  ",$C$93," ",$B$94," roku    ",$B$96,"")</f>
        <v xml:space="preserve">Informacja z wykonania budżetów województw za  I Kwartał 2024 roku    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1" spans="1:17" ht="13.5" customHeight="1" x14ac:dyDescent="0.2">
      <c r="A31" s="38" t="s">
        <v>11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3" spans="1:17" ht="13.5" customHeight="1" x14ac:dyDescent="0.2">
      <c r="A33" s="39" t="s">
        <v>0</v>
      </c>
      <c r="B33" s="42" t="s">
        <v>12</v>
      </c>
      <c r="C33" s="32" t="s">
        <v>14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 t="s">
        <v>24</v>
      </c>
      <c r="P33" s="33"/>
      <c r="Q33" s="34"/>
    </row>
    <row r="34" spans="1:17" ht="13.5" customHeight="1" x14ac:dyDescent="0.2">
      <c r="A34" s="40"/>
      <c r="B34" s="36"/>
      <c r="C34" s="36" t="s">
        <v>13</v>
      </c>
      <c r="D34" s="31" t="s">
        <v>15</v>
      </c>
      <c r="E34" s="31" t="s">
        <v>25</v>
      </c>
      <c r="F34" s="31" t="s">
        <v>26</v>
      </c>
      <c r="G34" s="31" t="s">
        <v>72</v>
      </c>
      <c r="H34" s="31" t="s">
        <v>28</v>
      </c>
      <c r="I34" s="31" t="s">
        <v>1</v>
      </c>
      <c r="J34" s="31" t="s">
        <v>16</v>
      </c>
      <c r="K34" s="31" t="s">
        <v>17</v>
      </c>
      <c r="L34" s="31" t="s">
        <v>18</v>
      </c>
      <c r="M34" s="31" t="s">
        <v>19</v>
      </c>
      <c r="N34" s="74" t="s">
        <v>20</v>
      </c>
      <c r="O34" s="31" t="s">
        <v>21</v>
      </c>
      <c r="P34" s="31" t="s">
        <v>22</v>
      </c>
      <c r="Q34" s="42" t="s">
        <v>23</v>
      </c>
    </row>
    <row r="35" spans="1:17" ht="13.5" customHeight="1" x14ac:dyDescent="0.2">
      <c r="A35" s="40"/>
      <c r="B35" s="36"/>
      <c r="C35" s="3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4"/>
      <c r="O35" s="31"/>
      <c r="P35" s="31"/>
      <c r="Q35" s="36"/>
    </row>
    <row r="36" spans="1:17" ht="11.25" customHeight="1" x14ac:dyDescent="0.2">
      <c r="A36" s="40"/>
      <c r="B36" s="36"/>
      <c r="C36" s="3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4"/>
      <c r="O36" s="31"/>
      <c r="P36" s="31"/>
      <c r="Q36" s="36"/>
    </row>
    <row r="37" spans="1:17" ht="11.25" customHeight="1" x14ac:dyDescent="0.2">
      <c r="A37" s="41"/>
      <c r="B37" s="35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4"/>
      <c r="O37" s="31"/>
      <c r="P37" s="31"/>
      <c r="Q37" s="35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43" t="s">
        <v>78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531283613.49</f>
        <v>531283613.49000001</v>
      </c>
      <c r="C43" s="22">
        <f>531283613.49</f>
        <v>531283613.49000001</v>
      </c>
      <c r="D43" s="22">
        <f>480281883.72</f>
        <v>480281883.72000003</v>
      </c>
      <c r="E43" s="22">
        <f>84115.96</f>
        <v>84115.96</v>
      </c>
      <c r="F43" s="22">
        <f>8561.64</f>
        <v>8561.64</v>
      </c>
      <c r="G43" s="22">
        <f>480189206.12</f>
        <v>480189206.12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46297915.71</f>
        <v>46297915.710000001</v>
      </c>
      <c r="M43" s="22">
        <f>4041295.38</f>
        <v>4041295.38</v>
      </c>
      <c r="N43" s="22">
        <f>662518.68</f>
        <v>662518.68000000005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41743109.62</f>
        <v>41743109.619999997</v>
      </c>
      <c r="C44" s="23">
        <f>41743109.62</f>
        <v>41743109.619999997</v>
      </c>
      <c r="D44" s="23">
        <f>41630088</f>
        <v>41630088</v>
      </c>
      <c r="E44" s="23">
        <f>0</f>
        <v>0</v>
      </c>
      <c r="F44" s="23">
        <f>0</f>
        <v>0</v>
      </c>
      <c r="G44" s="23">
        <f>41630088</f>
        <v>41630088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30000</f>
        <v>30000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489540503.87</f>
        <v>489540503.87</v>
      </c>
      <c r="C45" s="23">
        <f>489540503.87</f>
        <v>489540503.87</v>
      </c>
      <c r="D45" s="23">
        <f>438651795.72</f>
        <v>438651795.72000003</v>
      </c>
      <c r="E45" s="23">
        <f>84115.96</f>
        <v>84115.96</v>
      </c>
      <c r="F45" s="23">
        <f>8561.64</f>
        <v>8561.64</v>
      </c>
      <c r="G45" s="23">
        <f>438559118.12</f>
        <v>438559118.12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46214894.09</f>
        <v>46214894.090000004</v>
      </c>
      <c r="M45" s="23">
        <f>4041295.38</f>
        <v>4041295.38</v>
      </c>
      <c r="N45" s="23">
        <f>632518.68</f>
        <v>632518.68000000005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9037682060.5</f>
        <v>9037682060.5</v>
      </c>
      <c r="C46" s="22">
        <f>9037414724.05</f>
        <v>9037414724.0499992</v>
      </c>
      <c r="D46" s="22">
        <f>373628.63</f>
        <v>373628.63</v>
      </c>
      <c r="E46" s="22">
        <f>600</f>
        <v>600</v>
      </c>
      <c r="F46" s="22">
        <f>16265.52</f>
        <v>16265.52</v>
      </c>
      <c r="G46" s="22">
        <f>356763.11</f>
        <v>356763.11</v>
      </c>
      <c r="H46" s="22">
        <f>0</f>
        <v>0</v>
      </c>
      <c r="I46" s="22">
        <f>0</f>
        <v>0</v>
      </c>
      <c r="J46" s="22">
        <f>9033335418.05</f>
        <v>9033335418.0499992</v>
      </c>
      <c r="K46" s="22">
        <f>0</f>
        <v>0</v>
      </c>
      <c r="L46" s="22">
        <f>3696613.74</f>
        <v>3696613.74</v>
      </c>
      <c r="M46" s="22">
        <f>9063.63</f>
        <v>9063.6299999999992</v>
      </c>
      <c r="N46" s="22">
        <f>0</f>
        <v>0</v>
      </c>
      <c r="O46" s="22">
        <f>267336.45</f>
        <v>267336.45</v>
      </c>
      <c r="P46" s="22">
        <f>267336.45</f>
        <v>267336.45</v>
      </c>
      <c r="Q46" s="22">
        <f>0</f>
        <v>0</v>
      </c>
    </row>
    <row r="47" spans="1:17" ht="24" customHeight="1" x14ac:dyDescent="0.2">
      <c r="A47" s="18" t="s">
        <v>33</v>
      </c>
      <c r="B47" s="23">
        <f>356763.11</f>
        <v>356763.11</v>
      </c>
      <c r="C47" s="23">
        <f>356763.11</f>
        <v>356763.11</v>
      </c>
      <c r="D47" s="23">
        <f>356763.11</f>
        <v>356763.11</v>
      </c>
      <c r="E47" s="23">
        <f>0</f>
        <v>0</v>
      </c>
      <c r="F47" s="23">
        <f>0</f>
        <v>0</v>
      </c>
      <c r="G47" s="23">
        <f>356763.11</f>
        <v>356763.11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6346124680.69</f>
        <v>6346124680.6899996</v>
      </c>
      <c r="C48" s="23">
        <f>6346124680.69</f>
        <v>6346124680.6899996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6342451693.06</f>
        <v>6342451693.0600004</v>
      </c>
      <c r="K48" s="23">
        <f>0</f>
        <v>0</v>
      </c>
      <c r="L48" s="23">
        <f>3663324</f>
        <v>3663324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2691200616.7</f>
        <v>2691200616.6999998</v>
      </c>
      <c r="C49" s="23">
        <f>2690933280.25</f>
        <v>2690933280.25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2690883724.99</f>
        <v>2690883724.9899998</v>
      </c>
      <c r="K49" s="23">
        <f>0</f>
        <v>0</v>
      </c>
      <c r="L49" s="23">
        <f>33289.74</f>
        <v>33289.74</v>
      </c>
      <c r="M49" s="23">
        <f>0</f>
        <v>0</v>
      </c>
      <c r="N49" s="23">
        <f>0</f>
        <v>0</v>
      </c>
      <c r="O49" s="23">
        <f>267336.45</f>
        <v>267336.45</v>
      </c>
      <c r="P49" s="23">
        <f>267336.45</f>
        <v>267336.45</v>
      </c>
      <c r="Q49" s="23">
        <f>0</f>
        <v>0</v>
      </c>
    </row>
    <row r="50" spans="1:17" ht="30.75" customHeight="1" x14ac:dyDescent="0.2">
      <c r="A50" s="24" t="s">
        <v>43</v>
      </c>
      <c r="B50" s="22">
        <f>4837853762.49</f>
        <v>4837853762.4899998</v>
      </c>
      <c r="C50" s="22">
        <f>4835466527.65</f>
        <v>4835466527.6499996</v>
      </c>
      <c r="D50" s="22">
        <f>19365446.68</f>
        <v>19365446.68</v>
      </c>
      <c r="E50" s="22">
        <f>72061.43</f>
        <v>72061.429999999993</v>
      </c>
      <c r="F50" s="22">
        <f>203960.83</f>
        <v>203960.83</v>
      </c>
      <c r="G50" s="22">
        <f>19089423.92</f>
        <v>19089423.920000002</v>
      </c>
      <c r="H50" s="22">
        <f>0.5</f>
        <v>0.5</v>
      </c>
      <c r="I50" s="22">
        <f>0</f>
        <v>0</v>
      </c>
      <c r="J50" s="22">
        <f>19960.64</f>
        <v>19960.64</v>
      </c>
      <c r="K50" s="22">
        <f>15790352.38</f>
        <v>15790352.380000001</v>
      </c>
      <c r="L50" s="22">
        <f>1843086654.09</f>
        <v>1843086654.0899999</v>
      </c>
      <c r="M50" s="22">
        <f>2931773651.81</f>
        <v>2931773651.8099999</v>
      </c>
      <c r="N50" s="22">
        <f>25430462.05</f>
        <v>25430462.050000001</v>
      </c>
      <c r="O50" s="22">
        <f>2387234.84</f>
        <v>2387234.84</v>
      </c>
      <c r="P50" s="22">
        <f>1851570.98</f>
        <v>1851570.98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57192579.72</f>
        <v>57192579.719999999</v>
      </c>
      <c r="C51" s="23">
        <f>57185272.1</f>
        <v>57185272.100000001</v>
      </c>
      <c r="D51" s="23">
        <f>393343.41</f>
        <v>393343.41</v>
      </c>
      <c r="E51" s="23">
        <f>9000</f>
        <v>9000</v>
      </c>
      <c r="F51" s="23">
        <f>0</f>
        <v>0</v>
      </c>
      <c r="G51" s="23">
        <f>384343.41</f>
        <v>384343.41</v>
      </c>
      <c r="H51" s="23">
        <f>0</f>
        <v>0</v>
      </c>
      <c r="I51" s="23">
        <f>0</f>
        <v>0</v>
      </c>
      <c r="J51" s="23">
        <f>998.91</f>
        <v>998.91</v>
      </c>
      <c r="K51" s="23">
        <f>0</f>
        <v>0</v>
      </c>
      <c r="L51" s="23">
        <f>51001810.7</f>
        <v>51001810.700000003</v>
      </c>
      <c r="M51" s="23">
        <f>5168963.28</f>
        <v>5168963.28</v>
      </c>
      <c r="N51" s="23">
        <f>620155.8</f>
        <v>620155.80000000005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4780661182.77</f>
        <v>4780661182.7700005</v>
      </c>
      <c r="C52" s="23">
        <f>4778281255.55</f>
        <v>4778281255.5500002</v>
      </c>
      <c r="D52" s="23">
        <f>18972103.27</f>
        <v>18972103.27</v>
      </c>
      <c r="E52" s="23">
        <f>63061.43</f>
        <v>63061.43</v>
      </c>
      <c r="F52" s="23">
        <f>203960.83</f>
        <v>203960.83</v>
      </c>
      <c r="G52" s="23">
        <f>18705080.51</f>
        <v>18705080.510000002</v>
      </c>
      <c r="H52" s="23">
        <f>0.5</f>
        <v>0.5</v>
      </c>
      <c r="I52" s="23">
        <f>0</f>
        <v>0</v>
      </c>
      <c r="J52" s="23">
        <f>18961.73</f>
        <v>18961.73</v>
      </c>
      <c r="K52" s="23">
        <f>15790352.38</f>
        <v>15790352.380000001</v>
      </c>
      <c r="L52" s="23">
        <f>1792084843.39</f>
        <v>1792084843.3900001</v>
      </c>
      <c r="M52" s="23">
        <f>2926604688.53</f>
        <v>2926604688.5300002</v>
      </c>
      <c r="N52" s="23">
        <f>24810306.25</f>
        <v>24810306.25</v>
      </c>
      <c r="O52" s="23">
        <f>2379927.22</f>
        <v>2379927.2200000002</v>
      </c>
      <c r="P52" s="23">
        <f>1844263.36</f>
        <v>1844263.36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1168786191.4</f>
        <v>1168786191.4000001</v>
      </c>
      <c r="C53" s="22">
        <f>1164765127.39</f>
        <v>1164765127.3900001</v>
      </c>
      <c r="D53" s="22">
        <f>147367849.48</f>
        <v>147367849.47999999</v>
      </c>
      <c r="E53" s="22">
        <f>19332098.62</f>
        <v>19332098.620000001</v>
      </c>
      <c r="F53" s="22">
        <f>2095529.71</f>
        <v>2095529.71</v>
      </c>
      <c r="G53" s="22">
        <f>125129699.9</f>
        <v>125129699.90000001</v>
      </c>
      <c r="H53" s="22">
        <f>810521.25</f>
        <v>810521.25</v>
      </c>
      <c r="I53" s="22">
        <f>0</f>
        <v>0</v>
      </c>
      <c r="J53" s="22">
        <f>219879.56</f>
        <v>219879.56</v>
      </c>
      <c r="K53" s="22">
        <f>4131.32</f>
        <v>4131.32</v>
      </c>
      <c r="L53" s="22">
        <f>827787809.33</f>
        <v>827787809.33000004</v>
      </c>
      <c r="M53" s="22">
        <f>184308396.01</f>
        <v>184308396.00999999</v>
      </c>
      <c r="N53" s="22">
        <f>5077061.69</f>
        <v>5077061.6900000004</v>
      </c>
      <c r="O53" s="22">
        <f>4021064.01</f>
        <v>4021064.01</v>
      </c>
      <c r="P53" s="22">
        <f>2999769.01</f>
        <v>2999769.01</v>
      </c>
      <c r="Q53" s="22">
        <f>1021295</f>
        <v>1021295</v>
      </c>
    </row>
    <row r="54" spans="1:17" ht="30" customHeight="1" x14ac:dyDescent="0.2">
      <c r="A54" s="18" t="s">
        <v>38</v>
      </c>
      <c r="B54" s="23">
        <f>53060393.33</f>
        <v>53060393.329999998</v>
      </c>
      <c r="C54" s="23">
        <f>53058115.64</f>
        <v>53058115.640000001</v>
      </c>
      <c r="D54" s="23">
        <f>4399874.37</f>
        <v>4399874.37</v>
      </c>
      <c r="E54" s="23">
        <f>68798.82</f>
        <v>68798.820000000007</v>
      </c>
      <c r="F54" s="23">
        <f>79132.79</f>
        <v>79132.789999999994</v>
      </c>
      <c r="G54" s="23">
        <f>3798057</f>
        <v>3798057</v>
      </c>
      <c r="H54" s="23">
        <f>453885.76</f>
        <v>453885.76</v>
      </c>
      <c r="I54" s="23">
        <f>0</f>
        <v>0</v>
      </c>
      <c r="J54" s="23">
        <f>59.74</f>
        <v>59.74</v>
      </c>
      <c r="K54" s="23">
        <f>62.5</f>
        <v>62.5</v>
      </c>
      <c r="L54" s="23">
        <f>44423283.28</f>
        <v>44423283.280000001</v>
      </c>
      <c r="M54" s="23">
        <f>3593376.66</f>
        <v>3593376.66</v>
      </c>
      <c r="N54" s="23">
        <f>641459.09</f>
        <v>641459.09</v>
      </c>
      <c r="O54" s="23">
        <f>2277.69</f>
        <v>2277.69</v>
      </c>
      <c r="P54" s="23">
        <f>2277.69</f>
        <v>2277.69</v>
      </c>
      <c r="Q54" s="23">
        <f>0</f>
        <v>0</v>
      </c>
    </row>
    <row r="55" spans="1:17" ht="33" customHeight="1" x14ac:dyDescent="0.2">
      <c r="A55" s="18" t="s">
        <v>80</v>
      </c>
      <c r="B55" s="23">
        <f>72458.4</f>
        <v>72458.399999999994</v>
      </c>
      <c r="C55" s="23">
        <f>72458.4</f>
        <v>72458.399999999994</v>
      </c>
      <c r="D55" s="23">
        <f>72458.4</f>
        <v>72458.399999999994</v>
      </c>
      <c r="E55" s="23">
        <f>0</f>
        <v>0</v>
      </c>
      <c r="F55" s="23">
        <f>0</f>
        <v>0</v>
      </c>
      <c r="G55" s="23">
        <f>72365.67</f>
        <v>72365.67</v>
      </c>
      <c r="H55" s="23">
        <f>92.73</f>
        <v>92.73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1115653339.67</f>
        <v>1115653339.6700001</v>
      </c>
      <c r="C56" s="23">
        <f>1111634553.35</f>
        <v>1111634553.3499999</v>
      </c>
      <c r="D56" s="23">
        <f>142895516.71</f>
        <v>142895516.71000001</v>
      </c>
      <c r="E56" s="23">
        <f>19263299.8</f>
        <v>19263299.800000001</v>
      </c>
      <c r="F56" s="23">
        <f>2016396.92</f>
        <v>2016396.92</v>
      </c>
      <c r="G56" s="23">
        <f>121259277.23</f>
        <v>121259277.23</v>
      </c>
      <c r="H56" s="23">
        <f>356542.76</f>
        <v>356542.76</v>
      </c>
      <c r="I56" s="23">
        <f>0</f>
        <v>0</v>
      </c>
      <c r="J56" s="23">
        <f>219819.82</f>
        <v>219819.82</v>
      </c>
      <c r="K56" s="23">
        <f>4068.82</f>
        <v>4068.82</v>
      </c>
      <c r="L56" s="23">
        <f>783364526.05</f>
        <v>783364526.04999995</v>
      </c>
      <c r="M56" s="23">
        <f>180715019.35</f>
        <v>180715019.34999999</v>
      </c>
      <c r="N56" s="23">
        <f>4435602.6</f>
        <v>4435602.5999999996</v>
      </c>
      <c r="O56" s="23">
        <f>4018786.32</f>
        <v>4018786.32</v>
      </c>
      <c r="P56" s="23">
        <f>2997491.32</f>
        <v>2997491.32</v>
      </c>
      <c r="Q56" s="23">
        <f>1021295</f>
        <v>1021295</v>
      </c>
    </row>
    <row r="66" spans="1:13" ht="67.5" customHeight="1" x14ac:dyDescent="0.2">
      <c r="A66" s="37" t="str">
        <f>CONCATENATE("Informacja z wykonania budżetów województw za  ",$C$93," ",$B$94," roku    ",$B$96,"")</f>
        <v xml:space="preserve">Informacja z wykonania budżetów województw za  I Kwartał 2024 roku    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3.5" customHeight="1" x14ac:dyDescent="0.2">
      <c r="B67" s="38" t="s">
        <v>2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9" spans="1:13" ht="13.5" customHeight="1" x14ac:dyDescent="0.2">
      <c r="B69" s="61" t="s">
        <v>0</v>
      </c>
      <c r="C69" s="62"/>
      <c r="D69" s="62"/>
      <c r="E69" s="63"/>
      <c r="F69" s="70" t="s">
        <v>70</v>
      </c>
      <c r="G69" s="27" t="s">
        <v>76</v>
      </c>
      <c r="H69" s="56"/>
      <c r="I69" s="56"/>
      <c r="J69" s="56"/>
      <c r="K69" s="56"/>
      <c r="L69" s="57"/>
    </row>
    <row r="70" spans="1:13" ht="13.5" customHeight="1" x14ac:dyDescent="0.2">
      <c r="B70" s="64"/>
      <c r="C70" s="65"/>
      <c r="D70" s="65"/>
      <c r="E70" s="66"/>
      <c r="F70" s="71"/>
      <c r="G70" s="73" t="s">
        <v>71</v>
      </c>
      <c r="H70" s="26" t="s">
        <v>68</v>
      </c>
      <c r="I70" s="26" t="s">
        <v>69</v>
      </c>
      <c r="J70" s="26" t="s">
        <v>72</v>
      </c>
      <c r="K70" s="26" t="s">
        <v>73</v>
      </c>
      <c r="L70" s="30" t="s">
        <v>74</v>
      </c>
    </row>
    <row r="71" spans="1:13" ht="13.5" customHeight="1" x14ac:dyDescent="0.2">
      <c r="B71" s="64"/>
      <c r="C71" s="65"/>
      <c r="D71" s="65"/>
      <c r="E71" s="66"/>
      <c r="F71" s="71"/>
      <c r="G71" s="73"/>
      <c r="H71" s="26"/>
      <c r="I71" s="26"/>
      <c r="J71" s="26"/>
      <c r="K71" s="26"/>
      <c r="L71" s="30"/>
    </row>
    <row r="72" spans="1:13" ht="11.25" customHeight="1" x14ac:dyDescent="0.2">
      <c r="B72" s="64"/>
      <c r="C72" s="65"/>
      <c r="D72" s="65"/>
      <c r="E72" s="66"/>
      <c r="F72" s="71"/>
      <c r="G72" s="73"/>
      <c r="H72" s="26"/>
      <c r="I72" s="26"/>
      <c r="J72" s="26"/>
      <c r="K72" s="26"/>
      <c r="L72" s="30"/>
    </row>
    <row r="73" spans="1:13" ht="11.25" customHeight="1" x14ac:dyDescent="0.2">
      <c r="B73" s="67"/>
      <c r="C73" s="68"/>
      <c r="D73" s="68"/>
      <c r="E73" s="69"/>
      <c r="F73" s="72"/>
      <c r="G73" s="73"/>
      <c r="H73" s="26"/>
      <c r="I73" s="26"/>
      <c r="J73" s="26"/>
      <c r="K73" s="26"/>
      <c r="L73" s="30"/>
    </row>
    <row r="74" spans="1:13" ht="11.25" customHeight="1" x14ac:dyDescent="0.2">
      <c r="B74" s="26">
        <v>1</v>
      </c>
      <c r="C74" s="26"/>
      <c r="D74" s="26"/>
      <c r="E74" s="26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26"/>
      <c r="C75" s="26"/>
      <c r="D75" s="26"/>
      <c r="E75" s="26"/>
      <c r="F75" s="27" t="s">
        <v>78</v>
      </c>
      <c r="G75" s="28"/>
      <c r="H75" s="28"/>
      <c r="I75" s="28"/>
      <c r="J75" s="28"/>
      <c r="K75" s="28"/>
      <c r="L75" s="29"/>
    </row>
    <row r="76" spans="1:13" ht="33.75" customHeight="1" x14ac:dyDescent="0.2">
      <c r="B76" s="58" t="s">
        <v>55</v>
      </c>
      <c r="C76" s="59"/>
      <c r="D76" s="59"/>
      <c r="E76" s="60"/>
      <c r="F76" s="25">
        <f>1166054041.3</f>
        <v>1166054041.3</v>
      </c>
      <c r="G76" s="25">
        <f>239793193.14</f>
        <v>239793193.13999999</v>
      </c>
      <c r="H76" s="25">
        <f>0</f>
        <v>0</v>
      </c>
      <c r="I76" s="25">
        <f>0</f>
        <v>0</v>
      </c>
      <c r="J76" s="25">
        <f>239793193.14</f>
        <v>239793193.13999999</v>
      </c>
      <c r="K76" s="25">
        <f>0</f>
        <v>0</v>
      </c>
      <c r="L76" s="25">
        <f>926260848.16</f>
        <v>926260848.15999997</v>
      </c>
    </row>
    <row r="77" spans="1:13" ht="33.75" customHeight="1" x14ac:dyDescent="0.2">
      <c r="B77" s="58" t="s">
        <v>56</v>
      </c>
      <c r="C77" s="59"/>
      <c r="D77" s="59"/>
      <c r="E77" s="60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58" t="s">
        <v>57</v>
      </c>
      <c r="C78" s="59"/>
      <c r="D78" s="59"/>
      <c r="E78" s="60"/>
      <c r="F78" s="25">
        <f>13000000</f>
        <v>13000000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13000000</f>
        <v>13000000</v>
      </c>
    </row>
    <row r="79" spans="1:13" ht="22.5" customHeight="1" x14ac:dyDescent="0.2">
      <c r="B79" s="58" t="s">
        <v>58</v>
      </c>
      <c r="C79" s="59"/>
      <c r="D79" s="59"/>
      <c r="E79" s="60"/>
      <c r="F79" s="25">
        <f>20320381.14</f>
        <v>20320381.140000001</v>
      </c>
      <c r="G79" s="25">
        <f>12988131.24</f>
        <v>12988131.24</v>
      </c>
      <c r="H79" s="25">
        <f>0</f>
        <v>0</v>
      </c>
      <c r="I79" s="25">
        <f>0</f>
        <v>0</v>
      </c>
      <c r="J79" s="25">
        <f>12988131.24</f>
        <v>12988131.24</v>
      </c>
      <c r="K79" s="25">
        <f>0</f>
        <v>0</v>
      </c>
      <c r="L79" s="25">
        <f>7332249.9</f>
        <v>7332249.9000000004</v>
      </c>
    </row>
    <row r="80" spans="1:13" ht="33.75" customHeight="1" x14ac:dyDescent="0.2">
      <c r="B80" s="58" t="s">
        <v>59</v>
      </c>
      <c r="C80" s="59"/>
      <c r="D80" s="59"/>
      <c r="E80" s="60"/>
      <c r="F80" s="25">
        <f>1712505.24</f>
        <v>1712505.24</v>
      </c>
      <c r="G80" s="25">
        <f>1056559.4</f>
        <v>1056559.3999999999</v>
      </c>
      <c r="H80" s="25">
        <f>0</f>
        <v>0</v>
      </c>
      <c r="I80" s="25">
        <f>0</f>
        <v>0</v>
      </c>
      <c r="J80" s="25">
        <f>1056559.4</f>
        <v>1056559.3999999999</v>
      </c>
      <c r="K80" s="25">
        <f>0</f>
        <v>0</v>
      </c>
      <c r="L80" s="25">
        <f>655945.84</f>
        <v>655945.84</v>
      </c>
    </row>
    <row r="81" spans="1:13" ht="33.75" customHeight="1" x14ac:dyDescent="0.2">
      <c r="B81" s="58" t="s">
        <v>60</v>
      </c>
      <c r="C81" s="59"/>
      <c r="D81" s="59"/>
      <c r="E81" s="60"/>
      <c r="F81" s="25">
        <f>5210068.08</f>
        <v>5210068.08</v>
      </c>
      <c r="G81" s="25">
        <f>3743618.1</f>
        <v>3743618.1</v>
      </c>
      <c r="H81" s="25">
        <f>0</f>
        <v>0</v>
      </c>
      <c r="I81" s="25">
        <f>0</f>
        <v>0</v>
      </c>
      <c r="J81" s="25">
        <f>3743618.1</f>
        <v>3743618.1</v>
      </c>
      <c r="K81" s="25">
        <f>0</f>
        <v>0</v>
      </c>
      <c r="L81" s="25">
        <f>1466449.98</f>
        <v>1466449.98</v>
      </c>
    </row>
    <row r="82" spans="1:13" ht="33" customHeight="1" x14ac:dyDescent="0.2">
      <c r="B82" s="58" t="s">
        <v>61</v>
      </c>
      <c r="C82" s="59"/>
      <c r="D82" s="59"/>
      <c r="E82" s="60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7" t="str">
        <f>CONCATENATE("Informacja z wykonania budżetów województw za  ",$C$93," ",$B$94," roku    ",$B$96,"")</f>
        <v xml:space="preserve">Informacja z wykonania budżetów województw za  I Kwartał 2024 roku    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1:13" ht="13.5" customHeight="1" x14ac:dyDescent="0.2">
      <c r="B86" s="4"/>
    </row>
    <row r="87" spans="1:13" ht="13.5" customHeight="1" x14ac:dyDescent="0.2">
      <c r="B87" s="5"/>
      <c r="C87" s="27"/>
      <c r="D87" s="56"/>
      <c r="E87" s="56"/>
      <c r="F87" s="57"/>
      <c r="G87" s="27" t="s">
        <v>3</v>
      </c>
      <c r="H87" s="57"/>
      <c r="I87" s="27" t="s">
        <v>4</v>
      </c>
      <c r="J87" s="57"/>
      <c r="K87" s="5"/>
    </row>
    <row r="88" spans="1:13" ht="18" customHeight="1" x14ac:dyDescent="0.2">
      <c r="B88" s="6"/>
      <c r="C88" s="58" t="s">
        <v>5</v>
      </c>
      <c r="D88" s="59"/>
      <c r="E88" s="59"/>
      <c r="F88" s="60"/>
      <c r="G88" s="52">
        <f>16</f>
        <v>16</v>
      </c>
      <c r="H88" s="53"/>
      <c r="I88" s="54">
        <f>3304189727.88</f>
        <v>3304189727.8800001</v>
      </c>
      <c r="J88" s="55"/>
      <c r="K88" s="7"/>
    </row>
    <row r="89" spans="1:13" ht="22.5" customHeight="1" x14ac:dyDescent="0.2">
      <c r="B89" s="6"/>
      <c r="C89" s="58" t="s">
        <v>6</v>
      </c>
      <c r="D89" s="59"/>
      <c r="E89" s="59"/>
      <c r="F89" s="60"/>
      <c r="G89" s="52">
        <f>0</f>
        <v>0</v>
      </c>
      <c r="H89" s="53"/>
      <c r="I89" s="54">
        <f>0</f>
        <v>0</v>
      </c>
      <c r="J89" s="55"/>
      <c r="K89" s="7"/>
    </row>
    <row r="90" spans="1:13" ht="21" customHeight="1" x14ac:dyDescent="0.2">
      <c r="B90" s="6"/>
      <c r="C90" s="58" t="s">
        <v>7</v>
      </c>
      <c r="D90" s="59"/>
      <c r="E90" s="59"/>
      <c r="F90" s="60"/>
      <c r="G90" s="52">
        <f>0</f>
        <v>0</v>
      </c>
      <c r="H90" s="53"/>
      <c r="I90" s="54">
        <f>0</f>
        <v>0</v>
      </c>
      <c r="J90" s="55"/>
      <c r="K90" s="7"/>
    </row>
    <row r="93" spans="1:13" ht="13.5" customHeight="1" x14ac:dyDescent="0.2">
      <c r="A93" s="8" t="s">
        <v>8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9</v>
      </c>
      <c r="B94" s="8">
        <f>2024</f>
        <v>2024</v>
      </c>
      <c r="C94" s="9"/>
    </row>
    <row r="95" spans="1:13" ht="13.5" customHeight="1" x14ac:dyDescent="0.2">
      <c r="A95" s="8" t="s">
        <v>10</v>
      </c>
      <c r="B95" s="10" t="str">
        <f>"May 21 2024 12:00AM"</f>
        <v>May 21 2024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A33:A37"/>
    <mergeCell ref="C34:C37"/>
    <mergeCell ref="E34:E37"/>
    <mergeCell ref="B33:B37"/>
    <mergeCell ref="B12:Q12"/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J34:J37"/>
    <mergeCell ref="H70:H73"/>
    <mergeCell ref="I70:I73"/>
    <mergeCell ref="J70:J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2024-05-27T12:28:57Z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2024-05-23T09:39:09.6541863+02:00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GRN-f2eadb4c-31cb-470b-bafe-a5b73d1769aa</vt:lpwstr>
  </property>
  <property fmtid="{D5CDD505-2E9C-101B-9397-08002B2CF9AE}" pid="7" name="MFHash">
    <vt:lpwstr>0gKZoTdIjSrV90a3WrnJI+js6LU7GWcYx8SSQfMHFRo=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