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en_skoroszyt" defaultThemeVersion="124226"/>
  <xr:revisionPtr revIDLastSave="0" documentId="8_{852B8486-520C-43BF-85AE-EEBE7094FBAB}" xr6:coauthVersionLast="47" xr6:coauthVersionMax="47" xr10:uidLastSave="{00000000-0000-0000-0000-000000000000}"/>
  <workbookProtection workbookAlgorithmName="SHA-512" workbookHashValue="TvHimWZKE5pmlDkfBuelEkvGcVzJlHg9D7oLSarNPiZ7AJWNPQX0/n9lmiupErId8HSvpHty1J3o4/8/AI9N3g==" workbookSaltValue="g5qGvl70MD2I/2r4j3emQw==" workbookSpinCount="100000" lockStructure="1"/>
  <bookViews>
    <workbookView xWindow="0" yWindow="600" windowWidth="19200" windowHeight="10200" tabRatio="734" xr2:uid="{E766AB68-68CA-459A-B4D0-74431449CE8D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Moduły!$B$577:$B$579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Moduły!$B$565:$B$572</definedName>
    <definedName name="Lista_Modulow_Menu">OFFSET(Moduły!$E$566,,,Moduły!$F$566)</definedName>
    <definedName name="lista_st">Założenia!$B$192:$B$199</definedName>
    <definedName name="mod_dot">'Rozliczenie dotacji'!$J$311:$J$1182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dotacji'!$K$311:$X$1182</definedName>
    <definedName name="mod_dot_st_npv">'Rozliczenie dotacji'!$J$30:$J$197</definedName>
    <definedName name="mod_dot_st_npv_war">'Rozliczenie dotacji'!$K$30:$X$197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Moduły!$B$577:$B$578</definedName>
    <definedName name="moduly_pr">Moduły!$B$579</definedName>
    <definedName name="nie">Moduły!$B$575</definedName>
    <definedName name="nie_b_plus_r">Moduły!$D$577</definedName>
    <definedName name="nowy_wbudowie">Założenia!$B$201:$B$202</definedName>
    <definedName name="_xlnm.Print_Area" localSheetId="0">'Dane Firmy'!$C$5:$G$14</definedName>
    <definedName name="_xlnm.Print_Area" localSheetId="8">Finansowanie!$B$12:$X$200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Moduły!$B$13:$P$561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dotacji'!$B$12:$X$308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Moduły!$B$574</definedName>
    <definedName name="tak_nie">Moduły!$B$574:$B$575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87" i="16" l="1"/>
  <c r="E2302" i="16" s="1"/>
  <c r="J71" i="16" s="1"/>
  <c r="D2294" i="16"/>
  <c r="D2295" i="16"/>
  <c r="D2296" i="16"/>
  <c r="D2298" i="16"/>
  <c r="D2299" i="16"/>
  <c r="D2300" i="16"/>
  <c r="D2301" i="16"/>
  <c r="D2302" i="16"/>
  <c r="C2299" i="16"/>
  <c r="C2300" i="16"/>
  <c r="C2301" i="16"/>
  <c r="C2302" i="16"/>
  <c r="C2298" i="16"/>
  <c r="C2296" i="16"/>
  <c r="C2295" i="16"/>
  <c r="C2294" i="16"/>
  <c r="E2294" i="16" l="1"/>
  <c r="J15" i="16" s="1"/>
  <c r="E2295" i="16"/>
  <c r="J23" i="16" s="1"/>
  <c r="E2298" i="16"/>
  <c r="J39" i="16" s="1"/>
  <c r="E2296" i="16"/>
  <c r="J31" i="16" s="1"/>
  <c r="E2299" i="16"/>
  <c r="J47" i="16" s="1"/>
  <c r="E2300" i="16"/>
  <c r="J55" i="16" s="1"/>
  <c r="E2301" i="16"/>
  <c r="J63" i="16" s="1"/>
  <c r="D71" i="16" l="1"/>
  <c r="D63" i="16"/>
  <c r="D55" i="16"/>
  <c r="D47" i="16"/>
  <c r="D39" i="16"/>
  <c r="D31" i="16"/>
  <c r="D23" i="16"/>
  <c r="D15" i="16"/>
  <c r="D184" i="9" l="1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D139" i="9" s="1"/>
  <c r="E141" i="9"/>
  <c r="E139" i="9" s="1"/>
  <c r="F141" i="9"/>
  <c r="F139" i="9" s="1"/>
  <c r="C141" i="9"/>
  <c r="C139" i="9" s="1"/>
  <c r="C130" i="9"/>
  <c r="C126" i="9" s="1"/>
  <c r="D107" i="9"/>
  <c r="E107" i="9"/>
  <c r="E105" i="9" s="1"/>
  <c r="F107" i="9"/>
  <c r="F105" i="9" s="1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C105" i="9" l="1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D104" i="9" s="1"/>
  <c r="E120" i="9"/>
  <c r="E104" i="9" s="1"/>
  <c r="C120" i="9"/>
  <c r="C104" i="9" s="1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C49" i="9" l="1"/>
  <c r="C87" i="9" s="1"/>
  <c r="D49" i="9"/>
  <c r="D87" i="9" s="1"/>
  <c r="E49" i="9"/>
  <c r="E87" i="9" s="1"/>
  <c r="F49" i="9"/>
  <c r="F87" i="9" s="1"/>
  <c r="M117" i="10"/>
  <c r="N117" i="10"/>
  <c r="O117" i="10"/>
  <c r="P117" i="10"/>
  <c r="Q117" i="10"/>
  <c r="R117" i="10"/>
  <c r="S117" i="10"/>
  <c r="T117" i="10"/>
  <c r="U117" i="10"/>
  <c r="V117" i="10"/>
  <c r="X117" i="10"/>
  <c r="W117" i="10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06" i="20"/>
  <c r="B2114" i="16" l="1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D610" i="25" l="1"/>
  <c r="E610" i="25"/>
  <c r="F610" i="25"/>
  <c r="G610" i="25"/>
  <c r="H610" i="25"/>
  <c r="I610" i="25"/>
  <c r="J610" i="25"/>
  <c r="K610" i="25"/>
  <c r="L610" i="25"/>
  <c r="M610" i="25"/>
  <c r="N610" i="25"/>
  <c r="O610" i="25"/>
  <c r="P610" i="25"/>
  <c r="D612" i="25"/>
  <c r="E612" i="25"/>
  <c r="F612" i="25"/>
  <c r="G612" i="25"/>
  <c r="H612" i="25"/>
  <c r="I612" i="25"/>
  <c r="J612" i="25"/>
  <c r="K612" i="25"/>
  <c r="L612" i="25"/>
  <c r="M612" i="25"/>
  <c r="N612" i="25"/>
  <c r="O612" i="25"/>
  <c r="P612" i="25"/>
  <c r="C612" i="25"/>
  <c r="C610" i="25"/>
  <c r="B599" i="25" l="1"/>
  <c r="B607" i="25" s="1"/>
  <c r="B617" i="25" s="1"/>
  <c r="B624" i="25" s="1"/>
  <c r="B593" i="25"/>
  <c r="B606" i="25" s="1"/>
  <c r="B616" i="25" s="1"/>
  <c r="B623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C2099" i="16" l="1" a="1"/>
  <c r="C2099" i="16" s="1"/>
  <c r="J190" i="20"/>
  <c r="J191" i="20"/>
  <c r="J192" i="20"/>
  <c r="J193" i="20"/>
  <c r="J194" i="20"/>
  <c r="J195" i="20"/>
  <c r="J196" i="20"/>
  <c r="J197" i="20"/>
  <c r="J189" i="20"/>
  <c r="J188" i="20"/>
  <c r="J172" i="20"/>
  <c r="J173" i="20"/>
  <c r="J174" i="20"/>
  <c r="J175" i="20"/>
  <c r="J176" i="20"/>
  <c r="J177" i="20"/>
  <c r="J178" i="20"/>
  <c r="J179" i="20"/>
  <c r="J171" i="20"/>
  <c r="J170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18" i="20"/>
  <c r="J117" i="20"/>
  <c r="J96" i="20"/>
  <c r="J97" i="20"/>
  <c r="J98" i="20"/>
  <c r="J99" i="20"/>
  <c r="J100" i="20"/>
  <c r="J101" i="20"/>
  <c r="J102" i="20"/>
  <c r="J103" i="20"/>
  <c r="J95" i="20"/>
  <c r="J94" i="20"/>
  <c r="J81" i="20"/>
  <c r="J82" i="20"/>
  <c r="J83" i="20"/>
  <c r="J84" i="20"/>
  <c r="J85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59" i="20"/>
  <c r="J58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30" i="20"/>
  <c r="D1409" i="12"/>
  <c r="D926" i="12" l="1"/>
  <c r="D1168" i="12"/>
  <c r="C23" i="8" l="1"/>
  <c r="D25" i="8" l="1"/>
  <c r="C196" i="16"/>
  <c r="J29" i="20" s="1"/>
  <c r="C195" i="16"/>
  <c r="J28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21" i="20"/>
  <c r="D1128" i="20" s="1"/>
  <c r="D1135" i="20" s="1"/>
  <c r="D1048" i="20"/>
  <c r="D1055" i="20" s="1"/>
  <c r="D730" i="20"/>
  <c r="J733" i="20" s="1" a="1"/>
  <c r="J733" i="20" s="1"/>
  <c r="D621" i="20"/>
  <c r="D628" i="20" s="1"/>
  <c r="D583" i="20"/>
  <c r="D590" i="20" s="1"/>
  <c r="E318" i="20"/>
  <c r="E325" i="20" s="1"/>
  <c r="E332" i="20" s="1"/>
  <c r="J314" i="20" a="1"/>
  <c r="J314" i="20" s="1"/>
  <c r="J1117" i="20" a="1"/>
  <c r="J1117" i="20" s="1"/>
  <c r="J1044" i="20" a="1"/>
  <c r="J1044" i="20" s="1"/>
  <c r="J726" i="20" a="1"/>
  <c r="J726" i="20" s="1"/>
  <c r="J617" i="20" a="1"/>
  <c r="J617" i="20" s="1"/>
  <c r="J579" i="20" a="1"/>
  <c r="J579" i="20" s="1"/>
  <c r="D475" i="20"/>
  <c r="J478" i="20" s="1" a="1"/>
  <c r="J478" i="20" s="1"/>
  <c r="J471" i="20" a="1"/>
  <c r="J471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49" i="16"/>
  <c r="J169" i="16" s="1"/>
  <c r="J143" i="16"/>
  <c r="J162" i="16" s="1"/>
  <c r="J1124" i="20" l="1" a="1"/>
  <c r="J1124" i="20" s="1"/>
  <c r="J321" i="20" a="1"/>
  <c r="J321" i="20" s="1"/>
  <c r="J1051" i="20" a="1"/>
  <c r="J1051" i="20" s="1"/>
  <c r="J624" i="20" a="1"/>
  <c r="J624" i="20" s="1"/>
  <c r="J328" i="20" a="1"/>
  <c r="J328" i="20" s="1"/>
  <c r="J335" i="20" a="1"/>
  <c r="J335" i="20" s="1"/>
  <c r="E339" i="20"/>
  <c r="D482" i="20"/>
  <c r="J586" i="20" a="1"/>
  <c r="J586" i="20" s="1"/>
  <c r="D597" i="20"/>
  <c r="J593" i="20" a="1"/>
  <c r="J593" i="20" s="1"/>
  <c r="J1138" i="20" a="1"/>
  <c r="J1138" i="20" s="1"/>
  <c r="D1142" i="20"/>
  <c r="J1131" i="20" a="1"/>
  <c r="J1131" i="20" s="1"/>
  <c r="D1062" i="20"/>
  <c r="J1058" i="20" a="1"/>
  <c r="J1058" i="20" s="1"/>
  <c r="D737" i="20"/>
  <c r="D635" i="20"/>
  <c r="J631" i="20" a="1"/>
  <c r="J631" i="20" s="1"/>
  <c r="F565" i="25"/>
  <c r="D566" i="25"/>
  <c r="D572" i="25"/>
  <c r="D571" i="25"/>
  <c r="D570" i="25"/>
  <c r="D569" i="25"/>
  <c r="D568" i="25"/>
  <c r="E565" i="25"/>
  <c r="D567" i="25"/>
  <c r="D565" i="25"/>
  <c r="J485" i="20" l="1" a="1"/>
  <c r="J485" i="20" s="1"/>
  <c r="D489" i="20"/>
  <c r="D1069" i="20"/>
  <c r="J1065" i="20" a="1"/>
  <c r="J1065" i="20" s="1"/>
  <c r="E346" i="20"/>
  <c r="J342" i="20" a="1"/>
  <c r="J342" i="20" s="1"/>
  <c r="D604" i="20"/>
  <c r="J607" i="20" s="1" a="1"/>
  <c r="J607" i="20" s="1"/>
  <c r="J600" i="20" a="1"/>
  <c r="J600" i="20" s="1"/>
  <c r="J1145" i="20" a="1"/>
  <c r="J1145" i="20" s="1"/>
  <c r="D1149" i="20"/>
  <c r="J1072" i="20" a="1"/>
  <c r="J1072" i="20" s="1"/>
  <c r="D1076" i="20"/>
  <c r="D744" i="20"/>
  <c r="J740" i="20" a="1"/>
  <c r="J740" i="20" s="1"/>
  <c r="D642" i="20"/>
  <c r="J638" i="20" a="1"/>
  <c r="J638" i="20" s="1"/>
  <c r="E566" i="25" a="1"/>
  <c r="E566" i="25" s="1"/>
  <c r="E567" i="25" s="1" a="1"/>
  <c r="E567" i="25" s="1"/>
  <c r="J349" i="20" l="1" a="1"/>
  <c r="J349" i="20" s="1"/>
  <c r="E353" i="20"/>
  <c r="D496" i="20"/>
  <c r="J492" i="20" a="1"/>
  <c r="J492" i="20" s="1"/>
  <c r="J1152" i="20" a="1"/>
  <c r="J1152" i="20" s="1"/>
  <c r="D1156" i="20"/>
  <c r="J1079" i="20" a="1"/>
  <c r="J1079" i="20" s="1"/>
  <c r="D1083" i="20"/>
  <c r="D751" i="20"/>
  <c r="J747" i="20" a="1"/>
  <c r="J747" i="20" s="1"/>
  <c r="J645" i="20" a="1"/>
  <c r="J645" i="20" s="1"/>
  <c r="D649" i="20"/>
  <c r="E568" i="25" a="1"/>
  <c r="E568" i="25" s="1"/>
  <c r="J499" i="20" l="1" a="1"/>
  <c r="J499" i="20" s="1"/>
  <c r="D503" i="20"/>
  <c r="J356" i="20" a="1"/>
  <c r="J356" i="20" s="1"/>
  <c r="E360" i="20"/>
  <c r="J363" i="20" s="1" a="1"/>
  <c r="J363" i="20" s="1"/>
  <c r="D1163" i="20"/>
  <c r="J1159" i="20" a="1"/>
  <c r="J1159" i="20" s="1"/>
  <c r="J1086" i="20" a="1"/>
  <c r="J1086" i="20" s="1"/>
  <c r="D1090" i="20"/>
  <c r="D758" i="20"/>
  <c r="J754" i="20" a="1"/>
  <c r="J754" i="20" s="1"/>
  <c r="J652" i="20" a="1"/>
  <c r="J652" i="20" s="1"/>
  <c r="D656" i="20"/>
  <c r="E569" i="25" a="1"/>
  <c r="E569" i="25" s="1"/>
  <c r="E570" i="25" s="1" a="1"/>
  <c r="E570" i="25" s="1"/>
  <c r="E571" i="25" s="1" a="1"/>
  <c r="E571" i="25" s="1"/>
  <c r="E572" i="25" s="1" a="1"/>
  <c r="E572" i="25" s="1"/>
  <c r="F566" i="25" s="1"/>
  <c r="G566" i="25" l="1" a="1"/>
  <c r="G566" i="25" s="1"/>
  <c r="D1097" i="20"/>
  <c r="D1104" i="20" s="1"/>
  <c r="J1107" i="20" s="1" a="1"/>
  <c r="J1107" i="20" s="1"/>
  <c r="J1093" i="20" a="1"/>
  <c r="J1093" i="20" s="1"/>
  <c r="D510" i="20"/>
  <c r="J506" i="20" a="1"/>
  <c r="J506" i="20" s="1"/>
  <c r="E367" i="20"/>
  <c r="D1170" i="20"/>
  <c r="J1166" i="20" a="1"/>
  <c r="J1166" i="20" s="1"/>
  <c r="J1100" i="20" a="1"/>
  <c r="J1100" i="20" s="1"/>
  <c r="D765" i="20"/>
  <c r="J761" i="20" a="1"/>
  <c r="J761" i="20" s="1"/>
  <c r="J659" i="20" a="1"/>
  <c r="J659" i="20" s="1"/>
  <c r="D663" i="20"/>
  <c r="J370" i="20" l="1" a="1"/>
  <c r="J370" i="20" s="1"/>
  <c r="E374" i="20"/>
  <c r="D517" i="20"/>
  <c r="J513" i="20" a="1"/>
  <c r="J513" i="20" s="1"/>
  <c r="D1177" i="20"/>
  <c r="J1180" i="20" s="1" a="1"/>
  <c r="J1180" i="20" s="1"/>
  <c r="J1173" i="20" a="1"/>
  <c r="J1173" i="20" s="1"/>
  <c r="J768" i="20" a="1"/>
  <c r="J768" i="20" s="1"/>
  <c r="D772" i="20"/>
  <c r="J666" i="20" a="1"/>
  <c r="J666" i="20" s="1"/>
  <c r="D670" i="20"/>
  <c r="D265" i="12"/>
  <c r="B936" i="12"/>
  <c r="J520" i="20" l="1" a="1"/>
  <c r="J520" i="20" s="1"/>
  <c r="D524" i="20"/>
  <c r="J377" i="20" a="1"/>
  <c r="J377" i="20" s="1"/>
  <c r="E381" i="20"/>
  <c r="J775" i="20" a="1"/>
  <c r="J775" i="20" s="1"/>
  <c r="D779" i="20"/>
  <c r="J673" i="20" a="1"/>
  <c r="J673" i="20" s="1"/>
  <c r="D677" i="20"/>
  <c r="E72" i="20"/>
  <c r="F72" i="20" s="1"/>
  <c r="D72" i="20"/>
  <c r="C72" i="20"/>
  <c r="B72" i="20"/>
  <c r="E388" i="20" l="1"/>
  <c r="J384" i="20" a="1"/>
  <c r="J384" i="20" s="1"/>
  <c r="D531" i="20"/>
  <c r="J527" i="20" a="1"/>
  <c r="J527" i="20" s="1"/>
  <c r="J782" i="20" a="1"/>
  <c r="J782" i="20" s="1"/>
  <c r="D786" i="20"/>
  <c r="J680" i="20" a="1"/>
  <c r="J680" i="20" s="1"/>
  <c r="D684" i="20"/>
  <c r="H23" i="8"/>
  <c r="D538" i="20" l="1"/>
  <c r="J534" i="20" a="1"/>
  <c r="J534" i="20" s="1"/>
  <c r="E395" i="20"/>
  <c r="J391" i="20" a="1"/>
  <c r="J391" i="20" s="1"/>
  <c r="J789" i="20" a="1"/>
  <c r="J789" i="20" s="1"/>
  <c r="D793" i="20"/>
  <c r="D691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B33" i="20"/>
  <c r="C33" i="20"/>
  <c r="D33" i="20"/>
  <c r="E33" i="20"/>
  <c r="B34" i="20"/>
  <c r="C34" i="20"/>
  <c r="D34" i="20"/>
  <c r="E34" i="20"/>
  <c r="B35" i="20"/>
  <c r="C35" i="20"/>
  <c r="D35" i="20"/>
  <c r="E35" i="20"/>
  <c r="B36" i="20"/>
  <c r="C36" i="20"/>
  <c r="D36" i="20"/>
  <c r="E36" i="20"/>
  <c r="B37" i="20"/>
  <c r="C37" i="20"/>
  <c r="D37" i="20"/>
  <c r="E37" i="20"/>
  <c r="B38" i="20"/>
  <c r="C38" i="20"/>
  <c r="D38" i="20"/>
  <c r="E38" i="20"/>
  <c r="B39" i="20"/>
  <c r="C39" i="20"/>
  <c r="D39" i="20"/>
  <c r="E39" i="20"/>
  <c r="B40" i="20"/>
  <c r="C40" i="20"/>
  <c r="D40" i="20"/>
  <c r="E40" i="20"/>
  <c r="B41" i="20"/>
  <c r="C41" i="20"/>
  <c r="D41" i="20"/>
  <c r="E41" i="20"/>
  <c r="B42" i="20"/>
  <c r="C42" i="20"/>
  <c r="D42" i="20"/>
  <c r="E42" i="20"/>
  <c r="B43" i="20"/>
  <c r="C43" i="20"/>
  <c r="D43" i="20"/>
  <c r="E43" i="20"/>
  <c r="B44" i="20"/>
  <c r="C44" i="20"/>
  <c r="D44" i="20"/>
  <c r="E44" i="20"/>
  <c r="B45" i="20"/>
  <c r="C45" i="20"/>
  <c r="D45" i="20"/>
  <c r="E45" i="20"/>
  <c r="B46" i="20"/>
  <c r="C46" i="20"/>
  <c r="D46" i="20"/>
  <c r="E46" i="20"/>
  <c r="B47" i="20"/>
  <c r="C47" i="20"/>
  <c r="D47" i="20"/>
  <c r="E47" i="20"/>
  <c r="B48" i="20"/>
  <c r="C48" i="20"/>
  <c r="D48" i="20"/>
  <c r="E48" i="20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I2275" i="16" s="1"/>
  <c r="E402" i="20" l="1"/>
  <c r="J398" i="20" a="1"/>
  <c r="J398" i="20" s="1"/>
  <c r="J541" i="20" a="1"/>
  <c r="J541" i="20" s="1"/>
  <c r="D545" i="20"/>
  <c r="D800" i="20"/>
  <c r="J796" i="20" a="1"/>
  <c r="J796" i="20" s="1"/>
  <c r="D698" i="20"/>
  <c r="F33" i="20"/>
  <c r="F46" i="20"/>
  <c r="F38" i="20"/>
  <c r="F44" i="20"/>
  <c r="F45" i="20"/>
  <c r="F37" i="20"/>
  <c r="F48" i="20"/>
  <c r="F40" i="20"/>
  <c r="F32" i="20"/>
  <c r="F43" i="20"/>
  <c r="F35" i="20"/>
  <c r="F41" i="20"/>
  <c r="F36" i="20"/>
  <c r="F47" i="20"/>
  <c r="F39" i="20"/>
  <c r="F42" i="20"/>
  <c r="F34" i="20"/>
  <c r="I2276" i="16"/>
  <c r="J548" i="20" l="1" a="1"/>
  <c r="J548" i="20" s="1"/>
  <c r="D552" i="20"/>
  <c r="J405" i="20" a="1"/>
  <c r="J405" i="20" s="1"/>
  <c r="E409" i="20"/>
  <c r="J803" i="20" a="1"/>
  <c r="J803" i="20" s="1"/>
  <c r="D807" i="20"/>
  <c r="D705" i="20"/>
  <c r="I2277" i="16"/>
  <c r="J555" i="20" l="1" a="1"/>
  <c r="J555" i="20" s="1"/>
  <c r="D559" i="20"/>
  <c r="E416" i="20"/>
  <c r="J412" i="20" a="1"/>
  <c r="J412" i="20" s="1"/>
  <c r="D814" i="20"/>
  <c r="J810" i="20" a="1"/>
  <c r="J810" i="20" s="1"/>
  <c r="D712" i="20"/>
  <c r="I2278" i="16"/>
  <c r="B2" i="25"/>
  <c r="B25" i="8"/>
  <c r="C25" i="8"/>
  <c r="C190" i="8"/>
  <c r="E423" i="20" l="1"/>
  <c r="J419" i="20" a="1"/>
  <c r="J419" i="20" s="1"/>
  <c r="D566" i="20"/>
  <c r="J569" i="20" s="1" a="1"/>
  <c r="J569" i="20" s="1"/>
  <c r="J562" i="20" a="1"/>
  <c r="J562" i="20" s="1"/>
  <c r="D821" i="20"/>
  <c r="J817" i="20" a="1"/>
  <c r="J817" i="20" s="1"/>
  <c r="I2279" i="16"/>
  <c r="C187" i="8"/>
  <c r="E196" i="16" l="1"/>
  <c r="E195" i="16"/>
  <c r="J426" i="20" a="1"/>
  <c r="J426" i="20" s="1"/>
  <c r="E430" i="20"/>
  <c r="J824" i="20" a="1"/>
  <c r="J824" i="20" s="1"/>
  <c r="D828" i="20"/>
  <c r="I2280" i="16"/>
  <c r="J876" i="16"/>
  <c r="W61" i="10"/>
  <c r="K61" i="10"/>
  <c r="D136" i="16"/>
  <c r="E437" i="20" l="1"/>
  <c r="J433" i="20" a="1"/>
  <c r="J433" i="20" s="1"/>
  <c r="J831" i="20" a="1"/>
  <c r="J831" i="20" s="1"/>
  <c r="D835" i="20"/>
  <c r="J49" i="8"/>
  <c r="J50" i="8"/>
  <c r="J51" i="8"/>
  <c r="J52" i="8"/>
  <c r="J53" i="8"/>
  <c r="J54" i="8"/>
  <c r="J55" i="8"/>
  <c r="J48" i="8"/>
  <c r="E873" i="16"/>
  <c r="E872" i="16"/>
  <c r="F872" i="16" s="1"/>
  <c r="D872" i="16"/>
  <c r="D877" i="16"/>
  <c r="B877" i="16" s="1"/>
  <c r="H872" i="16"/>
  <c r="I872" i="16" s="1"/>
  <c r="C874" i="16" l="1"/>
  <c r="E444" i="20"/>
  <c r="J440" i="20" a="1"/>
  <c r="J440" i="20" s="1"/>
  <c r="J838" i="20" a="1"/>
  <c r="J838" i="20" s="1"/>
  <c r="D842" i="20"/>
  <c r="D878" i="16"/>
  <c r="J882" i="16"/>
  <c r="E878" i="16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51" i="20" l="1"/>
  <c r="J447" i="20" a="1"/>
  <c r="J447" i="20" s="1"/>
  <c r="J845" i="20" a="1"/>
  <c r="J845" i="20" s="1"/>
  <c r="D849" i="20"/>
  <c r="J888" i="16"/>
  <c r="B883" i="16"/>
  <c r="D884" i="16"/>
  <c r="E884" i="16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60" i="20" s="1"/>
  <c r="B1024" i="20" s="1"/>
  <c r="B1835" i="16"/>
  <c r="B460" i="16" s="1"/>
  <c r="B159" i="20" s="1"/>
  <c r="B1017" i="20" s="1"/>
  <c r="B1834" i="16"/>
  <c r="B459" i="16" s="1"/>
  <c r="B2217" i="16" s="1"/>
  <c r="B1833" i="16"/>
  <c r="B458" i="16" s="1"/>
  <c r="B157" i="20" s="1"/>
  <c r="B1003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58" i="20" s="1"/>
  <c r="C460" i="16"/>
  <c r="J159" i="20" s="1"/>
  <c r="C461" i="16"/>
  <c r="J160" i="20" s="1"/>
  <c r="C462" i="16"/>
  <c r="J161" i="20" s="1"/>
  <c r="E459" i="16"/>
  <c r="D158" i="20" s="1"/>
  <c r="F459" i="16"/>
  <c r="G459" i="16"/>
  <c r="E460" i="16"/>
  <c r="D159" i="20" s="1"/>
  <c r="F460" i="16"/>
  <c r="G460" i="16"/>
  <c r="E461" i="16"/>
  <c r="D160" i="20" s="1"/>
  <c r="F461" i="16"/>
  <c r="G461" i="16"/>
  <c r="E462" i="16"/>
  <c r="D161" i="20" s="1"/>
  <c r="F462" i="16"/>
  <c r="G462" i="16"/>
  <c r="G458" i="16"/>
  <c r="F458" i="16"/>
  <c r="E458" i="16"/>
  <c r="D157" i="20" s="1"/>
  <c r="C458" i="16"/>
  <c r="G363" i="16"/>
  <c r="G364" i="16"/>
  <c r="G365" i="16"/>
  <c r="G366" i="16"/>
  <c r="G367" i="16"/>
  <c r="F367" i="16"/>
  <c r="F366" i="16"/>
  <c r="F365" i="16"/>
  <c r="F364" i="16"/>
  <c r="F363" i="16"/>
  <c r="C364" i="16"/>
  <c r="J105" i="20" s="1"/>
  <c r="C365" i="16"/>
  <c r="J106" i="20" s="1"/>
  <c r="C366" i="16"/>
  <c r="J107" i="20" s="1"/>
  <c r="C367" i="16"/>
  <c r="J108" i="20" s="1"/>
  <c r="C363" i="16"/>
  <c r="J104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I196" i="16"/>
  <c r="E49" i="20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G404" i="10"/>
  <c r="G402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G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G116" i="10"/>
  <c r="G403" i="10" s="1"/>
  <c r="L115" i="10"/>
  <c r="L110" i="10"/>
  <c r="L397" i="10"/>
  <c r="I93" i="10"/>
  <c r="I380" i="10" s="1"/>
  <c r="H93" i="10"/>
  <c r="H380" i="10" s="1"/>
  <c r="G93" i="10"/>
  <c r="G380" i="10" s="1"/>
  <c r="I89" i="10"/>
  <c r="H89" i="10"/>
  <c r="H376" i="10" s="1"/>
  <c r="G89" i="10"/>
  <c r="G376" i="10"/>
  <c r="G400" i="10" s="1"/>
  <c r="I85" i="10"/>
  <c r="I372" i="10" s="1"/>
  <c r="H85" i="10"/>
  <c r="H114" i="10" s="1"/>
  <c r="G85" i="10"/>
  <c r="G372" i="10" s="1"/>
  <c r="G401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/>
  <c r="H22" i="10"/>
  <c r="H310" i="10" s="1"/>
  <c r="G22" i="10"/>
  <c r="G310" i="10" s="1"/>
  <c r="I21" i="10"/>
  <c r="I309" i="10" s="1"/>
  <c r="H21" i="10"/>
  <c r="H101" i="10" s="1"/>
  <c r="G21" i="10"/>
  <c r="G309" i="10" s="1"/>
  <c r="I19" i="10"/>
  <c r="I307" i="10" s="1"/>
  <c r="H19" i="10"/>
  <c r="H307" i="10" s="1"/>
  <c r="G19" i="10"/>
  <c r="G307" i="10" s="1"/>
  <c r="I18" i="10"/>
  <c r="H18" i="10"/>
  <c r="H306" i="10"/>
  <c r="G18" i="10"/>
  <c r="G306" i="10" s="1"/>
  <c r="I17" i="10"/>
  <c r="I305" i="10" s="1"/>
  <c r="H17" i="10"/>
  <c r="H15" i="10" s="1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C1121" i="20"/>
  <c r="C1128" i="20" s="1"/>
  <c r="C1135" i="20" s="1"/>
  <c r="E197" i="20"/>
  <c r="D197" i="20"/>
  <c r="C197" i="20"/>
  <c r="B197" i="20"/>
  <c r="E196" i="20"/>
  <c r="D196" i="20"/>
  <c r="C196" i="20"/>
  <c r="B196" i="20"/>
  <c r="E195" i="20"/>
  <c r="D195" i="20"/>
  <c r="C195" i="20"/>
  <c r="B195" i="20"/>
  <c r="E194" i="20"/>
  <c r="D194" i="20"/>
  <c r="C194" i="20"/>
  <c r="B194" i="20"/>
  <c r="E193" i="20"/>
  <c r="D193" i="20"/>
  <c r="C193" i="20"/>
  <c r="B193" i="20"/>
  <c r="E192" i="20"/>
  <c r="D192" i="20"/>
  <c r="C192" i="20"/>
  <c r="B192" i="20"/>
  <c r="E191" i="20"/>
  <c r="D191" i="20"/>
  <c r="C191" i="20"/>
  <c r="B191" i="20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C1048" i="20"/>
  <c r="C1055" i="20" s="1"/>
  <c r="C1062" i="20" s="1"/>
  <c r="C1069" i="20" s="1"/>
  <c r="C1076" i="20" s="1"/>
  <c r="C1083" i="20" s="1"/>
  <c r="C1090" i="20" s="1"/>
  <c r="C1097" i="20" s="1"/>
  <c r="C1104" i="20" s="1"/>
  <c r="G179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G176" i="20"/>
  <c r="E176" i="20"/>
  <c r="D176" i="20"/>
  <c r="C176" i="20"/>
  <c r="B176" i="20"/>
  <c r="G175" i="20"/>
  <c r="E175" i="20"/>
  <c r="D175" i="20"/>
  <c r="C175" i="20"/>
  <c r="B175" i="20"/>
  <c r="G174" i="20"/>
  <c r="E174" i="20"/>
  <c r="D174" i="20"/>
  <c r="C174" i="20"/>
  <c r="B174" i="20"/>
  <c r="G173" i="20"/>
  <c r="E173" i="20"/>
  <c r="F173" i="20" s="1"/>
  <c r="I577" i="16" s="1"/>
  <c r="D173" i="20"/>
  <c r="C173" i="20"/>
  <c r="B173" i="20"/>
  <c r="G172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C730" i="20"/>
  <c r="C737" i="20" s="1"/>
  <c r="C744" i="20" s="1"/>
  <c r="C751" i="20" s="1"/>
  <c r="C758" i="20" s="1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E150" i="20"/>
  <c r="D150" i="20"/>
  <c r="C150" i="20"/>
  <c r="B150" i="20"/>
  <c r="E149" i="20"/>
  <c r="D149" i="20"/>
  <c r="C149" i="20"/>
  <c r="B149" i="20"/>
  <c r="E148" i="20"/>
  <c r="D148" i="20"/>
  <c r="C148" i="20"/>
  <c r="B148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B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C621" i="20"/>
  <c r="C628" i="20" s="1"/>
  <c r="C635" i="20" s="1"/>
  <c r="C642" i="20" s="1"/>
  <c r="C649" i="20" s="1"/>
  <c r="C656" i="20" s="1"/>
  <c r="C663" i="20" s="1"/>
  <c r="C670" i="20" s="1"/>
  <c r="C677" i="20" s="1"/>
  <c r="C684" i="20" s="1"/>
  <c r="C691" i="20" s="1"/>
  <c r="C698" i="20" s="1"/>
  <c r="C705" i="20" s="1"/>
  <c r="C712" i="20" s="1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C583" i="20"/>
  <c r="C590" i="20" s="1"/>
  <c r="C597" i="20" s="1"/>
  <c r="C604" i="20" s="1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F82" i="20" s="1"/>
  <c r="D82" i="20"/>
  <c r="C82" i="20"/>
  <c r="B82" i="20"/>
  <c r="E81" i="20"/>
  <c r="D81" i="20"/>
  <c r="C81" i="20"/>
  <c r="B81" i="20"/>
  <c r="C475" i="20"/>
  <c r="C482" i="20" s="1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D469" i="20" s="1"/>
  <c r="E469" i="20" s="1"/>
  <c r="C58" i="20"/>
  <c r="B58" i="20"/>
  <c r="C318" i="20"/>
  <c r="C325" i="20" s="1"/>
  <c r="D49" i="20"/>
  <c r="C49" i="20"/>
  <c r="B49" i="20"/>
  <c r="D458" i="20" s="1"/>
  <c r="B29" i="20"/>
  <c r="B28" i="20"/>
  <c r="X20" i="20"/>
  <c r="X100" i="11" s="1"/>
  <c r="W20" i="20"/>
  <c r="W100" i="11" s="1"/>
  <c r="V20" i="20"/>
  <c r="V100" i="11" s="1"/>
  <c r="U20" i="20"/>
  <c r="U100" i="11" s="1"/>
  <c r="T20" i="20"/>
  <c r="T100" i="11" s="1"/>
  <c r="S20" i="20"/>
  <c r="S100" i="11" s="1"/>
  <c r="R20" i="20"/>
  <c r="R100" i="11" s="1"/>
  <c r="Q20" i="20"/>
  <c r="Q100" i="11" s="1"/>
  <c r="P20" i="20"/>
  <c r="P100" i="11" s="1"/>
  <c r="O20" i="20"/>
  <c r="O100" i="11" s="1"/>
  <c r="N20" i="20"/>
  <c r="N100" i="11" s="1"/>
  <c r="M20" i="20"/>
  <c r="M100" i="11" s="1"/>
  <c r="L20" i="20"/>
  <c r="L100" i="11" s="1"/>
  <c r="K20" i="20"/>
  <c r="K100" i="11" s="1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B1965" i="16" s="1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41" i="16" s="1" a="1"/>
  <c r="J641" i="16" s="1"/>
  <c r="J653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J632" i="16" s="1" a="1"/>
  <c r="J632" i="16" s="1"/>
  <c r="J644" i="16" s="1"/>
  <c r="H1896" i="16"/>
  <c r="D1890" i="16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J590" i="16" s="1" a="1"/>
  <c r="J590" i="16" s="1"/>
  <c r="J602" i="16" s="1"/>
  <c r="H1856" i="16"/>
  <c r="H1863" i="16" s="1"/>
  <c r="H1870" i="16" s="1"/>
  <c r="H1877" i="16" s="1"/>
  <c r="D1850" i="16"/>
  <c r="D1857" i="16" s="1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E1553" i="16"/>
  <c r="D1553" i="16" s="1"/>
  <c r="H1552" i="16"/>
  <c r="I1552" i="16" s="1"/>
  <c r="B1551" i="16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C2216" i="16"/>
  <c r="J457" i="16" a="1"/>
  <c r="J457" i="16" s="1"/>
  <c r="J508" i="16" s="1" a="1"/>
  <c r="J508" i="16" s="1"/>
  <c r="J555" i="16" s="1"/>
  <c r="J456" i="16" a="1"/>
  <c r="J456" i="16" s="1"/>
  <c r="J507" i="16" s="1" a="1"/>
  <c r="J507" i="16" s="1"/>
  <c r="J554" i="16" s="1"/>
  <c r="J455" i="16" a="1"/>
  <c r="J455" i="16" s="1"/>
  <c r="J506" i="16" s="1" a="1"/>
  <c r="J506" i="16" s="1"/>
  <c r="J553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87" i="16" s="1" a="1"/>
  <c r="J487" i="16" s="1"/>
  <c r="J534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78" i="16" s="1" a="1"/>
  <c r="J478" i="16" s="1"/>
  <c r="J525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J469" i="16" s="1" a="1"/>
  <c r="J469" i="16" s="1"/>
  <c r="J516" i="16" s="1"/>
  <c r="D1517" i="16"/>
  <c r="D1524" i="16" s="1"/>
  <c r="G1515" i="16"/>
  <c r="G1516" i="16" s="1"/>
  <c r="G1504" i="16"/>
  <c r="F1504" i="16"/>
  <c r="E1504" i="16"/>
  <c r="E367" i="16" s="1"/>
  <c r="D108" i="20" s="1"/>
  <c r="B367" i="16"/>
  <c r="B388" i="16" s="1"/>
  <c r="B405" i="16" s="1"/>
  <c r="G1503" i="16"/>
  <c r="F1503" i="16"/>
  <c r="E1503" i="16"/>
  <c r="E366" i="16" s="1"/>
  <c r="D107" i="20" s="1"/>
  <c r="G1502" i="16"/>
  <c r="F1502" i="16"/>
  <c r="E1502" i="16"/>
  <c r="E365" i="16" s="1"/>
  <c r="D106" i="20" s="1"/>
  <c r="G1501" i="16"/>
  <c r="F1501" i="16"/>
  <c r="E1501" i="16"/>
  <c r="E364" i="16" s="1"/>
  <c r="D105" i="20" s="1"/>
  <c r="G1500" i="16"/>
  <c r="F1500" i="16"/>
  <c r="E1500" i="16"/>
  <c r="D1511" i="16" s="1"/>
  <c r="H1441" i="16"/>
  <c r="D1435" i="16"/>
  <c r="D1442" i="16" s="1"/>
  <c r="E1430" i="16"/>
  <c r="D1430" i="16" s="1"/>
  <c r="D1431" i="16" s="1"/>
  <c r="H1429" i="16"/>
  <c r="I1429" i="16" s="1"/>
  <c r="E1429" i="16"/>
  <c r="F1429" i="16" s="1"/>
  <c r="D1429" i="16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83" i="16" s="1" a="1"/>
  <c r="J383" i="16" s="1"/>
  <c r="J400" i="16" s="1"/>
  <c r="J361" i="16" a="1"/>
  <c r="J361" i="16" s="1"/>
  <c r="J382" i="16" s="1" a="1"/>
  <c r="J382" i="16" s="1"/>
  <c r="J399" i="16" s="1"/>
  <c r="J360" i="16" a="1"/>
  <c r="J360" i="16" s="1"/>
  <c r="J381" i="16" s="1" a="1"/>
  <c r="J381" i="16" s="1"/>
  <c r="J398" i="16" s="1"/>
  <c r="J359" i="16" a="1"/>
  <c r="J359" i="16" s="1"/>
  <c r="J380" i="16" s="1" a="1"/>
  <c r="J380" i="16" s="1"/>
  <c r="J397" i="16" s="1"/>
  <c r="J358" i="16" a="1"/>
  <c r="J358" i="16" s="1"/>
  <c r="J379" i="16" s="1" a="1"/>
  <c r="J379" i="16" s="1"/>
  <c r="J396" i="16" s="1"/>
  <c r="J357" i="16" a="1"/>
  <c r="J357" i="16" s="1"/>
  <c r="J378" i="16" s="1" a="1"/>
  <c r="J378" i="16" s="1"/>
  <c r="J395" i="16" s="1"/>
  <c r="J356" i="16" a="1"/>
  <c r="J356" i="16" s="1"/>
  <c r="J377" i="16" s="1" a="1"/>
  <c r="J377" i="16" s="1"/>
  <c r="J394" i="16" s="1"/>
  <c r="J355" i="16" a="1"/>
  <c r="J355" i="16" s="1"/>
  <c r="J376" i="16" s="1" a="1"/>
  <c r="J376" i="16" s="1"/>
  <c r="J393" i="16" s="1"/>
  <c r="J354" i="16" a="1"/>
  <c r="J354" i="16" s="1"/>
  <c r="J375" i="16" s="1" a="1"/>
  <c r="J375" i="16" s="1"/>
  <c r="J392" i="16" s="1"/>
  <c r="J353" i="16" a="1"/>
  <c r="J353" i="16" s="1"/>
  <c r="H1401" i="16"/>
  <c r="D1395" i="16"/>
  <c r="E1396" i="16" s="1"/>
  <c r="F1396" i="16" s="1"/>
  <c r="E1390" i="16"/>
  <c r="D1390" i="16" s="1"/>
  <c r="E1389" i="16"/>
  <c r="F1389" i="16" s="1"/>
  <c r="D1389" i="16"/>
  <c r="B1388" i="16"/>
  <c r="B1883" i="16" s="1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41" i="16" s="1" a="1"/>
  <c r="J341" i="16" s="1"/>
  <c r="J348" i="16" s="1"/>
  <c r="J329" i="16" a="1"/>
  <c r="J329" i="16" s="1"/>
  <c r="J340" i="16" s="1" a="1"/>
  <c r="J340" i="16" s="1"/>
  <c r="J347" i="16" s="1"/>
  <c r="J328" i="16" a="1"/>
  <c r="J328" i="16" s="1"/>
  <c r="J339" i="16" s="1" a="1"/>
  <c r="J339" i="16" s="1"/>
  <c r="J346" i="16" s="1"/>
  <c r="J327" i="16" a="1"/>
  <c r="J327" i="16" s="1"/>
  <c r="J338" i="16" s="1" a="1"/>
  <c r="J338" i="16" s="1"/>
  <c r="J345" i="16" s="1"/>
  <c r="J326" i="16" a="1"/>
  <c r="J326" i="16" s="1"/>
  <c r="H1290" i="16"/>
  <c r="D1284" i="16"/>
  <c r="E1286" i="16" s="1"/>
  <c r="E1279" i="16"/>
  <c r="D1279" i="16" s="1"/>
  <c r="E1278" i="16"/>
  <c r="F1278" i="16" s="1"/>
  <c r="D1278" i="16"/>
  <c r="B1277" i="16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304" i="16" s="1" a="1"/>
  <c r="J304" i="16" s="1"/>
  <c r="J321" i="16" s="1"/>
  <c r="J282" i="16" a="1"/>
  <c r="J282" i="16" s="1"/>
  <c r="J303" i="16" s="1" a="1"/>
  <c r="J303" i="16" s="1"/>
  <c r="J320" i="16" s="1"/>
  <c r="J281" i="16" a="1"/>
  <c r="J281" i="16" s="1"/>
  <c r="J302" i="16" s="1" a="1"/>
  <c r="J302" i="16" s="1"/>
  <c r="J319" i="16" s="1"/>
  <c r="J280" i="16" a="1"/>
  <c r="J280" i="16" s="1"/>
  <c r="J301" i="16" s="1" a="1"/>
  <c r="J301" i="16" s="1"/>
  <c r="J318" i="16" s="1"/>
  <c r="J279" i="16" a="1"/>
  <c r="J279" i="16" s="1"/>
  <c r="J300" i="16" s="1" a="1"/>
  <c r="J300" i="16" s="1"/>
  <c r="J317" i="16" s="1"/>
  <c r="J278" i="16" a="1"/>
  <c r="J278" i="16" s="1"/>
  <c r="J299" i="16" s="1" a="1"/>
  <c r="J299" i="16" s="1"/>
  <c r="J316" i="16" s="1"/>
  <c r="J277" i="16" a="1"/>
  <c r="J277" i="16" s="1"/>
  <c r="J298" i="16" s="1" a="1"/>
  <c r="J298" i="16" s="1"/>
  <c r="J315" i="16" s="1"/>
  <c r="J276" i="16" a="1"/>
  <c r="J276" i="16" s="1"/>
  <c r="J297" i="16" s="1" a="1"/>
  <c r="J297" i="16" s="1"/>
  <c r="J314" i="16" s="1"/>
  <c r="J275" i="16" a="1"/>
  <c r="J275" i="16" s="1"/>
  <c r="J296" i="16" s="1" a="1"/>
  <c r="J296" i="16" s="1"/>
  <c r="J313" i="16" s="1"/>
  <c r="J274" i="16" a="1"/>
  <c r="J274" i="16" s="1"/>
  <c r="J295" i="16" s="1" a="1"/>
  <c r="J295" i="16" s="1"/>
  <c r="J312" i="16" s="1"/>
  <c r="J273" i="16" a="1"/>
  <c r="J273" i="16" s="1"/>
  <c r="J294" i="16" s="1" a="1"/>
  <c r="J294" i="16" s="1"/>
  <c r="J311" i="16" s="1"/>
  <c r="J272" i="16" a="1"/>
  <c r="J272" i="16" s="1"/>
  <c r="J293" i="16" s="1" a="1"/>
  <c r="J293" i="16" s="1"/>
  <c r="J310" i="16" s="1"/>
  <c r="J271" i="16" a="1"/>
  <c r="J271" i="16" s="1"/>
  <c r="J292" i="16" s="1" a="1"/>
  <c r="J292" i="16" s="1"/>
  <c r="J309" i="16" s="1"/>
  <c r="J270" i="16" a="1"/>
  <c r="J270" i="16" s="1"/>
  <c r="J291" i="16" s="1" a="1"/>
  <c r="J291" i="16" s="1"/>
  <c r="J308" i="16" s="1"/>
  <c r="J269" i="16" a="1"/>
  <c r="J269" i="16" s="1"/>
  <c r="J290" i="16" s="1" a="1"/>
  <c r="J290" i="16" s="1"/>
  <c r="J307" i="16" s="1"/>
  <c r="D1124" i="16"/>
  <c r="D1131" i="16" s="1"/>
  <c r="D1132" i="16" s="1"/>
  <c r="D72" i="16"/>
  <c r="D64" i="16"/>
  <c r="J2279" i="16"/>
  <c r="D56" i="16"/>
  <c r="J2278" i="16"/>
  <c r="D48" i="16"/>
  <c r="J2277" i="16"/>
  <c r="D40" i="16"/>
  <c r="J2276" i="16"/>
  <c r="D32" i="16"/>
  <c r="J2275" i="16"/>
  <c r="D24" i="16"/>
  <c r="J2274" i="16"/>
  <c r="D16" i="16"/>
  <c r="J2273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D947" i="12"/>
  <c r="C947" i="12"/>
  <c r="B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D705" i="12"/>
  <c r="D1188" i="12" s="1"/>
  <c r="D1428" i="12" s="1"/>
  <c r="D1668" i="12" s="1"/>
  <c r="C705" i="12"/>
  <c r="B705" i="12"/>
  <c r="B1188" i="12" s="1"/>
  <c r="B1428" i="12" s="1"/>
  <c r="B1668" i="12" s="1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K436" i="12" s="1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D143" i="12"/>
  <c r="C143" i="12"/>
  <c r="B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59" i="12"/>
  <c r="X69" i="12" s="1"/>
  <c r="W59" i="12"/>
  <c r="W69" i="12" s="1"/>
  <c r="V59" i="12"/>
  <c r="V69" i="12" s="1"/>
  <c r="U59" i="12"/>
  <c r="U69" i="12" s="1"/>
  <c r="T59" i="12"/>
  <c r="T69" i="12" s="1"/>
  <c r="S59" i="12"/>
  <c r="S69" i="12" s="1"/>
  <c r="R59" i="12"/>
  <c r="R69" i="12" s="1"/>
  <c r="Q59" i="12"/>
  <c r="Q69" i="12" s="1"/>
  <c r="P59" i="12"/>
  <c r="P69" i="12" s="1"/>
  <c r="O59" i="12"/>
  <c r="O69" i="12" s="1"/>
  <c r="N59" i="12"/>
  <c r="N69" i="12" s="1"/>
  <c r="M59" i="12"/>
  <c r="M69" i="12" s="1"/>
  <c r="L59" i="12"/>
  <c r="L69" i="12" s="1"/>
  <c r="K59" i="12"/>
  <c r="K69" i="12" s="1"/>
  <c r="X58" i="12"/>
  <c r="X68" i="12" s="1"/>
  <c r="W58" i="12"/>
  <c r="W68" i="12" s="1"/>
  <c r="V58" i="12"/>
  <c r="V68" i="12" s="1"/>
  <c r="U58" i="12"/>
  <c r="U68" i="12" s="1"/>
  <c r="T58" i="12"/>
  <c r="T68" i="12" s="1"/>
  <c r="S58" i="12"/>
  <c r="S68" i="12" s="1"/>
  <c r="R58" i="12"/>
  <c r="R68" i="12" s="1"/>
  <c r="Q58" i="12"/>
  <c r="Q68" i="12" s="1"/>
  <c r="P58" i="12"/>
  <c r="P68" i="12" s="1"/>
  <c r="O58" i="12"/>
  <c r="O68" i="12" s="1"/>
  <c r="N58" i="12"/>
  <c r="N68" i="12" s="1"/>
  <c r="M58" i="12"/>
  <c r="M68" i="12" s="1"/>
  <c r="L58" i="12"/>
  <c r="L68" i="12" s="1"/>
  <c r="K58" i="12"/>
  <c r="K68" i="12" s="1"/>
  <c r="X57" i="12"/>
  <c r="X67" i="12" s="1"/>
  <c r="W57" i="12"/>
  <c r="W67" i="12" s="1"/>
  <c r="V57" i="12"/>
  <c r="V67" i="12" s="1"/>
  <c r="U57" i="12"/>
  <c r="U67" i="12" s="1"/>
  <c r="T57" i="12"/>
  <c r="T67" i="12" s="1"/>
  <c r="S57" i="12"/>
  <c r="S67" i="12" s="1"/>
  <c r="R57" i="12"/>
  <c r="R67" i="12" s="1"/>
  <c r="Q57" i="12"/>
  <c r="Q67" i="12" s="1"/>
  <c r="P57" i="12"/>
  <c r="P67" i="12" s="1"/>
  <c r="O57" i="12"/>
  <c r="O67" i="12" s="1"/>
  <c r="N57" i="12"/>
  <c r="N67" i="12" s="1"/>
  <c r="M57" i="12"/>
  <c r="M67" i="12" s="1"/>
  <c r="L57" i="12"/>
  <c r="L67" i="12" s="1"/>
  <c r="K57" i="12"/>
  <c r="K67" i="12" s="1"/>
  <c r="X56" i="12"/>
  <c r="X66" i="12" s="1"/>
  <c r="W56" i="12"/>
  <c r="W66" i="12" s="1"/>
  <c r="V56" i="12"/>
  <c r="V66" i="12" s="1"/>
  <c r="U56" i="12"/>
  <c r="U66" i="12" s="1"/>
  <c r="T56" i="12"/>
  <c r="T66" i="12" s="1"/>
  <c r="S56" i="12"/>
  <c r="S66" i="12" s="1"/>
  <c r="R56" i="12"/>
  <c r="R66" i="12" s="1"/>
  <c r="Q56" i="12"/>
  <c r="Q66" i="12" s="1"/>
  <c r="P56" i="12"/>
  <c r="P66" i="12" s="1"/>
  <c r="O56" i="12"/>
  <c r="O66" i="12" s="1"/>
  <c r="N56" i="12"/>
  <c r="N66" i="12" s="1"/>
  <c r="M56" i="12"/>
  <c r="M66" i="12" s="1"/>
  <c r="L56" i="12"/>
  <c r="L66" i="12" s="1"/>
  <c r="K56" i="12"/>
  <c r="K66" i="12" s="1"/>
  <c r="X55" i="12"/>
  <c r="X65" i="12" s="1"/>
  <c r="W55" i="12"/>
  <c r="W65" i="12" s="1"/>
  <c r="V55" i="12"/>
  <c r="V65" i="12" s="1"/>
  <c r="U55" i="12"/>
  <c r="U65" i="12" s="1"/>
  <c r="T55" i="12"/>
  <c r="T65" i="12" s="1"/>
  <c r="S55" i="12"/>
  <c r="S65" i="12" s="1"/>
  <c r="R55" i="12"/>
  <c r="R65" i="12" s="1"/>
  <c r="Q55" i="12"/>
  <c r="Q65" i="12" s="1"/>
  <c r="P55" i="12"/>
  <c r="P65" i="12" s="1"/>
  <c r="O55" i="12"/>
  <c r="O65" i="12" s="1"/>
  <c r="N55" i="12"/>
  <c r="N65" i="12" s="1"/>
  <c r="M55" i="12"/>
  <c r="M65" i="12" s="1"/>
  <c r="L55" i="12"/>
  <c r="L65" i="12" s="1"/>
  <c r="K55" i="12"/>
  <c r="K65" i="12" s="1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B85" i="11"/>
  <c r="B91" i="11" s="1"/>
  <c r="B84" i="11"/>
  <c r="B90" i="11" s="1"/>
  <c r="B83" i="11"/>
  <c r="B89" i="11" s="1"/>
  <c r="B82" i="11"/>
  <c r="B88" i="11" s="1"/>
  <c r="B81" i="11"/>
  <c r="B87" i="11" s="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B64" i="11"/>
  <c r="B70" i="11" s="1"/>
  <c r="B63" i="11"/>
  <c r="B69" i="11" s="1"/>
  <c r="B62" i="11"/>
  <c r="B68" i="11" s="1"/>
  <c r="B61" i="11"/>
  <c r="B67" i="11" s="1"/>
  <c r="B60" i="11"/>
  <c r="B66" i="11" s="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G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I64" i="10"/>
  <c r="I352" i="10" s="1"/>
  <c r="H64" i="10"/>
  <c r="G64" i="10"/>
  <c r="G63" i="10"/>
  <c r="G351" i="10" s="1"/>
  <c r="I62" i="10"/>
  <c r="H62" i="10"/>
  <c r="G62" i="10"/>
  <c r="C184" i="8"/>
  <c r="C183" i="8"/>
  <c r="C181" i="8"/>
  <c r="J28" i="8"/>
  <c r="H19" i="8"/>
  <c r="H20" i="8" s="1"/>
  <c r="C19" i="8"/>
  <c r="C127" i="8"/>
  <c r="D146" i="8" s="1"/>
  <c r="C126" i="8"/>
  <c r="H12" i="8"/>
  <c r="C509" i="16"/>
  <c r="C556" i="16" s="1"/>
  <c r="I101" i="10"/>
  <c r="G114" i="10"/>
  <c r="G304" i="10"/>
  <c r="G113" i="10"/>
  <c r="H113" i="10"/>
  <c r="C314" i="12"/>
  <c r="C356" i="12" s="1"/>
  <c r="C1008" i="12" s="1"/>
  <c r="C1053" i="12" s="1"/>
  <c r="B405" i="12"/>
  <c r="D1491" i="12"/>
  <c r="D1731" i="12" s="1"/>
  <c r="B479" i="12"/>
  <c r="B511" i="12"/>
  <c r="B424" i="12"/>
  <c r="B411" i="12"/>
  <c r="B325" i="12"/>
  <c r="B367" i="12" s="1"/>
  <c r="B1019" i="12" s="1"/>
  <c r="B1064" i="12" s="1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D1590" i="12"/>
  <c r="D1830" i="12" s="1"/>
  <c r="E1112" i="12"/>
  <c r="D1464" i="12"/>
  <c r="D1704" i="12" s="1"/>
  <c r="D1489" i="12"/>
  <c r="D1729" i="12" s="1"/>
  <c r="D1493" i="12"/>
  <c r="D1733" i="12" s="1"/>
  <c r="D1505" i="12"/>
  <c r="D1745" i="12" s="1"/>
  <c r="B1383" i="12"/>
  <c r="B1623" i="12" s="1"/>
  <c r="B1863" i="12" s="1"/>
  <c r="B1142" i="12"/>
  <c r="D307" i="12"/>
  <c r="D349" i="12" s="1"/>
  <c r="D1001" i="12" s="1"/>
  <c r="D1046" i="12" s="1"/>
  <c r="D391" i="12"/>
  <c r="E1208" i="12"/>
  <c r="E1448" i="12" s="1"/>
  <c r="E1688" i="12" s="1"/>
  <c r="C991" i="12"/>
  <c r="K602" i="16"/>
  <c r="K348" i="16"/>
  <c r="M395" i="16"/>
  <c r="M647" i="16"/>
  <c r="M604" i="16"/>
  <c r="M519" i="16"/>
  <c r="M517" i="16"/>
  <c r="M394" i="16"/>
  <c r="M392" i="16"/>
  <c r="M310" i="16"/>
  <c r="L348" i="16"/>
  <c r="M308" i="16"/>
  <c r="L36" i="18"/>
  <c r="K51" i="18"/>
  <c r="N395" i="16"/>
  <c r="L51" i="18"/>
  <c r="N647" i="16"/>
  <c r="O605" i="16"/>
  <c r="N605" i="16"/>
  <c r="N604" i="16"/>
  <c r="N519" i="16"/>
  <c r="N517" i="16"/>
  <c r="M520" i="16"/>
  <c r="N392" i="16"/>
  <c r="N394" i="16"/>
  <c r="G60" i="20"/>
  <c r="N308" i="16"/>
  <c r="N310" i="16"/>
  <c r="M348" i="16"/>
  <c r="M347" i="16"/>
  <c r="K36" i="18"/>
  <c r="P348" i="16"/>
  <c r="M36" i="18"/>
  <c r="O395" i="16"/>
  <c r="O347" i="16"/>
  <c r="M605" i="16"/>
  <c r="P264" i="16"/>
  <c r="O647" i="16"/>
  <c r="P605" i="16"/>
  <c r="M606" i="16"/>
  <c r="O604" i="16"/>
  <c r="Q516" i="16"/>
  <c r="O519" i="16"/>
  <c r="O517" i="16"/>
  <c r="O392" i="16"/>
  <c r="N520" i="16"/>
  <c r="O394" i="16"/>
  <c r="O310" i="16"/>
  <c r="G61" i="20"/>
  <c r="O308" i="16"/>
  <c r="G59" i="20"/>
  <c r="N347" i="16"/>
  <c r="G83" i="20"/>
  <c r="N348" i="16"/>
  <c r="Q348" i="16"/>
  <c r="Q644" i="16"/>
  <c r="Q344" i="16"/>
  <c r="N36" i="18"/>
  <c r="M649" i="16"/>
  <c r="M648" i="16"/>
  <c r="M311" i="16"/>
  <c r="P647" i="16"/>
  <c r="G191" i="20"/>
  <c r="P603" i="16"/>
  <c r="N606" i="16"/>
  <c r="P604" i="16"/>
  <c r="M607" i="16"/>
  <c r="P519" i="16"/>
  <c r="G120" i="20"/>
  <c r="P517" i="16"/>
  <c r="G118" i="20"/>
  <c r="R516" i="16"/>
  <c r="O520" i="16"/>
  <c r="M397" i="16"/>
  <c r="G84" i="20"/>
  <c r="O348" i="16"/>
  <c r="Q602" i="16"/>
  <c r="M51" i="18"/>
  <c r="R307" i="16"/>
  <c r="R602" i="16"/>
  <c r="R344" i="16"/>
  <c r="R644" i="16"/>
  <c r="O36" i="18"/>
  <c r="M522" i="16"/>
  <c r="N648" i="16"/>
  <c r="N311" i="16"/>
  <c r="G62" i="20"/>
  <c r="M650" i="16"/>
  <c r="N649" i="16"/>
  <c r="O606" i="16"/>
  <c r="M608" i="16"/>
  <c r="N607" i="16"/>
  <c r="P520" i="16"/>
  <c r="G121" i="20"/>
  <c r="S516" i="16"/>
  <c r="M399" i="16"/>
  <c r="M398" i="16"/>
  <c r="N397" i="16"/>
  <c r="N398" i="16"/>
  <c r="O397" i="16"/>
  <c r="M313" i="16"/>
  <c r="Q307" i="16"/>
  <c r="P36" i="18"/>
  <c r="S348" i="16"/>
  <c r="S644" i="16"/>
  <c r="S602" i="16"/>
  <c r="S307" i="16"/>
  <c r="S344" i="16"/>
  <c r="N522" i="16"/>
  <c r="O648" i="16"/>
  <c r="O311" i="16"/>
  <c r="O650" i="16"/>
  <c r="N650" i="16"/>
  <c r="M651" i="16"/>
  <c r="O649" i="16"/>
  <c r="N608" i="16"/>
  <c r="P606" i="16"/>
  <c r="O607" i="16"/>
  <c r="M609" i="16"/>
  <c r="T516" i="16"/>
  <c r="M523" i="16"/>
  <c r="M400" i="16"/>
  <c r="O398" i="16"/>
  <c r="N399" i="16"/>
  <c r="N314" i="16"/>
  <c r="N313" i="16"/>
  <c r="T348" i="16"/>
  <c r="T307" i="16"/>
  <c r="T602" i="16"/>
  <c r="T644" i="16"/>
  <c r="T344" i="16"/>
  <c r="Q36" i="18"/>
  <c r="O522" i="16"/>
  <c r="M652" i="16"/>
  <c r="M653" i="16"/>
  <c r="P648" i="16"/>
  <c r="G192" i="20"/>
  <c r="P649" i="16"/>
  <c r="N651" i="16"/>
  <c r="P608" i="16"/>
  <c r="O608" i="16"/>
  <c r="N609" i="16"/>
  <c r="P607" i="16"/>
  <c r="M610" i="16"/>
  <c r="U516" i="16"/>
  <c r="N523" i="16"/>
  <c r="M524" i="16"/>
  <c r="N400" i="16"/>
  <c r="O399" i="16"/>
  <c r="O313" i="16"/>
  <c r="G64" i="20"/>
  <c r="G63" i="20"/>
  <c r="M316" i="16"/>
  <c r="O314" i="16"/>
  <c r="G65" i="20"/>
  <c r="M315" i="16"/>
  <c r="N51" i="18"/>
  <c r="U348" i="16"/>
  <c r="U602" i="16"/>
  <c r="U344" i="16"/>
  <c r="U644" i="16"/>
  <c r="U307" i="16"/>
  <c r="R36" i="18"/>
  <c r="P522" i="16"/>
  <c r="G123" i="20"/>
  <c r="N653" i="16"/>
  <c r="P650" i="16"/>
  <c r="G194" i="20"/>
  <c r="N652" i="16"/>
  <c r="P651" i="16"/>
  <c r="O651" i="16"/>
  <c r="G193" i="20"/>
  <c r="M611" i="16"/>
  <c r="N611" i="16"/>
  <c r="O609" i="16"/>
  <c r="N610" i="16"/>
  <c r="V516" i="16"/>
  <c r="M525" i="16"/>
  <c r="N524" i="16"/>
  <c r="O524" i="16"/>
  <c r="O523" i="16"/>
  <c r="O400" i="16"/>
  <c r="M317" i="16"/>
  <c r="N315" i="16"/>
  <c r="S36" i="18"/>
  <c r="V348" i="16"/>
  <c r="V307" i="16"/>
  <c r="V602" i="16"/>
  <c r="V644" i="16"/>
  <c r="V344" i="16"/>
  <c r="O652" i="16"/>
  <c r="M527" i="16"/>
  <c r="O653" i="16"/>
  <c r="G195" i="20"/>
  <c r="P609" i="16"/>
  <c r="O610" i="16"/>
  <c r="W516" i="16"/>
  <c r="P524" i="16"/>
  <c r="G125" i="20"/>
  <c r="P523" i="16"/>
  <c r="N525" i="16"/>
  <c r="M526" i="16"/>
  <c r="O315" i="16"/>
  <c r="G66" i="20"/>
  <c r="O316" i="16"/>
  <c r="G67" i="20"/>
  <c r="N317" i="16"/>
  <c r="M318" i="16"/>
  <c r="O51" i="18"/>
  <c r="T36" i="18"/>
  <c r="W348" i="16"/>
  <c r="W602" i="16"/>
  <c r="W307" i="16"/>
  <c r="W644" i="16"/>
  <c r="W344" i="16"/>
  <c r="P652" i="16"/>
  <c r="G196" i="20"/>
  <c r="N527" i="16"/>
  <c r="P653" i="16"/>
  <c r="O611" i="16"/>
  <c r="P610" i="16"/>
  <c r="G124" i="20"/>
  <c r="X516" i="16"/>
  <c r="O525" i="16"/>
  <c r="N526" i="16"/>
  <c r="N318" i="16"/>
  <c r="O317" i="16"/>
  <c r="G68" i="20"/>
  <c r="X348" i="16"/>
  <c r="G85" i="20"/>
  <c r="X307" i="16"/>
  <c r="X602" i="16"/>
  <c r="X644" i="16"/>
  <c r="X344" i="16"/>
  <c r="U36" i="18"/>
  <c r="G197" i="20"/>
  <c r="P611" i="16"/>
  <c r="P525" i="16"/>
  <c r="G126" i="20"/>
  <c r="P526" i="16"/>
  <c r="O526" i="16"/>
  <c r="M528" i="16"/>
  <c r="O527" i="16"/>
  <c r="M319" i="16"/>
  <c r="O318" i="16"/>
  <c r="G69" i="20"/>
  <c r="P51" i="18"/>
  <c r="G127" i="20"/>
  <c r="P527" i="16"/>
  <c r="G128" i="20"/>
  <c r="M530" i="16"/>
  <c r="M529" i="16"/>
  <c r="M559" i="16"/>
  <c r="M558" i="16"/>
  <c r="N528" i="16"/>
  <c r="M402" i="16"/>
  <c r="N319" i="16"/>
  <c r="M320" i="16"/>
  <c r="M321" i="16"/>
  <c r="G81" i="20"/>
  <c r="V36" i="18"/>
  <c r="M557" i="16"/>
  <c r="W36" i="18"/>
  <c r="N558" i="16"/>
  <c r="N559" i="16"/>
  <c r="N402" i="16"/>
  <c r="N529" i="16"/>
  <c r="O528" i="16"/>
  <c r="P528" i="16"/>
  <c r="N530" i="16"/>
  <c r="N320" i="16"/>
  <c r="O319" i="16"/>
  <c r="G70" i="20"/>
  <c r="N321" i="16"/>
  <c r="Q51" i="18"/>
  <c r="M556" i="16"/>
  <c r="M560" i="16"/>
  <c r="N557" i="16"/>
  <c r="M405" i="16"/>
  <c r="O559" i="16"/>
  <c r="M531" i="16"/>
  <c r="O558" i="16"/>
  <c r="O402" i="16"/>
  <c r="G129" i="20"/>
  <c r="M532" i="16"/>
  <c r="O530" i="16"/>
  <c r="N556" i="16"/>
  <c r="O529" i="16"/>
  <c r="O403" i="16"/>
  <c r="N403" i="16"/>
  <c r="M401" i="16"/>
  <c r="M404" i="16"/>
  <c r="M403" i="16"/>
  <c r="O320" i="16"/>
  <c r="G71" i="20"/>
  <c r="O321" i="16"/>
  <c r="P530" i="16"/>
  <c r="X36" i="18"/>
  <c r="O557" i="16"/>
  <c r="N560" i="16"/>
  <c r="O556" i="16"/>
  <c r="G131" i="20"/>
  <c r="P529" i="16"/>
  <c r="G130" i="20"/>
  <c r="P559" i="16"/>
  <c r="P558" i="16"/>
  <c r="N532" i="16"/>
  <c r="N531" i="16"/>
  <c r="N404" i="16"/>
  <c r="O405" i="16"/>
  <c r="N405" i="16"/>
  <c r="N401" i="16"/>
  <c r="I283" i="16"/>
  <c r="R51" i="18"/>
  <c r="O560" i="16"/>
  <c r="P556" i="16"/>
  <c r="P557" i="16"/>
  <c r="M534" i="16"/>
  <c r="M533" i="16"/>
  <c r="O532" i="16"/>
  <c r="O531" i="16"/>
  <c r="O401" i="16"/>
  <c r="O404" i="16"/>
  <c r="G72" i="20"/>
  <c r="P532" i="16"/>
  <c r="P560" i="16"/>
  <c r="M535" i="16"/>
  <c r="G133" i="20"/>
  <c r="P531" i="16"/>
  <c r="G132" i="20"/>
  <c r="N533" i="16"/>
  <c r="N534" i="16"/>
  <c r="S51" i="18"/>
  <c r="O534" i="16"/>
  <c r="O533" i="16"/>
  <c r="N535" i="16"/>
  <c r="P533" i="16"/>
  <c r="P534" i="16"/>
  <c r="G135" i="20"/>
  <c r="M536" i="16"/>
  <c r="O535" i="16"/>
  <c r="T51" i="18"/>
  <c r="P535" i="16"/>
  <c r="G136" i="20"/>
  <c r="G134" i="20"/>
  <c r="M537" i="16"/>
  <c r="N536" i="16"/>
  <c r="N537" i="16"/>
  <c r="O536" i="16"/>
  <c r="M538" i="16"/>
  <c r="U51" i="18"/>
  <c r="M540" i="16"/>
  <c r="P536" i="16"/>
  <c r="G137" i="20"/>
  <c r="N538" i="16"/>
  <c r="O537" i="16"/>
  <c r="M539" i="16"/>
  <c r="P537" i="16"/>
  <c r="G138" i="20"/>
  <c r="N540" i="16"/>
  <c r="O538" i="16"/>
  <c r="N539" i="16"/>
  <c r="P538" i="16"/>
  <c r="V51" i="18"/>
  <c r="M541" i="16"/>
  <c r="G139" i="20"/>
  <c r="O540" i="16"/>
  <c r="O539" i="16"/>
  <c r="P541" i="16"/>
  <c r="P539" i="16"/>
  <c r="G140" i="20"/>
  <c r="P540" i="16"/>
  <c r="G141" i="20"/>
  <c r="M542" i="16"/>
  <c r="N541" i="16"/>
  <c r="W51" i="18"/>
  <c r="M544" i="16"/>
  <c r="M543" i="16"/>
  <c r="N542" i="16"/>
  <c r="O541" i="16"/>
  <c r="G142" i="20"/>
  <c r="N544" i="16"/>
  <c r="N543" i="16"/>
  <c r="O542" i="16"/>
  <c r="X51" i="18"/>
  <c r="P542" i="16"/>
  <c r="G143" i="20"/>
  <c r="O544" i="16"/>
  <c r="O543" i="16"/>
  <c r="M547" i="16"/>
  <c r="P544" i="16"/>
  <c r="G145" i="20"/>
  <c r="P543" i="16"/>
  <c r="G144" i="20"/>
  <c r="M546" i="16"/>
  <c r="M545" i="16"/>
  <c r="N547" i="16"/>
  <c r="N545" i="16"/>
  <c r="N546" i="16"/>
  <c r="M549" i="16"/>
  <c r="O545" i="16"/>
  <c r="O546" i="16"/>
  <c r="M548" i="16"/>
  <c r="O547" i="16"/>
  <c r="P546" i="16"/>
  <c r="G147" i="20"/>
  <c r="P545" i="16"/>
  <c r="G146" i="20"/>
  <c r="P547" i="16"/>
  <c r="G148" i="20"/>
  <c r="O549" i="16"/>
  <c r="N549" i="16"/>
  <c r="N548" i="16"/>
  <c r="P549" i="16"/>
  <c r="G150" i="20"/>
  <c r="M550" i="16"/>
  <c r="O548" i="16"/>
  <c r="M551" i="16"/>
  <c r="M552" i="16"/>
  <c r="P548" i="16"/>
  <c r="G149" i="20"/>
  <c r="N550" i="16"/>
  <c r="N551" i="16"/>
  <c r="N552" i="16"/>
  <c r="O550" i="16"/>
  <c r="O552" i="16"/>
  <c r="P550" i="16"/>
  <c r="G151" i="20"/>
  <c r="O551" i="16"/>
  <c r="M553" i="16"/>
  <c r="P552" i="16"/>
  <c r="G153" i="20"/>
  <c r="P551" i="16"/>
  <c r="G152" i="20"/>
  <c r="M554" i="16"/>
  <c r="N553" i="16"/>
  <c r="M555" i="16"/>
  <c r="N554" i="16"/>
  <c r="O553" i="16"/>
  <c r="P553" i="16"/>
  <c r="G154" i="20"/>
  <c r="P555" i="16"/>
  <c r="N555" i="16"/>
  <c r="O554" i="16"/>
  <c r="P554" i="16"/>
  <c r="O555" i="16"/>
  <c r="G155" i="20"/>
  <c r="G156" i="20"/>
  <c r="J126" i="8" l="1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482" i="12"/>
  <c r="D311" i="12"/>
  <c r="D397" i="12"/>
  <c r="D313" i="12"/>
  <c r="D486" i="12"/>
  <c r="D315" i="12"/>
  <c r="D401" i="12"/>
  <c r="D317" i="12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K47" i="22"/>
  <c r="K48" i="22" s="1"/>
  <c r="K122" i="22"/>
  <c r="L106" i="22"/>
  <c r="L110" i="22" s="1"/>
  <c r="K111" i="22"/>
  <c r="K112" i="22" s="1"/>
  <c r="K102" i="22"/>
  <c r="K232" i="11" s="1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57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R1208" i="12"/>
  <c r="N1208" i="12"/>
  <c r="V1208" i="12"/>
  <c r="S1208" i="12"/>
  <c r="L1208" i="12"/>
  <c r="T1208" i="12"/>
  <c r="M1208" i="12"/>
  <c r="K1208" i="12"/>
  <c r="X1208" i="12"/>
  <c r="U1208" i="12"/>
  <c r="P1208" i="12"/>
  <c r="Q1208" i="12"/>
  <c r="O1208" i="12"/>
  <c r="W1208" i="12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88" i="10"/>
  <c r="G308" i="10"/>
  <c r="G317" i="10" s="1"/>
  <c r="G321" i="10" s="1"/>
  <c r="I308" i="10"/>
  <c r="I388" i="10"/>
  <c r="H308" i="10"/>
  <c r="G20" i="10"/>
  <c r="G101" i="10"/>
  <c r="I20" i="10"/>
  <c r="I29" i="10" s="1"/>
  <c r="C102" i="9"/>
  <c r="C94" i="9" s="1"/>
  <c r="C144" i="9" s="1"/>
  <c r="D102" i="9"/>
  <c r="D94" i="9" s="1"/>
  <c r="D144" i="9" s="1"/>
  <c r="H34" i="18"/>
  <c r="H39" i="18" s="1"/>
  <c r="H29" i="10"/>
  <c r="H130" i="10" s="1"/>
  <c r="I34" i="18"/>
  <c r="I39" i="18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02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58" i="20"/>
  <c r="J461" i="20" s="1" a="1"/>
  <c r="J461" i="20" s="1"/>
  <c r="J454" i="20" a="1"/>
  <c r="J454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694" i="20" a="1"/>
  <c r="J694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01" i="20" a="1"/>
  <c r="J701" i="20" s="1"/>
  <c r="C2169" i="16"/>
  <c r="J687" i="20" a="1"/>
  <c r="J687" i="20" s="1"/>
  <c r="C2173" i="16"/>
  <c r="J715" i="20" a="1"/>
  <c r="J715" i="20" s="1"/>
  <c r="C387" i="16"/>
  <c r="C404" i="16" s="1"/>
  <c r="J708" i="20" a="1"/>
  <c r="J708" i="20" s="1"/>
  <c r="J852" i="20" a="1"/>
  <c r="J852" i="20" s="1"/>
  <c r="D856" i="20"/>
  <c r="C1145" i="12"/>
  <c r="E1100" i="12"/>
  <c r="H88" i="10"/>
  <c r="H46" i="18" s="1"/>
  <c r="H51" i="18" s="1"/>
  <c r="I88" i="10"/>
  <c r="I46" i="18" s="1"/>
  <c r="I51" i="18" s="1"/>
  <c r="H401" i="10"/>
  <c r="G67" i="10"/>
  <c r="G31" i="18" s="1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J22" i="20"/>
  <c r="K22" i="20" s="1"/>
  <c r="L22" i="20" s="1"/>
  <c r="G379" i="10"/>
  <c r="G378" i="10" s="1"/>
  <c r="G91" i="10"/>
  <c r="G105" i="10" s="1"/>
  <c r="H91" i="10"/>
  <c r="H379" i="10"/>
  <c r="H378" i="10" s="1"/>
  <c r="I379" i="10"/>
  <c r="I378" i="10" s="1"/>
  <c r="I91" i="10"/>
  <c r="G87" i="10"/>
  <c r="G104" i="10" s="1"/>
  <c r="G88" i="10"/>
  <c r="G46" i="18" s="1"/>
  <c r="I86" i="10"/>
  <c r="I373" i="10" s="1"/>
  <c r="I371" i="10" s="1"/>
  <c r="H373" i="10"/>
  <c r="H371" i="10" s="1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G110" i="10"/>
  <c r="H110" i="10"/>
  <c r="I110" i="10"/>
  <c r="H350" i="10"/>
  <c r="I397" i="10" s="1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88" i="12"/>
  <c r="C1428" i="12" s="1"/>
  <c r="C1668" i="12" s="1"/>
  <c r="C1190" i="12"/>
  <c r="C1430" i="12" s="1"/>
  <c r="C1670" i="12" s="1"/>
  <c r="C1185" i="12"/>
  <c r="C1184" i="12"/>
  <c r="F171" i="20"/>
  <c r="F178" i="20"/>
  <c r="I582" i="16" s="1"/>
  <c r="F118" i="20"/>
  <c r="I419" i="16" s="1"/>
  <c r="F120" i="20"/>
  <c r="I421" i="16" s="1"/>
  <c r="F122" i="20"/>
  <c r="F124" i="20"/>
  <c r="I425" i="16" s="1"/>
  <c r="F126" i="20"/>
  <c r="I427" i="16" s="1"/>
  <c r="F128" i="20"/>
  <c r="I429" i="16" s="1"/>
  <c r="F130" i="20"/>
  <c r="I431" i="16" s="1"/>
  <c r="F132" i="20"/>
  <c r="I433" i="16" s="1"/>
  <c r="F134" i="20"/>
  <c r="I435" i="16" s="1"/>
  <c r="F136" i="20"/>
  <c r="I437" i="16" s="1"/>
  <c r="F138" i="20"/>
  <c r="I439" i="16" s="1"/>
  <c r="F140" i="20"/>
  <c r="I441" i="16" s="1"/>
  <c r="F142" i="20"/>
  <c r="I443" i="16" s="1"/>
  <c r="F144" i="20"/>
  <c r="I445" i="16" s="1"/>
  <c r="F146" i="20"/>
  <c r="I447" i="16" s="1"/>
  <c r="F148" i="20"/>
  <c r="I449" i="16" s="1"/>
  <c r="F150" i="20"/>
  <c r="I451" i="16" s="1"/>
  <c r="F152" i="20"/>
  <c r="I453" i="16" s="1"/>
  <c r="F154" i="20"/>
  <c r="I455" i="16" s="1"/>
  <c r="F95" i="20"/>
  <c r="I354" i="16" s="1"/>
  <c r="G95" i="20" s="1"/>
  <c r="F97" i="20"/>
  <c r="I356" i="16" s="1"/>
  <c r="G97" i="20" s="1"/>
  <c r="F99" i="20"/>
  <c r="I358" i="16" s="1"/>
  <c r="G99" i="20" s="1"/>
  <c r="F101" i="20"/>
  <c r="I360" i="16" s="1"/>
  <c r="G101" i="20" s="1"/>
  <c r="F94" i="20"/>
  <c r="F96" i="20"/>
  <c r="I355" i="16" s="1"/>
  <c r="G96" i="20" s="1"/>
  <c r="F98" i="20"/>
  <c r="I357" i="16" s="1"/>
  <c r="G98" i="20" s="1"/>
  <c r="F100" i="20"/>
  <c r="I359" i="16" s="1"/>
  <c r="G100" i="20" s="1"/>
  <c r="F84" i="20"/>
  <c r="I329" i="16" s="1"/>
  <c r="F175" i="20"/>
  <c r="I579" i="16" s="1"/>
  <c r="F170" i="20"/>
  <c r="C1043" i="20" s="1"/>
  <c r="C1044" i="20" s="1"/>
  <c r="F172" i="20"/>
  <c r="I576" i="16" s="1"/>
  <c r="F176" i="20"/>
  <c r="I580" i="16" s="1"/>
  <c r="F156" i="20"/>
  <c r="I457" i="16" s="1"/>
  <c r="F102" i="20"/>
  <c r="I361" i="16" s="1"/>
  <c r="G102" i="20" s="1"/>
  <c r="F103" i="20"/>
  <c r="I362" i="16" s="1"/>
  <c r="G103" i="20" s="1"/>
  <c r="F81" i="20"/>
  <c r="C578" i="20" s="1"/>
  <c r="C579" i="20" s="1"/>
  <c r="F83" i="20"/>
  <c r="I328" i="16" s="1"/>
  <c r="F85" i="20"/>
  <c r="I330" i="16" s="1"/>
  <c r="F58" i="20"/>
  <c r="F60" i="20"/>
  <c r="I271" i="16" s="1"/>
  <c r="F62" i="20"/>
  <c r="I273" i="16" s="1"/>
  <c r="F64" i="20"/>
  <c r="I275" i="16" s="1"/>
  <c r="F66" i="20"/>
  <c r="I277" i="16" s="1"/>
  <c r="F68" i="20"/>
  <c r="I279" i="16" s="1"/>
  <c r="F70" i="20"/>
  <c r="I281" i="16" s="1"/>
  <c r="F59" i="20"/>
  <c r="I270" i="16" s="1"/>
  <c r="F61" i="20"/>
  <c r="I272" i="16" s="1"/>
  <c r="F63" i="20"/>
  <c r="I274" i="16" s="1"/>
  <c r="F65" i="20"/>
  <c r="I276" i="16" s="1"/>
  <c r="F67" i="20"/>
  <c r="I278" i="16" s="1"/>
  <c r="F69" i="20"/>
  <c r="I280" i="16" s="1"/>
  <c r="F71" i="20"/>
  <c r="I282" i="16" s="1"/>
  <c r="F190" i="20"/>
  <c r="F194" i="20"/>
  <c r="I622" i="16" s="1"/>
  <c r="F188" i="20"/>
  <c r="F196" i="20"/>
  <c r="I624" i="16" s="1"/>
  <c r="F189" i="20"/>
  <c r="F191" i="20"/>
  <c r="I619" i="16" s="1"/>
  <c r="F193" i="20"/>
  <c r="I621" i="16" s="1"/>
  <c r="F195" i="20"/>
  <c r="I623" i="16" s="1"/>
  <c r="F197" i="20"/>
  <c r="I625" i="16" s="1"/>
  <c r="F192" i="20"/>
  <c r="I620" i="16" s="1"/>
  <c r="F177" i="20"/>
  <c r="I581" i="16" s="1"/>
  <c r="F179" i="20"/>
  <c r="I583" i="16" s="1"/>
  <c r="F174" i="20"/>
  <c r="I578" i="16" s="1"/>
  <c r="F119" i="20"/>
  <c r="F123" i="20"/>
  <c r="I424" i="16" s="1"/>
  <c r="F129" i="20"/>
  <c r="I430" i="16" s="1"/>
  <c r="F133" i="20"/>
  <c r="I434" i="16" s="1"/>
  <c r="F139" i="20"/>
  <c r="I440" i="16" s="1"/>
  <c r="F141" i="20"/>
  <c r="I442" i="16" s="1"/>
  <c r="F145" i="20"/>
  <c r="I446" i="16" s="1"/>
  <c r="F149" i="20"/>
  <c r="I450" i="16" s="1"/>
  <c r="F153" i="20"/>
  <c r="I454" i="16" s="1"/>
  <c r="F117" i="20"/>
  <c r="F125" i="20"/>
  <c r="I426" i="16" s="1"/>
  <c r="F131" i="20"/>
  <c r="I432" i="16" s="1"/>
  <c r="F137" i="20"/>
  <c r="I438" i="16" s="1"/>
  <c r="F143" i="20"/>
  <c r="I444" i="16" s="1"/>
  <c r="F147" i="20"/>
  <c r="I448" i="16" s="1"/>
  <c r="F155" i="20"/>
  <c r="I456" i="16" s="1"/>
  <c r="F121" i="20"/>
  <c r="I422" i="16" s="1"/>
  <c r="F127" i="20"/>
  <c r="I428" i="16" s="1"/>
  <c r="F135" i="20"/>
  <c r="I436" i="16" s="1"/>
  <c r="F151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D359" i="12"/>
  <c r="D1011" i="12" s="1"/>
  <c r="D1056" i="12" s="1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25" i="20"/>
  <c r="F49" i="20"/>
  <c r="C476" i="20"/>
  <c r="C469" i="20"/>
  <c r="J2280" i="16"/>
  <c r="I54" i="10"/>
  <c r="I53" i="10" s="1"/>
  <c r="H54" i="10"/>
  <c r="H53" i="10" s="1"/>
  <c r="H336" i="10"/>
  <c r="F30" i="2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370" i="12"/>
  <c r="D1022" i="12" s="1"/>
  <c r="D1067" i="12" s="1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31" i="22"/>
  <c r="K131" i="22"/>
  <c r="C1142" i="20"/>
  <c r="C1149" i="20" s="1"/>
  <c r="C765" i="20"/>
  <c r="C772" i="20" s="1"/>
  <c r="C779" i="20" s="1"/>
  <c r="C786" i="20" s="1"/>
  <c r="C793" i="20" s="1"/>
  <c r="C800" i="20" s="1"/>
  <c r="C807" i="20" s="1"/>
  <c r="C814" i="20" s="1"/>
  <c r="C821" i="20" s="1"/>
  <c r="C828" i="20" s="1"/>
  <c r="C835" i="20" s="1"/>
  <c r="C842" i="20" s="1"/>
  <c r="C849" i="20" s="1"/>
  <c r="C856" i="20" s="1"/>
  <c r="C863" i="20" s="1"/>
  <c r="C870" i="20" s="1"/>
  <c r="C489" i="20"/>
  <c r="C496" i="20" s="1"/>
  <c r="C1064" i="20"/>
  <c r="C1065" i="20" s="1"/>
  <c r="C585" i="20"/>
  <c r="C586" i="20" s="1"/>
  <c r="G160" i="20"/>
  <c r="J271" i="10"/>
  <c r="J141" i="16"/>
  <c r="G158" i="20"/>
  <c r="C2219" i="16"/>
  <c r="I461" i="16"/>
  <c r="D1396" i="16"/>
  <c r="D1402" i="16"/>
  <c r="E1403" i="16" s="1"/>
  <c r="F1403" i="16" s="1"/>
  <c r="D1291" i="16"/>
  <c r="D1292" i="16" s="1"/>
  <c r="E158" i="20"/>
  <c r="C384" i="16"/>
  <c r="C401" i="16" s="1"/>
  <c r="E107" i="20"/>
  <c r="E160" i="20"/>
  <c r="F160" i="20" s="1"/>
  <c r="G108" i="20"/>
  <c r="E161" i="20"/>
  <c r="F161" i="20" s="1"/>
  <c r="E159" i="20"/>
  <c r="D890" i="16"/>
  <c r="E891" i="16"/>
  <c r="E890" i="16"/>
  <c r="F890" i="16" s="1"/>
  <c r="C892" i="16"/>
  <c r="G105" i="20"/>
  <c r="E104" i="20"/>
  <c r="D880" i="16"/>
  <c r="F879" i="16" s="1"/>
  <c r="D895" i="16"/>
  <c r="D885" i="16"/>
  <c r="F2066" i="16"/>
  <c r="F2080" i="16" s="1"/>
  <c r="F2094" i="16" s="1"/>
  <c r="D1897" i="16"/>
  <c r="E1898" i="16" s="1"/>
  <c r="F1898" i="16" s="1"/>
  <c r="F2059" i="16"/>
  <c r="F2073" i="16" s="1"/>
  <c r="F2087" i="16" s="1"/>
  <c r="E105" i="20"/>
  <c r="F2063" i="16"/>
  <c r="F2077" i="16" s="1"/>
  <c r="F2091" i="16" s="1"/>
  <c r="F2048" i="16"/>
  <c r="B1850" i="16"/>
  <c r="G104" i="20"/>
  <c r="C2218" i="16"/>
  <c r="C86" i="20"/>
  <c r="G577" i="20" s="1"/>
  <c r="I577" i="20" s="1"/>
  <c r="B363" i="16"/>
  <c r="B384" i="16" s="1"/>
  <c r="B401" i="16" s="1"/>
  <c r="E157" i="20"/>
  <c r="B511" i="16"/>
  <c r="B558" i="16" s="1"/>
  <c r="B512" i="16"/>
  <c r="B559" i="16" s="1"/>
  <c r="B2219" i="16"/>
  <c r="B2172" i="16"/>
  <c r="B107" i="20"/>
  <c r="B705" i="20" s="1"/>
  <c r="B2218" i="16"/>
  <c r="E1437" i="16"/>
  <c r="D1437" i="16" s="1"/>
  <c r="G1505" i="16"/>
  <c r="G107" i="20"/>
  <c r="B1890" i="16"/>
  <c r="E1285" i="16"/>
  <c r="F1285" i="16" s="1"/>
  <c r="D1285" i="16"/>
  <c r="F2052" i="16"/>
  <c r="D476" i="20"/>
  <c r="E476" i="20" s="1"/>
  <c r="E1397" i="16"/>
  <c r="D1397" i="16" s="1"/>
  <c r="F2045" i="16"/>
  <c r="C386" i="16"/>
  <c r="C403" i="16" s="1"/>
  <c r="B1284" i="16"/>
  <c r="X265" i="16"/>
  <c r="X53" i="20" s="1"/>
  <c r="B1395" i="16"/>
  <c r="F2067" i="16"/>
  <c r="F2081" i="16" s="1"/>
  <c r="F2095" i="16" s="1"/>
  <c r="C73" i="20"/>
  <c r="G469" i="20" s="1"/>
  <c r="G157" i="20"/>
  <c r="C2172" i="16"/>
  <c r="F2064" i="16"/>
  <c r="F2078" i="16" s="1"/>
  <c r="F2092" i="16" s="1"/>
  <c r="E1560" i="16"/>
  <c r="D1560" i="16" s="1"/>
  <c r="E108" i="20"/>
  <c r="B158" i="20"/>
  <c r="B1010" i="20" s="1"/>
  <c r="G1838" i="16"/>
  <c r="F2047" i="16"/>
  <c r="W265" i="16"/>
  <c r="W53" i="20" s="1"/>
  <c r="D1565" i="16"/>
  <c r="D1864" i="16"/>
  <c r="B509" i="16"/>
  <c r="B556" i="16" s="1"/>
  <c r="B1558" i="16"/>
  <c r="B1857" i="16"/>
  <c r="B510" i="16"/>
  <c r="B557" i="16" s="1"/>
  <c r="B2216" i="16"/>
  <c r="E1132" i="16"/>
  <c r="F1132" i="16" s="1"/>
  <c r="B1524" i="16"/>
  <c r="D1531" i="16"/>
  <c r="E1532" i="16" s="1"/>
  <c r="F1532" i="16" s="1"/>
  <c r="B2173" i="16"/>
  <c r="F2049" i="16"/>
  <c r="B108" i="20"/>
  <c r="B712" i="20" s="1"/>
  <c r="D1972" i="16"/>
  <c r="C2170" i="16"/>
  <c r="C385" i="16"/>
  <c r="C402" i="16" s="1"/>
  <c r="I462" i="16"/>
  <c r="G161" i="20"/>
  <c r="B2220" i="16"/>
  <c r="B513" i="16"/>
  <c r="B560" i="16" s="1"/>
  <c r="B161" i="20"/>
  <c r="B1031" i="20" s="1"/>
  <c r="E106" i="20"/>
  <c r="G106" i="20"/>
  <c r="G159" i="20"/>
  <c r="C198" i="20"/>
  <c r="B364" i="16"/>
  <c r="B1517" i="16"/>
  <c r="B386" i="16"/>
  <c r="B403" i="16" s="1"/>
  <c r="B106" i="20"/>
  <c r="B698" i="20" s="1"/>
  <c r="C180" i="20"/>
  <c r="D1443" i="16"/>
  <c r="B1442" i="16"/>
  <c r="D1449" i="16"/>
  <c r="E1443" i="16"/>
  <c r="F1443" i="16" s="1"/>
  <c r="E1444" i="16"/>
  <c r="D1444" i="16" s="1"/>
  <c r="D1436" i="16"/>
  <c r="B1435" i="16"/>
  <c r="E1436" i="16"/>
  <c r="F1436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53" i="20" s="1"/>
  <c r="E1133" i="16"/>
  <c r="D1133" i="16" s="1"/>
  <c r="D1138" i="16"/>
  <c r="D1145" i="16" s="1"/>
  <c r="D713" i="20"/>
  <c r="E713" i="20" s="1"/>
  <c r="D1525" i="16"/>
  <c r="E1525" i="16"/>
  <c r="F1525" i="16" s="1"/>
  <c r="V406" i="16"/>
  <c r="V112" i="20" s="1"/>
  <c r="D145" i="8"/>
  <c r="V612" i="16"/>
  <c r="V183" i="20" s="1"/>
  <c r="Q654" i="16"/>
  <c r="Q201" i="20" s="1"/>
  <c r="D147" i="8"/>
  <c r="W654" i="16"/>
  <c r="W201" i="20" s="1"/>
  <c r="W561" i="16"/>
  <c r="W165" i="20" s="1"/>
  <c r="T612" i="16"/>
  <c r="T183" i="20" s="1"/>
  <c r="D144" i="8"/>
  <c r="C182" i="8"/>
  <c r="D151" i="8"/>
  <c r="D149" i="8"/>
  <c r="D148" i="8"/>
  <c r="X561" i="16"/>
  <c r="X165" i="20" s="1"/>
  <c r="U349" i="16"/>
  <c r="U89" i="20" s="1"/>
  <c r="V654" i="16"/>
  <c r="V201" i="20" s="1"/>
  <c r="R349" i="16"/>
  <c r="R89" i="20" s="1"/>
  <c r="R654" i="16"/>
  <c r="R201" i="20" s="1"/>
  <c r="X654" i="16"/>
  <c r="X201" i="20" s="1"/>
  <c r="S612" i="16"/>
  <c r="S183" i="20" s="1"/>
  <c r="V349" i="16"/>
  <c r="V89" i="20" s="1"/>
  <c r="T654" i="16"/>
  <c r="T201" i="20" s="1"/>
  <c r="V561" i="16"/>
  <c r="V165" i="20" s="1"/>
  <c r="S349" i="16"/>
  <c r="S89" i="20" s="1"/>
  <c r="Q612" i="16"/>
  <c r="Q183" i="20" s="1"/>
  <c r="U612" i="16"/>
  <c r="U183" i="20" s="1"/>
  <c r="W322" i="16"/>
  <c r="W76" i="20" s="1"/>
  <c r="V322" i="16"/>
  <c r="V76" i="20" s="1"/>
  <c r="J93" i="10"/>
  <c r="W612" i="16"/>
  <c r="W183" i="20" s="1"/>
  <c r="K612" i="16"/>
  <c r="K183" i="20" s="1"/>
  <c r="X322" i="16"/>
  <c r="X76" i="20" s="1"/>
  <c r="X349" i="16"/>
  <c r="X89" i="20" s="1"/>
  <c r="R612" i="16"/>
  <c r="R183" i="20" s="1"/>
  <c r="X612" i="16"/>
  <c r="X183" i="20" s="1"/>
  <c r="U654" i="16"/>
  <c r="U201" i="20" s="1"/>
  <c r="W349" i="16"/>
  <c r="W89" i="20" s="1"/>
  <c r="X406" i="16"/>
  <c r="X112" i="20" s="1"/>
  <c r="W406" i="16"/>
  <c r="W112" i="20" s="1"/>
  <c r="S654" i="16"/>
  <c r="S201" i="20" s="1"/>
  <c r="T349" i="16"/>
  <c r="T89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32" i="8"/>
  <c r="K21" i="22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32" i="20"/>
  <c r="C339" i="20" s="1"/>
  <c r="C326" i="20"/>
  <c r="F31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280" i="16"/>
  <c r="F1279" i="16" s="1"/>
  <c r="D1424" i="12"/>
  <c r="D1664" i="12" s="1"/>
  <c r="D1391" i="16"/>
  <c r="F1390" i="16" s="1"/>
  <c r="F1430" i="16"/>
  <c r="J337" i="16" a="1"/>
  <c r="J337" i="16" s="1"/>
  <c r="J344" i="16" s="1"/>
  <c r="J374" i="16" a="1"/>
  <c r="J374" i="16" s="1"/>
  <c r="J391" i="16" s="1"/>
  <c r="D1286" i="16"/>
  <c r="D1287" i="16" s="1"/>
  <c r="E363" i="16"/>
  <c r="D104" i="20" s="1"/>
  <c r="E1518" i="16"/>
  <c r="F1518" i="16" s="1"/>
  <c r="E1511" i="16"/>
  <c r="F1511" i="16" s="1"/>
  <c r="D1518" i="16"/>
  <c r="J31" i="8" l="1"/>
  <c r="C2288" i="16"/>
  <c r="C2289" i="16" s="1"/>
  <c r="C679" i="20"/>
  <c r="C680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06" i="20"/>
  <c r="C1107" i="20" s="1"/>
  <c r="M42" i="22"/>
  <c r="M46" i="22" s="1"/>
  <c r="L47" i="22"/>
  <c r="L48" i="22" s="1"/>
  <c r="M106" i="22"/>
  <c r="M110" i="22" s="1"/>
  <c r="L111" i="22"/>
  <c r="L112" i="22" s="1"/>
  <c r="M116" i="22"/>
  <c r="M120" i="22" s="1"/>
  <c r="L121" i="22"/>
  <c r="L122" i="22" s="1"/>
  <c r="O102" i="22"/>
  <c r="N102" i="22"/>
  <c r="R102" i="22"/>
  <c r="N126" i="22"/>
  <c r="M130" i="22"/>
  <c r="M131" i="22" s="1"/>
  <c r="V102" i="22"/>
  <c r="Q102" i="22"/>
  <c r="P102" i="22"/>
  <c r="C739" i="20"/>
  <c r="C740" i="20" s="1"/>
  <c r="C1085" i="20"/>
  <c r="C1086" i="20" s="1"/>
  <c r="D131" i="8"/>
  <c r="F131" i="8" s="1"/>
  <c r="I126" i="8"/>
  <c r="E1592" i="12"/>
  <c r="E1832" i="12" s="1"/>
  <c r="C746" i="20"/>
  <c r="C747" i="20" s="1"/>
  <c r="C725" i="20"/>
  <c r="C726" i="20" s="1"/>
  <c r="U102" i="22"/>
  <c r="T102" i="22"/>
  <c r="S102" i="22"/>
  <c r="W102" i="22"/>
  <c r="E11" i="9"/>
  <c r="E149" i="9" s="1"/>
  <c r="G416" i="10"/>
  <c r="G47" i="10"/>
  <c r="C630" i="20"/>
  <c r="C631" i="20" s="1"/>
  <c r="C1071" i="20"/>
  <c r="C1072" i="20" s="1"/>
  <c r="C616" i="20"/>
  <c r="C617" i="20" s="1"/>
  <c r="C732" i="20"/>
  <c r="C733" i="20" s="1"/>
  <c r="E1442" i="12"/>
  <c r="E1682" i="12" s="1"/>
  <c r="O1198" i="12"/>
  <c r="V1195" i="12"/>
  <c r="V1331" i="12"/>
  <c r="U1190" i="12"/>
  <c r="K1347" i="12"/>
  <c r="T1352" i="12"/>
  <c r="N1202" i="12"/>
  <c r="L1339" i="12"/>
  <c r="T1345" i="12"/>
  <c r="V1210" i="12"/>
  <c r="M1339" i="12"/>
  <c r="R1197" i="12"/>
  <c r="K1189" i="12"/>
  <c r="R1214" i="12"/>
  <c r="X1198" i="12"/>
  <c r="R1242" i="12"/>
  <c r="P1197" i="12"/>
  <c r="X1190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K1210" i="12"/>
  <c r="P1202" i="12"/>
  <c r="L1202" i="12"/>
  <c r="R1200" i="12"/>
  <c r="N1200" i="12"/>
  <c r="S1198" i="12"/>
  <c r="N1198" i="12"/>
  <c r="P1194" i="12"/>
  <c r="S1190" i="12"/>
  <c r="V1190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T1210" i="12"/>
  <c r="N1210" i="12"/>
  <c r="W1202" i="12"/>
  <c r="M1202" i="12"/>
  <c r="L1200" i="12"/>
  <c r="O1200" i="12"/>
  <c r="K1198" i="12"/>
  <c r="O1194" i="12"/>
  <c r="M1194" i="12"/>
  <c r="T1190" i="12"/>
  <c r="N1190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L1210" i="12"/>
  <c r="X1210" i="12"/>
  <c r="R1202" i="12"/>
  <c r="K1202" i="12"/>
  <c r="U1200" i="12"/>
  <c r="M1198" i="12"/>
  <c r="R1194" i="12"/>
  <c r="T1194" i="12"/>
  <c r="M1190" i="12"/>
  <c r="P1190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10" i="12"/>
  <c r="M1210" i="12"/>
  <c r="O1202" i="12"/>
  <c r="T1200" i="12"/>
  <c r="T1198" i="12"/>
  <c r="V1198" i="12"/>
  <c r="N1194" i="12"/>
  <c r="V1194" i="12"/>
  <c r="L1190" i="12"/>
  <c r="R1190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R1210" i="12"/>
  <c r="P1210" i="12"/>
  <c r="T1202" i="12"/>
  <c r="Q1200" i="12"/>
  <c r="V1200" i="12"/>
  <c r="L1198" i="12"/>
  <c r="P1198" i="12"/>
  <c r="X1194" i="12"/>
  <c r="K1194" i="12"/>
  <c r="O1190" i="12"/>
  <c r="Q1190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Q1210" i="12"/>
  <c r="W1210" i="12"/>
  <c r="X1202" i="12"/>
  <c r="V1202" i="12"/>
  <c r="K1200" i="12"/>
  <c r="X1200" i="12"/>
  <c r="U1198" i="12"/>
  <c r="R1198" i="12"/>
  <c r="S1194" i="12"/>
  <c r="U1194" i="12"/>
  <c r="W1190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S1210" i="12"/>
  <c r="U1210" i="12"/>
  <c r="Q1202" i="12"/>
  <c r="S1200" i="12"/>
  <c r="W1200" i="12"/>
  <c r="W1198" i="12"/>
  <c r="Q1194" i="12"/>
  <c r="K1190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53" i="20"/>
  <c r="C754" i="20" s="1"/>
  <c r="C658" i="20"/>
  <c r="C659" i="20" s="1"/>
  <c r="C644" i="20"/>
  <c r="C645" i="20" s="1"/>
  <c r="C760" i="20"/>
  <c r="C761" i="20" s="1"/>
  <c r="D1594" i="12"/>
  <c r="D1834" i="12" s="1"/>
  <c r="J115" i="10"/>
  <c r="J402" i="10" s="1"/>
  <c r="G19" i="18"/>
  <c r="G24" i="18" s="1"/>
  <c r="G29" i="10"/>
  <c r="G49" i="18"/>
  <c r="G54" i="18" s="1"/>
  <c r="H33" i="10"/>
  <c r="H37" i="10" s="1"/>
  <c r="H39" i="10" s="1"/>
  <c r="H42" i="10" s="1"/>
  <c r="H317" i="10"/>
  <c r="H321" i="10" s="1"/>
  <c r="H437" i="10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389" i="10" s="1"/>
  <c r="G109" i="10"/>
  <c r="G108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59" i="20" a="1"/>
  <c r="J859" i="20" s="1"/>
  <c r="D863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H335" i="10"/>
  <c r="J67" i="10"/>
  <c r="J31" i="18" s="1"/>
  <c r="J41" i="18" s="1"/>
  <c r="J113" i="18" s="1"/>
  <c r="J356" i="10" s="1"/>
  <c r="J355" i="10" s="1"/>
  <c r="I103" i="10"/>
  <c r="G103" i="10"/>
  <c r="H103" i="10"/>
  <c r="E199" i="9"/>
  <c r="I116" i="10"/>
  <c r="I403" i="10" s="1"/>
  <c r="I115" i="10"/>
  <c r="I402" i="10" s="1"/>
  <c r="G325" i="10"/>
  <c r="G327" i="10" s="1"/>
  <c r="G330" i="10" s="1"/>
  <c r="G437" i="10"/>
  <c r="D199" i="9"/>
  <c r="F199" i="9"/>
  <c r="H116" i="10"/>
  <c r="H403" i="10" s="1"/>
  <c r="H115" i="10"/>
  <c r="H402" i="10" s="1"/>
  <c r="C199" i="9"/>
  <c r="H325" i="10"/>
  <c r="H327" i="10" s="1"/>
  <c r="H330" i="10" s="1"/>
  <c r="I392" i="10"/>
  <c r="J380" i="10"/>
  <c r="H90" i="10"/>
  <c r="H377" i="10" s="1"/>
  <c r="H374" i="10" s="1"/>
  <c r="H87" i="10"/>
  <c r="H82" i="10" s="1"/>
  <c r="G90" i="10"/>
  <c r="G377" i="10" s="1"/>
  <c r="G56" i="18"/>
  <c r="G122" i="18" s="1"/>
  <c r="G375" i="10" s="1"/>
  <c r="G51" i="18"/>
  <c r="I87" i="10"/>
  <c r="I90" i="10"/>
  <c r="I377" i="10" s="1"/>
  <c r="I374" i="10" s="1"/>
  <c r="J373" i="10"/>
  <c r="H118" i="10"/>
  <c r="H370" i="10"/>
  <c r="I405" i="10" s="1"/>
  <c r="J370" i="10"/>
  <c r="G118" i="10"/>
  <c r="G112" i="10" s="1"/>
  <c r="G370" i="10"/>
  <c r="I118" i="10"/>
  <c r="I41" i="18"/>
  <c r="I113" i="18" s="1"/>
  <c r="H41" i="18"/>
  <c r="H36" i="18"/>
  <c r="G41" i="18"/>
  <c r="G36" i="18"/>
  <c r="I71" i="10"/>
  <c r="K33" i="22" s="1"/>
  <c r="K37" i="22" s="1"/>
  <c r="H71" i="10"/>
  <c r="G69" i="10"/>
  <c r="G65" i="10" s="1"/>
  <c r="H392" i="10"/>
  <c r="G392" i="10"/>
  <c r="G397" i="10"/>
  <c r="H397" i="10"/>
  <c r="E1449" i="12"/>
  <c r="E1689" i="12" s="1"/>
  <c r="C1057" i="20"/>
  <c r="C1058" i="20" s="1"/>
  <c r="C665" i="20"/>
  <c r="C666" i="20" s="1"/>
  <c r="C1050" i="20"/>
  <c r="C1051" i="20" s="1"/>
  <c r="C1092" i="20"/>
  <c r="C1093" i="20" s="1"/>
  <c r="C1078" i="20"/>
  <c r="C1079" i="20" s="1"/>
  <c r="C637" i="20"/>
  <c r="C638" i="20" s="1"/>
  <c r="C592" i="20"/>
  <c r="C593" i="20" s="1"/>
  <c r="C623" i="20"/>
  <c r="C624" i="20" s="1"/>
  <c r="C606" i="20"/>
  <c r="C607" i="20" s="1"/>
  <c r="C484" i="20"/>
  <c r="C1099" i="20"/>
  <c r="C1100" i="20" s="1"/>
  <c r="D1624" i="12"/>
  <c r="D1864" i="12" s="1"/>
  <c r="D1614" i="12"/>
  <c r="D1854" i="12" s="1"/>
  <c r="E1046" i="12"/>
  <c r="C477" i="20"/>
  <c r="C478" i="20" s="1"/>
  <c r="F86" i="20"/>
  <c r="C672" i="20" s="1"/>
  <c r="C673" i="20" s="1"/>
  <c r="C599" i="20"/>
  <c r="C600" i="20" s="1"/>
  <c r="C651" i="20"/>
  <c r="C652" i="20" s="1"/>
  <c r="F180" i="20"/>
  <c r="C1130" i="20"/>
  <c r="C1131" i="20" s="1"/>
  <c r="C1123" i="20"/>
  <c r="C1124" i="20" s="1"/>
  <c r="C1137" i="20"/>
  <c r="C1138" i="20" s="1"/>
  <c r="I326" i="16"/>
  <c r="F73" i="20"/>
  <c r="C470" i="20"/>
  <c r="C471" i="20" s="1"/>
  <c r="D1438" i="16"/>
  <c r="F1437" i="16" s="1"/>
  <c r="C1116" i="20"/>
  <c r="C1117" i="20" s="1"/>
  <c r="F198" i="20"/>
  <c r="D1445" i="16"/>
  <c r="F1444" i="16" s="1"/>
  <c r="D1398" i="16"/>
  <c r="F1397" i="16" s="1"/>
  <c r="D1580" i="12"/>
  <c r="D1820" i="12" s="1"/>
  <c r="E1589" i="12"/>
  <c r="E1829" i="12" s="1"/>
  <c r="C334" i="20"/>
  <c r="C335" i="20" s="1"/>
  <c r="D470" i="20" s="1"/>
  <c r="D1561" i="16"/>
  <c r="E1559" i="16"/>
  <c r="F1559" i="16" s="1"/>
  <c r="D1552" i="16"/>
  <c r="E1552" i="16"/>
  <c r="F1552" i="16" s="1"/>
  <c r="D1554" i="16"/>
  <c r="D1559" i="16"/>
  <c r="E1427" i="12"/>
  <c r="E1667" i="12" s="1"/>
  <c r="D339" i="20"/>
  <c r="C341" i="20"/>
  <c r="D1582" i="12"/>
  <c r="D1822" i="12" s="1"/>
  <c r="C327" i="20"/>
  <c r="C328" i="20" s="1"/>
  <c r="J900" i="16"/>
  <c r="B895" i="16"/>
  <c r="C460" i="20"/>
  <c r="C461" i="20" s="1"/>
  <c r="D1152" i="16"/>
  <c r="D1159" i="16" s="1"/>
  <c r="E1147" i="16"/>
  <c r="E1146" i="16"/>
  <c r="D1146" i="16"/>
  <c r="D1403" i="16"/>
  <c r="C346" i="20"/>
  <c r="C348" i="20" s="1"/>
  <c r="C349" i="20" s="1"/>
  <c r="C340" i="20"/>
  <c r="C788" i="20"/>
  <c r="C789" i="20" s="1"/>
  <c r="C459" i="20"/>
  <c r="D332" i="20"/>
  <c r="C491" i="20"/>
  <c r="C492" i="20" s="1"/>
  <c r="C865" i="20"/>
  <c r="C866" i="20" s="1"/>
  <c r="C713" i="20"/>
  <c r="D490" i="20"/>
  <c r="E490" i="20" s="1"/>
  <c r="C498" i="20"/>
  <c r="C499" i="20" s="1"/>
  <c r="C490" i="20"/>
  <c r="D1134" i="16"/>
  <c r="F1133" i="16" s="1"/>
  <c r="I109" i="10"/>
  <c r="I108" i="10" s="1"/>
  <c r="H354" i="10"/>
  <c r="I341" i="10"/>
  <c r="I335" i="10" s="1"/>
  <c r="H109" i="10"/>
  <c r="H108" i="10" s="1"/>
  <c r="G335" i="10"/>
  <c r="H396" i="10"/>
  <c r="G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51" i="20"/>
  <c r="C1152" i="20" s="1"/>
  <c r="C1144" i="20"/>
  <c r="C1145" i="20" s="1"/>
  <c r="C858" i="20"/>
  <c r="C859" i="20" s="1"/>
  <c r="C809" i="20"/>
  <c r="C810" i="20" s="1"/>
  <c r="C802" i="20"/>
  <c r="C803" i="20" s="1"/>
  <c r="K92" i="10"/>
  <c r="K91" i="10" s="1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56" i="20"/>
  <c r="D850" i="20"/>
  <c r="E850" i="20" s="1"/>
  <c r="D836" i="20"/>
  <c r="E836" i="20" s="1"/>
  <c r="C830" i="20"/>
  <c r="C831" i="20" s="1"/>
  <c r="D843" i="20"/>
  <c r="E843" i="20" s="1"/>
  <c r="C781" i="20"/>
  <c r="C782" i="20" s="1"/>
  <c r="C816" i="20"/>
  <c r="C817" i="20" s="1"/>
  <c r="C767" i="20"/>
  <c r="C768" i="20" s="1"/>
  <c r="C851" i="20"/>
  <c r="C852" i="20" s="1"/>
  <c r="C843" i="20"/>
  <c r="C836" i="20"/>
  <c r="C774" i="20"/>
  <c r="C775" i="20" s="1"/>
  <c r="C837" i="20"/>
  <c r="C838" i="20" s="1"/>
  <c r="C823" i="20"/>
  <c r="C824" i="20" s="1"/>
  <c r="C850" i="20"/>
  <c r="C844" i="20"/>
  <c r="C845" i="20" s="1"/>
  <c r="D844" i="20"/>
  <c r="C795" i="20"/>
  <c r="C796" i="20" s="1"/>
  <c r="J594" i="12"/>
  <c r="C333" i="20"/>
  <c r="D497" i="20"/>
  <c r="E497" i="20" s="1"/>
  <c r="C497" i="20"/>
  <c r="C503" i="20"/>
  <c r="C877" i="20"/>
  <c r="C872" i="20"/>
  <c r="C873" i="20" s="1"/>
  <c r="D1409" i="16"/>
  <c r="D1416" i="16" s="1"/>
  <c r="B1402" i="16"/>
  <c r="E1404" i="16"/>
  <c r="D1404" i="16" s="1"/>
  <c r="E1292" i="16"/>
  <c r="F1292" i="16" s="1"/>
  <c r="B1291" i="16"/>
  <c r="D1298" i="16"/>
  <c r="E1299" i="16" s="1"/>
  <c r="F1299" i="16" s="1"/>
  <c r="E1293" i="16"/>
  <c r="D1293" i="16" s="1"/>
  <c r="D1898" i="16"/>
  <c r="I469" i="20"/>
  <c r="D896" i="16"/>
  <c r="E897" i="16"/>
  <c r="E896" i="16"/>
  <c r="F896" i="16" s="1"/>
  <c r="C898" i="16"/>
  <c r="D886" i="16"/>
  <c r="F885" i="16" s="1"/>
  <c r="D901" i="16"/>
  <c r="D891" i="16"/>
  <c r="B1897" i="16"/>
  <c r="D1904" i="16"/>
  <c r="B2169" i="16"/>
  <c r="B104" i="20"/>
  <c r="B684" i="20" s="1"/>
  <c r="J365" i="10"/>
  <c r="J434" i="12"/>
  <c r="J264" i="12"/>
  <c r="J161" i="12"/>
  <c r="J221" i="12"/>
  <c r="J306" i="12"/>
  <c r="D154" i="8"/>
  <c r="J116" i="12"/>
  <c r="J520" i="12"/>
  <c r="D1871" i="16"/>
  <c r="B1864" i="16"/>
  <c r="B1565" i="16"/>
  <c r="E1566" i="16"/>
  <c r="F1566" i="16" s="1"/>
  <c r="E1567" i="16"/>
  <c r="D1572" i="16"/>
  <c r="D1566" i="16"/>
  <c r="B1531" i="16"/>
  <c r="D1538" i="16"/>
  <c r="B1538" i="16" s="1"/>
  <c r="D1532" i="16"/>
  <c r="D1979" i="16"/>
  <c r="B2170" i="16"/>
  <c r="B385" i="16"/>
  <c r="B402" i="16" s="1"/>
  <c r="B105" i="20"/>
  <c r="B691" i="20" s="1"/>
  <c r="G1115" i="20"/>
  <c r="I1115" i="20" s="1"/>
  <c r="G1042" i="20"/>
  <c r="I1042" i="20" s="1"/>
  <c r="E1451" i="16"/>
  <c r="D1451" i="16" s="1"/>
  <c r="E1450" i="16"/>
  <c r="F1450" i="16" s="1"/>
  <c r="D1450" i="16"/>
  <c r="D1456" i="16"/>
  <c r="B1449" i="16"/>
  <c r="D1139" i="16"/>
  <c r="E1140" i="16"/>
  <c r="E1139" i="16"/>
  <c r="F1139" i="16" s="1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396" i="10"/>
  <c r="I395" i="10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104" i="10"/>
  <c r="J52" i="22"/>
  <c r="K52" i="22" s="1"/>
  <c r="K56" i="22" s="1"/>
  <c r="K57" i="22" s="1"/>
  <c r="K58" i="22" s="1"/>
  <c r="J372" i="10"/>
  <c r="J379" i="10"/>
  <c r="J91" i="10"/>
  <c r="J105" i="10" s="1"/>
  <c r="K110" i="10"/>
  <c r="K397" i="10" s="1"/>
  <c r="J113" i="10"/>
  <c r="J69" i="10"/>
  <c r="J110" i="10"/>
  <c r="J20" i="10"/>
  <c r="J145" i="10" s="1"/>
  <c r="J17" i="18" s="1"/>
  <c r="J90" i="10"/>
  <c r="J48" i="10"/>
  <c r="J337" i="10"/>
  <c r="J336" i="10" s="1"/>
  <c r="J304" i="10"/>
  <c r="J303" i="10" s="1"/>
  <c r="J15" i="10"/>
  <c r="J101" i="10"/>
  <c r="J48" i="18"/>
  <c r="J53" i="18" s="1"/>
  <c r="J33" i="18"/>
  <c r="J38" i="18" s="1"/>
  <c r="J18" i="18"/>
  <c r="J23" i="18" s="1"/>
  <c r="M22" i="20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F1286" i="16"/>
  <c r="G73" i="10" l="1"/>
  <c r="D155" i="8"/>
  <c r="D156" i="8" s="1"/>
  <c r="N42" i="22"/>
  <c r="N46" i="22" s="1"/>
  <c r="M47" i="22"/>
  <c r="M48" i="22" s="1"/>
  <c r="N106" i="22"/>
  <c r="N110" i="22" s="1"/>
  <c r="M111" i="22"/>
  <c r="M112" i="22" s="1"/>
  <c r="N116" i="22"/>
  <c r="N120" i="22" s="1"/>
  <c r="M121" i="22"/>
  <c r="M122" i="22" s="1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151" i="10"/>
  <c r="H416" i="10"/>
  <c r="I321" i="10"/>
  <c r="G33" i="10"/>
  <c r="G130" i="10"/>
  <c r="I151" i="10"/>
  <c r="I37" i="10"/>
  <c r="I39" i="10" s="1"/>
  <c r="I42" i="10" s="1"/>
  <c r="H104" i="10"/>
  <c r="G395" i="10"/>
  <c r="I82" i="10"/>
  <c r="H395" i="10"/>
  <c r="H138" i="10"/>
  <c r="H81" i="10"/>
  <c r="H76" i="10" s="1"/>
  <c r="H150" i="10" s="1"/>
  <c r="H131" i="10"/>
  <c r="H100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866" i="20" a="1"/>
  <c r="J866" i="20" s="1"/>
  <c r="D870" i="20"/>
  <c r="J82" i="10"/>
  <c r="K77" i="10"/>
  <c r="J47" i="10"/>
  <c r="J65" i="10"/>
  <c r="J142" i="10" s="1"/>
  <c r="J378" i="10"/>
  <c r="J392" i="10" s="1"/>
  <c r="C92" i="9"/>
  <c r="G374" i="10"/>
  <c r="G391" i="10" s="1"/>
  <c r="H112" i="10"/>
  <c r="F92" i="9"/>
  <c r="J103" i="10"/>
  <c r="J36" i="18"/>
  <c r="F146" i="9"/>
  <c r="I59" i="18"/>
  <c r="I112" i="10"/>
  <c r="G417" i="10"/>
  <c r="G387" i="10"/>
  <c r="G368" i="10"/>
  <c r="G364" i="10" s="1"/>
  <c r="G422" i="10" s="1"/>
  <c r="G424" i="10"/>
  <c r="I399" i="10"/>
  <c r="H424" i="10"/>
  <c r="H368" i="10"/>
  <c r="H364" i="10" s="1"/>
  <c r="H422" i="10" s="1"/>
  <c r="H417" i="10"/>
  <c r="H387" i="10"/>
  <c r="K380" i="10"/>
  <c r="I391" i="10"/>
  <c r="I369" i="10"/>
  <c r="J377" i="10"/>
  <c r="J374" i="10" s="1"/>
  <c r="J391" i="10" s="1"/>
  <c r="I104" i="10"/>
  <c r="K370" i="10"/>
  <c r="G405" i="10"/>
  <c r="G399" i="10" s="1"/>
  <c r="H405" i="10"/>
  <c r="H399" i="10" s="1"/>
  <c r="H369" i="10"/>
  <c r="E146" i="9"/>
  <c r="E92" i="9"/>
  <c r="G113" i="18"/>
  <c r="G59" i="18"/>
  <c r="H113" i="18"/>
  <c r="H59" i="18"/>
  <c r="I125" i="18"/>
  <c r="I356" i="10"/>
  <c r="I355" i="10" s="1"/>
  <c r="G142" i="10"/>
  <c r="G141" i="10"/>
  <c r="H359" i="10"/>
  <c r="H69" i="10"/>
  <c r="H65" i="10" s="1"/>
  <c r="H73" i="10" s="1"/>
  <c r="I359" i="10"/>
  <c r="I69" i="10"/>
  <c r="E470" i="20"/>
  <c r="D1452" i="16"/>
  <c r="F1451" i="16" s="1"/>
  <c r="D1405" i="16"/>
  <c r="D1294" i="16"/>
  <c r="F1293" i="16" s="1"/>
  <c r="F1560" i="16"/>
  <c r="F1553" i="16"/>
  <c r="F1146" i="16"/>
  <c r="E1884" i="16"/>
  <c r="F1884" i="16" s="1"/>
  <c r="D1884" i="16"/>
  <c r="D1891" i="16"/>
  <c r="E1891" i="16"/>
  <c r="F1891" i="16" s="1"/>
  <c r="J906" i="16"/>
  <c r="B901" i="16"/>
  <c r="D1160" i="16"/>
  <c r="D1166" i="16"/>
  <c r="E1906" i="16" s="1"/>
  <c r="D1906" i="16" s="1"/>
  <c r="E1161" i="16"/>
  <c r="E1160" i="16"/>
  <c r="F1160" i="16" s="1"/>
  <c r="D1147" i="16"/>
  <c r="E1154" i="16"/>
  <c r="E1153" i="16"/>
  <c r="F1153" i="16" s="1"/>
  <c r="D1153" i="16"/>
  <c r="D346" i="20"/>
  <c r="C347" i="20"/>
  <c r="C353" i="20"/>
  <c r="C483" i="20"/>
  <c r="D483" i="20"/>
  <c r="E483" i="20" s="1"/>
  <c r="C485" i="20"/>
  <c r="D498" i="20"/>
  <c r="D491" i="20"/>
  <c r="E491" i="20" s="1"/>
  <c r="D484" i="20"/>
  <c r="D477" i="20"/>
  <c r="E477" i="20" s="1"/>
  <c r="B1298" i="16"/>
  <c r="D1305" i="16"/>
  <c r="D1306" i="16" s="1"/>
  <c r="E1410" i="16"/>
  <c r="F1410" i="16" s="1"/>
  <c r="D1410" i="16"/>
  <c r="H389" i="10"/>
  <c r="I389" i="10"/>
  <c r="K105" i="10"/>
  <c r="C1163" i="20"/>
  <c r="C1158" i="20"/>
  <c r="C1159" i="20" s="1"/>
  <c r="E844" i="20"/>
  <c r="C510" i="20"/>
  <c r="C504" i="20"/>
  <c r="C505" i="20"/>
  <c r="C506" i="20" s="1"/>
  <c r="D504" i="20"/>
  <c r="D505" i="20"/>
  <c r="C884" i="20"/>
  <c r="C879" i="20"/>
  <c r="C880" i="20" s="1"/>
  <c r="F1404" i="16"/>
  <c r="E1411" i="16"/>
  <c r="D1411" i="16" s="1"/>
  <c r="B1409" i="16"/>
  <c r="D1299" i="16"/>
  <c r="E1300" i="16"/>
  <c r="D1300" i="16" s="1"/>
  <c r="D1905" i="16"/>
  <c r="D1911" i="16"/>
  <c r="E903" i="16"/>
  <c r="E902" i="16"/>
  <c r="F902" i="16" s="1"/>
  <c r="C904" i="16"/>
  <c r="D902" i="16"/>
  <c r="D892" i="16"/>
  <c r="F891" i="16" s="1"/>
  <c r="D907" i="16"/>
  <c r="D897" i="16"/>
  <c r="B1904" i="16"/>
  <c r="E1905" i="16"/>
  <c r="F1905" i="16" s="1"/>
  <c r="J396" i="10"/>
  <c r="J395" i="10" s="1"/>
  <c r="K28" i="8"/>
  <c r="J433" i="10"/>
  <c r="D1539" i="16"/>
  <c r="D1872" i="16"/>
  <c r="B1871" i="16"/>
  <c r="E1872" i="16"/>
  <c r="F1872" i="16" s="1"/>
  <c r="E1539" i="16"/>
  <c r="F1539" i="16" s="1"/>
  <c r="D1579" i="16"/>
  <c r="D1573" i="16"/>
  <c r="B1572" i="16"/>
  <c r="E1574" i="16"/>
  <c r="D1574" i="16" s="1"/>
  <c r="E1573" i="16"/>
  <c r="F1573" i="16" s="1"/>
  <c r="D1567" i="16"/>
  <c r="D1986" i="16"/>
  <c r="B1979" i="16"/>
  <c r="E1418" i="16"/>
  <c r="D1417" i="16"/>
  <c r="B1416" i="16"/>
  <c r="E1417" i="16"/>
  <c r="F1417" i="16" s="1"/>
  <c r="E1457" i="16"/>
  <c r="F1457" i="16" s="1"/>
  <c r="D1457" i="16"/>
  <c r="D1463" i="16"/>
  <c r="B1456" i="16"/>
  <c r="E1458" i="16"/>
  <c r="D1458" i="16" s="1"/>
  <c r="D1459" i="16" s="1"/>
  <c r="J118" i="10"/>
  <c r="J112" i="10" s="1"/>
  <c r="K116" i="10"/>
  <c r="D1140" i="16"/>
  <c r="D1141" i="16" s="1"/>
  <c r="F1140" i="16" s="1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G126" i="8" s="1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57" i="22" s="1"/>
  <c r="L58" i="22" s="1"/>
  <c r="L62" i="22"/>
  <c r="K66" i="22"/>
  <c r="N22" i="20"/>
  <c r="J199" i="18"/>
  <c r="J22" i="18"/>
  <c r="N15" i="22"/>
  <c r="N17" i="22" s="1"/>
  <c r="K126" i="8" l="1"/>
  <c r="H99" i="10"/>
  <c r="H121" i="10" s="1"/>
  <c r="O42" i="22"/>
  <c r="O46" i="22" s="1"/>
  <c r="N47" i="22"/>
  <c r="N48" i="22" s="1"/>
  <c r="O106" i="22"/>
  <c r="O110" i="22" s="1"/>
  <c r="N111" i="22"/>
  <c r="N112" i="22" s="1"/>
  <c r="O116" i="22"/>
  <c r="O120" i="22" s="1"/>
  <c r="N121" i="22"/>
  <c r="N122" i="22" s="1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726" i="12"/>
  <c r="K1209" i="12" s="1"/>
  <c r="K734" i="12"/>
  <c r="K742" i="12"/>
  <c r="K727" i="12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4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5" i="12"/>
  <c r="K1188" i="12" s="1"/>
  <c r="K709" i="12"/>
  <c r="K1192" i="12" s="1"/>
  <c r="K713" i="12"/>
  <c r="K717" i="12"/>
  <c r="K707" i="12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873" i="20" a="1"/>
  <c r="J873" i="20" s="1"/>
  <c r="D877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F1458" i="16"/>
  <c r="D1412" i="16"/>
  <c r="F1411" i="16" s="1"/>
  <c r="K1412" i="16" s="1"/>
  <c r="D1301" i="16"/>
  <c r="F1300" i="16" s="1"/>
  <c r="E504" i="20"/>
  <c r="E505" i="20" s="1"/>
  <c r="D1575" i="16"/>
  <c r="F1574" i="16" s="1"/>
  <c r="D1148" i="16"/>
  <c r="E1892" i="16"/>
  <c r="D1568" i="16"/>
  <c r="E1885" i="16" s="1"/>
  <c r="D1907" i="16"/>
  <c r="F1906" i="16" s="1"/>
  <c r="B1911" i="16"/>
  <c r="C360" i="20"/>
  <c r="C361" i="20" s="1"/>
  <c r="C355" i="20"/>
  <c r="C356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34" i="20"/>
  <c r="K43" i="20"/>
  <c r="K48" i="20"/>
  <c r="K44" i="20"/>
  <c r="K45" i="20"/>
  <c r="K47" i="20"/>
  <c r="K41" i="20"/>
  <c r="K37" i="20"/>
  <c r="K36" i="20"/>
  <c r="K33" i="20"/>
  <c r="K38" i="20"/>
  <c r="K39" i="20"/>
  <c r="K40" i="20"/>
  <c r="K35" i="20"/>
  <c r="K42" i="20"/>
  <c r="K46" i="20"/>
  <c r="K32" i="20"/>
  <c r="J912" i="16"/>
  <c r="B907" i="16"/>
  <c r="D1161" i="16"/>
  <c r="D1162" i="16" s="1"/>
  <c r="F1161" i="16" s="1"/>
  <c r="D1173" i="16"/>
  <c r="D1167" i="16"/>
  <c r="E1913" i="16" s="1"/>
  <c r="D1913" i="16" s="1"/>
  <c r="E1167" i="16"/>
  <c r="F1167" i="16" s="1"/>
  <c r="K1917" i="16" s="1"/>
  <c r="E1168" i="16"/>
  <c r="D1154" i="16"/>
  <c r="D1155" i="16" s="1"/>
  <c r="F1154" i="16" s="1"/>
  <c r="E484" i="20"/>
  <c r="K485" i="20" s="1"/>
  <c r="E498" i="20"/>
  <c r="K499" i="20" s="1"/>
  <c r="C706" i="20"/>
  <c r="D706" i="20"/>
  <c r="E706" i="20" s="1"/>
  <c r="C354" i="20"/>
  <c r="D353" i="20"/>
  <c r="E1307" i="16"/>
  <c r="D1307" i="16" s="1"/>
  <c r="D1308" i="16" s="1"/>
  <c r="E1306" i="16"/>
  <c r="F1306" i="16" s="1"/>
  <c r="B1305" i="16"/>
  <c r="D1312" i="16"/>
  <c r="K1318" i="16" s="1"/>
  <c r="K312" i="16" s="1"/>
  <c r="K915" i="12"/>
  <c r="K1930" i="12" s="1"/>
  <c r="K1836" i="12"/>
  <c r="K1787" i="12"/>
  <c r="K1311" i="16"/>
  <c r="K113" i="11"/>
  <c r="K1816" i="12"/>
  <c r="K447" i="16"/>
  <c r="K1578" i="16"/>
  <c r="K573" i="16"/>
  <c r="L28" i="8"/>
  <c r="K171" i="11"/>
  <c r="K84" i="22"/>
  <c r="K363" i="10"/>
  <c r="K1639" i="12"/>
  <c r="K283" i="16"/>
  <c r="K1564" i="16"/>
  <c r="K1422" i="16"/>
  <c r="K1561" i="16"/>
  <c r="K155" i="20"/>
  <c r="K801" i="16"/>
  <c r="K1788" i="12"/>
  <c r="K1791" i="12"/>
  <c r="K118" i="20"/>
  <c r="K432" i="16"/>
  <c r="K1714" i="12"/>
  <c r="K94" i="20"/>
  <c r="K1712" i="12"/>
  <c r="K149" i="20"/>
  <c r="K1735" i="12"/>
  <c r="K127" i="20"/>
  <c r="K1452" i="16"/>
  <c r="K1454" i="16" s="1"/>
  <c r="K1811" i="12"/>
  <c r="K58" i="20"/>
  <c r="K457" i="16"/>
  <c r="K1571" i="16"/>
  <c r="K518" i="16" s="1"/>
  <c r="K174" i="20"/>
  <c r="K1824" i="12"/>
  <c r="K272" i="16"/>
  <c r="K1732" i="12"/>
  <c r="K126" i="20"/>
  <c r="K845" i="20"/>
  <c r="K1694" i="12"/>
  <c r="K657" i="16"/>
  <c r="K435" i="16"/>
  <c r="K325" i="16"/>
  <c r="K12" i="20"/>
  <c r="K25" i="20" s="1"/>
  <c r="K1188" i="20" s="1"/>
  <c r="K1222" i="20" s="1"/>
  <c r="K1235" i="20" s="1"/>
  <c r="K1248" i="20" s="1"/>
  <c r="K161" i="20"/>
  <c r="K352" i="16"/>
  <c r="K119" i="20"/>
  <c r="K1405" i="16"/>
  <c r="K582" i="16"/>
  <c r="K96" i="20"/>
  <c r="K179" i="20"/>
  <c r="K268" i="16"/>
  <c r="K1820" i="12"/>
  <c r="K1754" i="12"/>
  <c r="K2057" i="16"/>
  <c r="K419" i="16"/>
  <c r="K54" i="16"/>
  <c r="K1673" i="12"/>
  <c r="K12" i="10"/>
  <c r="K1753" i="12"/>
  <c r="K1724" i="12"/>
  <c r="K71" i="20"/>
  <c r="K385" i="10"/>
  <c r="K489" i="10" s="1"/>
  <c r="K1462" i="16"/>
  <c r="K1828" i="12"/>
  <c r="K147" i="20"/>
  <c r="K623" i="16"/>
  <c r="K577" i="16"/>
  <c r="K1690" i="12"/>
  <c r="K72" i="20"/>
  <c r="K123" i="20"/>
  <c r="K124" i="11"/>
  <c r="K198" i="16"/>
  <c r="K1818" i="12"/>
  <c r="K30" i="20"/>
  <c r="K579" i="16"/>
  <c r="K135" i="20"/>
  <c r="K300" i="10"/>
  <c r="K426" i="16"/>
  <c r="K85" i="20"/>
  <c r="K616" i="16"/>
  <c r="K144" i="20"/>
  <c r="K1516" i="16"/>
  <c r="K274" i="16"/>
  <c r="K90" i="22"/>
  <c r="K1840" i="12"/>
  <c r="K1745" i="12"/>
  <c r="K277" i="16"/>
  <c r="K231" i="11"/>
  <c r="K1774" i="12"/>
  <c r="K1789" i="12"/>
  <c r="K196" i="20"/>
  <c r="K66" i="20"/>
  <c r="K449" i="16"/>
  <c r="K178" i="20"/>
  <c r="K62" i="20"/>
  <c r="K73" i="12"/>
  <c r="K169" i="20"/>
  <c r="K1742" i="12"/>
  <c r="K1683" i="12"/>
  <c r="K619" i="16"/>
  <c r="K2044" i="16"/>
  <c r="K192" i="20"/>
  <c r="K282" i="16"/>
  <c r="K1394" i="16"/>
  <c r="K344" i="16" s="1"/>
  <c r="K326" i="16"/>
  <c r="K1294" i="16"/>
  <c r="K1434" i="16"/>
  <c r="K391" i="16" s="1"/>
  <c r="K1672" i="12"/>
  <c r="K156" i="10"/>
  <c r="K418" i="16"/>
  <c r="K618" i="16"/>
  <c r="K425" i="16"/>
  <c r="K1665" i="12"/>
  <c r="K1884" i="12"/>
  <c r="K1707" i="12"/>
  <c r="K1674" i="12"/>
  <c r="K152" i="20"/>
  <c r="K281" i="16"/>
  <c r="K423" i="16"/>
  <c r="K1878" i="12"/>
  <c r="K1916" i="12" s="1"/>
  <c r="K137" i="20"/>
  <c r="K1797" i="12"/>
  <c r="K1795" i="12"/>
  <c r="K1879" i="12"/>
  <c r="K1918" i="12" s="1"/>
  <c r="K1700" i="12"/>
  <c r="K82" i="12"/>
  <c r="K1297" i="16"/>
  <c r="K309" i="16" s="1"/>
  <c r="K1798" i="12"/>
  <c r="K93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02" i="20"/>
  <c r="K2040" i="16"/>
  <c r="K2053" i="16" s="1"/>
  <c r="K438" i="16"/>
  <c r="K1749" i="12"/>
  <c r="K698" i="12"/>
  <c r="K115" i="22"/>
  <c r="K451" i="16"/>
  <c r="K1455" i="16"/>
  <c r="K1805" i="12"/>
  <c r="K187" i="20"/>
  <c r="K1819" i="12"/>
  <c r="K1796" i="12"/>
  <c r="K271" i="10"/>
  <c r="K1815" i="12"/>
  <c r="K145" i="20"/>
  <c r="K1739" i="12"/>
  <c r="K26" i="22"/>
  <c r="K1833" i="16"/>
  <c r="K458" i="16" s="1"/>
  <c r="K84" i="20"/>
  <c r="K128" i="20"/>
  <c r="K1415" i="16"/>
  <c r="K1544" i="16"/>
  <c r="K75" i="10"/>
  <c r="K1670" i="12"/>
  <c r="K107" i="18"/>
  <c r="K63" i="18"/>
  <c r="K156" i="20"/>
  <c r="K1802" i="12"/>
  <c r="K442" i="16"/>
  <c r="K134" i="22"/>
  <c r="K1781" i="12"/>
  <c r="K12" i="18"/>
  <c r="K61" i="22"/>
  <c r="K100" i="20"/>
  <c r="K1759" i="12"/>
  <c r="K576" i="16"/>
  <c r="K20" i="22"/>
  <c r="K1829" i="12"/>
  <c r="K1734" i="12"/>
  <c r="K65" i="20"/>
  <c r="K146" i="20"/>
  <c r="K70" i="16"/>
  <c r="K492" i="20"/>
  <c r="K493" i="20" s="1"/>
  <c r="K494" i="20" s="1"/>
  <c r="K1391" i="16"/>
  <c r="K353" i="16"/>
  <c r="K193" i="20"/>
  <c r="K455" i="16"/>
  <c r="K1401" i="16"/>
  <c r="K279" i="16"/>
  <c r="K430" i="16"/>
  <c r="K2041" i="16"/>
  <c r="K2067" i="16" s="1"/>
  <c r="K2081" i="16" s="1"/>
  <c r="K194" i="20"/>
  <c r="K68" i="20"/>
  <c r="K151" i="20"/>
  <c r="K129" i="20"/>
  <c r="K29" i="18"/>
  <c r="K98" i="10"/>
  <c r="K1813" i="12"/>
  <c r="K170" i="20"/>
  <c r="K99" i="20"/>
  <c r="K201" i="11"/>
  <c r="K130" i="20"/>
  <c r="K624" i="16"/>
  <c r="K1775" i="12"/>
  <c r="K41" i="22"/>
  <c r="K1838" i="12"/>
  <c r="K1769" i="12"/>
  <c r="K1793" i="12"/>
  <c r="K1705" i="12"/>
  <c r="K97" i="20"/>
  <c r="K1768" i="12"/>
  <c r="K1699" i="12"/>
  <c r="K173" i="20"/>
  <c r="K83" i="20"/>
  <c r="K1760" i="12"/>
  <c r="K271" i="16"/>
  <c r="K139" i="20"/>
  <c r="K581" i="16"/>
  <c r="K74" i="11"/>
  <c r="K141" i="20"/>
  <c r="K357" i="16"/>
  <c r="K1785" i="12"/>
  <c r="K629" i="12"/>
  <c r="K446" i="16"/>
  <c r="K1287" i="16"/>
  <c r="K1288" i="16" s="1"/>
  <c r="K471" i="20"/>
  <c r="K472" i="20" s="1"/>
  <c r="K1438" i="16"/>
  <c r="K1439" i="16" s="1"/>
  <c r="K57" i="20"/>
  <c r="K1693" i="12"/>
  <c r="K1776" i="12"/>
  <c r="K280" i="16"/>
  <c r="K359" i="16"/>
  <c r="K440" i="16"/>
  <c r="K95" i="20"/>
  <c r="K1792" i="12"/>
  <c r="K1692" i="12"/>
  <c r="K1780" i="12"/>
  <c r="K64" i="20"/>
  <c r="K478" i="20"/>
  <c r="K479" i="20" s="1"/>
  <c r="K480" i="20" s="1"/>
  <c r="K153" i="20"/>
  <c r="K1716" i="12"/>
  <c r="K1398" i="16"/>
  <c r="K1431" i="16"/>
  <c r="K1433" i="16" s="1"/>
  <c r="K622" i="16"/>
  <c r="K197" i="16"/>
  <c r="K1746" i="12"/>
  <c r="K1728" i="12"/>
  <c r="K132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98" i="20"/>
  <c r="K83" i="18"/>
  <c r="K1804" i="12"/>
  <c r="K1400" i="12"/>
  <c r="K443" i="16"/>
  <c r="K617" i="12"/>
  <c r="K1799" i="12"/>
  <c r="K35" i="11"/>
  <c r="K222" i="11"/>
  <c r="K1835" i="12"/>
  <c r="K575" i="16"/>
  <c r="K1181" i="12"/>
  <c r="K175" i="20"/>
  <c r="K138" i="20"/>
  <c r="K583" i="16"/>
  <c r="K273" i="16"/>
  <c r="K1777" i="12"/>
  <c r="K355" i="16"/>
  <c r="K96" i="18"/>
  <c r="K1790" i="12"/>
  <c r="K454" i="16"/>
  <c r="K150" i="20"/>
  <c r="K1741" i="12"/>
  <c r="K1748" i="12"/>
  <c r="K362" i="16"/>
  <c r="K1640" i="12"/>
  <c r="K1706" i="12"/>
  <c r="K1704" i="12"/>
  <c r="K1688" i="12"/>
  <c r="K101" i="20"/>
  <c r="K420" i="16"/>
  <c r="K1814" i="12"/>
  <c r="K177" i="20"/>
  <c r="K1502" i="16"/>
  <c r="K365" i="16" s="1"/>
  <c r="K69" i="20"/>
  <c r="K125" i="22"/>
  <c r="K1801" i="12"/>
  <c r="K1750" i="12"/>
  <c r="K1737" i="12"/>
  <c r="K1696" i="12"/>
  <c r="K1689" i="12"/>
  <c r="K1758" i="12"/>
  <c r="K1755" i="12"/>
  <c r="K205" i="20"/>
  <c r="K1398" i="12"/>
  <c r="K1441" i="16"/>
  <c r="K12" i="11"/>
  <c r="K131" i="20"/>
  <c r="K328" i="16"/>
  <c r="K1448" i="16"/>
  <c r="K393" i="16" s="1"/>
  <c r="K1408" i="16"/>
  <c r="K346" i="16" s="1"/>
  <c r="K1825" i="12"/>
  <c r="K46" i="16"/>
  <c r="K171" i="20"/>
  <c r="K117" i="20"/>
  <c r="K1770" i="12"/>
  <c r="K1666" i="12"/>
  <c r="K195" i="20"/>
  <c r="K91" i="12"/>
  <c r="K12" i="22"/>
  <c r="K452" i="16"/>
  <c r="K1835" i="16"/>
  <c r="K460" i="16" s="1"/>
  <c r="K1877" i="16"/>
  <c r="K1833" i="12"/>
  <c r="K32" i="22"/>
  <c r="K143" i="20"/>
  <c r="K1817" i="12"/>
  <c r="K160" i="20"/>
  <c r="K1757" i="12"/>
  <c r="K940" i="12"/>
  <c r="K421" i="16"/>
  <c r="K59" i="20"/>
  <c r="K1530" i="16"/>
  <c r="K32" i="12"/>
  <c r="K104" i="11"/>
  <c r="K46" i="10"/>
  <c r="K1782" i="12"/>
  <c r="K1731" i="12"/>
  <c r="K1503" i="16"/>
  <c r="K366" i="16" s="1"/>
  <c r="K444" i="16"/>
  <c r="K1786" i="12"/>
  <c r="K1668" i="12"/>
  <c r="K74" i="18"/>
  <c r="K1830" i="12"/>
  <c r="K1823" i="12"/>
  <c r="K136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176" i="20"/>
  <c r="K1727" i="12"/>
  <c r="K120" i="20"/>
  <c r="K278" i="16"/>
  <c r="K361" i="16"/>
  <c r="K1834" i="12"/>
  <c r="K448" i="16"/>
  <c r="K1537" i="16"/>
  <c r="K921" i="12"/>
  <c r="K134" i="20"/>
  <c r="K417" i="16"/>
  <c r="K122" i="20"/>
  <c r="K408" i="16"/>
  <c r="K564" i="16"/>
  <c r="C1165" i="20"/>
  <c r="C1166" i="20" s="1"/>
  <c r="C1170" i="20"/>
  <c r="K1744" i="12"/>
  <c r="K1800" i="12"/>
  <c r="K95" i="11"/>
  <c r="K124" i="20"/>
  <c r="K1682" i="12"/>
  <c r="K1691" i="12"/>
  <c r="K2031" i="16"/>
  <c r="K190" i="20"/>
  <c r="K1669" i="12"/>
  <c r="K140" i="20"/>
  <c r="K1557" i="16"/>
  <c r="K516" i="16" s="1"/>
  <c r="K53" i="11"/>
  <c r="K121" i="20"/>
  <c r="K445" i="16"/>
  <c r="K12" i="16"/>
  <c r="K192" i="16" s="1"/>
  <c r="K1155" i="16" s="1"/>
  <c r="K1832" i="12"/>
  <c r="K1772" i="12"/>
  <c r="K1523" i="16"/>
  <c r="K1702" i="12"/>
  <c r="K1664" i="12"/>
  <c r="K329" i="16"/>
  <c r="K1722" i="12"/>
  <c r="K1747" i="12"/>
  <c r="K2032" i="16"/>
  <c r="K2045" i="16" s="1"/>
  <c r="K1404" i="12"/>
  <c r="K456" i="16"/>
  <c r="K116" i="20"/>
  <c r="K1676" i="12"/>
  <c r="K31" i="20"/>
  <c r="K433" i="16"/>
  <c r="K216" i="16"/>
  <c r="K625" i="16"/>
  <c r="K617" i="16"/>
  <c r="K1910" i="16"/>
  <c r="K61" i="20"/>
  <c r="K114" i="12"/>
  <c r="K424" i="16"/>
  <c r="K44" i="11"/>
  <c r="K23" i="12"/>
  <c r="K189" i="20"/>
  <c r="K2033" i="16"/>
  <c r="K1703" i="12"/>
  <c r="K1767" i="12"/>
  <c r="K1784" i="12"/>
  <c r="K1713" i="12"/>
  <c r="K1680" i="12"/>
  <c r="K142" i="20"/>
  <c r="K1822" i="12"/>
  <c r="K240" i="11"/>
  <c r="K1638" i="12"/>
  <c r="K70" i="20"/>
  <c r="K1678" i="12"/>
  <c r="K621" i="16"/>
  <c r="K197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1282" i="16" s="1"/>
  <c r="K63" i="12"/>
  <c r="K1743" i="12"/>
  <c r="K422" i="16"/>
  <c r="K1831" i="12"/>
  <c r="K1554" i="16"/>
  <c r="K174" i="16"/>
  <c r="K141" i="16"/>
  <c r="K506" i="20"/>
  <c r="K507" i="20" s="1"/>
  <c r="K508" i="20" s="1"/>
  <c r="K1585" i="16"/>
  <c r="C891" i="20"/>
  <c r="D885" i="20"/>
  <c r="E885" i="20" s="1"/>
  <c r="C886" i="20"/>
  <c r="C887" i="20" s="1"/>
  <c r="C885" i="20"/>
  <c r="C517" i="20"/>
  <c r="D511" i="20"/>
  <c r="C511" i="20"/>
  <c r="D512" i="20"/>
  <c r="C512" i="20"/>
  <c r="C513" i="20" s="1"/>
  <c r="K892" i="16"/>
  <c r="K1907" i="16"/>
  <c r="K1575" i="16"/>
  <c r="K1301" i="16"/>
  <c r="K1303" i="16" s="1"/>
  <c r="K1304" i="16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E909" i="16"/>
  <c r="E908" i="16"/>
  <c r="F908" i="16" s="1"/>
  <c r="C910" i="16"/>
  <c r="D908" i="16"/>
  <c r="D898" i="16"/>
  <c r="F897" i="16" s="1"/>
  <c r="D903" i="16"/>
  <c r="D913" i="16"/>
  <c r="K62" i="16"/>
  <c r="K154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33" i="20"/>
  <c r="K1779" i="12"/>
  <c r="K1725" i="12"/>
  <c r="K103" i="20"/>
  <c r="K615" i="16"/>
  <c r="K1738" i="12"/>
  <c r="K63" i="20"/>
  <c r="K453" i="16"/>
  <c r="K1903" i="16"/>
  <c r="K1644" i="12"/>
  <c r="K38" i="16"/>
  <c r="K100" i="12"/>
  <c r="K1697" i="12"/>
  <c r="K67" i="20"/>
  <c r="K42" i="12"/>
  <c r="K1730" i="12"/>
  <c r="K1889" i="16"/>
  <c r="K1157" i="12"/>
  <c r="K1421" i="12"/>
  <c r="K1442" i="12" s="1"/>
  <c r="K413" i="10"/>
  <c r="K1837" i="16"/>
  <c r="K462" i="16" s="1"/>
  <c r="K1671" i="12"/>
  <c r="K1729" i="12"/>
  <c r="K1677" i="12"/>
  <c r="K1661" i="12"/>
  <c r="K148" i="20"/>
  <c r="K80" i="20"/>
  <c r="K49" i="20"/>
  <c r="K1715" i="12"/>
  <c r="K578" i="16"/>
  <c r="K436" i="16"/>
  <c r="K1290" i="16"/>
  <c r="K1834" i="16"/>
  <c r="K459" i="16" s="1"/>
  <c r="K127" i="10"/>
  <c r="K1778" i="12"/>
  <c r="K1794" i="12"/>
  <c r="K44" i="18"/>
  <c r="K2085" i="16"/>
  <c r="K81" i="20"/>
  <c r="K172" i="20"/>
  <c r="K1667" i="12"/>
  <c r="K162" i="11"/>
  <c r="K190" i="10"/>
  <c r="K1736" i="12"/>
  <c r="K1308" i="16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188" i="20"/>
  <c r="K180" i="11"/>
  <c r="K125" i="20"/>
  <c r="K96" i="22"/>
  <c r="K60" i="20"/>
  <c r="K574" i="16"/>
  <c r="K327" i="16"/>
  <c r="K82" i="20"/>
  <c r="K1751" i="12"/>
  <c r="K1837" i="12"/>
  <c r="K1459" i="16"/>
  <c r="K1461" i="16" s="1"/>
  <c r="K354" i="16"/>
  <c r="K1701" i="12"/>
  <c r="K437" i="16"/>
  <c r="K2036" i="16"/>
  <c r="K191" i="20"/>
  <c r="K429" i="16"/>
  <c r="K330" i="16"/>
  <c r="K1733" i="12"/>
  <c r="J369" i="10"/>
  <c r="E1581" i="16"/>
  <c r="D1581" i="16" s="1"/>
  <c r="E1580" i="16"/>
  <c r="F1580" i="16" s="1"/>
  <c r="D1580" i="16"/>
  <c r="D1586" i="16"/>
  <c r="B1579" i="16"/>
  <c r="D1993" i="16"/>
  <c r="D1418" i="16"/>
  <c r="D1470" i="16"/>
  <c r="E1465" i="16"/>
  <c r="D1465" i="16" s="1"/>
  <c r="E1464" i="16"/>
  <c r="F1464" i="16" s="1"/>
  <c r="B1463" i="16"/>
  <c r="D1464" i="16"/>
  <c r="K1469" i="16"/>
  <c r="K396" i="16" s="1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57" i="22" s="1"/>
  <c r="M58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2" i="20"/>
  <c r="J431" i="10"/>
  <c r="J389" i="10"/>
  <c r="O15" i="22"/>
  <c r="O17" i="22" s="1"/>
  <c r="D137" i="8"/>
  <c r="C367" i="20" l="1"/>
  <c r="C369" i="20" s="1"/>
  <c r="C370" i="20" s="1"/>
  <c r="G381" i="10"/>
  <c r="G423" i="10" s="1"/>
  <c r="I141" i="10"/>
  <c r="K349" i="16"/>
  <c r="K89" i="20" s="1"/>
  <c r="K406" i="16"/>
  <c r="K112" i="20" s="1"/>
  <c r="K744" i="16"/>
  <c r="P42" i="22"/>
  <c r="P46" i="22" s="1"/>
  <c r="O47" i="22"/>
  <c r="O48" i="22" s="1"/>
  <c r="P106" i="22"/>
  <c r="P110" i="22" s="1"/>
  <c r="O111" i="22"/>
  <c r="O112" i="22" s="1"/>
  <c r="P116" i="22"/>
  <c r="P120" i="22" s="1"/>
  <c r="O121" i="22"/>
  <c r="O122" i="22" s="1"/>
  <c r="Q126" i="22"/>
  <c r="P130" i="22"/>
  <c r="P131" i="22" s="1"/>
  <c r="K1158" i="16"/>
  <c r="K248" i="16" s="1"/>
  <c r="K2116" i="16"/>
  <c r="K1309" i="16"/>
  <c r="L126" i="8"/>
  <c r="L27" i="8"/>
  <c r="L11" i="12" s="1"/>
  <c r="K770" i="16"/>
  <c r="K232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733" i="12"/>
  <c r="L741" i="12"/>
  <c r="L737" i="12"/>
  <c r="L730" i="12"/>
  <c r="L738" i="12"/>
  <c r="L727" i="12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47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5" i="12"/>
  <c r="L1188" i="12" s="1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00" i="10"/>
  <c r="G99" i="10" s="1"/>
  <c r="G121" i="10" s="1"/>
  <c r="G123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880" i="20" a="1"/>
  <c r="J880" i="20" s="1"/>
  <c r="D884" i="20"/>
  <c r="K136" i="16"/>
  <c r="K1228" i="12"/>
  <c r="K1393" i="12" s="1"/>
  <c r="H432" i="10"/>
  <c r="M380" i="10"/>
  <c r="M370" i="10"/>
  <c r="H423" i="10"/>
  <c r="H421" i="10"/>
  <c r="G390" i="10"/>
  <c r="G386" i="10" s="1"/>
  <c r="G407" i="10" s="1"/>
  <c r="G409" i="10" s="1"/>
  <c r="H390" i="10"/>
  <c r="H386" i="10" s="1"/>
  <c r="H407" i="10" s="1"/>
  <c r="H126" i="18"/>
  <c r="G126" i="18"/>
  <c r="H132" i="10"/>
  <c r="H95" i="10"/>
  <c r="H96" i="10"/>
  <c r="L499" i="20"/>
  <c r="L501" i="20" s="1"/>
  <c r="D1466" i="16"/>
  <c r="F1465" i="16" s="1"/>
  <c r="D1419" i="16"/>
  <c r="F1418" i="16" s="1"/>
  <c r="K1419" i="16" s="1"/>
  <c r="K2156" i="16" s="1"/>
  <c r="E511" i="20"/>
  <c r="E512" i="20" s="1"/>
  <c r="K513" i="20" s="1"/>
  <c r="F1567" i="16"/>
  <c r="K1568" i="16" s="1"/>
  <c r="K2178" i="16" s="1"/>
  <c r="F1307" i="16"/>
  <c r="D1912" i="16"/>
  <c r="E1912" i="16"/>
  <c r="F1912" i="16" s="1"/>
  <c r="D1892" i="16"/>
  <c r="D1893" i="16" s="1"/>
  <c r="F1147" i="16"/>
  <c r="K1896" i="16" s="1"/>
  <c r="E1899" i="16"/>
  <c r="D1582" i="16"/>
  <c r="F1581" i="16" s="1"/>
  <c r="D1885" i="16"/>
  <c r="D1886" i="16" s="1"/>
  <c r="D1914" i="16"/>
  <c r="D360" i="20"/>
  <c r="C362" i="20"/>
  <c r="C363" i="20" s="1"/>
  <c r="K363" i="20" s="1"/>
  <c r="K364" i="20" s="1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47" i="20"/>
  <c r="L33" i="20"/>
  <c r="L39" i="20"/>
  <c r="L40" i="20"/>
  <c r="L36" i="20"/>
  <c r="L35" i="20"/>
  <c r="L38" i="20"/>
  <c r="L42" i="20"/>
  <c r="L32" i="20"/>
  <c r="L37" i="20"/>
  <c r="L46" i="20"/>
  <c r="L44" i="20"/>
  <c r="L43" i="20"/>
  <c r="L45" i="20"/>
  <c r="L48" i="20"/>
  <c r="L34" i="20"/>
  <c r="L41" i="20"/>
  <c r="L1155" i="16"/>
  <c r="L2116" i="16" s="1"/>
  <c r="J918" i="16"/>
  <c r="B913" i="16"/>
  <c r="K1162" i="16"/>
  <c r="K2117" i="16" s="1"/>
  <c r="K1169" i="16"/>
  <c r="K2118" i="16" s="1"/>
  <c r="D1180" i="16"/>
  <c r="D1187" i="16" s="1"/>
  <c r="E1175" i="16"/>
  <c r="E1174" i="16"/>
  <c r="F1174" i="16" s="1"/>
  <c r="D1174" i="16"/>
  <c r="D1168" i="16"/>
  <c r="D1169" i="16" s="1"/>
  <c r="F1168" i="16" s="1"/>
  <c r="K1924" i="16" s="1"/>
  <c r="K1156" i="16"/>
  <c r="K1157" i="16"/>
  <c r="K1134" i="16"/>
  <c r="K2113" i="16" s="1"/>
  <c r="K1148" i="16"/>
  <c r="K2115" i="16" s="1"/>
  <c r="C374" i="20"/>
  <c r="C368" i="20"/>
  <c r="D367" i="20"/>
  <c r="K356" i="20"/>
  <c r="K357" i="20" s="1"/>
  <c r="K335" i="20"/>
  <c r="K337" i="20" s="1"/>
  <c r="K349" i="20"/>
  <c r="D1313" i="16"/>
  <c r="E1313" i="16"/>
  <c r="F1313" i="16" s="1"/>
  <c r="E1314" i="16"/>
  <c r="D1314" i="16" s="1"/>
  <c r="B1312" i="16"/>
  <c r="D1319" i="16"/>
  <c r="B1319" i="16" s="1"/>
  <c r="K1283" i="16"/>
  <c r="K307" i="16" s="1"/>
  <c r="K322" i="16" s="1"/>
  <c r="K76" i="20" s="1"/>
  <c r="K116" i="12"/>
  <c r="K306" i="12"/>
  <c r="K2060" i="16"/>
  <c r="K2074" i="16" s="1"/>
  <c r="L1408" i="16"/>
  <c r="L346" i="16" s="1"/>
  <c r="L62" i="20"/>
  <c r="L1501" i="16"/>
  <c r="L364" i="16" s="1"/>
  <c r="L270" i="16"/>
  <c r="L175" i="20"/>
  <c r="L1668" i="12"/>
  <c r="L1757" i="12"/>
  <c r="L2071" i="16"/>
  <c r="L12" i="12"/>
  <c r="L1664" i="12"/>
  <c r="L216" i="16"/>
  <c r="L1701" i="12"/>
  <c r="L129" i="20"/>
  <c r="L1682" i="12"/>
  <c r="L242" i="10"/>
  <c r="L104" i="16"/>
  <c r="L1825" i="12"/>
  <c r="L1434" i="16"/>
  <c r="L391" i="16" s="1"/>
  <c r="L435" i="16"/>
  <c r="L358" i="16"/>
  <c r="L1806" i="12"/>
  <c r="L1739" i="12"/>
  <c r="L1441" i="16"/>
  <c r="L1735" i="12"/>
  <c r="L131" i="20"/>
  <c r="L1729" i="12"/>
  <c r="L1798" i="12"/>
  <c r="L1404" i="12"/>
  <c r="L32" i="22"/>
  <c r="L1690" i="12"/>
  <c r="L451" i="16"/>
  <c r="L169" i="20"/>
  <c r="L1585" i="16"/>
  <c r="L1502" i="16"/>
  <c r="L365" i="16" s="1"/>
  <c r="L44" i="18"/>
  <c r="L115" i="22"/>
  <c r="L1557" i="16"/>
  <c r="L516" i="16" s="1"/>
  <c r="L66" i="20"/>
  <c r="L574" i="16"/>
  <c r="L434" i="16"/>
  <c r="L272" i="16"/>
  <c r="L1644" i="12"/>
  <c r="L96" i="16"/>
  <c r="L144" i="16" s="1"/>
  <c r="L117" i="20"/>
  <c r="L141" i="20"/>
  <c r="L431" i="16"/>
  <c r="L356" i="16"/>
  <c r="L453" i="16"/>
  <c r="L420" i="16"/>
  <c r="L413" i="10"/>
  <c r="L1742" i="12"/>
  <c r="L1537" i="16"/>
  <c r="L1415" i="16"/>
  <c r="L1571" i="16"/>
  <c r="L518" i="16" s="1"/>
  <c r="L85" i="20"/>
  <c r="L1681" i="12"/>
  <c r="L160" i="20"/>
  <c r="L921" i="12"/>
  <c r="L142" i="20"/>
  <c r="L441" i="16"/>
  <c r="L177" i="20"/>
  <c r="L1670" i="12"/>
  <c r="L113" i="11"/>
  <c r="L1771" i="12"/>
  <c r="L1722" i="12"/>
  <c r="L35" i="11"/>
  <c r="L329" i="16"/>
  <c r="L440" i="16"/>
  <c r="L354" i="16"/>
  <c r="L433" i="16"/>
  <c r="L583" i="16"/>
  <c r="L139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30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178" i="20"/>
  <c r="L32" i="12"/>
  <c r="L198" i="16"/>
  <c r="L428" i="16"/>
  <c r="L1697" i="12"/>
  <c r="L170" i="20"/>
  <c r="L148" i="20"/>
  <c r="L1834" i="16"/>
  <c r="L459" i="16" s="1"/>
  <c r="L219" i="10"/>
  <c r="L1290" i="16"/>
  <c r="L578" i="16"/>
  <c r="L49" i="20"/>
  <c r="L2031" i="16"/>
  <c r="L619" i="16"/>
  <c r="L98" i="10"/>
  <c r="L133" i="20"/>
  <c r="L96" i="20"/>
  <c r="L83" i="18"/>
  <c r="L1769" i="12"/>
  <c r="L621" i="16"/>
  <c r="L1760" i="12"/>
  <c r="L74" i="18"/>
  <c r="L2032" i="16"/>
  <c r="L2045" i="16" s="1"/>
  <c r="L438" i="16"/>
  <c r="L1788" i="12"/>
  <c r="L171" i="20"/>
  <c r="L187" i="20"/>
  <c r="L1815" i="12"/>
  <c r="L437" i="16"/>
  <c r="L60" i="20"/>
  <c r="L174" i="20"/>
  <c r="L84" i="20"/>
  <c r="L91" i="12"/>
  <c r="L74" i="11"/>
  <c r="L1304" i="16"/>
  <c r="L418" i="16"/>
  <c r="L1770" i="12"/>
  <c r="L456" i="16"/>
  <c r="L1399" i="12"/>
  <c r="L1712" i="12"/>
  <c r="L1821" i="12"/>
  <c r="L29" i="18"/>
  <c r="L98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99" i="20"/>
  <c r="L1640" i="12"/>
  <c r="L156" i="20"/>
  <c r="L334" i="10"/>
  <c r="L2038" i="16"/>
  <c r="L2051" i="16" s="1"/>
  <c r="L1824" i="12"/>
  <c r="L205" i="20"/>
  <c r="L101" i="20"/>
  <c r="L70" i="20"/>
  <c r="L1727" i="12"/>
  <c r="L1768" i="12"/>
  <c r="L12" i="16"/>
  <c r="L192" i="16" s="1"/>
  <c r="L80" i="20"/>
  <c r="L190" i="20"/>
  <c r="L1678" i="12"/>
  <c r="L173" i="20"/>
  <c r="L191" i="20"/>
  <c r="L1783" i="12"/>
  <c r="L63" i="18"/>
  <c r="L1772" i="12"/>
  <c r="L1797" i="12"/>
  <c r="L22" i="16"/>
  <c r="L1683" i="12"/>
  <c r="L1730" i="12"/>
  <c r="L1779" i="12"/>
  <c r="L786" i="16"/>
  <c r="L1736" i="12"/>
  <c r="L12" i="18"/>
  <c r="L67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68" i="20"/>
  <c r="L1805" i="12"/>
  <c r="L1723" i="12"/>
  <c r="L122" i="20"/>
  <c r="L1578" i="16"/>
  <c r="L1694" i="12"/>
  <c r="L141" i="16"/>
  <c r="L1817" i="12"/>
  <c r="L1837" i="16"/>
  <c r="L462" i="16" s="1"/>
  <c r="L1181" i="12"/>
  <c r="L1828" i="12"/>
  <c r="L1792" i="12"/>
  <c r="L103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35" i="20"/>
  <c r="L149" i="20"/>
  <c r="L278" i="16"/>
  <c r="L359" i="16"/>
  <c r="L363" i="10"/>
  <c r="L1814" i="12"/>
  <c r="L327" i="16"/>
  <c r="L64" i="20"/>
  <c r="L174" i="16"/>
  <c r="L79" i="16"/>
  <c r="L1753" i="12"/>
  <c r="L162" i="11"/>
  <c r="L126" i="20"/>
  <c r="L72" i="20"/>
  <c r="L617" i="12"/>
  <c r="L698" i="12"/>
  <c r="L457" i="16"/>
  <c r="L330" i="16"/>
  <c r="L421" i="16"/>
  <c r="L1836" i="16"/>
  <c r="L461" i="16" s="1"/>
  <c r="L93" i="20"/>
  <c r="L119" i="20"/>
  <c r="L1700" i="12"/>
  <c r="L155" i="20"/>
  <c r="L1672" i="12"/>
  <c r="L1829" i="12"/>
  <c r="L449" i="16"/>
  <c r="L623" i="16"/>
  <c r="L70" i="22"/>
  <c r="L1784" i="12"/>
  <c r="L132" i="20"/>
  <c r="L51" i="22"/>
  <c r="L450" i="16"/>
  <c r="L2044" i="16"/>
  <c r="L59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195" i="20"/>
  <c r="L150" i="20"/>
  <c r="L1834" i="12"/>
  <c r="L454" i="16"/>
  <c r="L2085" i="16"/>
  <c r="L1671" i="12"/>
  <c r="L1667" i="12"/>
  <c r="L1705" i="12"/>
  <c r="L1504" i="16"/>
  <c r="L367" i="16" s="1"/>
  <c r="L1448" i="16"/>
  <c r="L393" i="16" s="1"/>
  <c r="L620" i="16"/>
  <c r="L1744" i="12"/>
  <c r="L82" i="20"/>
  <c r="L282" i="16"/>
  <c r="L69" i="20"/>
  <c r="L355" i="16"/>
  <c r="L1665" i="12"/>
  <c r="L1743" i="12"/>
  <c r="L12" i="20"/>
  <c r="L25" i="20" s="1"/>
  <c r="L1188" i="20" s="1"/>
  <c r="L1222" i="20" s="1"/>
  <c r="L1235" i="20" s="1"/>
  <c r="L1248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20" i="20"/>
  <c r="L1745" i="12"/>
  <c r="L46" i="16"/>
  <c r="L1724" i="12"/>
  <c r="L2041" i="16"/>
  <c r="L2067" i="16" s="1"/>
  <c r="L2081" i="16" s="1"/>
  <c r="L1713" i="12"/>
  <c r="L1799" i="12"/>
  <c r="L445" i="16"/>
  <c r="L61" i="20"/>
  <c r="L357" i="16"/>
  <c r="L1827" i="12"/>
  <c r="L362" i="16"/>
  <c r="L276" i="16"/>
  <c r="L107" i="18"/>
  <c r="L63" i="20"/>
  <c r="L385" i="10"/>
  <c r="L489" i="10" s="1"/>
  <c r="L97" i="20"/>
  <c r="L439" i="16"/>
  <c r="L452" i="16"/>
  <c r="L145" i="20"/>
  <c r="L1761" i="12"/>
  <c r="L629" i="12"/>
  <c r="L1903" i="16"/>
  <c r="L1754" i="12"/>
  <c r="L422" i="16"/>
  <c r="L124" i="20"/>
  <c r="L1756" i="12"/>
  <c r="L71" i="20"/>
  <c r="L125" i="20"/>
  <c r="L1795" i="12"/>
  <c r="L581" i="16"/>
  <c r="L1884" i="12"/>
  <c r="L151" i="20"/>
  <c r="L23" i="12"/>
  <c r="L136" i="20"/>
  <c r="L54" i="16"/>
  <c r="L1726" i="12"/>
  <c r="L427" i="16"/>
  <c r="L1751" i="12"/>
  <c r="L1804" i="12"/>
  <c r="L328" i="16"/>
  <c r="L268" i="16"/>
  <c r="L424" i="16"/>
  <c r="L1822" i="12"/>
  <c r="L81" i="20"/>
  <c r="L123" i="20"/>
  <c r="L127" i="20"/>
  <c r="L1741" i="12"/>
  <c r="L1592" i="16"/>
  <c r="L521" i="16" s="1"/>
  <c r="L99" i="16"/>
  <c r="L442" i="16"/>
  <c r="L657" i="16"/>
  <c r="L417" i="16"/>
  <c r="L179" i="20"/>
  <c r="L96" i="18"/>
  <c r="L1689" i="12"/>
  <c r="L275" i="16"/>
  <c r="L1910" i="16"/>
  <c r="L1462" i="16"/>
  <c r="L1703" i="12"/>
  <c r="L1530" i="16"/>
  <c r="L1793" i="12"/>
  <c r="L73" i="12"/>
  <c r="L1503" i="16"/>
  <c r="L366" i="16" s="1"/>
  <c r="L1688" i="12"/>
  <c r="L2035" i="16"/>
  <c r="L2061" i="16" s="1"/>
  <c r="L2089" i="16" s="1"/>
  <c r="L580" i="16"/>
  <c r="L271" i="16"/>
  <c r="L65" i="20"/>
  <c r="L153" i="20"/>
  <c r="L1747" i="12"/>
  <c r="L455" i="16"/>
  <c r="L283" i="16"/>
  <c r="L1896" i="16"/>
  <c r="L146" i="20"/>
  <c r="L582" i="16"/>
  <c r="L274" i="16"/>
  <c r="L140" i="20"/>
  <c r="L280" i="16"/>
  <c r="L444" i="16"/>
  <c r="L622" i="16"/>
  <c r="L42" i="12"/>
  <c r="L1776" i="12"/>
  <c r="L201" i="11"/>
  <c r="L1732" i="12"/>
  <c r="L1398" i="12"/>
  <c r="L100" i="16"/>
  <c r="L1523" i="16"/>
  <c r="L1728" i="12"/>
  <c r="L1775" i="12"/>
  <c r="L1833" i="12"/>
  <c r="L137" i="20"/>
  <c r="L222" i="11"/>
  <c r="L128" i="20"/>
  <c r="L616" i="16"/>
  <c r="L940" i="12"/>
  <c r="L95" i="20"/>
  <c r="L1877" i="16"/>
  <c r="L1777" i="12"/>
  <c r="L1796" i="12"/>
  <c r="L116" i="20"/>
  <c r="L1394" i="16"/>
  <c r="L344" i="16" s="1"/>
  <c r="L100" i="20"/>
  <c r="L188" i="20"/>
  <c r="L189" i="20"/>
  <c r="L1401" i="16"/>
  <c r="L345" i="16" s="1"/>
  <c r="L1833" i="16"/>
  <c r="L458" i="16" s="1"/>
  <c r="L1755" i="12"/>
  <c r="L1738" i="12"/>
  <c r="L180" i="11"/>
  <c r="L1564" i="16"/>
  <c r="L1715" i="12"/>
  <c r="L144" i="20"/>
  <c r="L1746" i="12"/>
  <c r="L361" i="16"/>
  <c r="L1752" i="12"/>
  <c r="L147" i="20"/>
  <c r="L138" i="20"/>
  <c r="L31" i="20"/>
  <c r="L1780" i="12"/>
  <c r="L197" i="16"/>
  <c r="L429" i="16"/>
  <c r="L46" i="10"/>
  <c r="L271" i="10"/>
  <c r="L1698" i="12"/>
  <c r="L1773" i="12"/>
  <c r="L193" i="20"/>
  <c r="L1704" i="12"/>
  <c r="L38" i="16"/>
  <c r="L426" i="16"/>
  <c r="L95" i="11"/>
  <c r="L100" i="12"/>
  <c r="L277" i="16"/>
  <c r="L624" i="16"/>
  <c r="L94" i="20"/>
  <c r="L1639" i="12"/>
  <c r="L1500" i="16"/>
  <c r="L363" i="16" s="1"/>
  <c r="L161" i="20"/>
  <c r="L443" i="16"/>
  <c r="L1778" i="12"/>
  <c r="L240" i="11"/>
  <c r="L615" i="16"/>
  <c r="L1311" i="16"/>
  <c r="L70" i="16"/>
  <c r="L62" i="16"/>
  <c r="L1774" i="12"/>
  <c r="L618" i="16"/>
  <c r="L281" i="16"/>
  <c r="L172" i="20"/>
  <c r="L326" i="16"/>
  <c r="L1318" i="16"/>
  <c r="L312" i="16" s="1"/>
  <c r="L1422" i="16"/>
  <c r="L127" i="10"/>
  <c r="L1455" i="16"/>
  <c r="L134" i="20"/>
  <c r="L20" i="22"/>
  <c r="L1889" i="16"/>
  <c r="L602" i="16" s="1"/>
  <c r="L612" i="16" s="1"/>
  <c r="L183" i="20" s="1"/>
  <c r="L1731" i="12"/>
  <c r="L1879" i="12"/>
  <c r="L1918" i="12" s="1"/>
  <c r="L57" i="20"/>
  <c r="L102" i="20"/>
  <c r="L1157" i="12"/>
  <c r="L84" i="22"/>
  <c r="L1830" i="12"/>
  <c r="L279" i="16"/>
  <c r="L194" i="20"/>
  <c r="L105" i="22"/>
  <c r="L1785" i="12"/>
  <c r="L625" i="16"/>
  <c r="L617" i="16"/>
  <c r="L1702" i="12"/>
  <c r="L1786" i="12"/>
  <c r="L1400" i="12"/>
  <c r="L83" i="20"/>
  <c r="L1818" i="12"/>
  <c r="L1749" i="12"/>
  <c r="L30" i="20"/>
  <c r="L134" i="22"/>
  <c r="L360" i="16"/>
  <c r="L1734" i="12"/>
  <c r="L300" i="10"/>
  <c r="L192" i="20"/>
  <c r="L1840" i="12"/>
  <c r="M28" i="8"/>
  <c r="M126" i="8" s="1"/>
  <c r="L176" i="20"/>
  <c r="L1516" i="16"/>
  <c r="L143" i="20"/>
  <c r="L1813" i="12"/>
  <c r="L1673" i="12"/>
  <c r="L1791" i="12"/>
  <c r="L1767" i="12"/>
  <c r="L269" i="16"/>
  <c r="L12" i="22"/>
  <c r="L1740" i="12"/>
  <c r="L1544" i="16"/>
  <c r="L353" i="16"/>
  <c r="L1917" i="16"/>
  <c r="L1469" i="16"/>
  <c r="L396" i="16" s="1"/>
  <c r="L124" i="11"/>
  <c r="L125" i="22"/>
  <c r="L154" i="20"/>
  <c r="L432" i="16"/>
  <c r="L1297" i="16"/>
  <c r="L309" i="16" s="1"/>
  <c r="L1782" i="12"/>
  <c r="L1787" i="12"/>
  <c r="L1661" i="12"/>
  <c r="L1733" i="12"/>
  <c r="L573" i="16"/>
  <c r="L231" i="11"/>
  <c r="L425" i="16"/>
  <c r="L44" i="11"/>
  <c r="L1790" i="12"/>
  <c r="L1826" i="12"/>
  <c r="L118" i="20"/>
  <c r="L197" i="20"/>
  <c r="L58" i="20"/>
  <c r="L1803" i="12"/>
  <c r="L1750" i="12"/>
  <c r="L1758" i="12"/>
  <c r="L1706" i="12"/>
  <c r="L1878" i="12"/>
  <c r="L1916" i="12" s="1"/>
  <c r="L121" i="20"/>
  <c r="L61" i="22"/>
  <c r="L75" i="10"/>
  <c r="L1819" i="12"/>
  <c r="L196" i="20"/>
  <c r="L1691" i="12"/>
  <c r="L152" i="20"/>
  <c r="L325" i="16"/>
  <c r="L1692" i="12"/>
  <c r="L2039" i="16"/>
  <c r="L2065" i="16" s="1"/>
  <c r="L1638" i="12"/>
  <c r="L26" i="22"/>
  <c r="L53" i="11"/>
  <c r="L171" i="11"/>
  <c r="L1476" i="16"/>
  <c r="L886" i="16"/>
  <c r="L880" i="16"/>
  <c r="L892" i="16"/>
  <c r="L874" i="16"/>
  <c r="L1554" i="16"/>
  <c r="K1204" i="12"/>
  <c r="K1392" i="12" s="1"/>
  <c r="K206" i="12"/>
  <c r="L915" i="12"/>
  <c r="L1930" i="12" s="1"/>
  <c r="C77" i="25"/>
  <c r="K594" i="12"/>
  <c r="L485" i="20"/>
  <c r="L1405" i="16"/>
  <c r="L2154" i="16" s="1"/>
  <c r="K221" i="12"/>
  <c r="K585" i="12"/>
  <c r="L1398" i="16"/>
  <c r="K161" i="12"/>
  <c r="K328" i="20"/>
  <c r="L328" i="20" s="1"/>
  <c r="L845" i="20"/>
  <c r="K461" i="20"/>
  <c r="K463" i="20" s="1"/>
  <c r="C13" i="25"/>
  <c r="L1561" i="16"/>
  <c r="L2177" i="16" s="1"/>
  <c r="K2162" i="16"/>
  <c r="K1453" i="16"/>
  <c r="L1452" i="16"/>
  <c r="L2162" i="16" s="1"/>
  <c r="K500" i="20"/>
  <c r="K501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492" i="20"/>
  <c r="L493" i="20" s="1"/>
  <c r="K486" i="20"/>
  <c r="K1562" i="16"/>
  <c r="K846" i="20"/>
  <c r="K847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471" i="20"/>
  <c r="K1432" i="16"/>
  <c r="L1431" i="16"/>
  <c r="K1563" i="16"/>
  <c r="L1438" i="16"/>
  <c r="L2160" i="16" s="1"/>
  <c r="K2137" i="16"/>
  <c r="L1287" i="16"/>
  <c r="L478" i="20"/>
  <c r="K284" i="16"/>
  <c r="K804" i="16" s="1"/>
  <c r="K2155" i="16"/>
  <c r="K2177" i="16"/>
  <c r="K1413" i="16"/>
  <c r="K1414" i="16" s="1"/>
  <c r="K1295" i="16"/>
  <c r="K2136" i="16"/>
  <c r="K1289" i="16"/>
  <c r="L1294" i="16"/>
  <c r="L1412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1445" i="16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555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180" i="20"/>
  <c r="K1208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428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177" i="20"/>
  <c r="C1172" i="20"/>
  <c r="C1173" i="20" s="1"/>
  <c r="K2176" i="16"/>
  <c r="K1556" i="16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L1283" i="16" s="1"/>
  <c r="L307" i="16" s="1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06" i="20"/>
  <c r="L508" i="20" s="1"/>
  <c r="K1807" i="12"/>
  <c r="K1876" i="12" s="1"/>
  <c r="K1914" i="12" s="1"/>
  <c r="K878" i="12"/>
  <c r="K914" i="12" s="1"/>
  <c r="K963" i="12"/>
  <c r="K1151" i="12" s="1"/>
  <c r="K2179" i="16"/>
  <c r="K2138" i="16"/>
  <c r="K1302" i="16"/>
  <c r="K1576" i="16"/>
  <c r="K1577" i="16" s="1"/>
  <c r="K1908" i="16"/>
  <c r="K1909" i="16" s="1"/>
  <c r="K2226" i="16"/>
  <c r="L1575" i="16"/>
  <c r="L1301" i="16"/>
  <c r="L1907" i="16"/>
  <c r="C524" i="20"/>
  <c r="D519" i="20"/>
  <c r="D518" i="20"/>
  <c r="E518" i="20" s="1"/>
  <c r="C519" i="20"/>
  <c r="C520" i="20" s="1"/>
  <c r="C518" i="20"/>
  <c r="C898" i="20"/>
  <c r="C893" i="20"/>
  <c r="C894" i="20" s="1"/>
  <c r="D892" i="20"/>
  <c r="E892" i="20" s="1"/>
  <c r="D893" i="20"/>
  <c r="C892" i="20"/>
  <c r="K898" i="16"/>
  <c r="K899" i="16" s="1"/>
  <c r="L1459" i="16"/>
  <c r="K893" i="16"/>
  <c r="K1466" i="16"/>
  <c r="K2164" i="16" s="1"/>
  <c r="K887" i="16"/>
  <c r="K888" i="16" s="1"/>
  <c r="L1308" i="16"/>
  <c r="K875" i="16"/>
  <c r="K876" i="16" s="1"/>
  <c r="K1582" i="16"/>
  <c r="K881" i="16"/>
  <c r="D1919" i="16"/>
  <c r="E1919" i="16"/>
  <c r="F1919" i="16" s="1"/>
  <c r="K882" i="16"/>
  <c r="D1925" i="16"/>
  <c r="L1931" i="16" s="1"/>
  <c r="B1918" i="16"/>
  <c r="E915" i="16"/>
  <c r="E914" i="16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73" i="20"/>
  <c r="K1203" i="20" s="1"/>
  <c r="K1708" i="12"/>
  <c r="K1873" i="12" s="1"/>
  <c r="K1911" i="12" s="1"/>
  <c r="K86" i="20"/>
  <c r="K1205" i="20" s="1"/>
  <c r="K1138" i="12"/>
  <c r="K1158" i="12" s="1"/>
  <c r="K1310" i="16"/>
  <c r="K2139" i="16"/>
  <c r="K584" i="16"/>
  <c r="K809" i="16" s="1"/>
  <c r="K1684" i="12"/>
  <c r="K1872" i="12" s="1"/>
  <c r="K1910" i="12" s="1"/>
  <c r="K1762" i="12"/>
  <c r="K1875" i="12" s="1"/>
  <c r="K1913" i="12" s="1"/>
  <c r="K721" i="12"/>
  <c r="K909" i="12" s="1"/>
  <c r="K1041" i="12"/>
  <c r="K1154" i="12" s="1"/>
  <c r="K808" i="16"/>
  <c r="K1120" i="12"/>
  <c r="K1156" i="12" s="1"/>
  <c r="K198" i="20"/>
  <c r="K1209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1592" i="16"/>
  <c r="K521" i="16" s="1"/>
  <c r="D1587" i="16"/>
  <c r="E1588" i="16"/>
  <c r="D1588" i="16" s="1"/>
  <c r="E1587" i="16"/>
  <c r="F1587" i="16" s="1"/>
  <c r="B1586" i="16"/>
  <c r="D1593" i="16"/>
  <c r="D2000" i="16"/>
  <c r="B1993" i="16"/>
  <c r="E1471" i="16"/>
  <c r="F1471" i="16" s="1"/>
  <c r="D1471" i="16"/>
  <c r="B1470" i="16"/>
  <c r="E1472" i="16"/>
  <c r="D1477" i="16"/>
  <c r="K1476" i="16"/>
  <c r="J151" i="10"/>
  <c r="J132" i="10"/>
  <c r="J131" i="10"/>
  <c r="J138" i="10"/>
  <c r="D158" i="8"/>
  <c r="C20" i="8" s="1"/>
  <c r="C21" i="8" s="1"/>
  <c r="H199" i="18"/>
  <c r="J81" i="10"/>
  <c r="J76" i="10" s="1"/>
  <c r="J94" i="10" s="1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N57" i="22" s="1"/>
  <c r="N58" i="22" s="1"/>
  <c r="P22" i="20"/>
  <c r="K487" i="20"/>
  <c r="K473" i="20"/>
  <c r="P15" i="22"/>
  <c r="P17" i="22" s="1"/>
  <c r="G201" i="18"/>
  <c r="G52" i="18"/>
  <c r="D138" i="8"/>
  <c r="K41" i="16" l="1"/>
  <c r="K17" i="16"/>
  <c r="G421" i="10"/>
  <c r="I135" i="10"/>
  <c r="L349" i="16"/>
  <c r="L89" i="20" s="1"/>
  <c r="L406" i="16"/>
  <c r="L112" i="20" s="1"/>
  <c r="L322" i="16"/>
  <c r="L76" i="20" s="1"/>
  <c r="L561" i="16"/>
  <c r="L165" i="20" s="1"/>
  <c r="K561" i="16"/>
  <c r="K165" i="20" s="1"/>
  <c r="L762" i="16"/>
  <c r="L224" i="20" s="1"/>
  <c r="L744" i="16"/>
  <c r="L206" i="20" s="1"/>
  <c r="Q42" i="22"/>
  <c r="Q46" i="22" s="1"/>
  <c r="P47" i="22"/>
  <c r="P48" i="22" s="1"/>
  <c r="Q106" i="22"/>
  <c r="Q110" i="22" s="1"/>
  <c r="P111" i="22"/>
  <c r="P112" i="22" s="1"/>
  <c r="Q116" i="22"/>
  <c r="Q120" i="22" s="1"/>
  <c r="P121" i="22"/>
  <c r="P122" i="22" s="1"/>
  <c r="Q130" i="22"/>
  <c r="Q131" i="22" s="1"/>
  <c r="R126" i="22"/>
  <c r="L1158" i="16"/>
  <c r="L248" i="16" s="1"/>
  <c r="L1303" i="16"/>
  <c r="K1135" i="16"/>
  <c r="K1136" i="16" s="1"/>
  <c r="L11" i="11"/>
  <c r="L11" i="20"/>
  <c r="L11" i="18"/>
  <c r="L11" i="22"/>
  <c r="L11" i="10"/>
  <c r="L11" i="16"/>
  <c r="M27" i="8"/>
  <c r="M11" i="22" s="1"/>
  <c r="L1568" i="16"/>
  <c r="L2178" i="16" s="1"/>
  <c r="K1570" i="16"/>
  <c r="K1569" i="16"/>
  <c r="L1577" i="16"/>
  <c r="K332" i="16"/>
  <c r="K1420" i="16"/>
  <c r="K1421" i="16" s="1"/>
  <c r="K334" i="16" s="1"/>
  <c r="K791" i="16" s="1"/>
  <c r="L1414" i="16"/>
  <c r="E1320" i="16"/>
  <c r="F1320" i="16" s="1"/>
  <c r="D1320" i="16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733" i="12"/>
  <c r="M741" i="12"/>
  <c r="M730" i="12"/>
  <c r="M738" i="12"/>
  <c r="M732" i="12"/>
  <c r="M727" i="12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47" i="12"/>
  <c r="M951" i="12"/>
  <c r="M955" i="12"/>
  <c r="M959" i="12"/>
  <c r="M954" i="12"/>
  <c r="M701" i="12"/>
  <c r="M1184" i="12" s="1"/>
  <c r="M703" i="12"/>
  <c r="M1186" i="12" s="1"/>
  <c r="M707" i="12"/>
  <c r="M711" i="12"/>
  <c r="M715" i="12"/>
  <c r="M719" i="12"/>
  <c r="M712" i="12"/>
  <c r="M702" i="12"/>
  <c r="M1185" i="12" s="1"/>
  <c r="M706" i="12"/>
  <c r="M710" i="12"/>
  <c r="M714" i="12"/>
  <c r="M718" i="12"/>
  <c r="M704" i="12"/>
  <c r="M705" i="12"/>
  <c r="M1188" i="12" s="1"/>
  <c r="M709" i="12"/>
  <c r="M1192" i="12" s="1"/>
  <c r="M713" i="12"/>
  <c r="M717" i="12"/>
  <c r="M716" i="12"/>
  <c r="M720" i="12"/>
  <c r="M708" i="12"/>
  <c r="K1401" i="12"/>
  <c r="K1411" i="12" s="1"/>
  <c r="K1412" i="12" s="1"/>
  <c r="K257" i="20" s="1"/>
  <c r="I96" i="10"/>
  <c r="H122" i="10"/>
  <c r="H123" i="10" s="1"/>
  <c r="G124" i="10"/>
  <c r="G125" i="10"/>
  <c r="I422" i="10"/>
  <c r="I436" i="10"/>
  <c r="I381" i="10"/>
  <c r="I423" i="10" s="1"/>
  <c r="I95" i="10"/>
  <c r="G94" i="10"/>
  <c r="G136" i="10"/>
  <c r="G150" i="10"/>
  <c r="C332" i="25"/>
  <c r="C127" i="25"/>
  <c r="C135" i="25" s="1"/>
  <c r="C146" i="25" s="1"/>
  <c r="C154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887" i="20" a="1"/>
  <c r="J887" i="20" s="1"/>
  <c r="D891" i="20"/>
  <c r="M1693" i="12"/>
  <c r="M157" i="16"/>
  <c r="L136" i="16"/>
  <c r="N380" i="10"/>
  <c r="N370" i="10"/>
  <c r="G358" i="10"/>
  <c r="G357" i="10" s="1"/>
  <c r="G353" i="10" s="1"/>
  <c r="H408" i="10"/>
  <c r="H409" i="10" s="1"/>
  <c r="L2064" i="16"/>
  <c r="L2092" i="16" s="1"/>
  <c r="L2095" i="16"/>
  <c r="M1434" i="16"/>
  <c r="M391" i="16" s="1"/>
  <c r="L2054" i="16"/>
  <c r="L1228" i="12"/>
  <c r="L1393" i="12" s="1"/>
  <c r="L1419" i="16"/>
  <c r="L2052" i="16"/>
  <c r="L2047" i="16"/>
  <c r="K221" i="20"/>
  <c r="K229" i="20"/>
  <c r="K224" i="20"/>
  <c r="K210" i="20"/>
  <c r="K213" i="20"/>
  <c r="K223" i="20"/>
  <c r="K220" i="20"/>
  <c r="K222" i="20"/>
  <c r="K230" i="20"/>
  <c r="K218" i="20"/>
  <c r="K233" i="20"/>
  <c r="K242" i="20"/>
  <c r="K245" i="20"/>
  <c r="K244" i="20"/>
  <c r="K212" i="20"/>
  <c r="K228" i="20"/>
  <c r="K226" i="20"/>
  <c r="K211" i="20"/>
  <c r="K237" i="20"/>
  <c r="K235" i="20"/>
  <c r="K236" i="20"/>
  <c r="K231" i="20"/>
  <c r="K208" i="20"/>
  <c r="K209" i="20"/>
  <c r="K206" i="20"/>
  <c r="K239" i="20"/>
  <c r="K240" i="20"/>
  <c r="K215" i="20"/>
  <c r="K234" i="20"/>
  <c r="K214" i="20"/>
  <c r="K207" i="20"/>
  <c r="K241" i="20"/>
  <c r="K217" i="20"/>
  <c r="K227" i="20"/>
  <c r="K238" i="20"/>
  <c r="K219" i="20"/>
  <c r="K243" i="20"/>
  <c r="K225" i="20"/>
  <c r="K216" i="20"/>
  <c r="D1899" i="16"/>
  <c r="L2049" i="16"/>
  <c r="D1315" i="16"/>
  <c r="F1314" i="16" s="1"/>
  <c r="K1315" i="16" s="1"/>
  <c r="M1804" i="12"/>
  <c r="M418" i="16"/>
  <c r="M1714" i="12"/>
  <c r="M1813" i="12"/>
  <c r="M1798" i="12"/>
  <c r="M82" i="12"/>
  <c r="M198" i="16"/>
  <c r="M1680" i="12"/>
  <c r="M121" i="20"/>
  <c r="M1421" i="12"/>
  <c r="M1591" i="12" s="1"/>
  <c r="M1415" i="16"/>
  <c r="M1825" i="12"/>
  <c r="M328" i="16"/>
  <c r="F1892" i="16"/>
  <c r="K1893" i="16" s="1"/>
  <c r="L1893" i="16" s="1"/>
  <c r="F1913" i="16"/>
  <c r="K1914" i="16" s="1"/>
  <c r="L1924" i="16"/>
  <c r="E1920" i="16"/>
  <c r="F1885" i="16"/>
  <c r="K1886" i="16" s="1"/>
  <c r="L1886" i="16" s="1"/>
  <c r="L2223" i="16" s="1"/>
  <c r="K2094" i="16"/>
  <c r="D1589" i="16"/>
  <c r="F1588" i="16" s="1"/>
  <c r="L110" i="18"/>
  <c r="C381" i="20"/>
  <c r="C382" i="20" s="1"/>
  <c r="C376" i="20"/>
  <c r="C377" i="20" s="1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7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33" i="20"/>
  <c r="M44" i="20"/>
  <c r="M37" i="20"/>
  <c r="M35" i="20"/>
  <c r="M41" i="20"/>
  <c r="M36" i="20"/>
  <c r="M38" i="20"/>
  <c r="M42" i="20"/>
  <c r="M47" i="20"/>
  <c r="M39" i="20"/>
  <c r="M40" i="20"/>
  <c r="M32" i="20"/>
  <c r="M45" i="20"/>
  <c r="M46" i="20"/>
  <c r="M43" i="20"/>
  <c r="M48" i="20"/>
  <c r="M34" i="20"/>
  <c r="L1134" i="16"/>
  <c r="L2113" i="16" s="1"/>
  <c r="L363" i="20"/>
  <c r="M363" i="20" s="1"/>
  <c r="L1156" i="16"/>
  <c r="L1157" i="16" s="1"/>
  <c r="L335" i="20"/>
  <c r="M335" i="20" s="1"/>
  <c r="L1169" i="16"/>
  <c r="L2118" i="16" s="1"/>
  <c r="L356" i="20"/>
  <c r="M356" i="20" s="1"/>
  <c r="L349" i="20"/>
  <c r="M349" i="20" s="1"/>
  <c r="K1165" i="16"/>
  <c r="K249" i="16" s="1"/>
  <c r="L1162" i="16"/>
  <c r="L2117" i="16" s="1"/>
  <c r="K1151" i="16"/>
  <c r="K247" i="16" s="1"/>
  <c r="L1148" i="16"/>
  <c r="L2115" i="16" s="1"/>
  <c r="M1155" i="16"/>
  <c r="M2116" i="16" s="1"/>
  <c r="M874" i="16"/>
  <c r="J924" i="16"/>
  <c r="B919" i="16"/>
  <c r="K336" i="20"/>
  <c r="K1137" i="16"/>
  <c r="K245" i="16" s="1"/>
  <c r="K1142" i="16"/>
  <c r="K1144" i="16"/>
  <c r="K246" i="16" s="1"/>
  <c r="K1170" i="16"/>
  <c r="K1171" i="16" s="1"/>
  <c r="K1172" i="16"/>
  <c r="K250" i="16" s="1"/>
  <c r="E1188" i="16"/>
  <c r="F1188" i="16" s="1"/>
  <c r="D1188" i="16"/>
  <c r="D1194" i="16"/>
  <c r="E1189" i="16"/>
  <c r="K1176" i="16"/>
  <c r="K2119" i="16" s="1"/>
  <c r="E1182" i="16"/>
  <c r="D1181" i="16"/>
  <c r="E1181" i="16"/>
  <c r="F1181" i="16" s="1"/>
  <c r="D1175" i="16"/>
  <c r="K1163" i="16"/>
  <c r="K1164" i="16"/>
  <c r="K1149" i="16"/>
  <c r="K1150" i="16"/>
  <c r="K365" i="20"/>
  <c r="K370" i="20"/>
  <c r="K371" i="20" s="1"/>
  <c r="C375" i="20"/>
  <c r="D374" i="20"/>
  <c r="K358" i="20"/>
  <c r="K350" i="20"/>
  <c r="K351" i="20"/>
  <c r="K1325" i="16"/>
  <c r="L1325" i="16"/>
  <c r="D1326" i="16"/>
  <c r="K1332" i="16" s="1"/>
  <c r="E1321" i="16"/>
  <c r="D1321" i="16" s="1"/>
  <c r="L745" i="16"/>
  <c r="L207" i="20" s="1"/>
  <c r="L765" i="16"/>
  <c r="L227" i="20" s="1"/>
  <c r="L766" i="16"/>
  <c r="L228" i="20" s="1"/>
  <c r="L756" i="16"/>
  <c r="L218" i="20" s="1"/>
  <c r="L777" i="16"/>
  <c r="L757" i="16"/>
  <c r="L219" i="20" s="1"/>
  <c r="L747" i="16"/>
  <c r="L209" i="20" s="1"/>
  <c r="L781" i="16"/>
  <c r="L243" i="20" s="1"/>
  <c r="L774" i="16"/>
  <c r="L236" i="20" s="1"/>
  <c r="L768" i="16"/>
  <c r="L230" i="20" s="1"/>
  <c r="L746" i="16"/>
  <c r="L208" i="20" s="1"/>
  <c r="L778" i="16"/>
  <c r="L240" i="20" s="1"/>
  <c r="L749" i="16"/>
  <c r="L211" i="20" s="1"/>
  <c r="L753" i="16"/>
  <c r="L215" i="20" s="1"/>
  <c r="L780" i="16"/>
  <c r="L242" i="20" s="1"/>
  <c r="L750" i="16"/>
  <c r="L212" i="20" s="1"/>
  <c r="L755" i="16"/>
  <c r="L217" i="20" s="1"/>
  <c r="L779" i="16"/>
  <c r="L241" i="20" s="1"/>
  <c r="L760" i="16"/>
  <c r="L222" i="20" s="1"/>
  <c r="L752" i="16"/>
  <c r="L214" i="20" s="1"/>
  <c r="L782" i="16"/>
  <c r="L244" i="20" s="1"/>
  <c r="L758" i="16"/>
  <c r="L220" i="20" s="1"/>
  <c r="L759" i="16"/>
  <c r="L221" i="20" s="1"/>
  <c r="L751" i="16"/>
  <c r="L213" i="20" s="1"/>
  <c r="L748" i="16"/>
  <c r="L210" i="20" s="1"/>
  <c r="L763" i="16"/>
  <c r="L225" i="20" s="1"/>
  <c r="L764" i="16"/>
  <c r="L226" i="20" s="1"/>
  <c r="L771" i="16"/>
  <c r="L233" i="20" s="1"/>
  <c r="L767" i="16"/>
  <c r="L229" i="20" s="1"/>
  <c r="L769" i="16"/>
  <c r="L231" i="20" s="1"/>
  <c r="L775" i="16"/>
  <c r="L237" i="20" s="1"/>
  <c r="L754" i="16"/>
  <c r="L216" i="20" s="1"/>
  <c r="L761" i="16"/>
  <c r="L223" i="20" s="1"/>
  <c r="L773" i="16"/>
  <c r="L235" i="20" s="1"/>
  <c r="L770" i="16"/>
  <c r="L772" i="16"/>
  <c r="L234" i="20" s="1"/>
  <c r="L776" i="16"/>
  <c r="L238" i="20" s="1"/>
  <c r="L783" i="16"/>
  <c r="L245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1537" i="16"/>
  <c r="M1571" i="16"/>
  <c r="M518" i="16" s="1"/>
  <c r="M1797" i="12"/>
  <c r="M1756" i="12"/>
  <c r="M1666" i="12"/>
  <c r="M1799" i="12"/>
  <c r="M1879" i="12"/>
  <c r="M1918" i="12" s="1"/>
  <c r="M98" i="16"/>
  <c r="M1697" i="12"/>
  <c r="M57" i="20"/>
  <c r="M134" i="20"/>
  <c r="M456" i="16"/>
  <c r="M70" i="20"/>
  <c r="M1290" i="16"/>
  <c r="M2035" i="16"/>
  <c r="M1839" i="12"/>
  <c r="M222" i="11"/>
  <c r="M240" i="11"/>
  <c r="M141" i="16"/>
  <c r="M135" i="16"/>
  <c r="M174" i="16"/>
  <c r="M96" i="16"/>
  <c r="M144" i="16" s="1"/>
  <c r="M145" i="20"/>
  <c r="M137" i="20"/>
  <c r="M156" i="10"/>
  <c r="M95" i="20"/>
  <c r="M41" i="22"/>
  <c r="M20" i="22"/>
  <c r="M138" i="20"/>
  <c r="M116" i="20"/>
  <c r="M657" i="16"/>
  <c r="M273" i="16"/>
  <c r="M434" i="16"/>
  <c r="M1782" i="12"/>
  <c r="M139" i="20"/>
  <c r="M128" i="20"/>
  <c r="M440" i="16"/>
  <c r="M1780" i="12"/>
  <c r="M1734" i="12"/>
  <c r="M453" i="16"/>
  <c r="M135" i="20"/>
  <c r="M576" i="16"/>
  <c r="M325" i="16"/>
  <c r="M1690" i="12"/>
  <c r="M1794" i="12"/>
  <c r="M1703" i="12"/>
  <c r="M51" i="22"/>
  <c r="M152" i="20"/>
  <c r="M619" i="16"/>
  <c r="M1816" i="12"/>
  <c r="M1771" i="12"/>
  <c r="M1837" i="12"/>
  <c r="M455" i="16"/>
  <c r="M438" i="16"/>
  <c r="M169" i="20"/>
  <c r="M1732" i="12"/>
  <c r="M1695" i="12"/>
  <c r="M180" i="11"/>
  <c r="M132" i="20"/>
  <c r="M1836" i="12"/>
  <c r="M1673" i="12"/>
  <c r="M35" i="11"/>
  <c r="M59" i="20"/>
  <c r="M1806" i="12"/>
  <c r="M886" i="16"/>
  <c r="M880" i="16"/>
  <c r="M99" i="16"/>
  <c r="M413" i="10"/>
  <c r="M363" i="10"/>
  <c r="M98" i="20"/>
  <c r="M107" i="18"/>
  <c r="M12" i="20"/>
  <c r="M25" i="20" s="1"/>
  <c r="M1188" i="20" s="1"/>
  <c r="M1222" i="20" s="1"/>
  <c r="M1235" i="20" s="1"/>
  <c r="M1248" i="20" s="1"/>
  <c r="M155" i="20"/>
  <c r="M147" i="20"/>
  <c r="M102" i="20"/>
  <c r="M154" i="20"/>
  <c r="M622" i="16"/>
  <c r="M1731" i="12"/>
  <c r="M1725" i="12"/>
  <c r="M195" i="20"/>
  <c r="M103" i="20"/>
  <c r="M435" i="16"/>
  <c r="M1831" i="12"/>
  <c r="M1713" i="12"/>
  <c r="M1671" i="12"/>
  <c r="M385" i="10"/>
  <c r="M489" i="10" s="1"/>
  <c r="M123" i="20"/>
  <c r="M573" i="16"/>
  <c r="M95" i="16"/>
  <c r="M97" i="16"/>
  <c r="M127" i="10"/>
  <c r="M98" i="10"/>
  <c r="M144" i="20"/>
  <c r="M74" i="18"/>
  <c r="M119" i="20"/>
  <c r="M126" i="20"/>
  <c r="M196" i="20"/>
  <c r="M219" i="10"/>
  <c r="M2085" i="16"/>
  <c r="M578" i="16"/>
  <c r="M1840" i="12"/>
  <c r="M1795" i="12"/>
  <c r="M1674" i="12"/>
  <c r="M174" i="20"/>
  <c r="M583" i="16"/>
  <c r="M272" i="16"/>
  <c r="M1747" i="12"/>
  <c r="M1785" i="12"/>
  <c r="M84" i="22"/>
  <c r="M192" i="20"/>
  <c r="M447" i="16"/>
  <c r="M426" i="16"/>
  <c r="M1878" i="12"/>
  <c r="M1916" i="12" s="1"/>
  <c r="M1691" i="12"/>
  <c r="M499" i="20"/>
  <c r="M103" i="16"/>
  <c r="M102" i="16"/>
  <c r="M125" i="22"/>
  <c r="M115" i="22"/>
  <c r="M31" i="20"/>
  <c r="M190" i="20"/>
  <c r="M176" i="20"/>
  <c r="M156" i="20"/>
  <c r="M96" i="18"/>
  <c r="M49" i="20"/>
  <c r="M361" i="16"/>
  <c r="M1760" i="12"/>
  <c r="M1705" i="12"/>
  <c r="M1805" i="12"/>
  <c r="M172" i="20"/>
  <c r="M451" i="16"/>
  <c r="M330" i="16"/>
  <c r="M22" i="16"/>
  <c r="M1707" i="12"/>
  <c r="M193" i="20"/>
  <c r="M2036" i="16"/>
  <c r="M2062" i="16" s="1"/>
  <c r="M446" i="16"/>
  <c r="M1820" i="12"/>
  <c r="M1775" i="12"/>
  <c r="M1729" i="12"/>
  <c r="M65" i="20"/>
  <c r="M116" i="18"/>
  <c r="M281" i="16"/>
  <c r="M1683" i="12"/>
  <c r="M1790" i="12"/>
  <c r="M125" i="20"/>
  <c r="M358" i="16"/>
  <c r="M354" i="16"/>
  <c r="M42" i="12"/>
  <c r="M136" i="20"/>
  <c r="M437" i="16"/>
  <c r="M1838" i="12"/>
  <c r="M97" i="20"/>
  <c r="M1791" i="12"/>
  <c r="M624" i="16"/>
  <c r="M1702" i="12"/>
  <c r="M1668" i="12"/>
  <c r="M444" i="16"/>
  <c r="M1783" i="12"/>
  <c r="M1399" i="12"/>
  <c r="M231" i="11"/>
  <c r="M2044" i="16"/>
  <c r="M1792" i="12"/>
  <c r="M1777" i="12"/>
  <c r="M1163" i="12"/>
  <c r="M698" i="12"/>
  <c r="M12" i="10"/>
  <c r="M360" i="16"/>
  <c r="M101" i="16"/>
  <c r="M104" i="16"/>
  <c r="M12" i="22"/>
  <c r="M32" i="22"/>
  <c r="M131" i="20"/>
  <c r="M142" i="20"/>
  <c r="M603" i="12"/>
  <c r="M242" i="10"/>
  <c r="M179" i="20"/>
  <c r="M153" i="20"/>
  <c r="M2034" i="16"/>
  <c r="M433" i="16"/>
  <c r="M1728" i="12"/>
  <c r="M1834" i="12"/>
  <c r="M1681" i="12"/>
  <c r="M120" i="20"/>
  <c r="M450" i="16"/>
  <c r="M1824" i="12"/>
  <c r="M1779" i="12"/>
  <c r="M422" i="16"/>
  <c r="M151" i="20"/>
  <c r="M801" i="16"/>
  <c r="M197" i="16"/>
  <c r="M1740" i="12"/>
  <c r="M1678" i="12"/>
  <c r="M1880" i="12"/>
  <c r="M1919" i="12" s="1"/>
  <c r="M133" i="20"/>
  <c r="M623" i="16"/>
  <c r="M427" i="16"/>
  <c r="M1823" i="12"/>
  <c r="M1700" i="12"/>
  <c r="M2032" i="16"/>
  <c r="M2045" i="16" s="1"/>
  <c r="M1748" i="12"/>
  <c r="M1761" i="12"/>
  <c r="M12" i="11"/>
  <c r="M149" i="20"/>
  <c r="M428" i="16"/>
  <c r="M38" i="16"/>
  <c r="M940" i="12"/>
  <c r="M63" i="18"/>
  <c r="M429" i="16"/>
  <c r="M1830" i="12"/>
  <c r="M448" i="16"/>
  <c r="M1755" i="12"/>
  <c r="M100" i="16"/>
  <c r="M29" i="18"/>
  <c r="M141" i="20"/>
  <c r="M101" i="20"/>
  <c r="M442" i="16"/>
  <c r="M1692" i="12"/>
  <c r="M282" i="16"/>
  <c r="M1745" i="12"/>
  <c r="M436" i="16"/>
  <c r="M1730" i="12"/>
  <c r="M177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60" i="20"/>
  <c r="M425" i="16"/>
  <c r="M1669" i="12"/>
  <c r="M276" i="16"/>
  <c r="M1639" i="12"/>
  <c r="M1404" i="12"/>
  <c r="M71" i="20"/>
  <c r="M46" i="16"/>
  <c r="M74" i="11"/>
  <c r="M146" i="20"/>
  <c r="M1723" i="12"/>
  <c r="M449" i="16"/>
  <c r="M1741" i="12"/>
  <c r="M201" i="11"/>
  <c r="M1181" i="12"/>
  <c r="M457" i="16"/>
  <c r="M12" i="12"/>
  <c r="M58" i="20"/>
  <c r="M1462" i="16"/>
  <c r="M1401" i="16"/>
  <c r="M345" i="16" s="1"/>
  <c r="M1917" i="16"/>
  <c r="M1311" i="16"/>
  <c r="M1530" i="16"/>
  <c r="M1394" i="16"/>
  <c r="M344" i="16" s="1"/>
  <c r="M424" i="16"/>
  <c r="M408" i="16"/>
  <c r="M189" i="20"/>
  <c r="M431" i="16"/>
  <c r="M1704" i="12"/>
  <c r="M129" i="20"/>
  <c r="M441" i="16"/>
  <c r="M1739" i="12"/>
  <c r="M54" i="16"/>
  <c r="M564" i="16"/>
  <c r="M1677" i="12"/>
  <c r="M53" i="11"/>
  <c r="M1737" i="12"/>
  <c r="M1828" i="12"/>
  <c r="M1665" i="12"/>
  <c r="M104" i="11"/>
  <c r="M1727" i="12"/>
  <c r="M150" i="20"/>
  <c r="M271" i="10"/>
  <c r="M84" i="20"/>
  <c r="M1793" i="12"/>
  <c r="M1640" i="12"/>
  <c r="M1770" i="12"/>
  <c r="M579" i="16"/>
  <c r="M420" i="16"/>
  <c r="M280" i="16"/>
  <c r="M175" i="20"/>
  <c r="M581" i="16"/>
  <c r="M327" i="16"/>
  <c r="M194" i="20"/>
  <c r="M105" i="22"/>
  <c r="M118" i="20"/>
  <c r="M419" i="16"/>
  <c r="M46" i="10"/>
  <c r="M1744" i="12"/>
  <c r="M12" i="16"/>
  <c r="M192" i="16" s="1"/>
  <c r="M124" i="20"/>
  <c r="M268" i="16"/>
  <c r="M1769" i="12"/>
  <c r="M93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05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82" i="20"/>
  <c r="M1644" i="12"/>
  <c r="M122" i="20"/>
  <c r="M269" i="16"/>
  <c r="M1722" i="12"/>
  <c r="M1297" i="16"/>
  <c r="M309" i="16" s="1"/>
  <c r="M1304" i="16"/>
  <c r="M1592" i="16"/>
  <c r="M521" i="16" s="1"/>
  <c r="M1325" i="16"/>
  <c r="M143" i="20"/>
  <c r="M96" i="22"/>
  <c r="M80" i="20"/>
  <c r="M1796" i="12"/>
  <c r="M171" i="20"/>
  <c r="M70" i="16"/>
  <c r="M100" i="20"/>
  <c r="M1884" i="12"/>
  <c r="M275" i="16"/>
  <c r="M1661" i="12"/>
  <c r="M66" i="20"/>
  <c r="M432" i="16"/>
  <c r="M62" i="16"/>
  <c r="M356" i="16"/>
  <c r="M1781" i="12"/>
  <c r="M96" i="20"/>
  <c r="M423" i="16"/>
  <c r="M1753" i="12"/>
  <c r="M114" i="12"/>
  <c r="M1724" i="12"/>
  <c r="M12" i="18"/>
  <c r="M430" i="16"/>
  <c r="M271" i="16"/>
  <c r="M60" i="20"/>
  <c r="M1698" i="12"/>
  <c r="M81" i="20"/>
  <c r="M1746" i="12"/>
  <c r="M1400" i="12"/>
  <c r="M574" i="16"/>
  <c r="M445" i="16"/>
  <c r="M1774" i="12"/>
  <c r="M1754" i="12"/>
  <c r="M1398" i="12"/>
  <c r="M300" i="10"/>
  <c r="M170" i="20"/>
  <c r="M270" i="16"/>
  <c r="M1688" i="12"/>
  <c r="M1889" i="16"/>
  <c r="M602" i="16" s="1"/>
  <c r="M1564" i="16"/>
  <c r="M1910" i="16"/>
  <c r="M1877" i="16"/>
  <c r="M1689" i="12"/>
  <c r="M130" i="20"/>
  <c r="M334" i="10"/>
  <c r="M72" i="20"/>
  <c r="M1715" i="12"/>
  <c r="M127" i="20"/>
  <c r="M1694" i="12"/>
  <c r="M69" i="20"/>
  <c r="M1776" i="12"/>
  <c r="M786" i="16"/>
  <c r="M577" i="16"/>
  <c r="M1758" i="12"/>
  <c r="M439" i="16"/>
  <c r="M1767" i="12"/>
  <c r="M30" i="16"/>
  <c r="M67" i="20"/>
  <c r="M1706" i="12"/>
  <c r="M68" i="20"/>
  <c r="M1787" i="12"/>
  <c r="M197" i="20"/>
  <c r="M1751" i="12"/>
  <c r="M1638" i="12"/>
  <c r="M161" i="20"/>
  <c r="M357" i="16"/>
  <c r="M1778" i="12"/>
  <c r="M148" i="20"/>
  <c r="M362" i="16"/>
  <c r="M1675" i="12"/>
  <c r="M73" i="12"/>
  <c r="M1812" i="12"/>
  <c r="M1455" i="16"/>
  <c r="M113" i="11"/>
  <c r="M1735" i="12"/>
  <c r="M124" i="11"/>
  <c r="M44" i="11"/>
  <c r="M1448" i="16"/>
  <c r="M393" i="16" s="1"/>
  <c r="M1557" i="16"/>
  <c r="M516" i="16" s="1"/>
  <c r="M1441" i="16"/>
  <c r="M1318" i="16"/>
  <c r="M312" i="16" s="1"/>
  <c r="M1523" i="16"/>
  <c r="M1516" i="16"/>
  <c r="M359" i="16"/>
  <c r="M1788" i="12"/>
  <c r="M355" i="16"/>
  <c r="M1712" i="12"/>
  <c r="M30" i="20"/>
  <c r="M1408" i="16"/>
  <c r="M346" i="16" s="1"/>
  <c r="M353" i="16"/>
  <c r="M90" i="22"/>
  <c r="M75" i="10"/>
  <c r="M70" i="22"/>
  <c r="M2057" i="16"/>
  <c r="M1815" i="12"/>
  <c r="M698" i="16"/>
  <c r="M1682" i="12"/>
  <c r="M61" i="20"/>
  <c r="M1827" i="12"/>
  <c r="M625" i="16"/>
  <c r="M279" i="16"/>
  <c r="M1726" i="12"/>
  <c r="M1784" i="12"/>
  <c r="M61" i="22"/>
  <c r="M1768" i="12"/>
  <c r="M1667" i="12"/>
  <c r="M99" i="20"/>
  <c r="M1759" i="12"/>
  <c r="M100" i="12"/>
  <c r="M2071" i="16"/>
  <c r="M1826" i="12"/>
  <c r="M620" i="16"/>
  <c r="M1822" i="12"/>
  <c r="M190" i="10"/>
  <c r="M417" i="16"/>
  <c r="M1676" i="12"/>
  <c r="M629" i="12"/>
  <c r="M62" i="20"/>
  <c r="M1752" i="12"/>
  <c r="M1773" i="12"/>
  <c r="N28" i="8"/>
  <c r="N126" i="8" s="1"/>
  <c r="M1821" i="12"/>
  <c r="M173" i="20"/>
  <c r="M117" i="20"/>
  <c r="M63" i="12"/>
  <c r="M83" i="20"/>
  <c r="M1896" i="16"/>
  <c r="M603" i="16" s="1"/>
  <c r="M1469" i="16"/>
  <c r="M396" i="16" s="1"/>
  <c r="M1422" i="16"/>
  <c r="M326" i="16"/>
  <c r="M79" i="16"/>
  <c r="M188" i="20"/>
  <c r="M191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835" i="12"/>
  <c r="M85" i="20"/>
  <c r="M1819" i="12"/>
  <c r="M64" i="20"/>
  <c r="M1833" i="12"/>
  <c r="M162" i="11"/>
  <c r="M2040" i="16"/>
  <c r="M1817" i="12"/>
  <c r="M454" i="16"/>
  <c r="M1802" i="12"/>
  <c r="M178" i="20"/>
  <c r="M1789" i="12"/>
  <c r="M32" i="12"/>
  <c r="M63" i="20"/>
  <c r="M1749" i="12"/>
  <c r="M1800" i="12"/>
  <c r="M171" i="11"/>
  <c r="M1578" i="16"/>
  <c r="M1585" i="16"/>
  <c r="M1544" i="16"/>
  <c r="M575" i="16"/>
  <c r="M1476" i="16"/>
  <c r="M1903" i="16"/>
  <c r="M1679" i="12"/>
  <c r="M1786" i="12"/>
  <c r="M618" i="16"/>
  <c r="M1814" i="12"/>
  <c r="M187" i="20"/>
  <c r="M621" i="16"/>
  <c r="M2039" i="16"/>
  <c r="M1801" i="12"/>
  <c r="M1670" i="12"/>
  <c r="M278" i="16"/>
  <c r="M44" i="18"/>
  <c r="M94" i="20"/>
  <c r="M1924" i="16"/>
  <c r="M91" i="12"/>
  <c r="M421" i="16"/>
  <c r="M2037" i="16"/>
  <c r="M2063" i="16" s="1"/>
  <c r="M140" i="20"/>
  <c r="M328" i="20"/>
  <c r="M1483" i="16"/>
  <c r="M1907" i="16"/>
  <c r="M1280" i="16"/>
  <c r="M1459" i="16"/>
  <c r="M1287" i="16"/>
  <c r="L284" i="16"/>
  <c r="L804" i="16" s="1"/>
  <c r="L368" i="16"/>
  <c r="M845" i="20"/>
  <c r="M1398" i="16"/>
  <c r="M2153" i="16" s="1"/>
  <c r="M1599" i="16"/>
  <c r="M485" i="20"/>
  <c r="L807" i="16"/>
  <c r="L198" i="20"/>
  <c r="L1209" i="20" s="1"/>
  <c r="L1505" i="16"/>
  <c r="L86" i="20"/>
  <c r="L1205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73" i="20"/>
  <c r="L1203" i="20" s="1"/>
  <c r="L1717" i="12"/>
  <c r="L1874" i="12" s="1"/>
  <c r="L1912" i="12" s="1"/>
  <c r="L963" i="12"/>
  <c r="L1151" i="12" s="1"/>
  <c r="L1841" i="12"/>
  <c r="L1877" i="12" s="1"/>
  <c r="L1915" i="12" s="1"/>
  <c r="L1708" i="12"/>
  <c r="L1873" i="12" s="1"/>
  <c r="L1911" i="12" s="1"/>
  <c r="L1684" i="12"/>
  <c r="L1872" i="12" s="1"/>
  <c r="L1910" i="12" s="1"/>
  <c r="L1807" i="12"/>
  <c r="L1876" i="12" s="1"/>
  <c r="L1914" i="12" s="1"/>
  <c r="L180" i="20"/>
  <c r="L1208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55" i="16"/>
  <c r="L1556" i="16" s="1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5" i="25"/>
  <c r="L1510" i="12"/>
  <c r="L1474" i="12"/>
  <c r="L1429" i="12"/>
  <c r="L1534" i="12"/>
  <c r="L1436" i="12"/>
  <c r="L1506" i="12"/>
  <c r="L1575" i="12"/>
  <c r="L1501" i="12"/>
  <c r="L1435" i="12"/>
  <c r="L1428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27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L487" i="20"/>
  <c r="C163" i="25"/>
  <c r="C475" i="25"/>
  <c r="C592" i="25" s="1"/>
  <c r="L1204" i="12"/>
  <c r="L1392" i="12" s="1"/>
  <c r="C379" i="25"/>
  <c r="K330" i="20"/>
  <c r="M1405" i="16"/>
  <c r="K329" i="20"/>
  <c r="L329" i="20" s="1"/>
  <c r="L1407" i="16"/>
  <c r="L1296" i="16"/>
  <c r="L486" i="20"/>
  <c r="M1561" i="16"/>
  <c r="M2177" i="16" s="1"/>
  <c r="L1562" i="16"/>
  <c r="L1563" i="16" s="1"/>
  <c r="L1406" i="16"/>
  <c r="K462" i="20"/>
  <c r="L2153" i="16"/>
  <c r="L1399" i="16"/>
  <c r="L1400" i="16"/>
  <c r="L847" i="20"/>
  <c r="C66" i="25"/>
  <c r="L461" i="20"/>
  <c r="M461" i="20" s="1"/>
  <c r="C52" i="25"/>
  <c r="L1453" i="16"/>
  <c r="L1454" i="16" s="1"/>
  <c r="M1452" i="16"/>
  <c r="M2162" i="16" s="1"/>
  <c r="L500" i="20"/>
  <c r="L721" i="12"/>
  <c r="L909" i="12" s="1"/>
  <c r="L754" i="12"/>
  <c r="L911" i="12" s="1"/>
  <c r="L1926" i="12" s="1"/>
  <c r="L799" i="12"/>
  <c r="L905" i="12"/>
  <c r="L878" i="12"/>
  <c r="L914" i="12" s="1"/>
  <c r="J150" i="10"/>
  <c r="K23" i="22"/>
  <c r="L844" i="12"/>
  <c r="L913" i="12" s="1"/>
  <c r="L896" i="12"/>
  <c r="L916" i="12" s="1"/>
  <c r="L745" i="12"/>
  <c r="L910" i="12" s="1"/>
  <c r="K1928" i="12"/>
  <c r="K1932" i="12"/>
  <c r="K1924" i="12"/>
  <c r="K1933" i="12"/>
  <c r="K1925" i="12"/>
  <c r="K1929" i="12"/>
  <c r="L494" i="20"/>
  <c r="M492" i="20"/>
  <c r="M1445" i="16"/>
  <c r="M2161" i="16" s="1"/>
  <c r="L2161" i="16"/>
  <c r="L846" i="20"/>
  <c r="L1392" i="16"/>
  <c r="L1446" i="16"/>
  <c r="L1447" i="16" s="1"/>
  <c r="L1295" i="16"/>
  <c r="L1288" i="16"/>
  <c r="L1289" i="16" s="1"/>
  <c r="L2136" i="16"/>
  <c r="M1431" i="16"/>
  <c r="M2159" i="16" s="1"/>
  <c r="M1412" i="16"/>
  <c r="M2155" i="16" s="1"/>
  <c r="L2137" i="16"/>
  <c r="L2159" i="16"/>
  <c r="M471" i="20"/>
  <c r="L472" i="20"/>
  <c r="L473" i="20" s="1"/>
  <c r="L2155" i="16"/>
  <c r="M1294" i="16"/>
  <c r="M478" i="20"/>
  <c r="L1413" i="16"/>
  <c r="L479" i="20"/>
  <c r="L480" i="20" s="1"/>
  <c r="L1439" i="16"/>
  <c r="L1440" i="16" s="1"/>
  <c r="M1438" i="16"/>
  <c r="M2160" i="16" s="1"/>
  <c r="L2152" i="16"/>
  <c r="M1391" i="16"/>
  <c r="L1393" i="16"/>
  <c r="L1432" i="16"/>
  <c r="L1433" i="16" s="1"/>
  <c r="K699" i="16"/>
  <c r="K1477" i="12"/>
  <c r="K1634" i="12" s="1"/>
  <c r="K1444" i="12"/>
  <c r="K1632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179" i="20"/>
  <c r="C1180" i="20" s="1"/>
  <c r="L507" i="20"/>
  <c r="M506" i="20"/>
  <c r="L1141" i="16"/>
  <c r="L2114" i="16" s="1"/>
  <c r="K2086" i="16"/>
  <c r="L898" i="16"/>
  <c r="M898" i="16" s="1"/>
  <c r="K2073" i="16"/>
  <c r="L2073" i="16" s="1"/>
  <c r="K2087" i="16"/>
  <c r="K1881" i="12"/>
  <c r="K1886" i="12" s="1"/>
  <c r="L2163" i="16"/>
  <c r="L1576" i="16"/>
  <c r="L2179" i="16"/>
  <c r="L887" i="16"/>
  <c r="L888" i="16" s="1"/>
  <c r="L2138" i="16"/>
  <c r="L1302" i="16"/>
  <c r="M1301" i="16"/>
  <c r="M1575" i="16"/>
  <c r="M2179" i="16" s="1"/>
  <c r="L2226" i="16"/>
  <c r="L1909" i="16"/>
  <c r="L1908" i="16"/>
  <c r="L1466" i="16"/>
  <c r="M1466" i="16" s="1"/>
  <c r="M2164" i="16" s="1"/>
  <c r="K2180" i="16"/>
  <c r="K1583" i="16"/>
  <c r="K1584" i="16" s="1"/>
  <c r="L330" i="20"/>
  <c r="E519" i="20"/>
  <c r="K520" i="20" s="1"/>
  <c r="L513" i="20"/>
  <c r="K514" i="20"/>
  <c r="K515" i="20" s="1"/>
  <c r="K1467" i="16"/>
  <c r="K1468" i="16" s="1"/>
  <c r="E893" i="20"/>
  <c r="K894" i="20" s="1"/>
  <c r="C905" i="20"/>
  <c r="C899" i="20"/>
  <c r="C900" i="20"/>
  <c r="C901" i="20" s="1"/>
  <c r="D899" i="20"/>
  <c r="E899" i="20" s="1"/>
  <c r="C531" i="20"/>
  <c r="D526" i="20"/>
  <c r="D525" i="20"/>
  <c r="C525" i="20"/>
  <c r="C526" i="20"/>
  <c r="C527" i="20" s="1"/>
  <c r="K904" i="16"/>
  <c r="K905" i="16" s="1"/>
  <c r="K906" i="16" s="1"/>
  <c r="M1308" i="16"/>
  <c r="K894" i="16"/>
  <c r="L893" i="16"/>
  <c r="L1582" i="16"/>
  <c r="M1582" i="16" s="1"/>
  <c r="L881" i="16"/>
  <c r="L882" i="16" s="1"/>
  <c r="M1931" i="16"/>
  <c r="D1926" i="16"/>
  <c r="K1931" i="16"/>
  <c r="D1932" i="16"/>
  <c r="M1938" i="16" s="1"/>
  <c r="K900" i="16"/>
  <c r="E1926" i="16"/>
  <c r="F1926" i="16" s="1"/>
  <c r="E1927" i="16"/>
  <c r="D1927" i="16" s="1"/>
  <c r="B1925" i="16"/>
  <c r="E921" i="16"/>
  <c r="E920" i="16"/>
  <c r="F920" i="16" s="1"/>
  <c r="C922" i="16"/>
  <c r="D920" i="16"/>
  <c r="D910" i="16"/>
  <c r="F909" i="16" s="1"/>
  <c r="D925" i="16"/>
  <c r="D931" i="16" s="1"/>
  <c r="D915" i="16"/>
  <c r="K805" i="16"/>
  <c r="L1310" i="16"/>
  <c r="L1309" i="16"/>
  <c r="L2139" i="16"/>
  <c r="K2055" i="16"/>
  <c r="K796" i="16" s="1"/>
  <c r="K1160" i="12"/>
  <c r="L1460" i="16"/>
  <c r="L1461" i="16" s="1"/>
  <c r="K2075" i="16"/>
  <c r="K2089" i="16"/>
  <c r="K2090" i="16"/>
  <c r="K2076" i="16"/>
  <c r="L2076" i="16" s="1"/>
  <c r="K2068" i="16"/>
  <c r="K2069" i="16" s="1"/>
  <c r="K1589" i="16"/>
  <c r="K1599" i="16"/>
  <c r="E1594" i="16"/>
  <c r="F1594" i="16" s="1"/>
  <c r="D1594" i="16"/>
  <c r="L1599" i="16"/>
  <c r="B1593" i="16"/>
  <c r="E1595" i="16"/>
  <c r="D1595" i="16" s="1"/>
  <c r="D1600" i="16"/>
  <c r="D2007" i="16"/>
  <c r="B2000" i="16"/>
  <c r="D1484" i="16"/>
  <c r="B1477" i="16"/>
  <c r="D1478" i="16"/>
  <c r="E1479" i="16"/>
  <c r="E1478" i="16"/>
  <c r="F1478" i="16" s="1"/>
  <c r="K1483" i="16"/>
  <c r="L1483" i="16"/>
  <c r="D1472" i="16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O57" i="22" s="1"/>
  <c r="O58" i="22" s="1"/>
  <c r="M67" i="22"/>
  <c r="M92" i="12" s="1"/>
  <c r="O62" i="22"/>
  <c r="N66" i="22"/>
  <c r="Q22" i="20"/>
  <c r="L2093" i="16"/>
  <c r="L2079" i="16"/>
  <c r="K1917" i="12"/>
  <c r="K1920" i="12" s="1"/>
  <c r="Q15" i="22"/>
  <c r="Q17" i="22" s="1"/>
  <c r="D139" i="8"/>
  <c r="K29" i="8" s="1"/>
  <c r="K127" i="8" s="1"/>
  <c r="M349" i="16" l="1"/>
  <c r="M89" i="20" s="1"/>
  <c r="M406" i="16"/>
  <c r="M112" i="20" s="1"/>
  <c r="M561" i="16"/>
  <c r="M165" i="20" s="1"/>
  <c r="M612" i="16"/>
  <c r="M183" i="20" s="1"/>
  <c r="L31" i="10"/>
  <c r="L89" i="10"/>
  <c r="L113" i="10" s="1"/>
  <c r="L79" i="10"/>
  <c r="L92" i="10"/>
  <c r="L91" i="10" s="1"/>
  <c r="L105" i="10" s="1"/>
  <c r="M92" i="10"/>
  <c r="M91" i="10" s="1"/>
  <c r="M77" i="10"/>
  <c r="M36" i="10"/>
  <c r="M115" i="10"/>
  <c r="M119" i="10"/>
  <c r="M110" i="10"/>
  <c r="M397" i="10" s="1"/>
  <c r="M89" i="10"/>
  <c r="M85" i="10"/>
  <c r="M84" i="10" s="1"/>
  <c r="M116" i="10"/>
  <c r="M71" i="10"/>
  <c r="M31" i="10"/>
  <c r="M520" i="12"/>
  <c r="L77" i="10"/>
  <c r="L71" i="10"/>
  <c r="M766" i="16"/>
  <c r="M228" i="20" s="1"/>
  <c r="M744" i="16"/>
  <c r="M206" i="20" s="1"/>
  <c r="L85" i="10"/>
  <c r="K31" i="10"/>
  <c r="K36" i="10"/>
  <c r="L239" i="20"/>
  <c r="R42" i="22"/>
  <c r="R46" i="22" s="1"/>
  <c r="Q47" i="22"/>
  <c r="Q48" i="22" s="1"/>
  <c r="R106" i="22"/>
  <c r="R110" i="22" s="1"/>
  <c r="Q111" i="22"/>
  <c r="Q112" i="22" s="1"/>
  <c r="R116" i="22"/>
  <c r="R120" i="22" s="1"/>
  <c r="Q121" i="22"/>
  <c r="Q122" i="22" s="1"/>
  <c r="R130" i="22"/>
  <c r="R131" i="22" s="1"/>
  <c r="S126" i="22"/>
  <c r="L1165" i="16"/>
  <c r="L249" i="16" s="1"/>
  <c r="L1172" i="16"/>
  <c r="L250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L1569" i="16"/>
  <c r="M1568" i="16"/>
  <c r="M2178" i="16" s="1"/>
  <c r="L1570" i="16"/>
  <c r="L1421" i="16"/>
  <c r="L334" i="16" s="1"/>
  <c r="L791" i="16" s="1"/>
  <c r="K333" i="16"/>
  <c r="L1914" i="16"/>
  <c r="M1914" i="16" s="1"/>
  <c r="M2227" i="16" s="1"/>
  <c r="K2227" i="16"/>
  <c r="K1915" i="16"/>
  <c r="K1916" i="16" s="1"/>
  <c r="K1317" i="16"/>
  <c r="K1316" i="16"/>
  <c r="K2140" i="16"/>
  <c r="K2224" i="16"/>
  <c r="K1894" i="16"/>
  <c r="K1895" i="16" s="1"/>
  <c r="L1895" i="16" s="1"/>
  <c r="D1900" i="16"/>
  <c r="K1887" i="16"/>
  <c r="K1888" i="16" s="1"/>
  <c r="L1888" i="16" s="1"/>
  <c r="K2223" i="16"/>
  <c r="D127" i="25"/>
  <c r="D135" i="25" s="1"/>
  <c r="D146" i="25" s="1"/>
  <c r="D154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725" i="12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K1165" i="12"/>
  <c r="K1172" i="12" s="1"/>
  <c r="K1170" i="12"/>
  <c r="K1171" i="12" s="1"/>
  <c r="N943" i="12"/>
  <c r="N945" i="12"/>
  <c r="N949" i="12"/>
  <c r="N953" i="12"/>
  <c r="N957" i="12"/>
  <c r="N961" i="12"/>
  <c r="N944" i="12"/>
  <c r="N948" i="12"/>
  <c r="N952" i="12"/>
  <c r="N956" i="12"/>
  <c r="N960" i="12"/>
  <c r="N947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711" i="12"/>
  <c r="N715" i="12"/>
  <c r="N719" i="12"/>
  <c r="N702" i="12"/>
  <c r="N1185" i="12" s="1"/>
  <c r="N706" i="12"/>
  <c r="N710" i="12"/>
  <c r="N714" i="12"/>
  <c r="N718" i="12"/>
  <c r="N705" i="12"/>
  <c r="N1188" i="12" s="1"/>
  <c r="N709" i="12"/>
  <c r="N1192" i="12" s="1"/>
  <c r="N713" i="12"/>
  <c r="N704" i="12"/>
  <c r="N708" i="12"/>
  <c r="N712" i="12"/>
  <c r="N716" i="12"/>
  <c r="N720" i="12"/>
  <c r="K1406" i="12"/>
  <c r="L2078" i="16"/>
  <c r="M2078" i="16" s="1"/>
  <c r="M2047" i="16"/>
  <c r="K35" i="8"/>
  <c r="C264" i="25" s="1"/>
  <c r="L35" i="8"/>
  <c r="N26" i="22"/>
  <c r="M35" i="8"/>
  <c r="C263" i="25"/>
  <c r="I421" i="10"/>
  <c r="G135" i="10"/>
  <c r="G96" i="10"/>
  <c r="G95" i="10"/>
  <c r="G137" i="10"/>
  <c r="I122" i="10"/>
  <c r="I123" i="10" s="1"/>
  <c r="H125" i="10"/>
  <c r="H124" i="10"/>
  <c r="C143" i="25"/>
  <c r="C225" i="25"/>
  <c r="C217" i="25"/>
  <c r="C255" i="25" s="1"/>
  <c r="C209" i="25"/>
  <c r="C247" i="25" s="1"/>
  <c r="C266" i="25" s="1"/>
  <c r="C274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5" i="25"/>
  <c r="J894" i="20" a="1"/>
  <c r="J894" i="20" s="1"/>
  <c r="D898" i="20"/>
  <c r="C388" i="20"/>
  <c r="C390" i="20" s="1"/>
  <c r="C391" i="20" s="1"/>
  <c r="M2073" i="16"/>
  <c r="L1401" i="12"/>
  <c r="L1411" i="12" s="1"/>
  <c r="L1412" i="12" s="1"/>
  <c r="L257" i="20" s="1"/>
  <c r="M1429" i="12"/>
  <c r="N82" i="20"/>
  <c r="N157" i="16"/>
  <c r="M136" i="16"/>
  <c r="N1789" i="12"/>
  <c r="N1788" i="12"/>
  <c r="N162" i="11"/>
  <c r="O380" i="10"/>
  <c r="G410" i="10"/>
  <c r="O370" i="10"/>
  <c r="I408" i="10"/>
  <c r="I409" i="10" s="1"/>
  <c r="H358" i="10"/>
  <c r="H357" i="10" s="1"/>
  <c r="H353" i="10" s="1"/>
  <c r="H361" i="10" s="1"/>
  <c r="G428" i="10"/>
  <c r="G427" i="10"/>
  <c r="G361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28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18" i="20"/>
  <c r="L332" i="16"/>
  <c r="L2156" i="16"/>
  <c r="M1228" i="12"/>
  <c r="M1393" i="12" s="1"/>
  <c r="M68" i="18"/>
  <c r="L1420" i="16"/>
  <c r="L333" i="16" s="1"/>
  <c r="M1419" i="16"/>
  <c r="N1419" i="16" s="1"/>
  <c r="L1315" i="16"/>
  <c r="L2140" i="16" s="1"/>
  <c r="N1669" i="12"/>
  <c r="N281" i="16"/>
  <c r="N1917" i="16"/>
  <c r="N1746" i="12"/>
  <c r="N1735" i="12"/>
  <c r="N161" i="20"/>
  <c r="N801" i="16"/>
  <c r="N99" i="16"/>
  <c r="N1585" i="16"/>
  <c r="N231" i="11"/>
  <c r="N170" i="20"/>
  <c r="N100" i="12"/>
  <c r="N125" i="22"/>
  <c r="N1830" i="12"/>
  <c r="N326" i="16"/>
  <c r="N270" i="16"/>
  <c r="N1823" i="12"/>
  <c r="N698" i="16"/>
  <c r="N431" i="16"/>
  <c r="N437" i="16"/>
  <c r="N1394" i="16"/>
  <c r="N344" i="16" s="1"/>
  <c r="N1700" i="12"/>
  <c r="N1702" i="12"/>
  <c r="N573" i="16"/>
  <c r="N408" i="16"/>
  <c r="N30" i="16"/>
  <c r="O28" i="8"/>
  <c r="N1564" i="16"/>
  <c r="N1688" i="12"/>
  <c r="N439" i="16"/>
  <c r="N1729" i="12"/>
  <c r="N1787" i="12"/>
  <c r="N1880" i="12"/>
  <c r="N1919" i="12" s="1"/>
  <c r="M2077" i="16"/>
  <c r="K246" i="20"/>
  <c r="L2091" i="16"/>
  <c r="L2096" i="16" s="1"/>
  <c r="M1893" i="16"/>
  <c r="M2224" i="16" s="1"/>
  <c r="L232" i="20"/>
  <c r="F1899" i="16"/>
  <c r="D1473" i="16"/>
  <c r="F1472" i="16" s="1"/>
  <c r="K1473" i="16" s="1"/>
  <c r="K2165" i="16" s="1"/>
  <c r="D1322" i="16"/>
  <c r="F1321" i="16" s="1"/>
  <c r="K1322" i="16" s="1"/>
  <c r="L2224" i="16"/>
  <c r="E525" i="20"/>
  <c r="E526" i="20" s="1"/>
  <c r="D808" i="20"/>
  <c r="E808" i="20" s="1"/>
  <c r="C808" i="20"/>
  <c r="M2091" i="16"/>
  <c r="M1886" i="16"/>
  <c r="N1886" i="16" s="1"/>
  <c r="D1920" i="16"/>
  <c r="D1596" i="16"/>
  <c r="F1595" i="16" s="1"/>
  <c r="D1928" i="16"/>
  <c r="F1927" i="16" s="1"/>
  <c r="N1530" i="16"/>
  <c r="N1592" i="16"/>
  <c r="N521" i="16" s="1"/>
  <c r="N101" i="20"/>
  <c r="N1399" i="12"/>
  <c r="N1797" i="12"/>
  <c r="N1819" i="12"/>
  <c r="N1817" i="12"/>
  <c r="N1801" i="12"/>
  <c r="N1800" i="12"/>
  <c r="N1827" i="12"/>
  <c r="N82" i="12"/>
  <c r="N1667" i="12"/>
  <c r="N1571" i="16"/>
  <c r="N518" i="16" s="1"/>
  <c r="N117" i="20"/>
  <c r="N1826" i="12"/>
  <c r="N63" i="12"/>
  <c r="N1878" i="12"/>
  <c r="N1916" i="12" s="1"/>
  <c r="N449" i="16"/>
  <c r="N2071" i="16"/>
  <c r="N1681" i="12"/>
  <c r="N31" i="20"/>
  <c r="N455" i="16"/>
  <c r="N1490" i="16"/>
  <c r="N96" i="16"/>
  <c r="N144" i="16" s="1"/>
  <c r="N1544" i="16"/>
  <c r="N452" i="16"/>
  <c r="N113" i="11"/>
  <c r="N1780" i="12"/>
  <c r="N786" i="16"/>
  <c r="N1318" i="16"/>
  <c r="N312" i="16" s="1"/>
  <c r="N1704" i="12"/>
  <c r="N362" i="16"/>
  <c r="N564" i="16"/>
  <c r="N1694" i="12"/>
  <c r="N1695" i="12"/>
  <c r="N615" i="16"/>
  <c r="N74" i="11"/>
  <c r="N1837" i="12"/>
  <c r="N1782" i="12"/>
  <c r="N1803" i="12"/>
  <c r="N130" i="20"/>
  <c r="N1696" i="12"/>
  <c r="N413" i="10"/>
  <c r="N100" i="20"/>
  <c r="N95" i="16"/>
  <c r="N1931" i="16"/>
  <c r="N1422" i="16"/>
  <c r="N95" i="20"/>
  <c r="N616" i="16"/>
  <c r="N1441" i="16"/>
  <c r="N279" i="16"/>
  <c r="N1802" i="12"/>
  <c r="N2036" i="16"/>
  <c r="N2062" i="16" s="1"/>
  <c r="N64" i="20"/>
  <c r="N1690" i="12"/>
  <c r="N277" i="16"/>
  <c r="N1639" i="12"/>
  <c r="N444" i="16"/>
  <c r="N180" i="11"/>
  <c r="N1661" i="12"/>
  <c r="N2041" i="16"/>
  <c r="N2067" i="16" s="1"/>
  <c r="N216" i="16"/>
  <c r="N58" i="20"/>
  <c r="N1726" i="12"/>
  <c r="N1679" i="12"/>
  <c r="N576" i="16"/>
  <c r="N1644" i="12"/>
  <c r="N127" i="20"/>
  <c r="N189" i="20"/>
  <c r="N38" i="16"/>
  <c r="N205" i="20"/>
  <c r="N80" i="20"/>
  <c r="N1838" i="12"/>
  <c r="N1434" i="16"/>
  <c r="N391" i="16" s="1"/>
  <c r="N1877" i="16"/>
  <c r="N1415" i="16"/>
  <c r="N1910" i="16"/>
  <c r="N1557" i="16"/>
  <c r="N516" i="16" s="1"/>
  <c r="N1401" i="16"/>
  <c r="N345" i="16" s="1"/>
  <c r="N446" i="16"/>
  <c r="N1723" i="12"/>
  <c r="N75" i="10"/>
  <c r="N12" i="11"/>
  <c r="N273" i="16"/>
  <c r="N175" i="20"/>
  <c r="N1737" i="12"/>
  <c r="N657" i="16"/>
  <c r="N357" i="16"/>
  <c r="N69" i="20"/>
  <c r="N1814" i="12"/>
  <c r="N617" i="12"/>
  <c r="N1799" i="12"/>
  <c r="N622" i="16"/>
  <c r="N625" i="16"/>
  <c r="N1774" i="12"/>
  <c r="N122" i="20"/>
  <c r="N90" i="22"/>
  <c r="N1796" i="12"/>
  <c r="N148" i="20"/>
  <c r="N63" i="18"/>
  <c r="N1606" i="16"/>
  <c r="N1448" i="16"/>
  <c r="N393" i="16" s="1"/>
  <c r="N1832" i="12"/>
  <c r="N353" i="16"/>
  <c r="N1523" i="16"/>
  <c r="N1599" i="16"/>
  <c r="N1297" i="16"/>
  <c r="N309" i="16" s="1"/>
  <c r="N1304" i="16"/>
  <c r="N129" i="20"/>
  <c r="N142" i="20"/>
  <c r="N114" i="12"/>
  <c r="N264" i="12" s="1"/>
  <c r="N66" i="20"/>
  <c r="N128" i="20"/>
  <c r="N1829" i="12"/>
  <c r="N61" i="20"/>
  <c r="N1716" i="12"/>
  <c r="N102" i="20"/>
  <c r="N1795" i="12"/>
  <c r="N423" i="16"/>
  <c r="N617" i="16"/>
  <c r="N124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196" i="20"/>
  <c r="N57" i="20"/>
  <c r="N454" i="16"/>
  <c r="N61" i="22"/>
  <c r="N68" i="20"/>
  <c r="N98" i="10"/>
  <c r="N62" i="20"/>
  <c r="N29" i="18"/>
  <c r="N192" i="20"/>
  <c r="N623" i="16"/>
  <c r="N359" i="16"/>
  <c r="N1727" i="12"/>
  <c r="N1825" i="12"/>
  <c r="N1736" i="12"/>
  <c r="N1828" i="12"/>
  <c r="N107" i="18"/>
  <c r="N172" i="20"/>
  <c r="N619" i="16"/>
  <c r="N276" i="16"/>
  <c r="N187" i="20"/>
  <c r="N2044" i="16"/>
  <c r="N426" i="16"/>
  <c r="N1682" i="12"/>
  <c r="N1670" i="12"/>
  <c r="N575" i="16"/>
  <c r="N1683" i="12"/>
  <c r="N1761" i="12"/>
  <c r="N73" i="12"/>
  <c r="N1903" i="16"/>
  <c r="N356" i="16"/>
  <c r="N1705" i="12"/>
  <c r="N1699" i="12"/>
  <c r="N1163" i="12"/>
  <c r="N188" i="20"/>
  <c r="N618" i="16"/>
  <c r="N1839" i="12"/>
  <c r="N1677" i="12"/>
  <c r="N1785" i="12"/>
  <c r="N104" i="11"/>
  <c r="N174" i="20"/>
  <c r="N432" i="16"/>
  <c r="N1693" i="12"/>
  <c r="N1836" i="12"/>
  <c r="N355" i="16"/>
  <c r="N83" i="18"/>
  <c r="N420" i="16"/>
  <c r="N1678" i="12"/>
  <c r="N1793" i="12"/>
  <c r="N103" i="16"/>
  <c r="N176" i="20"/>
  <c r="N103" i="20"/>
  <c r="N2037" i="16"/>
  <c r="N2063" i="16" s="1"/>
  <c r="N12" i="18"/>
  <c r="N71" i="20"/>
  <c r="N134" i="22"/>
  <c r="N149" i="20"/>
  <c r="N145" i="20"/>
  <c r="N190" i="20"/>
  <c r="N582" i="16"/>
  <c r="N280" i="16"/>
  <c r="N1791" i="12"/>
  <c r="N1745" i="12"/>
  <c r="N32" i="22"/>
  <c r="N147" i="20"/>
  <c r="N578" i="16"/>
  <c r="N1712" i="12"/>
  <c r="N169" i="20"/>
  <c r="N2034" i="16"/>
  <c r="N2060" i="16" s="1"/>
  <c r="N2088" i="16" s="1"/>
  <c r="N620" i="16"/>
  <c r="N197" i="16"/>
  <c r="N1822" i="12"/>
  <c r="N1756" i="12"/>
  <c r="N98" i="16"/>
  <c r="N151" i="20"/>
  <c r="N134" i="20"/>
  <c r="N278" i="16"/>
  <c r="N173" i="20"/>
  <c r="N49" i="20"/>
  <c r="N12" i="22"/>
  <c r="N60" i="20"/>
  <c r="N140" i="20"/>
  <c r="N93" i="20"/>
  <c r="N438" i="16"/>
  <c r="N1701" i="12"/>
  <c r="N1680" i="12"/>
  <c r="N137" i="20"/>
  <c r="N135" i="16"/>
  <c r="N385" i="10"/>
  <c r="N489" i="10" s="1"/>
  <c r="N146" i="20"/>
  <c r="N2033" i="16"/>
  <c r="N2059" i="16" s="1"/>
  <c r="N440" i="16"/>
  <c r="N156" i="20"/>
  <c r="N179" i="20"/>
  <c r="N116" i="18"/>
  <c r="N1811" i="12"/>
  <c r="N197" i="20"/>
  <c r="N2040" i="16"/>
  <c r="N2066" i="16" s="1"/>
  <c r="N2094" i="16" s="1"/>
  <c r="N443" i="16"/>
  <c r="N275" i="16"/>
  <c r="N1834" i="12"/>
  <c r="N1805" i="12"/>
  <c r="N44" i="18"/>
  <c r="N59" i="20"/>
  <c r="N457" i="16"/>
  <c r="N46" i="10"/>
  <c r="N138" i="20"/>
  <c r="N2038" i="16"/>
  <c r="N2064" i="16" s="1"/>
  <c r="N421" i="16"/>
  <c r="N1698" i="12"/>
  <c r="N1806" i="12"/>
  <c r="N1760" i="12"/>
  <c r="N12" i="10"/>
  <c r="N417" i="16"/>
  <c r="N1714" i="12"/>
  <c r="N1640" i="12"/>
  <c r="N1502" i="16"/>
  <c r="N365" i="16" s="1"/>
  <c r="N119" i="20"/>
  <c r="N361" i="16"/>
  <c r="N1790" i="12"/>
  <c r="N1675" i="12"/>
  <c r="N95" i="11"/>
  <c r="N171" i="20"/>
  <c r="N436" i="16"/>
  <c r="N1697" i="12"/>
  <c r="N1671" i="12"/>
  <c r="N574" i="16"/>
  <c r="N98" i="20"/>
  <c r="N1884" i="12"/>
  <c r="N1778" i="12"/>
  <c r="N2085" i="16"/>
  <c r="N1804" i="12"/>
  <c r="N1770" i="12"/>
  <c r="N1398" i="12"/>
  <c r="N104" i="16"/>
  <c r="N100" i="16"/>
  <c r="N65" i="20"/>
  <c r="N603" i="12"/>
  <c r="N125" i="20"/>
  <c r="N219" i="10"/>
  <c r="N85" i="20"/>
  <c r="N1715" i="12"/>
  <c r="N1820" i="12"/>
  <c r="N144" i="20"/>
  <c r="N1836" i="16"/>
  <c r="N461" i="16" s="1"/>
  <c r="N150" i="20"/>
  <c r="N621" i="16"/>
  <c r="N268" i="16"/>
  <c r="N12" i="16"/>
  <c r="N192" i="16" s="1"/>
  <c r="N453" i="16"/>
  <c r="N1734" i="12"/>
  <c r="N1752" i="12"/>
  <c r="N1504" i="16"/>
  <c r="N367" i="16" s="1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193" i="20"/>
  <c r="N282" i="16"/>
  <c r="N1783" i="12"/>
  <c r="N1777" i="12"/>
  <c r="N62" i="16"/>
  <c r="N1728" i="12"/>
  <c r="N1835" i="16"/>
  <c r="N460" i="16" s="1"/>
  <c r="N1824" i="12"/>
  <c r="N1815" i="12"/>
  <c r="N2035" i="16"/>
  <c r="N2061" i="16" s="1"/>
  <c r="N2089" i="16" s="1"/>
  <c r="N198" i="16"/>
  <c r="N1837" i="16"/>
  <c r="N462" i="16" s="1"/>
  <c r="N91" i="12"/>
  <c r="N274" i="16"/>
  <c r="N1722" i="12"/>
  <c r="N1924" i="16"/>
  <c r="N1311" i="16"/>
  <c r="N1516" i="16"/>
  <c r="N1776" i="12"/>
  <c r="N35" i="11"/>
  <c r="N1666" i="12"/>
  <c r="N2039" i="16"/>
  <c r="N2065" i="16" s="1"/>
  <c r="N2093" i="16" s="1"/>
  <c r="N1157" i="12"/>
  <c r="N1455" i="16"/>
  <c r="N84" i="20"/>
  <c r="N242" i="10"/>
  <c r="N577" i="16"/>
  <c r="N115" i="22"/>
  <c r="N2031" i="16"/>
  <c r="N46" i="16"/>
  <c r="N1672" i="12"/>
  <c r="N12" i="20"/>
  <c r="N25" i="20" s="1"/>
  <c r="N1188" i="20" s="1"/>
  <c r="N1222" i="20" s="1"/>
  <c r="N1235" i="20" s="1"/>
  <c r="N1248" i="20" s="1"/>
  <c r="N429" i="16"/>
  <c r="N191" i="20"/>
  <c r="N120" i="20"/>
  <c r="N1784" i="12"/>
  <c r="N1813" i="12"/>
  <c r="N435" i="16"/>
  <c r="N1794" i="12"/>
  <c r="N698" i="12"/>
  <c r="N160" i="20"/>
  <c r="N427" i="16"/>
  <c r="N1757" i="12"/>
  <c r="N99" i="20"/>
  <c r="N70" i="16"/>
  <c r="N1740" i="12"/>
  <c r="N53" i="11"/>
  <c r="N133" i="20"/>
  <c r="N1768" i="12"/>
  <c r="N1674" i="12"/>
  <c r="N1578" i="16"/>
  <c r="N352" i="16"/>
  <c r="N1833" i="12"/>
  <c r="N327" i="16"/>
  <c r="N141" i="20"/>
  <c r="N325" i="16"/>
  <c r="N329" i="16"/>
  <c r="N1840" i="12"/>
  <c r="N921" i="12"/>
  <c r="N1821" i="12"/>
  <c r="N42" i="12"/>
  <c r="N1400" i="12"/>
  <c r="N1742" i="12"/>
  <c r="N450" i="16"/>
  <c r="N1798" i="12"/>
  <c r="N1290" i="16"/>
  <c r="N1462" i="16"/>
  <c r="N1673" i="12"/>
  <c r="N1792" i="12"/>
  <c r="N583" i="16"/>
  <c r="N1325" i="16"/>
  <c r="N1665" i="12"/>
  <c r="N222" i="11"/>
  <c r="N2057" i="16"/>
  <c r="N1739" i="12"/>
  <c r="N154" i="20"/>
  <c r="N83" i="20"/>
  <c r="N72" i="20"/>
  <c r="N70" i="22"/>
  <c r="N363" i="10"/>
  <c r="N74" i="18"/>
  <c r="N177" i="20"/>
  <c r="N1759" i="12"/>
  <c r="N1781" i="12"/>
  <c r="N126" i="20"/>
  <c r="N442" i="16"/>
  <c r="N121" i="20"/>
  <c r="N579" i="16"/>
  <c r="N1831" i="12"/>
  <c r="N1733" i="12"/>
  <c r="N358" i="16"/>
  <c r="N1692" i="12"/>
  <c r="N1689" i="12"/>
  <c r="N330" i="16"/>
  <c r="N1691" i="12"/>
  <c r="N32" i="12"/>
  <c r="N123" i="20"/>
  <c r="N1772" i="12"/>
  <c r="N1668" i="12"/>
  <c r="N171" i="11"/>
  <c r="N139" i="20"/>
  <c r="N1835" i="12"/>
  <c r="N1724" i="12"/>
  <c r="N240" i="11"/>
  <c r="N422" i="16"/>
  <c r="N1741" i="12"/>
  <c r="N328" i="16"/>
  <c r="N63" i="20"/>
  <c r="N272" i="16"/>
  <c r="N1754" i="12"/>
  <c r="N1638" i="12"/>
  <c r="N81" i="20"/>
  <c r="N1744" i="12"/>
  <c r="N1421" i="12"/>
  <c r="N1551" i="12" s="1"/>
  <c r="N156" i="10"/>
  <c r="N1725" i="12"/>
  <c r="N283" i="16"/>
  <c r="N629" i="12"/>
  <c r="N1816" i="12"/>
  <c r="N1771" i="12"/>
  <c r="N1889" i="16"/>
  <c r="N602" i="16" s="1"/>
  <c r="N1896" i="16"/>
  <c r="N603" i="16" s="1"/>
  <c r="N1469" i="16"/>
  <c r="N396" i="16" s="1"/>
  <c r="N1476" i="16"/>
  <c r="N1537" i="16"/>
  <c r="N178" i="20"/>
  <c r="N1743" i="12"/>
  <c r="N418" i="16"/>
  <c r="N1706" i="12"/>
  <c r="N354" i="16"/>
  <c r="N940" i="12"/>
  <c r="N79" i="16"/>
  <c r="N127" i="10"/>
  <c r="N581" i="16"/>
  <c r="N143" i="20"/>
  <c r="N153" i="20"/>
  <c r="N195" i="20"/>
  <c r="N580" i="16"/>
  <c r="N1750" i="12"/>
  <c r="N1769" i="12"/>
  <c r="N152" i="20"/>
  <c r="N424" i="16"/>
  <c r="N116" i="20"/>
  <c r="N456" i="16"/>
  <c r="N1747" i="12"/>
  <c r="N1404" i="12"/>
  <c r="N271" i="16"/>
  <c r="N1707" i="12"/>
  <c r="N1181" i="12"/>
  <c r="N84" i="22"/>
  <c r="N1773" i="12"/>
  <c r="N136" i="20"/>
  <c r="N1664" i="12"/>
  <c r="N1713" i="12"/>
  <c r="N97" i="16"/>
  <c r="N51" i="22"/>
  <c r="N448" i="16"/>
  <c r="N70" i="20"/>
  <c r="N135" i="20"/>
  <c r="N131" i="20"/>
  <c r="N624" i="16"/>
  <c r="N1786" i="12"/>
  <c r="N1812" i="12"/>
  <c r="N334" i="10"/>
  <c r="N67" i="20"/>
  <c r="N190" i="10"/>
  <c r="N97" i="20"/>
  <c r="N360" i="16"/>
  <c r="N1779" i="12"/>
  <c r="N1703" i="12"/>
  <c r="N30" i="20"/>
  <c r="N1755" i="12"/>
  <c r="N54" i="16"/>
  <c r="N23" i="12"/>
  <c r="N132" i="20"/>
  <c r="N1751" i="12"/>
  <c r="N1732" i="12"/>
  <c r="N269" i="16"/>
  <c r="N451" i="16"/>
  <c r="N1818" i="12"/>
  <c r="N96" i="20"/>
  <c r="N447" i="16"/>
  <c r="N94" i="20"/>
  <c r="N1483" i="16"/>
  <c r="N1775" i="12"/>
  <c r="N1503" i="16"/>
  <c r="N366" i="16" s="1"/>
  <c r="N201" i="11"/>
  <c r="N124" i="11"/>
  <c r="N1408" i="16"/>
  <c r="N346" i="16" s="1"/>
  <c r="N44" i="11"/>
  <c r="N1731" i="12"/>
  <c r="N271" i="10"/>
  <c r="N1758" i="12"/>
  <c r="N419" i="16"/>
  <c r="N441" i="16"/>
  <c r="N194" i="20"/>
  <c r="N1748" i="12"/>
  <c r="N22" i="16"/>
  <c r="N41" i="22"/>
  <c r="N433" i="16"/>
  <c r="N155" i="20"/>
  <c r="N174" i="16"/>
  <c r="N471" i="20"/>
  <c r="N1301" i="16"/>
  <c r="N1391" i="16"/>
  <c r="N1405" i="16"/>
  <c r="N2154" i="16" s="1"/>
  <c r="N898" i="16"/>
  <c r="N892" i="16"/>
  <c r="N328" i="20"/>
  <c r="M1134" i="16"/>
  <c r="M2113" i="16" s="1"/>
  <c r="D381" i="20"/>
  <c r="C383" i="20"/>
  <c r="C384" i="20" s="1"/>
  <c r="K384" i="20" s="1"/>
  <c r="K385" i="20" s="1"/>
  <c r="L2068" i="16"/>
  <c r="L2069" i="16" s="1"/>
  <c r="D66" i="25"/>
  <c r="L1135" i="16"/>
  <c r="L1136" i="16" s="1"/>
  <c r="M2049" i="16"/>
  <c r="M2076" i="16"/>
  <c r="N485" i="20"/>
  <c r="M2048" i="16"/>
  <c r="M2061" i="16"/>
  <c r="L2072" i="16"/>
  <c r="M116" i="12"/>
  <c r="M2053" i="16"/>
  <c r="E13" i="25"/>
  <c r="M161" i="12"/>
  <c r="D163" i="25"/>
  <c r="D427" i="25"/>
  <c r="M2050" i="16"/>
  <c r="D379" i="25"/>
  <c r="D475" i="25"/>
  <c r="D592" i="25" s="1"/>
  <c r="D332" i="25"/>
  <c r="E77" i="25"/>
  <c r="M264" i="12"/>
  <c r="M206" i="12"/>
  <c r="M434" i="12"/>
  <c r="M594" i="12"/>
  <c r="M585" i="12"/>
  <c r="M221" i="12"/>
  <c r="M306" i="12"/>
  <c r="L364" i="20"/>
  <c r="M364" i="20" s="1"/>
  <c r="M2065" i="16"/>
  <c r="M2093" i="16" s="1"/>
  <c r="N1280" i="16"/>
  <c r="N2135" i="16" s="1"/>
  <c r="N1459" i="16"/>
  <c r="N2163" i="16" s="1"/>
  <c r="M2066" i="16"/>
  <c r="M2094" i="16" s="1"/>
  <c r="M2046" i="16"/>
  <c r="N349" i="20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43" i="20"/>
  <c r="N36" i="20"/>
  <c r="N48" i="20"/>
  <c r="N34" i="20"/>
  <c r="N46" i="20"/>
  <c r="N35" i="20"/>
  <c r="N44" i="20"/>
  <c r="N42" i="20"/>
  <c r="N39" i="20"/>
  <c r="N38" i="20"/>
  <c r="N32" i="20"/>
  <c r="N45" i="20"/>
  <c r="N40" i="20"/>
  <c r="N41" i="20"/>
  <c r="N37" i="20"/>
  <c r="N47" i="20"/>
  <c r="N33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49" i="16"/>
  <c r="K2253" i="16" s="1"/>
  <c r="K2265" i="16" s="1"/>
  <c r="K2252" i="16"/>
  <c r="K2264" i="16" s="1"/>
  <c r="K57" i="16"/>
  <c r="K2254" i="16" s="1"/>
  <c r="K2266" i="16" s="1"/>
  <c r="K33" i="16"/>
  <c r="K2251" i="16" s="1"/>
  <c r="K2263" i="16" s="1"/>
  <c r="N1907" i="16"/>
  <c r="N2226" i="16" s="1"/>
  <c r="N363" i="20"/>
  <c r="L1171" i="16"/>
  <c r="L336" i="20"/>
  <c r="L337" i="20" s="1"/>
  <c r="L357" i="20"/>
  <c r="M357" i="20" s="1"/>
  <c r="M358" i="20" s="1"/>
  <c r="L350" i="20"/>
  <c r="M350" i="20" s="1"/>
  <c r="M351" i="20" s="1"/>
  <c r="N356" i="20"/>
  <c r="L358" i="20"/>
  <c r="M365" i="20"/>
  <c r="L365" i="20"/>
  <c r="M1169" i="16"/>
  <c r="M2118" i="16" s="1"/>
  <c r="L1163" i="16"/>
  <c r="L1164" i="16" s="1"/>
  <c r="L1170" i="16"/>
  <c r="L1149" i="16"/>
  <c r="L1150" i="16" s="1"/>
  <c r="L370" i="20"/>
  <c r="L372" i="20" s="1"/>
  <c r="M1158" i="16"/>
  <c r="M248" i="16" s="1"/>
  <c r="N1155" i="16"/>
  <c r="N2116" i="16" s="1"/>
  <c r="M1162" i="16"/>
  <c r="M2117" i="16" s="1"/>
  <c r="M1156" i="16"/>
  <c r="M1157" i="16" s="1"/>
  <c r="M1148" i="16"/>
  <c r="M2115" i="16" s="1"/>
  <c r="M875" i="16"/>
  <c r="L876" i="16"/>
  <c r="N1332" i="16"/>
  <c r="J930" i="16"/>
  <c r="B925" i="16"/>
  <c r="M1141" i="16"/>
  <c r="M2114" i="16" s="1"/>
  <c r="L1144" i="16"/>
  <c r="L246" i="16" s="1"/>
  <c r="K1177" i="16"/>
  <c r="K1178" i="16" s="1"/>
  <c r="K1179" i="16"/>
  <c r="K251" i="16" s="1"/>
  <c r="D1333" i="16"/>
  <c r="N1339" i="16" s="1"/>
  <c r="B1326" i="16"/>
  <c r="K1190" i="16"/>
  <c r="K2121" i="16" s="1"/>
  <c r="D1189" i="16"/>
  <c r="D1190" i="16" s="1"/>
  <c r="F1189" i="16" s="1"/>
  <c r="D1327" i="16"/>
  <c r="E1327" i="16"/>
  <c r="F1327" i="16" s="1"/>
  <c r="E1196" i="16"/>
  <c r="E1195" i="16"/>
  <c r="F1195" i="16" s="1"/>
  <c r="D1201" i="16"/>
  <c r="D1195" i="16"/>
  <c r="E1328" i="16"/>
  <c r="D1328" i="16" s="1"/>
  <c r="L1332" i="16"/>
  <c r="M1332" i="16"/>
  <c r="M314" i="16" s="1"/>
  <c r="D1182" i="16"/>
  <c r="D1183" i="16" s="1"/>
  <c r="F1182" i="16" s="1"/>
  <c r="D1176" i="16"/>
  <c r="K1183" i="16"/>
  <c r="K2120" i="16" s="1"/>
  <c r="K377" i="20"/>
  <c r="K378" i="20" s="1"/>
  <c r="K372" i="20"/>
  <c r="M757" i="16"/>
  <c r="L699" i="16"/>
  <c r="M1283" i="16"/>
  <c r="M307" i="16" s="1"/>
  <c r="M322" i="16" s="1"/>
  <c r="M76" i="20" s="1"/>
  <c r="N886" i="16"/>
  <c r="N880" i="16"/>
  <c r="M2163" i="16"/>
  <c r="N1287" i="16"/>
  <c r="N845" i="20"/>
  <c r="N847" i="20" s="1"/>
  <c r="M762" i="16"/>
  <c r="M750" i="16"/>
  <c r="M212" i="20" s="1"/>
  <c r="M768" i="16"/>
  <c r="M230" i="20" s="1"/>
  <c r="M781" i="16"/>
  <c r="M243" i="20" s="1"/>
  <c r="M2226" i="16"/>
  <c r="N1398" i="16"/>
  <c r="N2153" i="16" s="1"/>
  <c r="M500" i="20"/>
  <c r="M501" i="20" s="1"/>
  <c r="M1399" i="16"/>
  <c r="M1400" i="16" s="1"/>
  <c r="N499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46" i="20"/>
  <c r="M847" i="20" s="1"/>
  <c r="M329" i="20"/>
  <c r="M1204" i="12"/>
  <c r="M1392" i="12" s="1"/>
  <c r="M73" i="20"/>
  <c r="M1203" i="20" s="1"/>
  <c r="M180" i="20"/>
  <c r="M1208" i="20" s="1"/>
  <c r="M331" i="16"/>
  <c r="M806" i="16" s="1"/>
  <c r="M1138" i="12"/>
  <c r="M1158" i="12" s="1"/>
  <c r="M896" i="12"/>
  <c r="M916" i="12" s="1"/>
  <c r="M1932" i="12" s="1"/>
  <c r="M86" i="20"/>
  <c r="M1205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684" i="12"/>
  <c r="M1872" i="12" s="1"/>
  <c r="M1041" i="12"/>
  <c r="M1154" i="12" s="1"/>
  <c r="M1762" i="12"/>
  <c r="M1875" i="12" s="1"/>
  <c r="M1913" i="12" s="1"/>
  <c r="M284" i="16"/>
  <c r="M804" i="16" s="1"/>
  <c r="M198" i="20"/>
  <c r="M1209" i="20" s="1"/>
  <c r="M987" i="12"/>
  <c r="M1152" i="12" s="1"/>
  <c r="M963" i="12"/>
  <c r="M1151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L1160" i="12"/>
  <c r="L1170" i="12" s="1"/>
  <c r="L1171" i="12" s="1"/>
  <c r="M745" i="16"/>
  <c r="M207" i="20" s="1"/>
  <c r="M783" i="16"/>
  <c r="M245" i="20" s="1"/>
  <c r="M761" i="16"/>
  <c r="M223" i="20" s="1"/>
  <c r="M782" i="16"/>
  <c r="M244" i="20" s="1"/>
  <c r="M746" i="16"/>
  <c r="M208" i="20" s="1"/>
  <c r="M771" i="16"/>
  <c r="M233" i="20" s="1"/>
  <c r="M765" i="16"/>
  <c r="M227" i="20" s="1"/>
  <c r="M763" i="16"/>
  <c r="M225" i="20" s="1"/>
  <c r="M759" i="16"/>
  <c r="M221" i="20" s="1"/>
  <c r="M770" i="16"/>
  <c r="M232" i="20" s="1"/>
  <c r="M749" i="16"/>
  <c r="M211" i="20" s="1"/>
  <c r="M748" i="16"/>
  <c r="M769" i="16"/>
  <c r="M231" i="20" s="1"/>
  <c r="M747" i="16"/>
  <c r="M878" i="12"/>
  <c r="M914" i="12" s="1"/>
  <c r="M1929" i="12" s="1"/>
  <c r="M2135" i="16"/>
  <c r="M758" i="16"/>
  <c r="M220" i="20" s="1"/>
  <c r="M772" i="16"/>
  <c r="M234" i="20" s="1"/>
  <c r="M776" i="16"/>
  <c r="M238" i="20" s="1"/>
  <c r="M775" i="16"/>
  <c r="M237" i="20" s="1"/>
  <c r="M764" i="16"/>
  <c r="M226" i="20" s="1"/>
  <c r="M1281" i="16"/>
  <c r="L805" i="16"/>
  <c r="M905" i="12"/>
  <c r="M917" i="12" s="1"/>
  <c r="M1933" i="12" s="1"/>
  <c r="M721" i="12"/>
  <c r="M909" i="12" s="1"/>
  <c r="M1924" i="12" s="1"/>
  <c r="M751" i="16"/>
  <c r="M213" i="20" s="1"/>
  <c r="M754" i="16"/>
  <c r="M216" i="20" s="1"/>
  <c r="M753" i="16"/>
  <c r="M752" i="16"/>
  <c r="M214" i="20" s="1"/>
  <c r="M773" i="16"/>
  <c r="M774" i="16"/>
  <c r="M236" i="20" s="1"/>
  <c r="M780" i="16"/>
  <c r="M755" i="16"/>
  <c r="M217" i="20" s="1"/>
  <c r="M778" i="16"/>
  <c r="M240" i="20" s="1"/>
  <c r="M779" i="16"/>
  <c r="M767" i="16"/>
  <c r="M229" i="20" s="1"/>
  <c r="M777" i="16"/>
  <c r="M239" i="20" s="1"/>
  <c r="M760" i="16"/>
  <c r="M756" i="16"/>
  <c r="M218" i="20" s="1"/>
  <c r="M486" i="20"/>
  <c r="M745" i="12"/>
  <c r="M910" i="12" s="1"/>
  <c r="M1925" i="12" s="1"/>
  <c r="L1917" i="12"/>
  <c r="L1920" i="12" s="1"/>
  <c r="M844" i="12"/>
  <c r="M913" i="12" s="1"/>
  <c r="M1928" i="12" s="1"/>
  <c r="M799" i="12"/>
  <c r="M912" i="12" s="1"/>
  <c r="M1927" i="12" s="1"/>
  <c r="M1555" i="16"/>
  <c r="M1556" i="16" s="1"/>
  <c r="N1554" i="16"/>
  <c r="N2176" i="16" s="1"/>
  <c r="L1468" i="12"/>
  <c r="L1633" i="12" s="1"/>
  <c r="M754" i="12"/>
  <c r="M911" i="12" s="1"/>
  <c r="M1926" i="12" s="1"/>
  <c r="L1881" i="12"/>
  <c r="L1891" i="12" s="1"/>
  <c r="L1477" i="12"/>
  <c r="L1634" i="12" s="1"/>
  <c r="L1601" i="12"/>
  <c r="L1637" i="12" s="1"/>
  <c r="L1444" i="12"/>
  <c r="L1632" i="12" s="1"/>
  <c r="L1522" i="12"/>
  <c r="L1635" i="12" s="1"/>
  <c r="L1567" i="12"/>
  <c r="L1636" i="12" s="1"/>
  <c r="J135" i="10"/>
  <c r="J136" i="10"/>
  <c r="M2154" i="16"/>
  <c r="L917" i="12"/>
  <c r="L1933" i="12" s="1"/>
  <c r="L912" i="12"/>
  <c r="L1927" i="12" s="1"/>
  <c r="M1406" i="16"/>
  <c r="M1407" i="16" s="1"/>
  <c r="N1561" i="16"/>
  <c r="N2177" i="16" s="1"/>
  <c r="M1562" i="16"/>
  <c r="M1563" i="16" s="1"/>
  <c r="L462" i="20"/>
  <c r="M462" i="20" s="1"/>
  <c r="L463" i="20"/>
  <c r="N461" i="20"/>
  <c r="L1924" i="12"/>
  <c r="L1928" i="12"/>
  <c r="L1932" i="12"/>
  <c r="L1925" i="12"/>
  <c r="M1453" i="16"/>
  <c r="M1454" i="16" s="1"/>
  <c r="N1452" i="16"/>
  <c r="K80" i="10"/>
  <c r="K494" i="10"/>
  <c r="K918" i="12"/>
  <c r="K928" i="12" s="1"/>
  <c r="K929" i="12" s="1"/>
  <c r="M493" i="20"/>
  <c r="M494" i="20" s="1"/>
  <c r="N492" i="20"/>
  <c r="K1927" i="12"/>
  <c r="K1931" i="12" s="1"/>
  <c r="K1934" i="12" s="1"/>
  <c r="K1891" i="12"/>
  <c r="M1446" i="16"/>
  <c r="M1447" i="16" s="1"/>
  <c r="N1445" i="16"/>
  <c r="N1431" i="16"/>
  <c r="N2159" i="16" s="1"/>
  <c r="M1392" i="16"/>
  <c r="M1393" i="16" s="1"/>
  <c r="M472" i="20"/>
  <c r="M473" i="20" s="1"/>
  <c r="M479" i="20"/>
  <c r="M480" i="20" s="1"/>
  <c r="N1412" i="16"/>
  <c r="N2155" i="16" s="1"/>
  <c r="N1294" i="16"/>
  <c r="M1295" i="16"/>
  <c r="M1296" i="16" s="1"/>
  <c r="M1432" i="16"/>
  <c r="M1433" i="16" s="1"/>
  <c r="M1413" i="16"/>
  <c r="M1414" i="16" s="1"/>
  <c r="M2137" i="16"/>
  <c r="N478" i="20"/>
  <c r="N1438" i="16"/>
  <c r="N2160" i="16" s="1"/>
  <c r="M1439" i="16"/>
  <c r="M1440" i="16" s="1"/>
  <c r="M2152" i="16"/>
  <c r="C186" i="8"/>
  <c r="K1641" i="12"/>
  <c r="K1646" i="12" s="1"/>
  <c r="N506" i="20"/>
  <c r="N508" i="20" s="1"/>
  <c r="M507" i="20"/>
  <c r="M508" i="20" s="1"/>
  <c r="L1142" i="16"/>
  <c r="L1143" i="16" s="1"/>
  <c r="L899" i="16"/>
  <c r="M899" i="16" s="1"/>
  <c r="L894" i="16"/>
  <c r="L904" i="16"/>
  <c r="M904" i="16" s="1"/>
  <c r="M2138" i="16"/>
  <c r="M1576" i="16"/>
  <c r="M1577" i="16" s="1"/>
  <c r="K152" i="16"/>
  <c r="K169" i="16" s="1"/>
  <c r="K186" i="16" s="1"/>
  <c r="K146" i="16"/>
  <c r="K162" i="16" s="1"/>
  <c r="K179" i="16" s="1"/>
  <c r="L514" i="20"/>
  <c r="M1302" i="16"/>
  <c r="M1303" i="16" s="1"/>
  <c r="M893" i="16"/>
  <c r="N1575" i="16"/>
  <c r="L1468" i="16"/>
  <c r="L2164" i="16"/>
  <c r="N1466" i="16"/>
  <c r="L1467" i="16"/>
  <c r="M1467" i="16" s="1"/>
  <c r="L1584" i="16"/>
  <c r="L520" i="20"/>
  <c r="L894" i="20"/>
  <c r="L1583" i="16"/>
  <c r="M1583" i="16" s="1"/>
  <c r="L2180" i="16"/>
  <c r="L515" i="20"/>
  <c r="M513" i="20"/>
  <c r="N513" i="20" s="1"/>
  <c r="N335" i="20"/>
  <c r="C538" i="20"/>
  <c r="D900" i="20" s="1"/>
  <c r="E900" i="20" s="1"/>
  <c r="K901" i="20" s="1"/>
  <c r="K902" i="20" s="1"/>
  <c r="D533" i="20"/>
  <c r="D532" i="20"/>
  <c r="C533" i="20"/>
  <c r="C534" i="20" s="1"/>
  <c r="C532" i="20"/>
  <c r="K521" i="20"/>
  <c r="K527" i="20"/>
  <c r="C912" i="20"/>
  <c r="C907" i="20"/>
  <c r="C908" i="20" s="1"/>
  <c r="K895" i="20"/>
  <c r="M2180" i="16"/>
  <c r="N1582" i="16"/>
  <c r="N2180" i="16" s="1"/>
  <c r="L1589" i="16"/>
  <c r="K910" i="16"/>
  <c r="K911" i="16" s="1"/>
  <c r="K912" i="16" s="1"/>
  <c r="K1928" i="16"/>
  <c r="N1308" i="16"/>
  <c r="M881" i="16"/>
  <c r="M882" i="16" s="1"/>
  <c r="D1939" i="16"/>
  <c r="N1945" i="16" s="1"/>
  <c r="E1933" i="16"/>
  <c r="F1933" i="16" s="1"/>
  <c r="E1934" i="16"/>
  <c r="D1934" i="16" s="1"/>
  <c r="B1932" i="16"/>
  <c r="N1938" i="16"/>
  <c r="D1933" i="16"/>
  <c r="L1938" i="16"/>
  <c r="K1938" i="16"/>
  <c r="M887" i="16"/>
  <c r="E927" i="16"/>
  <c r="E926" i="16"/>
  <c r="F926" i="16" s="1"/>
  <c r="C928" i="16"/>
  <c r="D926" i="16"/>
  <c r="D916" i="16"/>
  <c r="D921" i="16"/>
  <c r="M1309" i="16"/>
  <c r="M1310" i="16" s="1"/>
  <c r="M2139" i="16"/>
  <c r="M1460" i="16"/>
  <c r="M1461" i="16" s="1"/>
  <c r="K2096" i="16"/>
  <c r="L2075" i="16"/>
  <c r="K2082" i="16"/>
  <c r="K256" i="20" s="1"/>
  <c r="E1602" i="16"/>
  <c r="D1602" i="16" s="1"/>
  <c r="E1601" i="16"/>
  <c r="F1601" i="16" s="1"/>
  <c r="D1601" i="16"/>
  <c r="M1606" i="16"/>
  <c r="D1607" i="16"/>
  <c r="K1606" i="16"/>
  <c r="L1606" i="16"/>
  <c r="B1600" i="16"/>
  <c r="K2181" i="16"/>
  <c r="K1590" i="16"/>
  <c r="K1591" i="16" s="1"/>
  <c r="K1596" i="16"/>
  <c r="D2014" i="16"/>
  <c r="D1479" i="16"/>
  <c r="B1484" i="16"/>
  <c r="E1486" i="16"/>
  <c r="D1486" i="16" s="1"/>
  <c r="E1485" i="16"/>
  <c r="F1485" i="16" s="1"/>
  <c r="D1485" i="16"/>
  <c r="D1491" i="16"/>
  <c r="K1490" i="16"/>
  <c r="L1490" i="16"/>
  <c r="M1490" i="16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57" i="22" s="1"/>
  <c r="P58" i="22" s="1"/>
  <c r="P33" i="22"/>
  <c r="P37" i="22" s="1"/>
  <c r="O38" i="22"/>
  <c r="O106" i="11" s="1"/>
  <c r="R22" i="20"/>
  <c r="M463" i="20"/>
  <c r="R15" i="22"/>
  <c r="R17" i="22" s="1"/>
  <c r="M201" i="18"/>
  <c r="M200" i="18"/>
  <c r="M199" i="18"/>
  <c r="N35" i="8" l="1"/>
  <c r="N612" i="16"/>
  <c r="N183" i="20" s="1"/>
  <c r="N349" i="16"/>
  <c r="N89" i="20" s="1"/>
  <c r="N406" i="16"/>
  <c r="N112" i="20" s="1"/>
  <c r="N561" i="16"/>
  <c r="N165" i="20" s="1"/>
  <c r="M114" i="10"/>
  <c r="M113" i="10"/>
  <c r="L351" i="20"/>
  <c r="L246" i="20"/>
  <c r="M105" i="10"/>
  <c r="L84" i="10"/>
  <c r="L114" i="10"/>
  <c r="M79" i="10"/>
  <c r="L366" i="10"/>
  <c r="N744" i="16"/>
  <c r="N206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92" i="10"/>
  <c r="N91" i="10" s="1"/>
  <c r="N105" i="10" s="1"/>
  <c r="N116" i="10"/>
  <c r="N1283" i="16"/>
  <c r="N307" i="16" s="1"/>
  <c r="M1137" i="16"/>
  <c r="M245" i="16" s="1"/>
  <c r="S42" i="22"/>
  <c r="S46" i="22" s="1"/>
  <c r="R47" i="22"/>
  <c r="R48" i="22" s="1"/>
  <c r="S106" i="22"/>
  <c r="S110" i="22" s="1"/>
  <c r="R111" i="22"/>
  <c r="R112" i="22" s="1"/>
  <c r="R121" i="22"/>
  <c r="R122" i="22" s="1"/>
  <c r="S116" i="22"/>
  <c r="S120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N1568" i="16"/>
  <c r="N2178" i="16" s="1"/>
  <c r="K1474" i="16"/>
  <c r="L2227" i="16"/>
  <c r="M1569" i="16"/>
  <c r="L1915" i="16"/>
  <c r="M1915" i="16" s="1"/>
  <c r="M1570" i="16"/>
  <c r="L1916" i="16"/>
  <c r="M1916" i="16" s="1"/>
  <c r="L1887" i="16"/>
  <c r="M1887" i="16" s="1"/>
  <c r="N1887" i="16" s="1"/>
  <c r="K1323" i="16"/>
  <c r="K1324" i="16" s="1"/>
  <c r="K2141" i="16"/>
  <c r="L1894" i="16"/>
  <c r="M1894" i="16" s="1"/>
  <c r="K1475" i="16"/>
  <c r="K1900" i="16"/>
  <c r="E127" i="25"/>
  <c r="E135" i="25" s="1"/>
  <c r="E146" i="25" s="1"/>
  <c r="E154" i="25" s="1"/>
  <c r="N777" i="16"/>
  <c r="N239" i="20" s="1"/>
  <c r="C395" i="20"/>
  <c r="C397" i="20" s="1"/>
  <c r="C398" i="20" s="1"/>
  <c r="D388" i="20"/>
  <c r="C389" i="20"/>
  <c r="K391" i="20" s="1"/>
  <c r="K392" i="20" s="1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733" i="12"/>
  <c r="O741" i="12"/>
  <c r="O730" i="12"/>
  <c r="O738" i="12"/>
  <c r="O727" i="12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47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05" i="12"/>
  <c r="O1188" i="12" s="1"/>
  <c r="O713" i="12"/>
  <c r="C144" i="25"/>
  <c r="C226" i="25"/>
  <c r="O180" i="11"/>
  <c r="O157" i="16"/>
  <c r="D263" i="25"/>
  <c r="D264" i="25"/>
  <c r="D144" i="25"/>
  <c r="J122" i="10"/>
  <c r="J123" i="10" s="1"/>
  <c r="K122" i="10" s="1"/>
  <c r="I124" i="10"/>
  <c r="I125" i="10"/>
  <c r="D226" i="25"/>
  <c r="D225" i="25"/>
  <c r="D143" i="25"/>
  <c r="D209" i="25"/>
  <c r="D247" i="25" s="1"/>
  <c r="D266" i="25" s="1"/>
  <c r="D274" i="25" s="1"/>
  <c r="D217" i="25"/>
  <c r="C228" i="25"/>
  <c r="C236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49" i="20"/>
  <c r="O1770" i="12"/>
  <c r="O1740" i="12"/>
  <c r="O1758" i="12"/>
  <c r="O1676" i="12"/>
  <c r="E427" i="25"/>
  <c r="J901" i="20" a="1"/>
  <c r="J901" i="20" s="1"/>
  <c r="D905" i="20"/>
  <c r="M2079" i="16"/>
  <c r="N2079" i="16" s="1"/>
  <c r="L1406" i="12"/>
  <c r="O1725" i="12"/>
  <c r="O1694" i="12"/>
  <c r="O422" i="16"/>
  <c r="O1839" i="12"/>
  <c r="O1599" i="16"/>
  <c r="O68" i="20"/>
  <c r="O2033" i="16"/>
  <c r="O2059" i="16" s="1"/>
  <c r="O1462" i="16"/>
  <c r="O1775" i="12"/>
  <c r="O1673" i="12"/>
  <c r="O629" i="12"/>
  <c r="O179" i="20"/>
  <c r="O1469" i="16"/>
  <c r="O396" i="16" s="1"/>
  <c r="O438" i="16"/>
  <c r="O104" i="11"/>
  <c r="O2071" i="16"/>
  <c r="O1638" i="12"/>
  <c r="O1703" i="12"/>
  <c r="O94" i="20"/>
  <c r="O1689" i="12"/>
  <c r="O1910" i="16"/>
  <c r="O1157" i="12"/>
  <c r="O1818" i="12"/>
  <c r="O2031" i="16"/>
  <c r="O268" i="16"/>
  <c r="O1544" i="16"/>
  <c r="O1838" i="12"/>
  <c r="O418" i="16"/>
  <c r="O42" i="12"/>
  <c r="O1771" i="12"/>
  <c r="O330" i="16"/>
  <c r="O99" i="20"/>
  <c r="O1803" i="12"/>
  <c r="O328" i="16"/>
  <c r="O1733" i="12"/>
  <c r="O619" i="16"/>
  <c r="O1665" i="12"/>
  <c r="O96" i="18"/>
  <c r="O33" i="20"/>
  <c r="O212" i="16"/>
  <c r="O1592" i="16"/>
  <c r="O521" i="16" s="1"/>
  <c r="O231" i="11"/>
  <c r="O2038" i="16"/>
  <c r="O2064" i="16" s="1"/>
  <c r="O444" i="16"/>
  <c r="O355" i="16"/>
  <c r="O66" i="20"/>
  <c r="N2047" i="16"/>
  <c r="N2050" i="16"/>
  <c r="N1562" i="12"/>
  <c r="O38" i="16"/>
  <c r="O360" i="16"/>
  <c r="O1786" i="12"/>
  <c r="O1878" i="12"/>
  <c r="O1916" i="12" s="1"/>
  <c r="O1332" i="16"/>
  <c r="O455" i="16"/>
  <c r="O1421" i="12"/>
  <c r="O1593" i="12" s="1"/>
  <c r="O573" i="16"/>
  <c r="O1903" i="16"/>
  <c r="O279" i="16"/>
  <c r="O170" i="20"/>
  <c r="O1837" i="12"/>
  <c r="O20" i="22"/>
  <c r="O425" i="16"/>
  <c r="O801" i="16"/>
  <c r="O1724" i="12"/>
  <c r="O142" i="20"/>
  <c r="O1400" i="12"/>
  <c r="O1823" i="12"/>
  <c r="O269" i="16"/>
  <c r="O282" i="16"/>
  <c r="O454" i="16"/>
  <c r="O113" i="11"/>
  <c r="O1884" i="12"/>
  <c r="O98" i="20"/>
  <c r="O1730" i="12"/>
  <c r="O283" i="16"/>
  <c r="O576" i="16"/>
  <c r="O30" i="20"/>
  <c r="O1644" i="12"/>
  <c r="O1713" i="12"/>
  <c r="O1831" i="12"/>
  <c r="O581" i="16"/>
  <c r="O70" i="20"/>
  <c r="O41" i="22"/>
  <c r="O73" i="12"/>
  <c r="O1781" i="12"/>
  <c r="O1751" i="12"/>
  <c r="O622" i="16"/>
  <c r="O126" i="20"/>
  <c r="O1670" i="12"/>
  <c r="O1806" i="12"/>
  <c r="O443" i="16"/>
  <c r="O278" i="16"/>
  <c r="O430" i="16"/>
  <c r="O242" i="10"/>
  <c r="O1834" i="12"/>
  <c r="O128" i="20"/>
  <c r="O105" i="22"/>
  <c r="O96" i="22"/>
  <c r="O101" i="16"/>
  <c r="O45" i="20"/>
  <c r="O130" i="16"/>
  <c r="O1820" i="12"/>
  <c r="O1819" i="12"/>
  <c r="O1691" i="12"/>
  <c r="O1516" i="16"/>
  <c r="O1578" i="16"/>
  <c r="O353" i="16"/>
  <c r="O1530" i="16"/>
  <c r="O1837" i="16"/>
  <c r="O462" i="16" s="1"/>
  <c r="O1606" i="16"/>
  <c r="O1318" i="16"/>
  <c r="O312" i="16" s="1"/>
  <c r="O1415" i="16"/>
  <c r="O1304" i="16"/>
  <c r="O1448" i="16"/>
  <c r="O393" i="16" s="1"/>
  <c r="O334" i="10"/>
  <c r="O363" i="10"/>
  <c r="O616" i="16"/>
  <c r="O69" i="20"/>
  <c r="O162" i="11"/>
  <c r="O1754" i="12"/>
  <c r="O1811" i="12"/>
  <c r="O1706" i="12"/>
  <c r="O139" i="20"/>
  <c r="O1801" i="12"/>
  <c r="O145" i="20"/>
  <c r="O1639" i="12"/>
  <c r="O276" i="16"/>
  <c r="O83" i="20"/>
  <c r="O1715" i="12"/>
  <c r="O121" i="20"/>
  <c r="O23" i="12"/>
  <c r="O1729" i="12"/>
  <c r="O84" i="20"/>
  <c r="O1814" i="12"/>
  <c r="O618" i="16"/>
  <c r="O583" i="16"/>
  <c r="O63" i="20"/>
  <c r="O1728" i="12"/>
  <c r="O1798" i="12"/>
  <c r="O329" i="16"/>
  <c r="O621" i="16"/>
  <c r="O136" i="20"/>
  <c r="O75" i="10"/>
  <c r="O1398" i="12"/>
  <c r="O1880" i="12"/>
  <c r="O1919" i="12" s="1"/>
  <c r="O1835" i="12"/>
  <c r="O698" i="16"/>
  <c r="O12" i="18"/>
  <c r="O1752" i="12"/>
  <c r="O1826" i="12"/>
  <c r="O150" i="20"/>
  <c r="O1772" i="12"/>
  <c r="O448" i="16"/>
  <c r="O1163" i="12"/>
  <c r="O433" i="16"/>
  <c r="O172" i="20"/>
  <c r="O219" i="10"/>
  <c r="O100" i="16"/>
  <c r="O42" i="20"/>
  <c r="O127" i="16"/>
  <c r="O1297" i="16"/>
  <c r="O309" i="16" s="1"/>
  <c r="O1716" i="12"/>
  <c r="O44" i="11"/>
  <c r="O222" i="11"/>
  <c r="O2041" i="16"/>
  <c r="O2067" i="16" s="1"/>
  <c r="O2095" i="16" s="1"/>
  <c r="O1422" i="16"/>
  <c r="O1394" i="16"/>
  <c r="O344" i="16" s="1"/>
  <c r="O1523" i="16"/>
  <c r="O1938" i="16"/>
  <c r="O1585" i="16"/>
  <c r="O1812" i="12"/>
  <c r="O1761" i="12"/>
  <c r="O124" i="11"/>
  <c r="O1896" i="16"/>
  <c r="O603" i="16" s="1"/>
  <c r="I575" i="16" s="1"/>
  <c r="O1767" i="12"/>
  <c r="O1836" i="12"/>
  <c r="P28" i="8"/>
  <c r="O12" i="11"/>
  <c r="O1735" i="12"/>
  <c r="O188" i="20"/>
  <c r="O1797" i="12"/>
  <c r="O135" i="20"/>
  <c r="O1696" i="12"/>
  <c r="O81" i="20"/>
  <c r="O1698" i="12"/>
  <c r="O457" i="16"/>
  <c r="O58" i="20"/>
  <c r="O1832" i="12"/>
  <c r="O95" i="20"/>
  <c r="O95" i="11"/>
  <c r="O1790" i="12"/>
  <c r="O51" i="22"/>
  <c r="O441" i="16"/>
  <c r="O280" i="16"/>
  <c r="O620" i="16"/>
  <c r="O116" i="20"/>
  <c r="O429" i="16"/>
  <c r="O1734" i="12"/>
  <c r="O354" i="16"/>
  <c r="O617" i="16"/>
  <c r="O93" i="20"/>
  <c r="O1688" i="12"/>
  <c r="O1736" i="12"/>
  <c r="O270" i="16"/>
  <c r="O357" i="16"/>
  <c r="O623" i="16"/>
  <c r="O574" i="16"/>
  <c r="O1668" i="12"/>
  <c r="O1723" i="12"/>
  <c r="O177" i="20"/>
  <c r="O1784" i="12"/>
  <c r="O446" i="16"/>
  <c r="O1796" i="12"/>
  <c r="O434" i="16"/>
  <c r="O271" i="10"/>
  <c r="O149" i="20"/>
  <c r="O79" i="16"/>
  <c r="O46" i="20"/>
  <c r="O203" i="16"/>
  <c r="O1490" i="16"/>
  <c r="O1828" i="12"/>
  <c r="O12" i="12"/>
  <c r="O1813" i="12"/>
  <c r="O171" i="20"/>
  <c r="O1682" i="12"/>
  <c r="O82" i="20"/>
  <c r="O1744" i="12"/>
  <c r="O1802" i="12"/>
  <c r="O358" i="16"/>
  <c r="O152" i="20"/>
  <c r="O117" i="20"/>
  <c r="O1768" i="12"/>
  <c r="O361" i="16"/>
  <c r="O122" i="20"/>
  <c r="O1681" i="12"/>
  <c r="O2035" i="16"/>
  <c r="O1707" i="12"/>
  <c r="O450" i="16"/>
  <c r="O65" i="20"/>
  <c r="O127" i="10"/>
  <c r="O125" i="16"/>
  <c r="O209" i="16"/>
  <c r="O326" i="16"/>
  <c r="O161" i="20"/>
  <c r="O160" i="20"/>
  <c r="O2040" i="16"/>
  <c r="O2066" i="16" s="1"/>
  <c r="O1404" i="12"/>
  <c r="O424" i="16"/>
  <c r="O352" i="16"/>
  <c r="O1434" i="16"/>
  <c r="O391" i="16" s="1"/>
  <c r="O1917" i="16"/>
  <c r="O1408" i="16"/>
  <c r="O346" i="16" s="1"/>
  <c r="O114" i="12"/>
  <c r="O275" i="16"/>
  <c r="O408" i="16"/>
  <c r="O70" i="16"/>
  <c r="O575" i="16"/>
  <c r="O698" i="12"/>
  <c r="O452" i="16"/>
  <c r="O240" i="11"/>
  <c r="O272" i="16"/>
  <c r="O171" i="11"/>
  <c r="O1805" i="12"/>
  <c r="O147" i="20"/>
  <c r="O53" i="11"/>
  <c r="O1714" i="12"/>
  <c r="O1455" i="16"/>
  <c r="O1675" i="12"/>
  <c r="O439" i="16"/>
  <c r="O12" i="16"/>
  <c r="O192" i="16" s="1"/>
  <c r="O1743" i="12"/>
  <c r="O564" i="16"/>
  <c r="O64" i="20"/>
  <c r="O29" i="18"/>
  <c r="O1777" i="12"/>
  <c r="O1779" i="12"/>
  <c r="O359" i="16"/>
  <c r="O103" i="20"/>
  <c r="O119" i="20"/>
  <c r="O96" i="20"/>
  <c r="O1640" i="12"/>
  <c r="O1738" i="12"/>
  <c r="O419" i="16"/>
  <c r="O100" i="20"/>
  <c r="O32" i="8"/>
  <c r="O31" i="8" s="1"/>
  <c r="O18" i="18" s="1"/>
  <c r="O23" i="18" s="1"/>
  <c r="O1785" i="12"/>
  <c r="O362" i="16"/>
  <c r="O146" i="20"/>
  <c r="O1746" i="12"/>
  <c r="O74" i="18"/>
  <c r="O1793" i="12"/>
  <c r="O615" i="16"/>
  <c r="O63" i="18"/>
  <c r="O385" i="10"/>
  <c r="O489" i="10" s="1"/>
  <c r="O113" i="16"/>
  <c r="O201" i="16"/>
  <c r="O328" i="20"/>
  <c r="O1483" i="16"/>
  <c r="O1757" i="12"/>
  <c r="O1816" i="12"/>
  <c r="O198" i="16"/>
  <c r="O624" i="16"/>
  <c r="O1311" i="16"/>
  <c r="O1564" i="16"/>
  <c r="O1799" i="12"/>
  <c r="O1537" i="16"/>
  <c r="O1931" i="16"/>
  <c r="O1924" i="16"/>
  <c r="O1732" i="12"/>
  <c r="O1889" i="16"/>
  <c r="O602" i="16" s="1"/>
  <c r="O612" i="16" s="1"/>
  <c r="O183" i="20" s="1"/>
  <c r="O1571" i="16"/>
  <c r="O518" i="16" s="1"/>
  <c r="O1840" i="12"/>
  <c r="O2037" i="16"/>
  <c r="O2063" i="16" s="1"/>
  <c r="O61" i="20"/>
  <c r="O124" i="20"/>
  <c r="O1690" i="12"/>
  <c r="O786" i="16"/>
  <c r="O940" i="12"/>
  <c r="O417" i="16"/>
  <c r="O31" i="20"/>
  <c r="O453" i="16"/>
  <c r="O35" i="11"/>
  <c r="O1700" i="12"/>
  <c r="O173" i="20"/>
  <c r="O1702" i="12"/>
  <c r="O197" i="16"/>
  <c r="O1290" i="16"/>
  <c r="O1678" i="12"/>
  <c r="O578" i="16"/>
  <c r="O1704" i="12"/>
  <c r="O1827" i="12"/>
  <c r="O580" i="16"/>
  <c r="O118" i="20"/>
  <c r="O115" i="22"/>
  <c r="O1737" i="12"/>
  <c r="O22" i="16"/>
  <c r="O428" i="16"/>
  <c r="O62" i="20"/>
  <c r="O205" i="20"/>
  <c r="O32" i="12"/>
  <c r="O1756" i="12"/>
  <c r="O1822" i="12"/>
  <c r="O625" i="16"/>
  <c r="O57" i="20"/>
  <c r="O201" i="11"/>
  <c r="O1825" i="12"/>
  <c r="O436" i="16"/>
  <c r="O156" i="10"/>
  <c r="O1830" i="12"/>
  <c r="O97" i="20"/>
  <c r="O1782" i="12"/>
  <c r="O59" i="20"/>
  <c r="O46" i="10"/>
  <c r="O187" i="20"/>
  <c r="O174" i="16"/>
  <c r="O120" i="16"/>
  <c r="O206" i="16"/>
  <c r="O1886" i="16"/>
  <c r="O129" i="20"/>
  <c r="O1739" i="12"/>
  <c r="O12" i="22"/>
  <c r="O71" i="20"/>
  <c r="O1557" i="16"/>
  <c r="O516" i="16" s="1"/>
  <c r="O1877" i="16"/>
  <c r="O1504" i="16"/>
  <c r="O367" i="16" s="1"/>
  <c r="O1476" i="16"/>
  <c r="O1325" i="16"/>
  <c r="O1441" i="16"/>
  <c r="O420" i="16"/>
  <c r="O100" i="12"/>
  <c r="O1726" i="12"/>
  <c r="O1401" i="16"/>
  <c r="O345" i="16" s="1"/>
  <c r="O1769" i="12"/>
  <c r="O1712" i="12"/>
  <c r="O1773" i="12"/>
  <c r="O134" i="20"/>
  <c r="O30" i="16"/>
  <c r="O579" i="16"/>
  <c r="O1683" i="12"/>
  <c r="O657" i="16"/>
  <c r="O1181" i="12"/>
  <c r="O62" i="16"/>
  <c r="O1722" i="12"/>
  <c r="O1680" i="12"/>
  <c r="O435" i="16"/>
  <c r="O327" i="16"/>
  <c r="O1804" i="12"/>
  <c r="O144" i="20"/>
  <c r="O1794" i="12"/>
  <c r="O216" i="16"/>
  <c r="O582" i="16"/>
  <c r="O85" i="20"/>
  <c r="O413" i="10"/>
  <c r="O1817" i="12"/>
  <c r="O1747" i="12"/>
  <c r="O577" i="16"/>
  <c r="O2032" i="16"/>
  <c r="O2058" i="16" s="1"/>
  <c r="O194" i="20"/>
  <c r="O74" i="11"/>
  <c r="O1695" i="12"/>
  <c r="O1693" i="12"/>
  <c r="O2039" i="16"/>
  <c r="O2065" i="16" s="1"/>
  <c r="O102" i="20"/>
  <c r="O1399" i="12"/>
  <c r="O1774" i="12"/>
  <c r="O442" i="16"/>
  <c r="O1674" i="12"/>
  <c r="O46" i="16"/>
  <c r="O133" i="20"/>
  <c r="O1750" i="12"/>
  <c r="O2085" i="16"/>
  <c r="O300" i="10"/>
  <c r="O116" i="18"/>
  <c r="O915" i="12"/>
  <c r="O1930" i="12" s="1"/>
  <c r="O356" i="20"/>
  <c r="O47" i="20"/>
  <c r="O111" i="16"/>
  <c r="O898" i="16"/>
  <c r="N2078" i="16"/>
  <c r="N2045" i="16"/>
  <c r="N2051" i="16"/>
  <c r="N2048" i="16"/>
  <c r="M1401" i="12"/>
  <c r="M1411" i="12" s="1"/>
  <c r="M1412" i="12" s="1"/>
  <c r="M257" i="20" s="1"/>
  <c r="N206" i="12"/>
  <c r="N767" i="16"/>
  <c r="N229" i="20" s="1"/>
  <c r="N585" i="12"/>
  <c r="N136" i="16"/>
  <c r="O874" i="16"/>
  <c r="H427" i="10"/>
  <c r="H428" i="10"/>
  <c r="P380" i="10"/>
  <c r="P370" i="10"/>
  <c r="G382" i="10"/>
  <c r="G383" i="10"/>
  <c r="G418" i="10"/>
  <c r="H410" i="10"/>
  <c r="I358" i="10"/>
  <c r="I357" i="10" s="1"/>
  <c r="J408" i="10"/>
  <c r="J409" i="10" s="1"/>
  <c r="J358" i="10" s="1"/>
  <c r="J357" i="10" s="1"/>
  <c r="J353" i="10" s="1"/>
  <c r="J427" i="10" s="1"/>
  <c r="N110" i="18"/>
  <c r="N2053" i="16"/>
  <c r="M1477" i="12"/>
  <c r="M1634" i="12" s="1"/>
  <c r="M332" i="16"/>
  <c r="M2156" i="16"/>
  <c r="N306" i="12"/>
  <c r="F77" i="25"/>
  <c r="N769" i="16"/>
  <c r="N231" i="20" s="1"/>
  <c r="N747" i="16"/>
  <c r="N209" i="20" s="1"/>
  <c r="N1228" i="12"/>
  <c r="N1393" i="12" s="1"/>
  <c r="N770" i="16"/>
  <c r="N232" i="20" s="1"/>
  <c r="N745" i="16"/>
  <c r="N207" i="20" s="1"/>
  <c r="F13" i="25"/>
  <c r="N764" i="16"/>
  <c r="N226" i="20" s="1"/>
  <c r="N161" i="12"/>
  <c r="N763" i="16"/>
  <c r="N225" i="20" s="1"/>
  <c r="N221" i="12"/>
  <c r="N520" i="12"/>
  <c r="N751" i="16"/>
  <c r="N213" i="20" s="1"/>
  <c r="N594" i="12"/>
  <c r="N116" i="12"/>
  <c r="N774" i="16"/>
  <c r="N236" i="20" s="1"/>
  <c r="N434" i="12"/>
  <c r="N759" i="16"/>
  <c r="N221" i="20" s="1"/>
  <c r="M1567" i="12"/>
  <c r="M1636" i="12" s="1"/>
  <c r="M1522" i="12"/>
  <c r="M1635" i="12" s="1"/>
  <c r="M1444" i="12"/>
  <c r="M1632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14" i="20" s="1"/>
  <c r="N773" i="16"/>
  <c r="N235" i="20" s="1"/>
  <c r="N772" i="16"/>
  <c r="N234" i="20" s="1"/>
  <c r="N783" i="16"/>
  <c r="N245" i="20" s="1"/>
  <c r="N776" i="16"/>
  <c r="N238" i="20" s="1"/>
  <c r="N746" i="16"/>
  <c r="N208" i="20" s="1"/>
  <c r="N782" i="16"/>
  <c r="N244" i="20" s="1"/>
  <c r="N754" i="16"/>
  <c r="N216" i="20" s="1"/>
  <c r="N757" i="16"/>
  <c r="N219" i="20" s="1"/>
  <c r="N765" i="16"/>
  <c r="N227" i="20" s="1"/>
  <c r="N750" i="16"/>
  <c r="N212" i="20" s="1"/>
  <c r="N781" i="16"/>
  <c r="N243" i="20" s="1"/>
  <c r="N753" i="16"/>
  <c r="N215" i="20" s="1"/>
  <c r="N760" i="16"/>
  <c r="N222" i="20" s="1"/>
  <c r="N766" i="16"/>
  <c r="N228" i="20" s="1"/>
  <c r="N771" i="16"/>
  <c r="N233" i="20" s="1"/>
  <c r="N749" i="16"/>
  <c r="N211" i="20" s="1"/>
  <c r="N775" i="16"/>
  <c r="N237" i="20" s="1"/>
  <c r="N768" i="16"/>
  <c r="N230" i="20" s="1"/>
  <c r="N748" i="16"/>
  <c r="N210" i="20" s="1"/>
  <c r="N780" i="16"/>
  <c r="N242" i="20" s="1"/>
  <c r="N755" i="16"/>
  <c r="N217" i="20" s="1"/>
  <c r="N762" i="16"/>
  <c r="N224" i="20" s="1"/>
  <c r="N761" i="16"/>
  <c r="N223" i="20" s="1"/>
  <c r="N756" i="16"/>
  <c r="N218" i="20" s="1"/>
  <c r="N779" i="16"/>
  <c r="N241" i="20" s="1"/>
  <c r="N758" i="16"/>
  <c r="N220" i="20" s="1"/>
  <c r="N778" i="16"/>
  <c r="N240" i="20" s="1"/>
  <c r="M1315" i="16"/>
  <c r="M2140" i="16" s="1"/>
  <c r="L1316" i="16"/>
  <c r="M1420" i="16"/>
  <c r="M1421" i="16" s="1"/>
  <c r="M334" i="16" s="1"/>
  <c r="M791" i="16" s="1"/>
  <c r="L1317" i="16"/>
  <c r="O210" i="16"/>
  <c r="O213" i="16"/>
  <c r="O207" i="16"/>
  <c r="O132" i="16"/>
  <c r="O128" i="16"/>
  <c r="O107" i="16"/>
  <c r="O41" i="20"/>
  <c r="O43" i="20"/>
  <c r="O103" i="16"/>
  <c r="O189" i="20"/>
  <c r="O44" i="18"/>
  <c r="O196" i="20"/>
  <c r="O153" i="20"/>
  <c r="O125" i="22"/>
  <c r="O127" i="20"/>
  <c r="O449" i="16"/>
  <c r="O1815" i="12"/>
  <c r="O1692" i="12"/>
  <c r="O1788" i="12"/>
  <c r="O107" i="18"/>
  <c r="O123" i="20"/>
  <c r="O445" i="16"/>
  <c r="O1759" i="12"/>
  <c r="O1829" i="12"/>
  <c r="O1672" i="12"/>
  <c r="O83" i="18"/>
  <c r="O195" i="20"/>
  <c r="O277" i="16"/>
  <c r="O1787" i="12"/>
  <c r="O1745" i="12"/>
  <c r="O1776" i="12"/>
  <c r="O82" i="12"/>
  <c r="O132" i="20"/>
  <c r="O101" i="20"/>
  <c r="O432" i="16"/>
  <c r="O437" i="16"/>
  <c r="O1821" i="12"/>
  <c r="O1664" i="12"/>
  <c r="O214" i="16"/>
  <c r="O112" i="16"/>
  <c r="O211" i="16"/>
  <c r="O119" i="16"/>
  <c r="O109" i="16"/>
  <c r="O117" i="16"/>
  <c r="O40" i="20"/>
  <c r="O39" i="20"/>
  <c r="O95" i="16"/>
  <c r="O135" i="16"/>
  <c r="O603" i="12"/>
  <c r="O192" i="20"/>
  <c r="O176" i="20"/>
  <c r="O156" i="20"/>
  <c r="O140" i="20"/>
  <c r="O137" i="20"/>
  <c r="O2036" i="16"/>
  <c r="O2062" i="16" s="1"/>
  <c r="O2090" i="16" s="1"/>
  <c r="O356" i="16"/>
  <c r="O1731" i="12"/>
  <c r="O1833" i="12"/>
  <c r="O1679" i="12"/>
  <c r="O178" i="20"/>
  <c r="O90" i="22"/>
  <c r="O440" i="16"/>
  <c r="O1727" i="12"/>
  <c r="O1749" i="12"/>
  <c r="O1792" i="12"/>
  <c r="O148" i="20"/>
  <c r="O2034" i="16"/>
  <c r="O2060" i="16" s="1"/>
  <c r="O423" i="16"/>
  <c r="O1697" i="12"/>
  <c r="O54" i="16"/>
  <c r="O1661" i="12"/>
  <c r="O63" i="12"/>
  <c r="O26" i="22"/>
  <c r="O141" i="20"/>
  <c r="O273" i="16"/>
  <c r="O1783" i="12"/>
  <c r="O1741" i="12"/>
  <c r="O1748" i="12"/>
  <c r="O108" i="16"/>
  <c r="O200" i="16"/>
  <c r="O215" i="16"/>
  <c r="O131" i="16"/>
  <c r="O106" i="16"/>
  <c r="O114" i="16"/>
  <c r="O48" i="20"/>
  <c r="O34" i="20"/>
  <c r="O104" i="16"/>
  <c r="O98" i="16"/>
  <c r="O190" i="10"/>
  <c r="O155" i="20"/>
  <c r="O151" i="20"/>
  <c r="O143" i="20"/>
  <c r="O70" i="22"/>
  <c r="O197" i="20"/>
  <c r="O190" i="20"/>
  <c r="O325" i="16"/>
  <c r="O1795" i="12"/>
  <c r="O1753" i="12"/>
  <c r="O1824" i="12"/>
  <c r="O174" i="20"/>
  <c r="O80" i="20"/>
  <c r="O281" i="16"/>
  <c r="O1791" i="12"/>
  <c r="O274" i="16"/>
  <c r="O1667" i="12"/>
  <c r="O116" i="16"/>
  <c r="O204" i="16"/>
  <c r="O129" i="16"/>
  <c r="O105" i="16"/>
  <c r="O122" i="16"/>
  <c r="O121" i="16"/>
  <c r="O36" i="20"/>
  <c r="O37" i="20"/>
  <c r="O99" i="16"/>
  <c r="O96" i="16"/>
  <c r="O144" i="16" s="1"/>
  <c r="O29" i="8"/>
  <c r="O127" i="8" s="1"/>
  <c r="O134" i="22"/>
  <c r="O60" i="20"/>
  <c r="O169" i="20"/>
  <c r="O154" i="20"/>
  <c r="O138" i="20"/>
  <c r="O32" i="22"/>
  <c r="O67" i="20"/>
  <c r="O431" i="16"/>
  <c r="O1705" i="12"/>
  <c r="O421" i="16"/>
  <c r="O1671" i="12"/>
  <c r="O193" i="20"/>
  <c r="O12" i="20"/>
  <c r="O25" i="20" s="1"/>
  <c r="O1188" i="20" s="1"/>
  <c r="O1222" i="20" s="1"/>
  <c r="O1235" i="20" s="1"/>
  <c r="O1248" i="20" s="1"/>
  <c r="O427" i="16"/>
  <c r="O1701" i="12"/>
  <c r="O1789" i="12"/>
  <c r="O1780" i="12"/>
  <c r="O131" i="20"/>
  <c r="O2057" i="16"/>
  <c r="O426" i="16"/>
  <c r="O1742" i="12"/>
  <c r="O1699" i="12"/>
  <c r="O1666" i="12"/>
  <c r="O124" i="16"/>
  <c r="O208" i="16"/>
  <c r="O126" i="16"/>
  <c r="O134" i="16"/>
  <c r="O115" i="16"/>
  <c r="O118" i="16"/>
  <c r="O38" i="20"/>
  <c r="O32" i="20"/>
  <c r="O102" i="16"/>
  <c r="O202" i="16"/>
  <c r="O205" i="16"/>
  <c r="O199" i="16"/>
  <c r="O133" i="16"/>
  <c r="O123" i="16"/>
  <c r="O110" i="16"/>
  <c r="O44" i="20"/>
  <c r="O35" i="20"/>
  <c r="O141" i="16"/>
  <c r="O97" i="16"/>
  <c r="O191" i="20"/>
  <c r="O12" i="10"/>
  <c r="O84" i="22"/>
  <c r="O61" i="22"/>
  <c r="O72" i="20"/>
  <c r="O130" i="20"/>
  <c r="O451" i="16"/>
  <c r="O271" i="16"/>
  <c r="O1879" i="12"/>
  <c r="O1918" i="12" s="1"/>
  <c r="O1800" i="12"/>
  <c r="O617" i="12"/>
  <c r="O125" i="20"/>
  <c r="O447" i="16"/>
  <c r="O456" i="16"/>
  <c r="O1778" i="12"/>
  <c r="O1669" i="12"/>
  <c r="O921" i="12"/>
  <c r="O120" i="20"/>
  <c r="O2044" i="16"/>
  <c r="O1755" i="12"/>
  <c r="O1677" i="12"/>
  <c r="O1760" i="12"/>
  <c r="O91" i="12"/>
  <c r="O98" i="10"/>
  <c r="O175" i="20"/>
  <c r="O1419" i="16"/>
  <c r="O892" i="16"/>
  <c r="O1308" i="16"/>
  <c r="O1445" i="16"/>
  <c r="O2161" i="16" s="1"/>
  <c r="O349" i="20"/>
  <c r="O1497" i="16"/>
  <c r="O1466" i="16"/>
  <c r="O2164" i="16" s="1"/>
  <c r="O461" i="20"/>
  <c r="O1391" i="16"/>
  <c r="O1613" i="16"/>
  <c r="O880" i="16"/>
  <c r="O1155" i="16"/>
  <c r="O2116" i="16" s="1"/>
  <c r="O1301" i="16"/>
  <c r="O1452" i="16"/>
  <c r="O2162" i="16" s="1"/>
  <c r="O886" i="16"/>
  <c r="O471" i="20"/>
  <c r="O478" i="20"/>
  <c r="O363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1893" i="16"/>
  <c r="N2224" i="16" s="1"/>
  <c r="N754" i="12"/>
  <c r="N911" i="12" s="1"/>
  <c r="N1926" i="12" s="1"/>
  <c r="M1895" i="16"/>
  <c r="L1322" i="16"/>
  <c r="M1322" i="16" s="1"/>
  <c r="N1322" i="16" s="1"/>
  <c r="O1322" i="16" s="1"/>
  <c r="L1473" i="16"/>
  <c r="M1473" i="16" s="1"/>
  <c r="N1914" i="16"/>
  <c r="O1914" i="16" s="1"/>
  <c r="O2227" i="16" s="1"/>
  <c r="M876" i="16"/>
  <c r="M242" i="20"/>
  <c r="M222" i="20"/>
  <c r="M235" i="20"/>
  <c r="M209" i="20"/>
  <c r="M215" i="20"/>
  <c r="M210" i="20"/>
  <c r="M219" i="20"/>
  <c r="M241" i="20"/>
  <c r="M224" i="20"/>
  <c r="D1935" i="16"/>
  <c r="F1934" i="16" s="1"/>
  <c r="M1584" i="16"/>
  <c r="M2223" i="16"/>
  <c r="D1487" i="16"/>
  <c r="F1486" i="16" s="1"/>
  <c r="M1468" i="16"/>
  <c r="D1480" i="16"/>
  <c r="F1479" i="16" s="1"/>
  <c r="K1480" i="16" s="1"/>
  <c r="K1481" i="16" s="1"/>
  <c r="K1482" i="16" s="1"/>
  <c r="D1329" i="16"/>
  <c r="F1328" i="16" s="1"/>
  <c r="K1329" i="16" s="1"/>
  <c r="N996" i="12"/>
  <c r="N1153" i="12" s="1"/>
  <c r="E532" i="20"/>
  <c r="E533" i="20" s="1"/>
  <c r="D857" i="20"/>
  <c r="E857" i="20" s="1"/>
  <c r="C857" i="20"/>
  <c r="N1041" i="12"/>
  <c r="N1154" i="12" s="1"/>
  <c r="N1120" i="12"/>
  <c r="N1156" i="12" s="1"/>
  <c r="N1138" i="12"/>
  <c r="N1158" i="12" s="1"/>
  <c r="N963" i="12"/>
  <c r="N1151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F1602" i="16" s="1"/>
  <c r="D1921" i="16"/>
  <c r="N86" i="20"/>
  <c r="N1205" i="20" s="1"/>
  <c r="N1392" i="16"/>
  <c r="D1334" i="16"/>
  <c r="N331" i="16"/>
  <c r="N806" i="16" s="1"/>
  <c r="N180" i="20"/>
  <c r="N1208" i="20" s="1"/>
  <c r="N2138" i="16"/>
  <c r="N584" i="16"/>
  <c r="N809" i="16" s="1"/>
  <c r="N198" i="20"/>
  <c r="N1209" i="20" s="1"/>
  <c r="N73" i="20"/>
  <c r="N1203" i="20" s="1"/>
  <c r="N626" i="16"/>
  <c r="N810" i="16" s="1"/>
  <c r="N807" i="16"/>
  <c r="O1459" i="16"/>
  <c r="O2163" i="16" s="1"/>
  <c r="N1406" i="16"/>
  <c r="N1407" i="16" s="1"/>
  <c r="O1405" i="16"/>
  <c r="N2223" i="16"/>
  <c r="N2152" i="16"/>
  <c r="N130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721" i="12"/>
  <c r="N909" i="12" s="1"/>
  <c r="N1924" i="12" s="1"/>
  <c r="N284" i="16"/>
  <c r="N804" i="16" s="1"/>
  <c r="N1807" i="12"/>
  <c r="N1876" i="12" s="1"/>
  <c r="N1914" i="12" s="1"/>
  <c r="N1086" i="12"/>
  <c r="N1155" i="12" s="1"/>
  <c r="N808" i="16"/>
  <c r="N1684" i="12"/>
  <c r="N1872" i="12" s="1"/>
  <c r="N1910" i="12" s="1"/>
  <c r="N1762" i="12"/>
  <c r="N1875" i="12" s="1"/>
  <c r="N1913" i="12" s="1"/>
  <c r="N1708" i="12"/>
  <c r="N1873" i="12" s="1"/>
  <c r="N1911" i="12" s="1"/>
  <c r="N1204" i="12"/>
  <c r="N1392" i="12" s="1"/>
  <c r="N2042" i="16"/>
  <c r="N811" i="16" s="1"/>
  <c r="N77" i="18"/>
  <c r="N1512" i="12"/>
  <c r="N1563" i="12"/>
  <c r="N1600" i="12"/>
  <c r="N1428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O2135" i="16" s="1"/>
  <c r="L2082" i="16"/>
  <c r="L256" i="20" s="1"/>
  <c r="M336" i="20"/>
  <c r="M337" i="20" s="1"/>
  <c r="O485" i="20"/>
  <c r="N486" i="20"/>
  <c r="N487" i="20" s="1"/>
  <c r="E285" i="25"/>
  <c r="E66" i="25"/>
  <c r="E52" i="25"/>
  <c r="N1281" i="16"/>
  <c r="E163" i="25"/>
  <c r="E332" i="25"/>
  <c r="E475" i="25"/>
  <c r="E592" i="25" s="1"/>
  <c r="E379" i="25"/>
  <c r="M2080" i="16"/>
  <c r="N2080" i="16" s="1"/>
  <c r="K222" i="10"/>
  <c r="N875" i="16"/>
  <c r="M2055" i="16"/>
  <c r="M796" i="16" s="1"/>
  <c r="N350" i="20"/>
  <c r="N351" i="20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N364" i="20"/>
  <c r="N365" i="20" s="1"/>
  <c r="K59" i="16"/>
  <c r="L57" i="16" s="1"/>
  <c r="L2254" i="16" s="1"/>
  <c r="L2266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N357" i="20"/>
  <c r="N358" i="20" s="1"/>
  <c r="L377" i="20"/>
  <c r="L379" i="20" s="1"/>
  <c r="M1149" i="16"/>
  <c r="M1150" i="16" s="1"/>
  <c r="L371" i="20"/>
  <c r="M1170" i="16"/>
  <c r="M1171" i="16" s="1"/>
  <c r="M1172" i="16"/>
  <c r="M250" i="16" s="1"/>
  <c r="N1169" i="16"/>
  <c r="N2118" i="16" s="1"/>
  <c r="M370" i="20"/>
  <c r="L1183" i="16"/>
  <c r="L2120" i="16" s="1"/>
  <c r="M1165" i="16"/>
  <c r="M249" i="16" s="1"/>
  <c r="N1162" i="16"/>
  <c r="N2117" i="16" s="1"/>
  <c r="M1151" i="16"/>
  <c r="M247" i="16" s="1"/>
  <c r="N1148" i="16"/>
  <c r="N2115" i="16" s="1"/>
  <c r="M1163" i="16"/>
  <c r="M1164" i="16" s="1"/>
  <c r="L384" i="20"/>
  <c r="L386" i="20" s="1"/>
  <c r="F1175" i="16"/>
  <c r="L1176" i="16"/>
  <c r="L2119" i="16" s="1"/>
  <c r="L1190" i="16"/>
  <c r="L2121" i="16" s="1"/>
  <c r="N1156" i="16"/>
  <c r="E932" i="16"/>
  <c r="F932" i="16" s="1"/>
  <c r="D932" i="16"/>
  <c r="C934" i="16"/>
  <c r="B931" i="16"/>
  <c r="D937" i="16"/>
  <c r="J936" i="16"/>
  <c r="E933" i="16"/>
  <c r="E1334" i="16"/>
  <c r="F1334" i="16" s="1"/>
  <c r="M1339" i="16"/>
  <c r="B1333" i="16"/>
  <c r="L1339" i="16"/>
  <c r="K1339" i="16"/>
  <c r="O1339" i="16"/>
  <c r="E1335" i="16"/>
  <c r="D1335" i="16" s="1"/>
  <c r="D1340" i="16"/>
  <c r="O1346" i="16" s="1"/>
  <c r="N1141" i="16"/>
  <c r="N2114" i="16" s="1"/>
  <c r="M1142" i="16"/>
  <c r="M1143" i="16" s="1"/>
  <c r="K1191" i="16"/>
  <c r="K1192" i="16" s="1"/>
  <c r="K1193" i="16"/>
  <c r="K253" i="16" s="1"/>
  <c r="K1184" i="16"/>
  <c r="K1185" i="16" s="1"/>
  <c r="K1186" i="16"/>
  <c r="K252" i="16" s="1"/>
  <c r="E1202" i="16"/>
  <c r="F1202" i="16" s="1"/>
  <c r="D1202" i="16"/>
  <c r="D1208" i="16"/>
  <c r="E1203" i="16"/>
  <c r="D1196" i="16"/>
  <c r="D1197" i="16" s="1"/>
  <c r="F1196" i="16" s="1"/>
  <c r="K1197" i="16"/>
  <c r="K2122" i="16" s="1"/>
  <c r="K386" i="20"/>
  <c r="K379" i="20"/>
  <c r="M487" i="20"/>
  <c r="M1282" i="16"/>
  <c r="N887" i="16"/>
  <c r="D1946" i="16"/>
  <c r="O1952" i="16" s="1"/>
  <c r="O1287" i="16"/>
  <c r="N2136" i="16"/>
  <c r="H382" i="10"/>
  <c r="H418" i="10"/>
  <c r="H383" i="10"/>
  <c r="N846" i="20"/>
  <c r="O845" i="20"/>
  <c r="O847" i="20" s="1"/>
  <c r="N1288" i="16"/>
  <c r="M1289" i="16"/>
  <c r="N329" i="20"/>
  <c r="N330" i="20" s="1"/>
  <c r="M330" i="20"/>
  <c r="O1398" i="16"/>
  <c r="O2153" i="16" s="1"/>
  <c r="B1939" i="16"/>
  <c r="M2068" i="16"/>
  <c r="M2069" i="16" s="1"/>
  <c r="N1399" i="16"/>
  <c r="N1400" i="16" s="1"/>
  <c r="N500" i="20"/>
  <c r="N501" i="20" s="1"/>
  <c r="O499" i="20"/>
  <c r="L1165" i="12"/>
  <c r="L1172" i="12" s="1"/>
  <c r="M805" i="16"/>
  <c r="M1160" i="12"/>
  <c r="M1170" i="12" s="1"/>
  <c r="M1171" i="12" s="1"/>
  <c r="M1881" i="12"/>
  <c r="M1891" i="12" s="1"/>
  <c r="M1910" i="12"/>
  <c r="M1917" i="12" s="1"/>
  <c r="M1920" i="12" s="1"/>
  <c r="L1886" i="12"/>
  <c r="M2074" i="16"/>
  <c r="N2074" i="16" s="1"/>
  <c r="M699" i="16"/>
  <c r="O1554" i="16"/>
  <c r="O2176" i="16" s="1"/>
  <c r="N1555" i="16"/>
  <c r="N1556" i="16" s="1"/>
  <c r="L1641" i="12"/>
  <c r="L1651" i="12" s="1"/>
  <c r="O1561" i="16"/>
  <c r="O2177" i="16" s="1"/>
  <c r="N1562" i="16"/>
  <c r="N1563" i="16" s="1"/>
  <c r="N1453" i="16"/>
  <c r="N2162" i="16"/>
  <c r="L918" i="12"/>
  <c r="L928" i="12" s="1"/>
  <c r="L929" i="12" s="1"/>
  <c r="K923" i="12"/>
  <c r="L1929" i="12"/>
  <c r="L1931" i="12" s="1"/>
  <c r="L1934" i="12" s="1"/>
  <c r="M918" i="12"/>
  <c r="M928" i="12" s="1"/>
  <c r="N493" i="20"/>
  <c r="N494" i="20" s="1"/>
  <c r="O492" i="20"/>
  <c r="N2161" i="16"/>
  <c r="N1446" i="16"/>
  <c r="N472" i="20"/>
  <c r="N473" i="20" s="1"/>
  <c r="O1294" i="16"/>
  <c r="N1432" i="16"/>
  <c r="N1433" i="16" s="1"/>
  <c r="O1431" i="16"/>
  <c r="O2159" i="16" s="1"/>
  <c r="N1295" i="16"/>
  <c r="N1296" i="16" s="1"/>
  <c r="N479" i="20"/>
  <c r="N1413" i="16"/>
  <c r="N1414" i="16" s="1"/>
  <c r="O1412" i="16"/>
  <c r="O1438" i="16"/>
  <c r="N1439" i="16"/>
  <c r="N1440" i="16" s="1"/>
  <c r="K1651" i="12"/>
  <c r="L900" i="16"/>
  <c r="M900" i="16" s="1"/>
  <c r="N507" i="20"/>
  <c r="O506" i="20"/>
  <c r="O508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N2139" i="16"/>
  <c r="O1575" i="16"/>
  <c r="N2179" i="16"/>
  <c r="N1583" i="16"/>
  <c r="O1582" i="16"/>
  <c r="O2180" i="16" s="1"/>
  <c r="M894" i="20"/>
  <c r="N894" i="20" s="1"/>
  <c r="K2229" i="16"/>
  <c r="N515" i="20"/>
  <c r="L527" i="20"/>
  <c r="M520" i="20"/>
  <c r="M514" i="20"/>
  <c r="N514" i="20" s="1"/>
  <c r="O513" i="20"/>
  <c r="O515" i="20" s="1"/>
  <c r="O335" i="20"/>
  <c r="L901" i="20"/>
  <c r="L902" i="20" s="1"/>
  <c r="K1929" i="16"/>
  <c r="K1930" i="16" s="1"/>
  <c r="L896" i="20"/>
  <c r="L522" i="20"/>
  <c r="K903" i="20"/>
  <c r="K522" i="20"/>
  <c r="L521" i="20"/>
  <c r="K534" i="20"/>
  <c r="N1309" i="16"/>
  <c r="K896" i="20"/>
  <c r="L895" i="20"/>
  <c r="C919" i="20"/>
  <c r="C914" i="20"/>
  <c r="C915" i="20" s="1"/>
  <c r="C539" i="20"/>
  <c r="D907" i="20" s="1"/>
  <c r="C545" i="20"/>
  <c r="D539" i="20"/>
  <c r="C540" i="20"/>
  <c r="C541" i="20" s="1"/>
  <c r="D540" i="20"/>
  <c r="D913" i="20" s="1"/>
  <c r="E913" i="20" s="1"/>
  <c r="K528" i="20"/>
  <c r="K529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1" i="16" s="1"/>
  <c r="D1940" i="16"/>
  <c r="M1945" i="16"/>
  <c r="O1945" i="16"/>
  <c r="L1945" i="16"/>
  <c r="K1945" i="16"/>
  <c r="K60" i="10"/>
  <c r="M888" i="16"/>
  <c r="N881" i="16"/>
  <c r="E1940" i="16"/>
  <c r="F1940" i="16" s="1"/>
  <c r="N899" i="16"/>
  <c r="D922" i="16"/>
  <c r="F921" i="16" s="1"/>
  <c r="F915" i="16"/>
  <c r="D927" i="16"/>
  <c r="N1460" i="16"/>
  <c r="N1461" i="16" s="1"/>
  <c r="N2156" i="16"/>
  <c r="N332" i="16"/>
  <c r="N2164" i="16"/>
  <c r="M2075" i="16"/>
  <c r="N2075" i="16" s="1"/>
  <c r="N1467" i="16"/>
  <c r="K2182" i="16"/>
  <c r="K1597" i="16"/>
  <c r="K1598" i="16" s="1"/>
  <c r="M1613" i="16"/>
  <c r="E1608" i="16"/>
  <c r="F1608" i="16" s="1"/>
  <c r="D1614" i="16"/>
  <c r="B1607" i="16"/>
  <c r="N1613" i="16"/>
  <c r="E1609" i="16"/>
  <c r="D1609" i="16" s="1"/>
  <c r="K1613" i="16"/>
  <c r="L1613" i="16"/>
  <c r="D1608" i="16"/>
  <c r="D2021" i="16"/>
  <c r="B2014" i="16"/>
  <c r="D1492" i="16"/>
  <c r="B1491" i="16"/>
  <c r="E1492" i="16"/>
  <c r="F1492" i="16" s="1"/>
  <c r="E1493" i="16"/>
  <c r="D1493" i="16" s="1"/>
  <c r="K1497" i="16"/>
  <c r="L1497" i="16"/>
  <c r="M1497" i="16"/>
  <c r="N1497" i="16"/>
  <c r="K1487" i="16"/>
  <c r="J421" i="10"/>
  <c r="J423" i="10"/>
  <c r="P38" i="22"/>
  <c r="P106" i="11" s="1"/>
  <c r="Q33" i="22"/>
  <c r="Q37" i="22" s="1"/>
  <c r="P66" i="22"/>
  <c r="Q62" i="22"/>
  <c r="Q52" i="22"/>
  <c r="Q56" i="22" s="1"/>
  <c r="Q57" i="22" s="1"/>
  <c r="Q58" i="22" s="1"/>
  <c r="O67" i="22"/>
  <c r="O92" i="12" s="1"/>
  <c r="S22" i="20"/>
  <c r="N462" i="20"/>
  <c r="N463" i="20" s="1"/>
  <c r="M1931" i="12"/>
  <c r="M1934" i="12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C402" i="20" l="1"/>
  <c r="C404" i="20" s="1"/>
  <c r="C405" i="20" s="1"/>
  <c r="O2053" i="16"/>
  <c r="O349" i="16"/>
  <c r="O89" i="20" s="1"/>
  <c r="O406" i="16"/>
  <c r="O112" i="20" s="1"/>
  <c r="O561" i="16"/>
  <c r="O165" i="20" s="1"/>
  <c r="N114" i="10"/>
  <c r="N112" i="10" s="1"/>
  <c r="O768" i="16"/>
  <c r="O230" i="20" s="1"/>
  <c r="O744" i="16"/>
  <c r="O206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92" i="10"/>
  <c r="O91" i="10" s="1"/>
  <c r="O105" i="10" s="1"/>
  <c r="O89" i="10"/>
  <c r="O113" i="10" s="1"/>
  <c r="O1283" i="16"/>
  <c r="O307" i="16" s="1"/>
  <c r="O322" i="16" s="1"/>
  <c r="O76" i="20" s="1"/>
  <c r="T42" i="22"/>
  <c r="T46" i="22" s="1"/>
  <c r="S47" i="22"/>
  <c r="S48" i="22" s="1"/>
  <c r="T106" i="22"/>
  <c r="T110" i="22" s="1"/>
  <c r="S111" i="22"/>
  <c r="S112" i="22" s="1"/>
  <c r="S121" i="22"/>
  <c r="S122" i="22" s="1"/>
  <c r="T116" i="22"/>
  <c r="T120" i="22" s="1"/>
  <c r="U126" i="22"/>
  <c r="T130" i="22"/>
  <c r="T131" i="22" s="1"/>
  <c r="O1158" i="16"/>
  <c r="O248" i="16" s="1"/>
  <c r="L1179" i="16"/>
  <c r="L251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27" i="25"/>
  <c r="F135" i="25" s="1"/>
  <c r="F146" i="25" s="1"/>
  <c r="F154" i="25" s="1"/>
  <c r="D255" i="25"/>
  <c r="D228" i="25"/>
  <c r="D236" i="25" s="1"/>
  <c r="O2094" i="16"/>
  <c r="C396" i="20"/>
  <c r="K398" i="20" s="1"/>
  <c r="K399" i="20" s="1"/>
  <c r="K930" i="12"/>
  <c r="K216" i="10" s="1"/>
  <c r="K360" i="10" s="1"/>
  <c r="K931" i="12"/>
  <c r="P126" i="8"/>
  <c r="P27" i="8"/>
  <c r="P11" i="12" s="1"/>
  <c r="O11" i="16"/>
  <c r="O11" i="12"/>
  <c r="O11" i="10"/>
  <c r="O11" i="20"/>
  <c r="O11" i="18"/>
  <c r="O11" i="22"/>
  <c r="D395" i="20"/>
  <c r="O1568" i="16"/>
  <c r="O2178" i="16" s="1"/>
  <c r="N1569" i="16"/>
  <c r="N1570" i="16"/>
  <c r="K2166" i="16"/>
  <c r="K2142" i="16"/>
  <c r="K1330" i="16"/>
  <c r="K1331" i="16" s="1"/>
  <c r="K2225" i="16"/>
  <c r="K1901" i="16"/>
  <c r="L1930" i="16"/>
  <c r="K1336" i="16"/>
  <c r="K1337" i="16" s="1"/>
  <c r="K1338" i="16" s="1"/>
  <c r="L1900" i="16"/>
  <c r="M1900" i="16" s="1"/>
  <c r="M2225" i="16" s="1"/>
  <c r="O1162" i="16"/>
  <c r="O2117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741" i="12"/>
  <c r="P728" i="12"/>
  <c r="P736" i="12"/>
  <c r="P744" i="12"/>
  <c r="P730" i="12"/>
  <c r="P738" i="12"/>
  <c r="P732" i="12"/>
  <c r="P740" i="12"/>
  <c r="P727" i="12"/>
  <c r="P735" i="12"/>
  <c r="P743" i="12"/>
  <c r="M929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47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711" i="12"/>
  <c r="P715" i="12"/>
  <c r="P719" i="12"/>
  <c r="P702" i="12"/>
  <c r="P1185" i="12" s="1"/>
  <c r="P706" i="12"/>
  <c r="P710" i="12"/>
  <c r="P714" i="12"/>
  <c r="P705" i="12"/>
  <c r="P1188" i="12" s="1"/>
  <c r="P709" i="12"/>
  <c r="P1192" i="12" s="1"/>
  <c r="P713" i="12"/>
  <c r="P717" i="12"/>
  <c r="P65" i="20"/>
  <c r="P1297" i="16"/>
  <c r="P309" i="16" s="1"/>
  <c r="P1694" i="12"/>
  <c r="P216" i="16"/>
  <c r="O1584" i="12"/>
  <c r="O1600" i="12"/>
  <c r="O2051" i="16"/>
  <c r="O2080" i="16"/>
  <c r="K408" i="10"/>
  <c r="O2046" i="16"/>
  <c r="O2079" i="16"/>
  <c r="E263" i="25"/>
  <c r="E264" i="25"/>
  <c r="J125" i="10"/>
  <c r="J124" i="10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28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4" i="25"/>
  <c r="E226" i="25"/>
  <c r="E225" i="25"/>
  <c r="E143" i="25"/>
  <c r="F52" i="25"/>
  <c r="E209" i="25"/>
  <c r="E247" i="25" s="1"/>
  <c r="E266" i="25" s="1"/>
  <c r="E274" i="25" s="1"/>
  <c r="E217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172" i="20"/>
  <c r="P271" i="10"/>
  <c r="P478" i="20"/>
  <c r="P1455" i="16"/>
  <c r="P1322" i="16"/>
  <c r="P616" i="16"/>
  <c r="P12" i="20"/>
  <c r="P25" i="20" s="1"/>
  <c r="P1188" i="20" s="1"/>
  <c r="P1222" i="20" s="1"/>
  <c r="P1235" i="20" s="1"/>
  <c r="P1248" i="20" s="1"/>
  <c r="P408" i="16"/>
  <c r="P1749" i="12"/>
  <c r="P1792" i="12"/>
  <c r="P1788" i="12"/>
  <c r="P424" i="16"/>
  <c r="P1544" i="16"/>
  <c r="P1751" i="12"/>
  <c r="P23" i="12"/>
  <c r="P195" i="20"/>
  <c r="P1737" i="12"/>
  <c r="P1537" i="16"/>
  <c r="P657" i="16"/>
  <c r="P70" i="16"/>
  <c r="P240" i="11"/>
  <c r="P915" i="12"/>
  <c r="P1930" i="12" s="1"/>
  <c r="P1837" i="16"/>
  <c r="P462" i="16" s="1"/>
  <c r="P74" i="18"/>
  <c r="P1745" i="12"/>
  <c r="P139" i="20"/>
  <c r="O2078" i="16"/>
  <c r="P1834" i="16"/>
  <c r="P459" i="16" s="1"/>
  <c r="P103" i="20"/>
  <c r="P1667" i="12"/>
  <c r="P2038" i="16"/>
  <c r="P2064" i="16" s="1"/>
  <c r="P1748" i="12"/>
  <c r="O161" i="12"/>
  <c r="P1896" i="16"/>
  <c r="P222" i="11"/>
  <c r="P68" i="20"/>
  <c r="P1698" i="12"/>
  <c r="P1840" i="12"/>
  <c r="F427" i="25"/>
  <c r="O1204" i="12"/>
  <c r="O1392" i="12" s="1"/>
  <c r="J908" i="20" a="1"/>
  <c r="J908" i="20" s="1"/>
  <c r="D912" i="20"/>
  <c r="O357" i="20"/>
  <c r="O358" i="20" s="1"/>
  <c r="P1483" i="16"/>
  <c r="P1564" i="16"/>
  <c r="P1144" i="16"/>
  <c r="P246" i="16" s="1"/>
  <c r="P1523" i="16"/>
  <c r="P1835" i="16"/>
  <c r="P460" i="16" s="1"/>
  <c r="P1339" i="16"/>
  <c r="P1931" i="16"/>
  <c r="P1422" i="16"/>
  <c r="P1910" i="16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46" i="20"/>
  <c r="P1812" i="12"/>
  <c r="P32" i="12"/>
  <c r="P2033" i="16"/>
  <c r="P2059" i="16" s="1"/>
  <c r="P2087" i="16" s="1"/>
  <c r="P1823" i="12"/>
  <c r="P62" i="20"/>
  <c r="P100" i="12"/>
  <c r="P1671" i="12"/>
  <c r="P1777" i="12"/>
  <c r="P270" i="16"/>
  <c r="P618" i="16"/>
  <c r="P99" i="20"/>
  <c r="P1501" i="16"/>
  <c r="P364" i="16" s="1"/>
  <c r="P1670" i="12"/>
  <c r="P1880" i="12"/>
  <c r="P1919" i="12" s="1"/>
  <c r="P431" i="16"/>
  <c r="P130" i="20"/>
  <c r="P35" i="11"/>
  <c r="P1665" i="12"/>
  <c r="P173" i="20"/>
  <c r="P434" i="16"/>
  <c r="P327" i="16"/>
  <c r="P137" i="20"/>
  <c r="P1516" i="16"/>
  <c r="P1838" i="12"/>
  <c r="P123" i="20"/>
  <c r="P1738" i="12"/>
  <c r="P1715" i="12"/>
  <c r="P1713" i="12"/>
  <c r="P219" i="10"/>
  <c r="P2037" i="16"/>
  <c r="P2063" i="16" s="1"/>
  <c r="P2091" i="16" s="1"/>
  <c r="P448" i="16"/>
  <c r="P1434" i="16"/>
  <c r="P391" i="16" s="1"/>
  <c r="I353" i="16" s="1"/>
  <c r="G94" i="20" s="1"/>
  <c r="G109" i="20" s="1"/>
  <c r="P1924" i="16"/>
  <c r="P82" i="20"/>
  <c r="P1672" i="12"/>
  <c r="P1736" i="12"/>
  <c r="P128" i="20"/>
  <c r="P1504" i="16"/>
  <c r="P367" i="16" s="1"/>
  <c r="P2039" i="16"/>
  <c r="P2065" i="16" s="1"/>
  <c r="P2093" i="16" s="1"/>
  <c r="P1644" i="12"/>
  <c r="P201" i="11"/>
  <c r="P326" i="16"/>
  <c r="P1490" i="16"/>
  <c r="P1578" i="16"/>
  <c r="P32" i="22"/>
  <c r="P1805" i="12"/>
  <c r="P1816" i="12"/>
  <c r="P1571" i="16"/>
  <c r="P518" i="16" s="1"/>
  <c r="P1804" i="12"/>
  <c r="P1704" i="12"/>
  <c r="P268" i="16"/>
  <c r="P67" i="20"/>
  <c r="P171" i="20"/>
  <c r="P81" i="20"/>
  <c r="P1727" i="12"/>
  <c r="P1806" i="12"/>
  <c r="P2036" i="16"/>
  <c r="P2062" i="16" s="1"/>
  <c r="P2090" i="16" s="1"/>
  <c r="P187" i="20"/>
  <c r="P698" i="12"/>
  <c r="P1753" i="12"/>
  <c r="P160" i="20"/>
  <c r="P148" i="20"/>
  <c r="P2071" i="16"/>
  <c r="P1497" i="16"/>
  <c r="P1557" i="16"/>
  <c r="P516" i="16" s="1"/>
  <c r="P144" i="20"/>
  <c r="P1401" i="16"/>
  <c r="P345" i="16" s="1"/>
  <c r="I327" i="16" s="1"/>
  <c r="P191" i="20"/>
  <c r="P1825" i="12"/>
  <c r="P169" i="20"/>
  <c r="P174" i="20"/>
  <c r="P1613" i="16"/>
  <c r="P1917" i="16"/>
  <c r="P1769" i="12"/>
  <c r="P152" i="20"/>
  <c r="P205" i="20"/>
  <c r="P437" i="16"/>
  <c r="P1817" i="12"/>
  <c r="P353" i="16"/>
  <c r="P1836" i="16"/>
  <c r="P461" i="16" s="1"/>
  <c r="P1821" i="12"/>
  <c r="P1889" i="16"/>
  <c r="P602" i="16" s="1"/>
  <c r="P612" i="16" s="1"/>
  <c r="P183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1938" i="16"/>
  <c r="P1592" i="16"/>
  <c r="P521" i="16" s="1"/>
  <c r="P1706" i="12"/>
  <c r="P1827" i="12"/>
  <c r="P93" i="20"/>
  <c r="P1772" i="12"/>
  <c r="P30" i="16"/>
  <c r="P940" i="12"/>
  <c r="P188" i="20"/>
  <c r="P445" i="16"/>
  <c r="P54" i="16"/>
  <c r="P1530" i="16"/>
  <c r="P1325" i="16"/>
  <c r="P84" i="20"/>
  <c r="P356" i="16"/>
  <c r="P1723" i="12"/>
  <c r="P1683" i="12"/>
  <c r="P418" i="16"/>
  <c r="P151" i="20"/>
  <c r="P1157" i="12"/>
  <c r="P1877" i="16"/>
  <c r="P1599" i="16"/>
  <c r="P1311" i="16"/>
  <c r="P582" i="16"/>
  <c r="P1681" i="12"/>
  <c r="P1773" i="12"/>
  <c r="P1732" i="12"/>
  <c r="P1798" i="12"/>
  <c r="P66" i="20"/>
  <c r="P363" i="10"/>
  <c r="P1830" i="12"/>
  <c r="P1884" i="12"/>
  <c r="P1802" i="12"/>
  <c r="P2040" i="16"/>
  <c r="P1394" i="16"/>
  <c r="P344" i="16" s="1"/>
  <c r="P1945" i="16"/>
  <c r="P1318" i="16"/>
  <c r="P312" i="16" s="1"/>
  <c r="P1476" i="16"/>
  <c r="P1469" i="16"/>
  <c r="P396" i="16" s="1"/>
  <c r="P44" i="18"/>
  <c r="P1776" i="12"/>
  <c r="Q28" i="8"/>
  <c r="P1714" i="12"/>
  <c r="P117" i="20"/>
  <c r="P1696" i="12"/>
  <c r="P1448" i="16"/>
  <c r="P393" i="16" s="1"/>
  <c r="P1801" i="12"/>
  <c r="P1689" i="12"/>
  <c r="P22" i="16"/>
  <c r="P1399" i="12"/>
  <c r="P143" i="20"/>
  <c r="P1742" i="12"/>
  <c r="P1903" i="16"/>
  <c r="P354" i="16"/>
  <c r="P96" i="20"/>
  <c r="P1421" i="12"/>
  <c r="P1562" i="12" s="1"/>
  <c r="P1740" i="12"/>
  <c r="P1746" i="12"/>
  <c r="P420" i="16"/>
  <c r="P145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94" i="20"/>
  <c r="P1833" i="16"/>
  <c r="P458" i="16" s="1"/>
  <c r="P1332" i="16"/>
  <c r="P1585" i="16"/>
  <c r="P136" i="20"/>
  <c r="P1304" i="16"/>
  <c r="P1290" i="16"/>
  <c r="P74" i="11"/>
  <c r="P358" i="16"/>
  <c r="P171" i="11"/>
  <c r="P1771" i="12"/>
  <c r="P170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20" i="20"/>
  <c r="P127" i="10"/>
  <c r="P42" i="12"/>
  <c r="P1824" i="12"/>
  <c r="P278" i="16"/>
  <c r="P70" i="20"/>
  <c r="P1462" i="16"/>
  <c r="P1731" i="12"/>
  <c r="P428" i="16"/>
  <c r="P1752" i="12"/>
  <c r="P451" i="16"/>
  <c r="P619" i="16"/>
  <c r="P1606" i="16"/>
  <c r="P1415" i="16"/>
  <c r="P1441" i="16"/>
  <c r="P1800" i="12"/>
  <c r="P452" i="16"/>
  <c r="P1768" i="12"/>
  <c r="P362" i="16"/>
  <c r="P355" i="16"/>
  <c r="P1878" i="12"/>
  <c r="P1916" i="12" s="1"/>
  <c r="P1404" i="12"/>
  <c r="P100" i="20"/>
  <c r="P1819" i="12"/>
  <c r="P1688" i="12"/>
  <c r="P419" i="16"/>
  <c r="P1784" i="12"/>
  <c r="P578" i="16"/>
  <c r="P162" i="11"/>
  <c r="P1675" i="12"/>
  <c r="P1691" i="12"/>
  <c r="P1775" i="12"/>
  <c r="P583" i="16"/>
  <c r="P147" i="20"/>
  <c r="P1712" i="12"/>
  <c r="P629" i="12"/>
  <c r="P1781" i="12"/>
  <c r="P422" i="16"/>
  <c r="P190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34" i="20"/>
  <c r="P47" i="20"/>
  <c r="P1193" i="16"/>
  <c r="P174" i="16"/>
  <c r="P79" i="16"/>
  <c r="P104" i="16"/>
  <c r="P61" i="22"/>
  <c r="P142" i="20"/>
  <c r="P617" i="16"/>
  <c r="P438" i="16"/>
  <c r="P1726" i="12"/>
  <c r="P125" i="22"/>
  <c r="P97" i="20"/>
  <c r="P129" i="20"/>
  <c r="P1502" i="16"/>
  <c r="P365" i="16" s="1"/>
  <c r="P1834" i="12"/>
  <c r="P26" i="22"/>
  <c r="P150" i="20"/>
  <c r="P1500" i="16"/>
  <c r="P363" i="16" s="1"/>
  <c r="P1786" i="12"/>
  <c r="P1728" i="12"/>
  <c r="P1181" i="12"/>
  <c r="P334" i="10"/>
  <c r="P49" i="20"/>
  <c r="P444" i="16"/>
  <c r="P1730" i="12"/>
  <c r="P1724" i="12"/>
  <c r="P131" i="20"/>
  <c r="P2032" i="16"/>
  <c r="P2058" i="16" s="1"/>
  <c r="P2086" i="16" s="1"/>
  <c r="P361" i="16"/>
  <c r="P1757" i="12"/>
  <c r="P1759" i="12"/>
  <c r="P12" i="12"/>
  <c r="P194" i="20"/>
  <c r="P31" i="20"/>
  <c r="P129" i="16"/>
  <c r="P209" i="16"/>
  <c r="P116" i="16"/>
  <c r="P124" i="16"/>
  <c r="P114" i="16"/>
  <c r="P42" i="20"/>
  <c r="P36" i="20"/>
  <c r="P38" i="20"/>
  <c r="P328" i="20"/>
  <c r="P95" i="16"/>
  <c r="P97" i="16"/>
  <c r="P63" i="18"/>
  <c r="P134" i="20"/>
  <c r="P623" i="16"/>
  <c r="P283" i="16"/>
  <c r="P1790" i="12"/>
  <c r="P41" i="22"/>
  <c r="P125" i="20"/>
  <c r="P622" i="16"/>
  <c r="P272" i="16"/>
  <c r="P1750" i="12"/>
  <c r="P178" i="20"/>
  <c r="P2041" i="16"/>
  <c r="P2067" i="16" s="1"/>
  <c r="P2095" i="16" s="1"/>
  <c r="P330" i="16"/>
  <c r="P1677" i="12"/>
  <c r="P1690" i="12"/>
  <c r="P360" i="16"/>
  <c r="P84" i="22"/>
  <c r="P69" i="20"/>
  <c r="P359" i="16"/>
  <c r="P1778" i="12"/>
  <c r="P1408" i="16"/>
  <c r="P346" i="16" s="1"/>
  <c r="P71" i="20"/>
  <c r="P581" i="16"/>
  <c r="P425" i="16"/>
  <c r="P1725" i="12"/>
  <c r="P1668" i="12"/>
  <c r="P53" i="11"/>
  <c r="P189" i="20"/>
  <c r="P580" i="16"/>
  <c r="P421" i="16"/>
  <c r="P1699" i="12"/>
  <c r="P199" i="16"/>
  <c r="P202" i="16"/>
  <c r="P213" i="16"/>
  <c r="P130" i="16"/>
  <c r="P106" i="16"/>
  <c r="P131" i="16"/>
  <c r="P40" i="20"/>
  <c r="P43" i="20"/>
  <c r="P356" i="20"/>
  <c r="P898" i="16"/>
  <c r="P102" i="16"/>
  <c r="P96" i="16"/>
  <c r="P144" i="16" s="1"/>
  <c r="P156" i="20"/>
  <c r="P61" i="20"/>
  <c r="P454" i="16"/>
  <c r="P198" i="16"/>
  <c r="P1700" i="12"/>
  <c r="P140" i="20"/>
  <c r="P96" i="18"/>
  <c r="P577" i="16"/>
  <c r="P430" i="16"/>
  <c r="P1879" i="12"/>
  <c r="P1918" i="12" s="1"/>
  <c r="P127" i="20"/>
  <c r="P175" i="20"/>
  <c r="P279" i="16"/>
  <c r="P1813" i="12"/>
  <c r="P1835" i="12"/>
  <c r="P82" i="12"/>
  <c r="P116" i="18"/>
  <c r="P101" i="20"/>
  <c r="P698" i="16"/>
  <c r="P1761" i="12"/>
  <c r="P242" i="10"/>
  <c r="P30" i="20"/>
  <c r="P447" i="16"/>
  <c r="P1791" i="12"/>
  <c r="P1789" i="12"/>
  <c r="P1747" i="12"/>
  <c r="P83" i="20"/>
  <c r="P141" i="20"/>
  <c r="P573" i="16"/>
  <c r="P203" i="16"/>
  <c r="P206" i="16"/>
  <c r="P133" i="16"/>
  <c r="P115" i="16"/>
  <c r="P123" i="16"/>
  <c r="P117" i="16"/>
  <c r="P44" i="20"/>
  <c r="P46" i="20"/>
  <c r="P1158" i="16"/>
  <c r="P1207" i="16"/>
  <c r="P99" i="16"/>
  <c r="P98" i="16"/>
  <c r="P135" i="20"/>
  <c r="P64" i="20"/>
  <c r="P449" i="16"/>
  <c r="P282" i="16"/>
  <c r="P1837" i="12"/>
  <c r="P70" i="22"/>
  <c r="P121" i="20"/>
  <c r="P455" i="16"/>
  <c r="P275" i="16"/>
  <c r="P1782" i="12"/>
  <c r="P192" i="20"/>
  <c r="P625" i="16"/>
  <c r="P433" i="16"/>
  <c r="P1733" i="12"/>
  <c r="P1679" i="12"/>
  <c r="P63" i="12"/>
  <c r="P176" i="20"/>
  <c r="P124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48" i="20"/>
  <c r="P35" i="20"/>
  <c r="P1165" i="16"/>
  <c r="P135" i="16"/>
  <c r="P154" i="20"/>
  <c r="P2057" i="16"/>
  <c r="P440" i="16"/>
  <c r="P1795" i="12"/>
  <c r="P603" i="12"/>
  <c r="P138" i="20"/>
  <c r="P98" i="20"/>
  <c r="P446" i="16"/>
  <c r="P441" i="16"/>
  <c r="P1692" i="12"/>
  <c r="P193" i="20"/>
  <c r="P579" i="16"/>
  <c r="P1803" i="12"/>
  <c r="P1797" i="12"/>
  <c r="P1839" i="12"/>
  <c r="P73" i="12"/>
  <c r="P20" i="22"/>
  <c r="P624" i="16"/>
  <c r="P429" i="16"/>
  <c r="P1793" i="12"/>
  <c r="P105" i="22"/>
  <c r="P80" i="20"/>
  <c r="P436" i="16"/>
  <c r="P1818" i="12"/>
  <c r="P1832" i="12"/>
  <c r="P1680" i="12"/>
  <c r="P1503" i="16"/>
  <c r="P366" i="16" s="1"/>
  <c r="P63" i="20"/>
  <c r="P453" i="16"/>
  <c r="P1814" i="12"/>
  <c r="P1815" i="12"/>
  <c r="P921" i="12"/>
  <c r="P1811" i="12"/>
  <c r="P116" i="20"/>
  <c r="P132" i="20"/>
  <c r="P329" i="16"/>
  <c r="P211" i="16"/>
  <c r="P214" i="16"/>
  <c r="P208" i="16"/>
  <c r="P113" i="16"/>
  <c r="P128" i="16"/>
  <c r="P122" i="16"/>
  <c r="P45" i="20"/>
  <c r="P39" i="20"/>
  <c r="P1172" i="16"/>
  <c r="P250" i="16" s="1"/>
  <c r="P100" i="16"/>
  <c r="P133" i="20"/>
  <c r="P95" i="20"/>
  <c r="P281" i="16"/>
  <c r="P1705" i="12"/>
  <c r="P385" i="10"/>
  <c r="P489" i="10" s="1"/>
  <c r="P177" i="20"/>
  <c r="P118" i="20"/>
  <c r="P200" i="16"/>
  <c r="P201" i="16"/>
  <c r="P126" i="16"/>
  <c r="P134" i="16"/>
  <c r="P127" i="16"/>
  <c r="P109" i="16"/>
  <c r="P41" i="20"/>
  <c r="P33" i="20"/>
  <c r="P1186" i="16"/>
  <c r="P1200" i="16"/>
  <c r="P141" i="16"/>
  <c r="P29" i="8"/>
  <c r="P127" i="8" s="1"/>
  <c r="P103" i="16"/>
  <c r="P75" i="10"/>
  <c r="P60" i="20"/>
  <c r="P615" i="16"/>
  <c r="P280" i="16"/>
  <c r="P1758" i="12"/>
  <c r="P90" i="22"/>
  <c r="P102" i="20"/>
  <c r="P2031" i="16"/>
  <c r="P273" i="16"/>
  <c r="P1697" i="12"/>
  <c r="P115" i="22"/>
  <c r="P85" i="20"/>
  <c r="P277" i="16"/>
  <c r="P1734" i="12"/>
  <c r="P1760" i="12"/>
  <c r="P1400" i="12"/>
  <c r="P161" i="20"/>
  <c r="P72" i="20"/>
  <c r="P1774" i="12"/>
  <c r="P149" i="20"/>
  <c r="P1799" i="12"/>
  <c r="P1735" i="12"/>
  <c r="P57" i="20"/>
  <c r="P59" i="20"/>
  <c r="P112" i="16"/>
  <c r="F285" i="25"/>
  <c r="P114" i="12"/>
  <c r="P1640" i="12"/>
  <c r="P1833" i="12"/>
  <c r="P276" i="16"/>
  <c r="P107" i="18"/>
  <c r="P12" i="18"/>
  <c r="P12" i="11"/>
  <c r="P1743" i="12"/>
  <c r="P1678" i="12"/>
  <c r="P196" i="20"/>
  <c r="P231" i="11"/>
  <c r="P38" i="16"/>
  <c r="P197" i="20"/>
  <c r="P575" i="16"/>
  <c r="P1638" i="12"/>
  <c r="P122" i="20"/>
  <c r="P126" i="20"/>
  <c r="P204" i="16"/>
  <c r="P1179" i="16"/>
  <c r="P215" i="16"/>
  <c r="P357" i="16"/>
  <c r="P119" i="20"/>
  <c r="P1796" i="12"/>
  <c r="P352" i="16"/>
  <c r="P1756" i="12"/>
  <c r="P621" i="16"/>
  <c r="P1716" i="12"/>
  <c r="P1829" i="12"/>
  <c r="P62" i="16"/>
  <c r="P32" i="20"/>
  <c r="P1828" i="12"/>
  <c r="P426" i="16"/>
  <c r="P83" i="18"/>
  <c r="P1669" i="12"/>
  <c r="P439" i="16"/>
  <c r="P1836" i="12"/>
  <c r="P155" i="20"/>
  <c r="P1826" i="12"/>
  <c r="P1787" i="12"/>
  <c r="P423" i="16"/>
  <c r="P37" i="20"/>
  <c r="P1676" i="12"/>
  <c r="P1695" i="12"/>
  <c r="P801" i="16"/>
  <c r="P786" i="16"/>
  <c r="P153" i="20"/>
  <c r="P58" i="20"/>
  <c r="P1674" i="12"/>
  <c r="P1785" i="12"/>
  <c r="P435" i="16"/>
  <c r="P134" i="22"/>
  <c r="P1831" i="12"/>
  <c r="P620" i="16"/>
  <c r="P1707" i="12"/>
  <c r="P179" i="20"/>
  <c r="P1701" i="12"/>
  <c r="P274" i="16"/>
  <c r="P2034" i="16"/>
  <c r="P2060" i="16" s="1"/>
  <c r="P2088" i="16" s="1"/>
  <c r="P107" i="16"/>
  <c r="P1412" i="16"/>
  <c r="P2155" i="16" s="1"/>
  <c r="P1405" i="16"/>
  <c r="P2154" i="16" s="1"/>
  <c r="P363" i="20"/>
  <c r="P880" i="16"/>
  <c r="P349" i="20"/>
  <c r="P492" i="20"/>
  <c r="P886" i="16"/>
  <c r="P1391" i="16"/>
  <c r="P2152" i="16" s="1"/>
  <c r="P892" i="16"/>
  <c r="P1575" i="16"/>
  <c r="P2179" i="16" s="1"/>
  <c r="P1620" i="16"/>
  <c r="P461" i="20"/>
  <c r="P1294" i="16"/>
  <c r="P1438" i="16"/>
  <c r="P471" i="20"/>
  <c r="P1308" i="16"/>
  <c r="P874" i="16"/>
  <c r="P1419" i="16"/>
  <c r="P2156" i="16" s="1"/>
  <c r="P1886" i="16"/>
  <c r="P2223" i="16" s="1"/>
  <c r="P1155" i="16"/>
  <c r="P2116" i="16" s="1"/>
  <c r="O86" i="20"/>
  <c r="O1205" i="20" s="1"/>
  <c r="O899" i="16"/>
  <c r="O2047" i="16"/>
  <c r="O1887" i="16"/>
  <c r="O2081" i="16"/>
  <c r="O2074" i="16"/>
  <c r="M1406" i="12"/>
  <c r="O2052" i="16"/>
  <c r="O331" i="16"/>
  <c r="O806" i="16" s="1"/>
  <c r="O2048" i="16"/>
  <c r="O749" i="16"/>
  <c r="O211" i="20" s="1"/>
  <c r="O772" i="16"/>
  <c r="O234" i="20" s="1"/>
  <c r="O778" i="16"/>
  <c r="O240" i="20" s="1"/>
  <c r="O2061" i="16"/>
  <c r="O2075" i="16" s="1"/>
  <c r="O782" i="16"/>
  <c r="O244" i="20" s="1"/>
  <c r="O767" i="16"/>
  <c r="O229" i="20" s="1"/>
  <c r="O781" i="16"/>
  <c r="O243" i="20" s="1"/>
  <c r="O758" i="16"/>
  <c r="O220" i="20" s="1"/>
  <c r="O2223" i="16"/>
  <c r="O748" i="16"/>
  <c r="O210" i="20" s="1"/>
  <c r="O759" i="16"/>
  <c r="O221" i="20" s="1"/>
  <c r="O757" i="16"/>
  <c r="O219" i="20" s="1"/>
  <c r="O783" i="16"/>
  <c r="O245" i="20" s="1"/>
  <c r="O745" i="16"/>
  <c r="O207" i="20" s="1"/>
  <c r="O771" i="16"/>
  <c r="O233" i="20" s="1"/>
  <c r="O769" i="16"/>
  <c r="O231" i="20" s="1"/>
  <c r="O747" i="16"/>
  <c r="O209" i="20" s="1"/>
  <c r="O754" i="16"/>
  <c r="O216" i="20" s="1"/>
  <c r="O776" i="16"/>
  <c r="O238" i="20" s="1"/>
  <c r="O762" i="16"/>
  <c r="O224" i="20" s="1"/>
  <c r="O779" i="16"/>
  <c r="O241" i="20" s="1"/>
  <c r="O753" i="16"/>
  <c r="O215" i="20" s="1"/>
  <c r="O755" i="16"/>
  <c r="O217" i="20" s="1"/>
  <c r="O756" i="16"/>
  <c r="O218" i="20" s="1"/>
  <c r="O761" i="16"/>
  <c r="O223" i="20" s="1"/>
  <c r="O775" i="16"/>
  <c r="O237" i="20" s="1"/>
  <c r="O774" i="16"/>
  <c r="O236" i="20" s="1"/>
  <c r="O751" i="16"/>
  <c r="O213" i="20" s="1"/>
  <c r="O766" i="16"/>
  <c r="O228" i="20" s="1"/>
  <c r="O777" i="16"/>
  <c r="O239" i="20" s="1"/>
  <c r="O750" i="16"/>
  <c r="O212" i="20" s="1"/>
  <c r="O764" i="16"/>
  <c r="O226" i="20" s="1"/>
  <c r="O780" i="16"/>
  <c r="O242" i="20" s="1"/>
  <c r="O752" i="16"/>
  <c r="O214" i="20" s="1"/>
  <c r="O770" i="16"/>
  <c r="O232" i="20" s="1"/>
  <c r="O765" i="16"/>
  <c r="O227" i="20" s="1"/>
  <c r="O746" i="16"/>
  <c r="O208" i="20" s="1"/>
  <c r="O760" i="16"/>
  <c r="O222" i="20" s="1"/>
  <c r="O763" i="16"/>
  <c r="O225" i="20" s="1"/>
  <c r="O773" i="16"/>
  <c r="O235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7" i="25"/>
  <c r="O520" i="12"/>
  <c r="O33" i="18"/>
  <c r="O38" i="18" s="1"/>
  <c r="O206" i="12"/>
  <c r="O73" i="20"/>
  <c r="O1203" i="20" s="1"/>
  <c r="O807" i="16"/>
  <c r="C409" i="20"/>
  <c r="C411" i="20" s="1"/>
  <c r="C412" i="20" s="1"/>
  <c r="D402" i="20"/>
  <c r="C403" i="20"/>
  <c r="K405" i="20" s="1"/>
  <c r="K406" i="20" s="1"/>
  <c r="L169" i="16"/>
  <c r="L186" i="16" s="1"/>
  <c r="L60" i="10" s="1"/>
  <c r="O136" i="16"/>
  <c r="O875" i="16"/>
  <c r="K84" i="16"/>
  <c r="Q380" i="10"/>
  <c r="Q370" i="10"/>
  <c r="J361" i="10"/>
  <c r="J418" i="10" s="1"/>
  <c r="J428" i="10"/>
  <c r="I410" i="10"/>
  <c r="I353" i="10"/>
  <c r="J410" i="10"/>
  <c r="F163" i="25"/>
  <c r="F379" i="25"/>
  <c r="F475" i="25"/>
  <c r="F592" i="25" s="1"/>
  <c r="F332" i="25"/>
  <c r="N1401" i="12"/>
  <c r="N1411" i="12" s="1"/>
  <c r="N1412" i="12" s="1"/>
  <c r="N257" i="20" s="1"/>
  <c r="M1641" i="12"/>
  <c r="M1651" i="12" s="1"/>
  <c r="F66" i="25"/>
  <c r="O896" i="12"/>
  <c r="O916" i="12" s="1"/>
  <c r="O1932" i="12" s="1"/>
  <c r="O1708" i="12"/>
  <c r="O1873" i="12" s="1"/>
  <c r="O1911" i="12" s="1"/>
  <c r="N2055" i="16"/>
  <c r="N796" i="16" s="1"/>
  <c r="O2054" i="16"/>
  <c r="O1453" i="16"/>
  <c r="N699" i="16"/>
  <c r="O963" i="12"/>
  <c r="O1151" i="12" s="1"/>
  <c r="O1392" i="16"/>
  <c r="N1420" i="16"/>
  <c r="N1421" i="16" s="1"/>
  <c r="O887" i="16"/>
  <c r="O893" i="16"/>
  <c r="M333" i="16"/>
  <c r="O2152" i="16"/>
  <c r="M1316" i="16"/>
  <c r="O1446" i="16"/>
  <c r="N1315" i="16"/>
  <c r="N2140" i="16" s="1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M1317" i="16"/>
  <c r="P1466" i="16"/>
  <c r="P2164" i="16" s="1"/>
  <c r="O1309" i="16"/>
  <c r="N1894" i="16"/>
  <c r="N1895" i="16" s="1"/>
  <c r="O2139" i="16"/>
  <c r="O479" i="20"/>
  <c r="O480" i="20" s="1"/>
  <c r="P1445" i="16"/>
  <c r="P2161" i="16" s="1"/>
  <c r="O1147" i="12"/>
  <c r="O1159" i="12" s="1"/>
  <c r="O1041" i="12"/>
  <c r="O1154" i="12" s="1"/>
  <c r="O996" i="12"/>
  <c r="O1153" i="12" s="1"/>
  <c r="O1302" i="16"/>
  <c r="O1467" i="16"/>
  <c r="P1301" i="16"/>
  <c r="O799" i="12"/>
  <c r="O912" i="12" s="1"/>
  <c r="O1927" i="12" s="1"/>
  <c r="O987" i="12"/>
  <c r="O1152" i="12" s="1"/>
  <c r="O1684" i="12"/>
  <c r="O1872" i="12" s="1"/>
  <c r="O1910" i="12" s="1"/>
  <c r="O284" i="16"/>
  <c r="O804" i="16" s="1"/>
  <c r="O180" i="20"/>
  <c r="O1208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198" i="20"/>
  <c r="O1209" i="20" s="1"/>
  <c r="O721" i="12"/>
  <c r="O909" i="12" s="1"/>
  <c r="O1924" i="12" s="1"/>
  <c r="P1452" i="16"/>
  <c r="P2162" i="16" s="1"/>
  <c r="O2042" i="16"/>
  <c r="O811" i="16" s="1"/>
  <c r="O1156" i="16"/>
  <c r="O1893" i="16"/>
  <c r="O2224" i="16" s="1"/>
  <c r="N1477" i="12"/>
  <c r="N1634" i="12" s="1"/>
  <c r="L2165" i="16"/>
  <c r="L1474" i="16"/>
  <c r="M1474" i="16" s="1"/>
  <c r="L1475" i="16"/>
  <c r="M1475" i="16" s="1"/>
  <c r="P1914" i="16"/>
  <c r="L1323" i="16"/>
  <c r="M1323" i="16" s="1"/>
  <c r="N1323" i="16" s="1"/>
  <c r="N2227" i="16"/>
  <c r="N1915" i="16"/>
  <c r="O1915" i="16" s="1"/>
  <c r="L2141" i="16"/>
  <c r="L1329" i="16"/>
  <c r="M1329" i="16" s="1"/>
  <c r="N1329" i="16" s="1"/>
  <c r="O1329" i="16" s="1"/>
  <c r="L1324" i="16"/>
  <c r="M1324" i="16" s="1"/>
  <c r="M2165" i="16"/>
  <c r="N1473" i="16"/>
  <c r="O1473" i="16" s="1"/>
  <c r="M2141" i="16"/>
  <c r="L1480" i="16"/>
  <c r="M1480" i="16" s="1"/>
  <c r="N1480" i="16" s="1"/>
  <c r="O1480" i="16" s="1"/>
  <c r="N246" i="20"/>
  <c r="N1916" i="16"/>
  <c r="N876" i="16"/>
  <c r="M246" i="20"/>
  <c r="N1584" i="16"/>
  <c r="N1282" i="16"/>
  <c r="M1888" i="16"/>
  <c r="N1888" i="16" s="1"/>
  <c r="O1888" i="16" s="1"/>
  <c r="N1393" i="16"/>
  <c r="O1393" i="16" s="1"/>
  <c r="N1447" i="16"/>
  <c r="D1494" i="16"/>
  <c r="F1493" i="16" s="1"/>
  <c r="N1454" i="16"/>
  <c r="L534" i="20"/>
  <c r="L536" i="20" s="1"/>
  <c r="N1468" i="16"/>
  <c r="O1468" i="16" s="1"/>
  <c r="N1157" i="16"/>
  <c r="N1303" i="16"/>
  <c r="N1310" i="16"/>
  <c r="D1336" i="16"/>
  <c r="F1335" i="16" s="1"/>
  <c r="M515" i="20"/>
  <c r="N1160" i="12"/>
  <c r="N1170" i="12" s="1"/>
  <c r="N1171" i="12" s="1"/>
  <c r="N1917" i="12"/>
  <c r="N1920" i="12" s="1"/>
  <c r="D914" i="20"/>
  <c r="C913" i="20"/>
  <c r="E539" i="20"/>
  <c r="E540" i="20" s="1"/>
  <c r="K541" i="20" s="1"/>
  <c r="K542" i="20" s="1"/>
  <c r="D906" i="20"/>
  <c r="E906" i="20" s="1"/>
  <c r="C906" i="20"/>
  <c r="P1459" i="16"/>
  <c r="N1567" i="12"/>
  <c r="N1636" i="12" s="1"/>
  <c r="N1444" i="12"/>
  <c r="N1632" i="12" s="1"/>
  <c r="N1601" i="12"/>
  <c r="N1637" i="12" s="1"/>
  <c r="N1468" i="12"/>
  <c r="N1633" i="12" s="1"/>
  <c r="N1522" i="12"/>
  <c r="N1635" i="12" s="1"/>
  <c r="L1603" i="16"/>
  <c r="L2183" i="16" s="1"/>
  <c r="F1920" i="16"/>
  <c r="D1610" i="16"/>
  <c r="F1609" i="16" s="1"/>
  <c r="N1346" i="16"/>
  <c r="N316" i="16" s="1"/>
  <c r="N322" i="16" s="1"/>
  <c r="N76" i="20" s="1"/>
  <c r="D1942" i="16"/>
  <c r="F1941" i="16" s="1"/>
  <c r="E1341" i="16"/>
  <c r="D1341" i="16"/>
  <c r="M1346" i="16"/>
  <c r="B1340" i="16"/>
  <c r="P1346" i="16"/>
  <c r="L1346" i="16"/>
  <c r="K1346" i="16"/>
  <c r="E1342" i="16"/>
  <c r="D1347" i="16"/>
  <c r="K1353" i="16" s="1"/>
  <c r="N805" i="16"/>
  <c r="O1406" i="16"/>
  <c r="O2154" i="16"/>
  <c r="N336" i="20"/>
  <c r="N337" i="20" s="1"/>
  <c r="P1280" i="16"/>
  <c r="P1283" i="16" s="1"/>
  <c r="P307" i="16" s="1"/>
  <c r="N1881" i="12"/>
  <c r="N1891" i="12" s="1"/>
  <c r="N1135" i="16"/>
  <c r="O1281" i="16"/>
  <c r="O486" i="20"/>
  <c r="O487" i="20" s="1"/>
  <c r="P485" i="20"/>
  <c r="P1907" i="16"/>
  <c r="P2226" i="16" s="1"/>
  <c r="O1908" i="16"/>
  <c r="O1909" i="16" s="1"/>
  <c r="O350" i="20"/>
  <c r="O351" i="20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O364" i="20"/>
  <c r="O365" i="20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59" i="16"/>
  <c r="M57" i="16" s="1"/>
  <c r="M2254" i="16" s="1"/>
  <c r="M2266" i="16" s="1"/>
  <c r="L2278" i="16"/>
  <c r="L60" i="16" s="1"/>
  <c r="L87" i="16" s="1"/>
  <c r="L43" i="16"/>
  <c r="M41" i="16" s="1"/>
  <c r="M2252" i="16" s="1"/>
  <c r="M2264" i="16" s="1"/>
  <c r="L2276" i="16"/>
  <c r="L44" i="16" s="1"/>
  <c r="L378" i="20"/>
  <c r="M377" i="20"/>
  <c r="M379" i="20" s="1"/>
  <c r="L385" i="20"/>
  <c r="L1185" i="16"/>
  <c r="M371" i="20"/>
  <c r="L1184" i="16"/>
  <c r="N1172" i="16"/>
  <c r="N250" i="16" s="1"/>
  <c r="O1169" i="16"/>
  <c r="O2118" i="16" s="1"/>
  <c r="M1183" i="16"/>
  <c r="M2120" i="16" s="1"/>
  <c r="N1170" i="16"/>
  <c r="N1171" i="16" s="1"/>
  <c r="L1197" i="16"/>
  <c r="L2122" i="16" s="1"/>
  <c r="L1191" i="16"/>
  <c r="M1176" i="16"/>
  <c r="M2119" i="16" s="1"/>
  <c r="L1192" i="16"/>
  <c r="M372" i="20"/>
  <c r="N370" i="20"/>
  <c r="M1190" i="16"/>
  <c r="M2121" i="16" s="1"/>
  <c r="L391" i="20"/>
  <c r="L392" i="20" s="1"/>
  <c r="N1163" i="16"/>
  <c r="M384" i="20"/>
  <c r="L1178" i="16"/>
  <c r="L1177" i="16"/>
  <c r="N1149" i="16"/>
  <c r="O1141" i="16"/>
  <c r="O2114" i="16" s="1"/>
  <c r="D943" i="16"/>
  <c r="J942" i="16"/>
  <c r="E939" i="16"/>
  <c r="E938" i="16"/>
  <c r="F938" i="16" s="1"/>
  <c r="D938" i="16"/>
  <c r="C940" i="16"/>
  <c r="B937" i="16"/>
  <c r="D933" i="16"/>
  <c r="K1952" i="16"/>
  <c r="N1142" i="16"/>
  <c r="N1179" i="16"/>
  <c r="N251" i="16" s="1"/>
  <c r="K1198" i="16"/>
  <c r="K1200" i="16"/>
  <c r="K254" i="16" s="1"/>
  <c r="K1204" i="16"/>
  <c r="K2123" i="16" s="1"/>
  <c r="K1199" i="16"/>
  <c r="D1203" i="16"/>
  <c r="D1204" i="16" s="1"/>
  <c r="E1209" i="16"/>
  <c r="F1209" i="16" s="1"/>
  <c r="D1215" i="16"/>
  <c r="D1209" i="16"/>
  <c r="P1214" i="16"/>
  <c r="E1210" i="16"/>
  <c r="K393" i="20"/>
  <c r="P1952" i="16"/>
  <c r="L1952" i="16"/>
  <c r="D1947" i="16"/>
  <c r="B1946" i="16"/>
  <c r="E1947" i="16"/>
  <c r="F1947" i="16" s="1"/>
  <c r="E1948" i="16"/>
  <c r="D1948" i="16" s="1"/>
  <c r="N1952" i="16"/>
  <c r="M1952" i="16"/>
  <c r="P1287" i="16"/>
  <c r="O1288" i="16"/>
  <c r="O846" i="20"/>
  <c r="P845" i="20"/>
  <c r="O329" i="20"/>
  <c r="O330" i="20" s="1"/>
  <c r="N1289" i="16"/>
  <c r="P1398" i="16"/>
  <c r="P2153" i="16" s="1"/>
  <c r="N480" i="20"/>
  <c r="O1399" i="16"/>
  <c r="O1400" i="16" s="1"/>
  <c r="O500" i="20"/>
  <c r="O501" i="20" s="1"/>
  <c r="P499" i="20"/>
  <c r="M1886" i="12"/>
  <c r="O1555" i="16"/>
  <c r="O1556" i="16" s="1"/>
  <c r="P1554" i="16"/>
  <c r="M1165" i="12"/>
  <c r="M1172" i="12" s="1"/>
  <c r="L1646" i="12"/>
  <c r="P1561" i="16"/>
  <c r="P2177" i="16" s="1"/>
  <c r="O1562" i="16"/>
  <c r="O1563" i="16" s="1"/>
  <c r="L923" i="12"/>
  <c r="N918" i="12"/>
  <c r="N928" i="12" s="1"/>
  <c r="K208" i="10"/>
  <c r="N1931" i="12"/>
  <c r="N1934" i="12" s="1"/>
  <c r="O493" i="20"/>
  <c r="O494" i="20" s="1"/>
  <c r="N2069" i="16"/>
  <c r="O1432" i="16"/>
  <c r="O1433" i="16" s="1"/>
  <c r="P1431" i="16"/>
  <c r="O2137" i="16"/>
  <c r="O472" i="20"/>
  <c r="O473" i="20" s="1"/>
  <c r="O1295" i="16"/>
  <c r="O1413" i="16"/>
  <c r="O2155" i="16"/>
  <c r="O1439" i="16"/>
  <c r="O2160" i="16"/>
  <c r="L906" i="16"/>
  <c r="M152" i="16"/>
  <c r="M169" i="16" s="1"/>
  <c r="M186" i="16" s="1"/>
  <c r="M60" i="10" s="1"/>
  <c r="P506" i="20"/>
  <c r="P508" i="20" s="1"/>
  <c r="O507" i="20"/>
  <c r="N894" i="16"/>
  <c r="L911" i="16"/>
  <c r="O2076" i="16"/>
  <c r="O1576" i="16"/>
  <c r="L52" i="10"/>
  <c r="L340" i="10" s="1"/>
  <c r="M146" i="16"/>
  <c r="L528" i="20"/>
  <c r="M895" i="20"/>
  <c r="N895" i="20" s="1"/>
  <c r="L2229" i="16"/>
  <c r="K1605" i="16"/>
  <c r="M521" i="20"/>
  <c r="M522" i="20" s="1"/>
  <c r="K1604" i="16"/>
  <c r="O894" i="20"/>
  <c r="P894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14" i="20"/>
  <c r="P513" i="20"/>
  <c r="P515" i="20" s="1"/>
  <c r="N520" i="20"/>
  <c r="L529" i="20"/>
  <c r="P335" i="20"/>
  <c r="L903" i="20"/>
  <c r="M901" i="20"/>
  <c r="M902" i="20" s="1"/>
  <c r="M527" i="20"/>
  <c r="C552" i="20"/>
  <c r="C546" i="20"/>
  <c r="D546" i="20"/>
  <c r="E546" i="20" s="1"/>
  <c r="C547" i="20"/>
  <c r="C548" i="20" s="1"/>
  <c r="K535" i="20"/>
  <c r="K536" i="20" s="1"/>
  <c r="N896" i="20"/>
  <c r="C926" i="20"/>
  <c r="C921" i="20"/>
  <c r="C922" i="20" s="1"/>
  <c r="K1942" i="16"/>
  <c r="M1928" i="16"/>
  <c r="K916" i="16"/>
  <c r="L1935" i="16"/>
  <c r="K922" i="16"/>
  <c r="O1589" i="16"/>
  <c r="P1589" i="16" s="1"/>
  <c r="P904" i="16"/>
  <c r="L1487" i="16"/>
  <c r="O910" i="16"/>
  <c r="N1596" i="16"/>
  <c r="O1596" i="16" s="1"/>
  <c r="N888" i="16"/>
  <c r="O881" i="16"/>
  <c r="N882" i="16"/>
  <c r="M2082" i="16"/>
  <c r="M256" i="20" s="1"/>
  <c r="N900" i="16"/>
  <c r="N905" i="16"/>
  <c r="D928" i="16"/>
  <c r="F927" i="16" s="1"/>
  <c r="O1460" i="16"/>
  <c r="O1461" i="16" s="1"/>
  <c r="O2156" i="16"/>
  <c r="O332" i="16"/>
  <c r="K1610" i="16"/>
  <c r="L2182" i="16"/>
  <c r="L1598" i="16"/>
  <c r="L1597" i="16"/>
  <c r="N2181" i="16"/>
  <c r="D1621" i="16"/>
  <c r="B1614" i="16"/>
  <c r="K1620" i="16"/>
  <c r="N1620" i="16"/>
  <c r="E1616" i="16"/>
  <c r="D1616" i="16" s="1"/>
  <c r="L1620" i="16"/>
  <c r="M1620" i="16"/>
  <c r="E1615" i="16"/>
  <c r="F1615" i="16" s="1"/>
  <c r="O1620" i="16"/>
  <c r="D1615" i="16"/>
  <c r="K1494" i="16"/>
  <c r="K2167" i="16"/>
  <c r="K1488" i="16"/>
  <c r="K1489" i="16" s="1"/>
  <c r="N2141" i="16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R57" i="22" s="1"/>
  <c r="R58" i="22" s="1"/>
  <c r="T22" i="20"/>
  <c r="O462" i="20"/>
  <c r="O463" i="20" s="1"/>
  <c r="N2082" i="16"/>
  <c r="N256" i="20" s="1"/>
  <c r="O2073" i="16"/>
  <c r="T15" i="22"/>
  <c r="T17" i="22" s="1"/>
  <c r="O201" i="18"/>
  <c r="P200" i="18"/>
  <c r="P199" i="18"/>
  <c r="P322" i="16" l="1"/>
  <c r="P76" i="20" s="1"/>
  <c r="P2053" i="16"/>
  <c r="P35" i="8"/>
  <c r="G82" i="20"/>
  <c r="G86" i="20" s="1"/>
  <c r="I331" i="16"/>
  <c r="P349" i="16"/>
  <c r="P89" i="20" s="1"/>
  <c r="I269" i="16"/>
  <c r="G58" i="20" s="1"/>
  <c r="G73" i="20" s="1"/>
  <c r="P406" i="16"/>
  <c r="P112" i="20" s="1"/>
  <c r="P561" i="16"/>
  <c r="P165" i="20" s="1"/>
  <c r="I418" i="16"/>
  <c r="G117" i="20" s="1"/>
  <c r="I574" i="16"/>
  <c r="I584" i="16" s="1"/>
  <c r="G170" i="20"/>
  <c r="P772" i="16"/>
  <c r="P234" i="20" s="1"/>
  <c r="P744" i="16"/>
  <c r="P206" i="20" s="1"/>
  <c r="O114" i="10"/>
  <c r="O112" i="10" s="1"/>
  <c r="P116" i="10"/>
  <c r="P85" i="10"/>
  <c r="P84" i="10" s="1"/>
  <c r="P118" i="10" s="1"/>
  <c r="P71" i="10"/>
  <c r="P31" i="10"/>
  <c r="P77" i="10"/>
  <c r="P92" i="10"/>
  <c r="P91" i="10" s="1"/>
  <c r="P105" i="10" s="1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T47" i="22"/>
  <c r="T48" i="22" s="1"/>
  <c r="U106" i="22"/>
  <c r="U110" i="22" s="1"/>
  <c r="T111" i="22"/>
  <c r="T112" i="22" s="1"/>
  <c r="T121" i="22"/>
  <c r="T122" i="22" s="1"/>
  <c r="U116" i="22"/>
  <c r="U120" i="22" s="1"/>
  <c r="V126" i="22"/>
  <c r="U130" i="22"/>
  <c r="U131" i="22" s="1"/>
  <c r="M906" i="16"/>
  <c r="N906" i="16" s="1"/>
  <c r="M1179" i="16"/>
  <c r="M251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27" i="25"/>
  <c r="G135" i="25" s="1"/>
  <c r="G146" i="25" s="1"/>
  <c r="G154" i="25" s="1"/>
  <c r="E255" i="25"/>
  <c r="E228" i="25"/>
  <c r="E236" i="25" s="1"/>
  <c r="P1148" i="16"/>
  <c r="P1568" i="16"/>
  <c r="P2178" i="16" s="1"/>
  <c r="P1169" i="16"/>
  <c r="P2118" i="16" s="1"/>
  <c r="O1172" i="16"/>
  <c r="O250" i="16" s="1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O1569" i="16"/>
  <c r="O1570" i="16" s="1"/>
  <c r="L930" i="12"/>
  <c r="L216" i="10" s="1"/>
  <c r="L360" i="10" s="1"/>
  <c r="L931" i="12"/>
  <c r="N929" i="12"/>
  <c r="K1902" i="16"/>
  <c r="L1902" i="16" s="1"/>
  <c r="L1901" i="16"/>
  <c r="M1901" i="16" s="1"/>
  <c r="K2143" i="16"/>
  <c r="L1937" i="16"/>
  <c r="K1921" i="16"/>
  <c r="L2225" i="16"/>
  <c r="N1900" i="16"/>
  <c r="N2225" i="16" s="1"/>
  <c r="P1162" i="16"/>
  <c r="P2117" i="16" s="1"/>
  <c r="O1303" i="16"/>
  <c r="O1310" i="16"/>
  <c r="O1149" i="16"/>
  <c r="O1163" i="16"/>
  <c r="P116" i="12"/>
  <c r="N1136" i="16"/>
  <c r="D409" i="20"/>
  <c r="C416" i="20"/>
  <c r="C418" i="20" s="1"/>
  <c r="C419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O1401" i="12"/>
  <c r="O1411" i="12" s="1"/>
  <c r="O1412" i="12" s="1"/>
  <c r="O257" i="20" s="1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733" i="12"/>
  <c r="Q741" i="12"/>
  <c r="Q743" i="12"/>
  <c r="Q730" i="12"/>
  <c r="Q738" i="12"/>
  <c r="Q727" i="12"/>
  <c r="Q735" i="12"/>
  <c r="P930" i="12"/>
  <c r="Q943" i="12"/>
  <c r="Q947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5" i="12"/>
  <c r="Q1188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711" i="12"/>
  <c r="Q715" i="12"/>
  <c r="Q719" i="12"/>
  <c r="Q706" i="12"/>
  <c r="Q710" i="12"/>
  <c r="C410" i="20"/>
  <c r="K412" i="20" s="1"/>
  <c r="K413" i="20" s="1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28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49" i="20"/>
  <c r="P760" i="16"/>
  <c r="P222" i="20" s="1"/>
  <c r="P759" i="16"/>
  <c r="P221" i="20" s="1"/>
  <c r="P771" i="16"/>
  <c r="P233" i="20" s="1"/>
  <c r="Q451" i="16"/>
  <c r="Q1502" i="16"/>
  <c r="Q365" i="16" s="1"/>
  <c r="Q1832" i="12"/>
  <c r="Q1782" i="12"/>
  <c r="Q90" i="22"/>
  <c r="Q1691" i="12"/>
  <c r="P768" i="16"/>
  <c r="P230" i="20" s="1"/>
  <c r="P778" i="16"/>
  <c r="P240" i="20" s="1"/>
  <c r="Q327" i="16"/>
  <c r="Q425" i="16"/>
  <c r="P755" i="16"/>
  <c r="P217" i="20" s="1"/>
  <c r="Q1815" i="12"/>
  <c r="Q174" i="20"/>
  <c r="P750" i="16"/>
  <c r="P212" i="20" s="1"/>
  <c r="Q357" i="16"/>
  <c r="Q1823" i="12"/>
  <c r="Q194" i="20"/>
  <c r="P763" i="16"/>
  <c r="P225" i="20" s="1"/>
  <c r="Q91" i="12"/>
  <c r="P757" i="16"/>
  <c r="P219" i="20" s="1"/>
  <c r="Q616" i="16"/>
  <c r="Q438" i="16"/>
  <c r="Q1716" i="12"/>
  <c r="P781" i="16"/>
  <c r="P243" i="20" s="1"/>
  <c r="Q617" i="12"/>
  <c r="Q1783" i="12"/>
  <c r="Q132" i="20"/>
  <c r="P773" i="16"/>
  <c r="P235" i="20" s="1"/>
  <c r="Q96" i="20"/>
  <c r="Q271" i="16"/>
  <c r="Q70" i="20"/>
  <c r="Q268" i="16"/>
  <c r="Q1812" i="12"/>
  <c r="P752" i="16"/>
  <c r="P214" i="20" s="1"/>
  <c r="P745" i="16"/>
  <c r="P207" i="20" s="1"/>
  <c r="P751" i="16"/>
  <c r="P213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44" i="20" s="1"/>
  <c r="P776" i="16"/>
  <c r="P238" i="20" s="1"/>
  <c r="P770" i="16"/>
  <c r="P232" i="20" s="1"/>
  <c r="P748" i="16"/>
  <c r="P210" i="20" s="1"/>
  <c r="Q94" i="20"/>
  <c r="Q1834" i="12"/>
  <c r="Q188" i="20"/>
  <c r="Q32" i="8"/>
  <c r="Q31" i="8" s="1"/>
  <c r="Q33" i="18" s="1"/>
  <c r="Q38" i="18" s="1"/>
  <c r="Q70" i="16"/>
  <c r="Q133" i="20"/>
  <c r="Q74" i="18"/>
  <c r="Q1639" i="12"/>
  <c r="Q116" i="20"/>
  <c r="P780" i="16"/>
  <c r="P242" i="20" s="1"/>
  <c r="P746" i="16"/>
  <c r="P208" i="20" s="1"/>
  <c r="P779" i="16"/>
  <c r="P241" i="20" s="1"/>
  <c r="P761" i="16"/>
  <c r="P223" i="20" s="1"/>
  <c r="P775" i="16"/>
  <c r="P237" i="20" s="1"/>
  <c r="Q161" i="20"/>
  <c r="Q1748" i="12"/>
  <c r="Q141" i="20"/>
  <c r="Q2038" i="16"/>
  <c r="Q2051" i="16" s="1"/>
  <c r="P758" i="16"/>
  <c r="P220" i="20" s="1"/>
  <c r="P764" i="16"/>
  <c r="P226" i="20" s="1"/>
  <c r="Q1837" i="16"/>
  <c r="Q462" i="16" s="1"/>
  <c r="Q1884" i="12"/>
  <c r="Q1700" i="12"/>
  <c r="Q53" i="11"/>
  <c r="Q1736" i="12"/>
  <c r="P762" i="16"/>
  <c r="P224" i="20" s="1"/>
  <c r="P766" i="16"/>
  <c r="P228" i="20" s="1"/>
  <c r="P774" i="16"/>
  <c r="P236" i="20" s="1"/>
  <c r="Q582" i="16"/>
  <c r="Q113" i="11"/>
  <c r="Q146" i="20"/>
  <c r="Q1675" i="12"/>
  <c r="P756" i="16"/>
  <c r="P218" i="20" s="1"/>
  <c r="P749" i="16"/>
  <c r="P211" i="20" s="1"/>
  <c r="P765" i="16"/>
  <c r="P227" i="20" s="1"/>
  <c r="Q35" i="11"/>
  <c r="Q84" i="20"/>
  <c r="Q1835" i="12"/>
  <c r="Q360" i="16"/>
  <c r="P769" i="16"/>
  <c r="P231" i="20" s="1"/>
  <c r="P777" i="16"/>
  <c r="P239" i="20" s="1"/>
  <c r="Q629" i="12"/>
  <c r="Q12" i="12"/>
  <c r="Q1837" i="12"/>
  <c r="Q138" i="20"/>
  <c r="Q1790" i="12"/>
  <c r="Q1799" i="12"/>
  <c r="Q1702" i="12"/>
  <c r="Q429" i="16"/>
  <c r="Q1749" i="12"/>
  <c r="P783" i="16"/>
  <c r="P245" i="20" s="1"/>
  <c r="P767" i="16"/>
  <c r="P229" i="20" s="1"/>
  <c r="P747" i="16"/>
  <c r="P209" i="20" s="1"/>
  <c r="P753" i="16"/>
  <c r="P215" i="20" s="1"/>
  <c r="Q349" i="20"/>
  <c r="P2066" i="16"/>
  <c r="P2068" i="16" s="1"/>
  <c r="P2048" i="16"/>
  <c r="P2075" i="16"/>
  <c r="P2074" i="16"/>
  <c r="P2047" i="16"/>
  <c r="O1468" i="12"/>
  <c r="O1633" i="12" s="1"/>
  <c r="O1477" i="12"/>
  <c r="O1634" i="12" s="1"/>
  <c r="F263" i="25"/>
  <c r="F264" i="25"/>
  <c r="O1567" i="12"/>
  <c r="O1636" i="12" s="1"/>
  <c r="O1444" i="12"/>
  <c r="O1632" i="12" s="1"/>
  <c r="O1601" i="12"/>
  <c r="O1637" i="12" s="1"/>
  <c r="P594" i="12"/>
  <c r="O1522" i="12"/>
  <c r="O1635" i="12" s="1"/>
  <c r="F144" i="25"/>
  <c r="F226" i="25"/>
  <c r="F143" i="25"/>
  <c r="F225" i="25"/>
  <c r="G52" i="25"/>
  <c r="F217" i="25"/>
  <c r="F209" i="25"/>
  <c r="F247" i="25" s="1"/>
  <c r="F266" i="25" s="1"/>
  <c r="F274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7" i="25"/>
  <c r="P306" i="12"/>
  <c r="P221" i="12"/>
  <c r="P206" i="12"/>
  <c r="P434" i="12"/>
  <c r="H13" i="25"/>
  <c r="P520" i="12"/>
  <c r="Q85" i="20"/>
  <c r="Q193" i="20"/>
  <c r="Q1828" i="12"/>
  <c r="Q151" i="20"/>
  <c r="Q442" i="16"/>
  <c r="Q283" i="16"/>
  <c r="Q120" i="20"/>
  <c r="Q1791" i="12"/>
  <c r="Q361" i="16"/>
  <c r="Q107" i="18"/>
  <c r="Q1703" i="12"/>
  <c r="Q64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58" i="20"/>
  <c r="Q74" i="11"/>
  <c r="Q328" i="16"/>
  <c r="Q1441" i="16"/>
  <c r="Q1661" i="12"/>
  <c r="Q359" i="16"/>
  <c r="Q1751" i="12"/>
  <c r="Q1788" i="12"/>
  <c r="Q231" i="11"/>
  <c r="Q32" i="22"/>
  <c r="Q170" i="20"/>
  <c r="Q73" i="12"/>
  <c r="Q80" i="20"/>
  <c r="Q1705" i="12"/>
  <c r="Q38" i="16"/>
  <c r="Q1754" i="12"/>
  <c r="Q2037" i="16"/>
  <c r="Q2063" i="16" s="1"/>
  <c r="Q2091" i="16" s="1"/>
  <c r="Q1704" i="12"/>
  <c r="Q171" i="20"/>
  <c r="Q97" i="20"/>
  <c r="Q354" i="16"/>
  <c r="Q2085" i="16"/>
  <c r="Q1394" i="16"/>
  <c r="Q51" i="22"/>
  <c r="Q1523" i="16"/>
  <c r="Q1503" i="16"/>
  <c r="Q366" i="16" s="1"/>
  <c r="Q63" i="12"/>
  <c r="Q175" i="20"/>
  <c r="Q1669" i="12"/>
  <c r="Q1290" i="16"/>
  <c r="Q1638" i="12"/>
  <c r="Q201" i="11"/>
  <c r="Q98" i="20"/>
  <c r="Q1668" i="12"/>
  <c r="Q1773" i="12"/>
  <c r="Q1838" i="12"/>
  <c r="Q457" i="16"/>
  <c r="Q124" i="20"/>
  <c r="Q1469" i="16"/>
  <c r="Q396" i="16" s="1"/>
  <c r="Q436" i="16"/>
  <c r="Q1794" i="12"/>
  <c r="Q657" i="16"/>
  <c r="Q1877" i="16"/>
  <c r="Q1880" i="12"/>
  <c r="Q1919" i="12" s="1"/>
  <c r="Q446" i="16"/>
  <c r="Q187" i="20"/>
  <c r="Q1699" i="12"/>
  <c r="Q450" i="16"/>
  <c r="Q1578" i="16"/>
  <c r="Q422" i="16"/>
  <c r="Q75" i="10"/>
  <c r="Q172" i="20"/>
  <c r="Q176" i="20"/>
  <c r="Q1689" i="12"/>
  <c r="Q1776" i="12"/>
  <c r="Q456" i="16"/>
  <c r="Q42" i="12"/>
  <c r="Q1676" i="12"/>
  <c r="Q325" i="16"/>
  <c r="Q105" i="22"/>
  <c r="Q1777" i="12"/>
  <c r="Q154" i="20"/>
  <c r="Q1750" i="12"/>
  <c r="Q240" i="11"/>
  <c r="Q1421" i="12"/>
  <c r="Q1534" i="12" s="1"/>
  <c r="Q1757" i="12"/>
  <c r="Q195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81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43" i="20"/>
  <c r="Q1759" i="12"/>
  <c r="Q1805" i="12"/>
  <c r="Q282" i="16"/>
  <c r="Q1836" i="16"/>
  <c r="Q461" i="16" s="1"/>
  <c r="Q118" i="20"/>
  <c r="Q1497" i="16"/>
  <c r="Q1672" i="12"/>
  <c r="Q1726" i="12"/>
  <c r="Q2057" i="16"/>
  <c r="Q1613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455" i="16"/>
  <c r="Q129" i="20"/>
  <c r="Q1817" i="12"/>
  <c r="Q61" i="22"/>
  <c r="Q62" i="20"/>
  <c r="Q1666" i="12"/>
  <c r="Q280" i="16"/>
  <c r="Q363" i="10"/>
  <c r="Q1483" i="16"/>
  <c r="Q219" i="10"/>
  <c r="Q39" i="20"/>
  <c r="Q145" i="20"/>
  <c r="Q1743" i="12"/>
  <c r="Q278" i="16"/>
  <c r="Q63" i="20"/>
  <c r="Q1952" i="16"/>
  <c r="Q1744" i="12"/>
  <c r="Q1786" i="12"/>
  <c r="Q114" i="12"/>
  <c r="Q1694" i="12"/>
  <c r="Q1729" i="12"/>
  <c r="Q216" i="16"/>
  <c r="Q1833" i="16"/>
  <c r="Q458" i="16" s="1"/>
  <c r="Q178" i="20"/>
  <c r="Q432" i="16"/>
  <c r="Q1758" i="12"/>
  <c r="Q1339" i="16"/>
  <c r="Q2036" i="16"/>
  <c r="Q54" i="16"/>
  <c r="Q1434" i="16"/>
  <c r="Q12" i="11"/>
  <c r="Q41" i="22"/>
  <c r="Q82" i="20"/>
  <c r="Q1801" i="12"/>
  <c r="Q418" i="16"/>
  <c r="Q65" i="20"/>
  <c r="Q32" i="12"/>
  <c r="Q242" i="10"/>
  <c r="Q1723" i="12"/>
  <c r="Q1712" i="12"/>
  <c r="Q1696" i="12"/>
  <c r="Q117" i="20"/>
  <c r="Q434" i="16"/>
  <c r="Q1400" i="12"/>
  <c r="Q1739" i="12"/>
  <c r="Q1780" i="12"/>
  <c r="Q1761" i="12"/>
  <c r="Q275" i="16"/>
  <c r="Q698" i="16"/>
  <c r="Q190" i="20"/>
  <c r="Q1903" i="16"/>
  <c r="Q1752" i="12"/>
  <c r="Q62" i="16"/>
  <c r="Q127" i="20"/>
  <c r="Q22" i="16"/>
  <c r="Q1713" i="12"/>
  <c r="Q140" i="20"/>
  <c r="Q127" i="10"/>
  <c r="Q1741" i="12"/>
  <c r="Q173" i="20"/>
  <c r="Q1779" i="12"/>
  <c r="Q431" i="16"/>
  <c r="Q1592" i="16"/>
  <c r="Q521" i="16" s="1"/>
  <c r="Q698" i="12"/>
  <c r="Q1490" i="16"/>
  <c r="Q208" i="16"/>
  <c r="P1717" i="12"/>
  <c r="P1874" i="12" s="1"/>
  <c r="P1912" i="12" s="1"/>
  <c r="G475" i="25"/>
  <c r="G592" i="25" s="1"/>
  <c r="P1204" i="12"/>
  <c r="P1392" i="12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15" i="20" a="1"/>
  <c r="J915" i="20" s="1"/>
  <c r="D919" i="20"/>
  <c r="P1887" i="16"/>
  <c r="Q199" i="16"/>
  <c r="Q157" i="16"/>
  <c r="Q211" i="16"/>
  <c r="Q205" i="16"/>
  <c r="Q108" i="16"/>
  <c r="Q131" i="16"/>
  <c r="Q120" i="16"/>
  <c r="Q121" i="16"/>
  <c r="Q33" i="20"/>
  <c r="Q41" i="20"/>
  <c r="Q1172" i="16"/>
  <c r="Q250" i="16" s="1"/>
  <c r="Q174" i="16"/>
  <c r="Q102" i="16"/>
  <c r="Q1325" i="16"/>
  <c r="Q1332" i="16"/>
  <c r="Q29" i="18"/>
  <c r="Q123" i="20"/>
  <c r="Q99" i="20"/>
  <c r="Q430" i="16"/>
  <c r="Q1692" i="12"/>
  <c r="Q1740" i="12"/>
  <c r="Q1674" i="12"/>
  <c r="Q160" i="20"/>
  <c r="Q125" i="22"/>
  <c r="Q139" i="20"/>
  <c r="Q31" i="20"/>
  <c r="Q437" i="16"/>
  <c r="Q408" i="16"/>
  <c r="Q1803" i="12"/>
  <c r="Q1304" i="16"/>
  <c r="Q20" i="22"/>
  <c r="Q215" i="16"/>
  <c r="Q209" i="16"/>
  <c r="Q106" i="16"/>
  <c r="Q117" i="16"/>
  <c r="Q105" i="16"/>
  <c r="Q128" i="16"/>
  <c r="Q47" i="20"/>
  <c r="Q44" i="20"/>
  <c r="Q1179" i="16"/>
  <c r="Q880" i="16"/>
  <c r="Q29" i="8"/>
  <c r="Q127" i="8" s="1"/>
  <c r="Q104" i="16"/>
  <c r="Q1938" i="16"/>
  <c r="Q1606" i="16"/>
  <c r="Q1318" i="16"/>
  <c r="Q312" i="16" s="1"/>
  <c r="Q135" i="20"/>
  <c r="Q95" i="20"/>
  <c r="Q2034" i="16"/>
  <c r="Q579" i="16"/>
  <c r="Q1833" i="12"/>
  <c r="Q1804" i="12"/>
  <c r="Q1404" i="12"/>
  <c r="Q1504" i="16"/>
  <c r="Q367" i="16" s="1"/>
  <c r="Q116" i="18"/>
  <c r="Q61" i="20"/>
  <c r="Q2044" i="16"/>
  <c r="Q270" i="16"/>
  <c r="Q1793" i="12"/>
  <c r="Q1714" i="12"/>
  <c r="Q1544" i="16"/>
  <c r="Q189" i="20"/>
  <c r="Q59" i="20"/>
  <c r="Q454" i="16"/>
  <c r="Q433" i="16"/>
  <c r="Q1745" i="12"/>
  <c r="Q1715" i="12"/>
  <c r="Q1157" i="12"/>
  <c r="Q1346" i="16"/>
  <c r="Q144" i="20"/>
  <c r="Q101" i="20"/>
  <c r="Q129" i="16"/>
  <c r="Q213" i="16"/>
  <c r="Q110" i="16"/>
  <c r="Q125" i="16"/>
  <c r="Q132" i="16"/>
  <c r="Q124" i="16"/>
  <c r="Q36" i="20"/>
  <c r="Q42" i="20"/>
  <c r="Q1193" i="16"/>
  <c r="Q478" i="20"/>
  <c r="Q79" i="16"/>
  <c r="Q100" i="16"/>
  <c r="Q1924" i="16"/>
  <c r="Q1896" i="16"/>
  <c r="Q1599" i="16"/>
  <c r="Q130" i="20"/>
  <c r="Q68" i="20"/>
  <c r="Q2040" i="16"/>
  <c r="Q2053" i="16" s="1"/>
  <c r="Q197" i="16"/>
  <c r="Q1753" i="12"/>
  <c r="Q1772" i="12"/>
  <c r="Q1665" i="12"/>
  <c r="Q83" i="20"/>
  <c r="Q44" i="18"/>
  <c r="Q103" i="20"/>
  <c r="Q445" i="16"/>
  <c r="Q1826" i="12"/>
  <c r="Q1707" i="12"/>
  <c r="Q440" i="16"/>
  <c r="Q1620" i="16"/>
  <c r="Q192" i="20"/>
  <c r="Q119" i="20"/>
  <c r="Q620" i="16"/>
  <c r="Q417" i="16"/>
  <c r="Q277" i="16"/>
  <c r="Q1787" i="12"/>
  <c r="Q940" i="12"/>
  <c r="Q413" i="10"/>
  <c r="Q122" i="20"/>
  <c r="Q2071" i="16"/>
  <c r="Q276" i="16"/>
  <c r="Q1802" i="12"/>
  <c r="Q1840" i="12"/>
  <c r="Q1678" i="12"/>
  <c r="Q202" i="16"/>
  <c r="Q200" i="16"/>
  <c r="Q107" i="16"/>
  <c r="Q133" i="16"/>
  <c r="Q126" i="16"/>
  <c r="Q134" i="16"/>
  <c r="Q34" i="20"/>
  <c r="Q32" i="20"/>
  <c r="Q1186" i="16"/>
  <c r="Q915" i="12"/>
  <c r="Q1930" i="12" s="1"/>
  <c r="Q1322" i="16"/>
  <c r="Q95" i="16"/>
  <c r="Q96" i="16"/>
  <c r="Q144" i="16" s="1"/>
  <c r="Q1945" i="16"/>
  <c r="Q1910" i="16"/>
  <c r="Q1516" i="16"/>
  <c r="Q177" i="20"/>
  <c r="Q150" i="20"/>
  <c r="Q449" i="16"/>
  <c r="Q274" i="16"/>
  <c r="Q424" i="16"/>
  <c r="Q1683" i="12"/>
  <c r="Q1398" i="12"/>
  <c r="Q1415" i="16"/>
  <c r="Q197" i="20"/>
  <c r="Q67" i="20"/>
  <c r="Q448" i="16"/>
  <c r="Q1742" i="12"/>
  <c r="Q281" i="16"/>
  <c r="Q1731" i="12"/>
  <c r="Q603" i="12"/>
  <c r="Q152" i="20"/>
  <c r="Q126" i="20"/>
  <c r="Q441" i="16"/>
  <c r="Q1822" i="12"/>
  <c r="Q1789" i="12"/>
  <c r="Q1693" i="12"/>
  <c r="Q1889" i="16"/>
  <c r="Q98" i="10"/>
  <c r="Q128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46" i="20"/>
  <c r="Q43" i="20"/>
  <c r="Q38" i="20"/>
  <c r="Q1200" i="16"/>
  <c r="Q1886" i="16"/>
  <c r="Q103" i="16"/>
  <c r="Q101" i="16"/>
  <c r="Q1422" i="16"/>
  <c r="Q1931" i="16"/>
  <c r="Q385" i="10"/>
  <c r="Q489" i="10" s="1"/>
  <c r="Q155" i="20"/>
  <c r="Q12" i="20"/>
  <c r="Q25" i="20" s="1"/>
  <c r="Q1188" i="20" s="1"/>
  <c r="Q1222" i="20" s="1"/>
  <c r="Q1235" i="20" s="1"/>
  <c r="Q1248" i="20" s="1"/>
  <c r="Q452" i="16"/>
  <c r="Q1830" i="12"/>
  <c r="Q1797" i="12"/>
  <c r="Q1727" i="12"/>
  <c r="Q1673" i="12"/>
  <c r="Q1311" i="16"/>
  <c r="Q205" i="20"/>
  <c r="Q131" i="20"/>
  <c r="Q435" i="16"/>
  <c r="Q1778" i="12"/>
  <c r="Q1816" i="12"/>
  <c r="Q1795" i="12"/>
  <c r="Q203" i="16"/>
  <c r="Q214" i="16"/>
  <c r="Q212" i="16"/>
  <c r="Q114" i="16"/>
  <c r="Q122" i="16"/>
  <c r="Q127" i="16"/>
  <c r="Q45" i="20"/>
  <c r="Q48" i="20"/>
  <c r="Q1158" i="16"/>
  <c r="Q1214" i="16"/>
  <c r="Q97" i="16"/>
  <c r="Q1401" i="16"/>
  <c r="Q1408" i="16"/>
  <c r="Q346" i="16" s="1"/>
  <c r="Q349" i="16" s="1"/>
  <c r="Q89" i="20" s="1"/>
  <c r="Q84" i="22"/>
  <c r="Q30" i="20"/>
  <c r="Q623" i="16"/>
  <c r="Q352" i="16"/>
  <c r="Q1879" i="12"/>
  <c r="Q1918" i="12" s="1"/>
  <c r="Q428" i="16"/>
  <c r="Q1747" i="12"/>
  <c r="Q82" i="12"/>
  <c r="Q1530" i="16"/>
  <c r="Q147" i="20"/>
  <c r="Q121" i="20"/>
  <c r="Q426" i="16"/>
  <c r="Q1829" i="12"/>
  <c r="Q207" i="16"/>
  <c r="Q201" i="16"/>
  <c r="Q112" i="16"/>
  <c r="Q111" i="16"/>
  <c r="Q119" i="16"/>
  <c r="Q116" i="16"/>
  <c r="Q35" i="20"/>
  <c r="Q37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93" i="20"/>
  <c r="Q96" i="22"/>
  <c r="Q180" i="11"/>
  <c r="Q1819" i="12"/>
  <c r="Q1733" i="12"/>
  <c r="Q421" i="16"/>
  <c r="Q575" i="16"/>
  <c r="Q196" i="20"/>
  <c r="Q63" i="18"/>
  <c r="Q1827" i="12"/>
  <c r="Q1756" i="12"/>
  <c r="Q1798" i="12"/>
  <c r="Q423" i="16"/>
  <c r="Q2035" i="16"/>
  <c r="Q2061" i="16" s="1"/>
  <c r="Q102" i="20"/>
  <c r="Q300" i="10"/>
  <c r="Q1771" i="12"/>
  <c r="Q1821" i="12"/>
  <c r="Q427" i="16"/>
  <c r="Q156" i="20"/>
  <c r="Q1537" i="16"/>
  <c r="Q1697" i="12"/>
  <c r="Q420" i="16"/>
  <c r="Q444" i="16"/>
  <c r="Q134" i="20"/>
  <c r="Q1917" i="16"/>
  <c r="Q358" i="16"/>
  <c r="Q1399" i="12"/>
  <c r="Q439" i="16"/>
  <c r="Q1571" i="16"/>
  <c r="Q518" i="16" s="1"/>
  <c r="Q135" i="16"/>
  <c r="Q40" i="20"/>
  <c r="Q57" i="20"/>
  <c r="Q115" i="22"/>
  <c r="Q100" i="12"/>
  <c r="Q1698" i="12"/>
  <c r="Q1813" i="12"/>
  <c r="Q329" i="16"/>
  <c r="Q621" i="16"/>
  <c r="Q100" i="20"/>
  <c r="Q12" i="22"/>
  <c r="Q1671" i="12"/>
  <c r="Q1836" i="12"/>
  <c r="Q1730" i="12"/>
  <c r="Q443" i="16"/>
  <c r="Q60" i="20"/>
  <c r="Q136" i="20"/>
  <c r="Q1297" i="16"/>
  <c r="Q309" i="16" s="1"/>
  <c r="Q1706" i="12"/>
  <c r="Q273" i="16"/>
  <c r="Q624" i="16"/>
  <c r="Q134" i="22"/>
  <c r="Q1557" i="16"/>
  <c r="Q1878" i="12"/>
  <c r="Q1916" i="12" s="1"/>
  <c r="Q1774" i="12"/>
  <c r="Q801" i="16"/>
  <c r="Q142" i="20"/>
  <c r="Q1670" i="12"/>
  <c r="Q619" i="16"/>
  <c r="Q46" i="16"/>
  <c r="Q578" i="16"/>
  <c r="Q1585" i="16"/>
  <c r="Q98" i="16"/>
  <c r="Q130" i="16"/>
  <c r="Q71" i="20"/>
  <c r="Q271" i="10"/>
  <c r="Q222" i="11"/>
  <c r="Q1784" i="12"/>
  <c r="Q12" i="16"/>
  <c r="Q192" i="16" s="1"/>
  <c r="Q279" i="16"/>
  <c r="Q573" i="16"/>
  <c r="Q66" i="20"/>
  <c r="Q46" i="10"/>
  <c r="Q1775" i="12"/>
  <c r="Q1695" i="12"/>
  <c r="Q1814" i="12"/>
  <c r="Q564" i="16"/>
  <c r="Q2041" i="16"/>
  <c r="Q2067" i="16" s="1"/>
  <c r="Q2095" i="16" s="1"/>
  <c r="Q149" i="20"/>
  <c r="Q1462" i="16"/>
  <c r="Q1792" i="12"/>
  <c r="Q1734" i="12"/>
  <c r="Q580" i="16"/>
  <c r="Q125" i="20"/>
  <c r="Q1476" i="16"/>
  <c r="Q1796" i="12"/>
  <c r="Q1806" i="12"/>
  <c r="Q2039" i="16"/>
  <c r="Q191" i="20"/>
  <c r="Q1768" i="12"/>
  <c r="Q137" i="20"/>
  <c r="Q1644" i="12"/>
  <c r="Q2031" i="16"/>
  <c r="Q1448" i="16"/>
  <c r="Q393" i="16" s="1"/>
  <c r="Q406" i="16" s="1"/>
  <c r="Q112" i="20" s="1"/>
  <c r="P18" i="18"/>
  <c r="P23" i="18" s="1"/>
  <c r="Q115" i="16"/>
  <c r="Q455" i="16"/>
  <c r="Q622" i="16"/>
  <c r="Q72" i="20"/>
  <c r="Q334" i="10"/>
  <c r="Q1679" i="12"/>
  <c r="Q1781" i="12"/>
  <c r="Q356" i="16"/>
  <c r="Q581" i="16"/>
  <c r="Q148" i="20"/>
  <c r="Q169" i="20"/>
  <c r="Q1163" i="12"/>
  <c r="Q1728" i="12"/>
  <c r="Q1818" i="12"/>
  <c r="Q615" i="16"/>
  <c r="Q179" i="20"/>
  <c r="Q1564" i="16"/>
  <c r="Q1732" i="12"/>
  <c r="Q1738" i="12"/>
  <c r="Q583" i="16"/>
  <c r="Q70" i="22"/>
  <c r="Q1800" i="12"/>
  <c r="Q153" i="20"/>
  <c r="Q1820" i="12"/>
  <c r="Q69" i="20"/>
  <c r="P101" i="18"/>
  <c r="Q109" i="16"/>
  <c r="P86" i="20"/>
  <c r="P1205" i="20" s="1"/>
  <c r="Q1459" i="16"/>
  <c r="Q2163" i="16" s="1"/>
  <c r="Q1914" i="16"/>
  <c r="Q461" i="20"/>
  <c r="Q492" i="20"/>
  <c r="Q845" i="20"/>
  <c r="Q328" i="20"/>
  <c r="Q1280" i="16"/>
  <c r="Q1283" i="16" s="1"/>
  <c r="Q904" i="16"/>
  <c r="Q1431" i="16"/>
  <c r="Q2159" i="16" s="1"/>
  <c r="Q1554" i="16"/>
  <c r="Q2176" i="16" s="1"/>
  <c r="P198" i="20"/>
  <c r="P1209" i="20" s="1"/>
  <c r="Q1419" i="16"/>
  <c r="Q2156" i="16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363" i="20"/>
  <c r="Q892" i="16"/>
  <c r="Q471" i="20"/>
  <c r="Q1438" i="16"/>
  <c r="Q2160" i="16" s="1"/>
  <c r="P1147" i="12"/>
  <c r="P1159" i="12" s="1"/>
  <c r="Q1155" i="16"/>
  <c r="Q2116" i="16" s="1"/>
  <c r="Q886" i="16"/>
  <c r="P1041" i="12"/>
  <c r="P1154" i="12" s="1"/>
  <c r="P721" i="12"/>
  <c r="P909" i="12" s="1"/>
  <c r="P1924" i="12" s="1"/>
  <c r="P878" i="12"/>
  <c r="P914" i="12" s="1"/>
  <c r="P1929" i="12" s="1"/>
  <c r="P73" i="20"/>
  <c r="P1203" i="20" s="1"/>
  <c r="P284" i="16"/>
  <c r="P804" i="16" s="1"/>
  <c r="Q356" i="20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684" i="12"/>
  <c r="P1872" i="12" s="1"/>
  <c r="P1910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180" i="20"/>
  <c r="P1208" i="20" s="1"/>
  <c r="P2042" i="16"/>
  <c r="P811" i="16" s="1"/>
  <c r="P1439" i="16"/>
  <c r="P1838" i="16"/>
  <c r="Q1294" i="16"/>
  <c r="Q1405" i="16"/>
  <c r="Q2154" i="16" s="1"/>
  <c r="P2139" i="16"/>
  <c r="Q1308" i="16"/>
  <c r="P1295" i="16"/>
  <c r="P2137" i="16"/>
  <c r="P2160" i="16"/>
  <c r="Q1391" i="16"/>
  <c r="Q2152" i="16" s="1"/>
  <c r="P899" i="16"/>
  <c r="P1156" i="16"/>
  <c r="P1406" i="16"/>
  <c r="P1309" i="16"/>
  <c r="P893" i="16"/>
  <c r="P1392" i="16"/>
  <c r="P1413" i="16"/>
  <c r="P493" i="20"/>
  <c r="P494" i="20" s="1"/>
  <c r="Q1412" i="16"/>
  <c r="Q898" i="16"/>
  <c r="P368" i="16"/>
  <c r="P1505" i="16"/>
  <c r="P463" i="16"/>
  <c r="P357" i="20"/>
  <c r="P358" i="20" s="1"/>
  <c r="P1120" i="12"/>
  <c r="P1156" i="12" s="1"/>
  <c r="P1841" i="12"/>
  <c r="P1877" i="12" s="1"/>
  <c r="P1915" i="12" s="1"/>
  <c r="P963" i="12"/>
  <c r="P1151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5" i="25"/>
  <c r="G66" i="25"/>
  <c r="O699" i="16"/>
  <c r="G427" i="25"/>
  <c r="G332" i="25"/>
  <c r="G163" i="25"/>
  <c r="G379" i="25"/>
  <c r="O2055" i="16"/>
  <c r="O796" i="16" s="1"/>
  <c r="P2054" i="16"/>
  <c r="N146" i="16"/>
  <c r="N162" i="16" s="1"/>
  <c r="M162" i="16"/>
  <c r="O876" i="16"/>
  <c r="L85" i="16"/>
  <c r="N1406" i="12"/>
  <c r="J383" i="10"/>
  <c r="J382" i="10"/>
  <c r="R380" i="10"/>
  <c r="R370" i="10"/>
  <c r="I361" i="10"/>
  <c r="I428" i="10"/>
  <c r="I427" i="10"/>
  <c r="M1646" i="12"/>
  <c r="N333" i="16"/>
  <c r="O1420" i="16"/>
  <c r="O1421" i="16" s="1"/>
  <c r="O1315" i="16"/>
  <c r="O2140" i="16" s="1"/>
  <c r="O805" i="16"/>
  <c r="O1917" i="12"/>
  <c r="O1920" i="12" s="1"/>
  <c r="N152" i="16"/>
  <c r="O894" i="16"/>
  <c r="Q1466" i="16"/>
  <c r="Q2164" i="16" s="1"/>
  <c r="N1316" i="16"/>
  <c r="N1317" i="16" s="1"/>
  <c r="P1467" i="16"/>
  <c r="O1881" i="12"/>
  <c r="O1891" i="12" s="1"/>
  <c r="P1446" i="16"/>
  <c r="P479" i="20"/>
  <c r="P480" i="20" s="1"/>
  <c r="P1893" i="16"/>
  <c r="P2224" i="16" s="1"/>
  <c r="Q1445" i="16"/>
  <c r="Q2161" i="16" s="1"/>
  <c r="P1302" i="16"/>
  <c r="P2138" i="16"/>
  <c r="Q1301" i="16"/>
  <c r="P1453" i="16"/>
  <c r="Q1452" i="16"/>
  <c r="O1160" i="12"/>
  <c r="O1170" i="12" s="1"/>
  <c r="O1171" i="12" s="1"/>
  <c r="O1894" i="16"/>
  <c r="O1895" i="16" s="1"/>
  <c r="O246" i="20"/>
  <c r="L1330" i="16"/>
  <c r="M1330" i="16" s="1"/>
  <c r="N1330" i="16" s="1"/>
  <c r="L1331" i="16"/>
  <c r="M1331" i="16" s="1"/>
  <c r="L2142" i="16"/>
  <c r="P1473" i="16"/>
  <c r="Q1473" i="16" s="1"/>
  <c r="N1474" i="16"/>
  <c r="O1474" i="16" s="1"/>
  <c r="N2165" i="16"/>
  <c r="L1336" i="16"/>
  <c r="L1337" i="16" s="1"/>
  <c r="L1481" i="16"/>
  <c r="M1481" i="16" s="1"/>
  <c r="N1481" i="16" s="1"/>
  <c r="L2166" i="16"/>
  <c r="L1482" i="16"/>
  <c r="M534" i="20"/>
  <c r="N534" i="20" s="1"/>
  <c r="O534" i="20" s="1"/>
  <c r="O536" i="20" s="1"/>
  <c r="M2142" i="16"/>
  <c r="O1916" i="16"/>
  <c r="N1475" i="16"/>
  <c r="O1584" i="16"/>
  <c r="P1888" i="16"/>
  <c r="P1393" i="16"/>
  <c r="O1282" i="16"/>
  <c r="N334" i="16"/>
  <c r="N791" i="16" s="1"/>
  <c r="O1414" i="16"/>
  <c r="P1414" i="16" s="1"/>
  <c r="P1468" i="16"/>
  <c r="M1591" i="16"/>
  <c r="N1591" i="16" s="1"/>
  <c r="O1577" i="16"/>
  <c r="P1577" i="16" s="1"/>
  <c r="M896" i="20"/>
  <c r="L535" i="20"/>
  <c r="O1407" i="16"/>
  <c r="P1407" i="16" s="1"/>
  <c r="L1604" i="16"/>
  <c r="N1324" i="16"/>
  <c r="O1440" i="16"/>
  <c r="N1164" i="16"/>
  <c r="P2163" i="16"/>
  <c r="N1150" i="16"/>
  <c r="O1296" i="16"/>
  <c r="N1886" i="12"/>
  <c r="E914" i="20"/>
  <c r="K915" i="20" s="1"/>
  <c r="N1641" i="12"/>
  <c r="N1651" i="12" s="1"/>
  <c r="E907" i="20"/>
  <c r="K908" i="20" s="1"/>
  <c r="L1605" i="16"/>
  <c r="M1603" i="16"/>
  <c r="N1603" i="16" s="1"/>
  <c r="D1617" i="16"/>
  <c r="F1616" i="16" s="1"/>
  <c r="K1617" i="16" s="1"/>
  <c r="D1342" i="16"/>
  <c r="D1343" i="16" s="1"/>
  <c r="F1341" i="16"/>
  <c r="D1844" i="16"/>
  <c r="E1844" i="16"/>
  <c r="F1844" i="16" s="1"/>
  <c r="D1949" i="16"/>
  <c r="E1349" i="16"/>
  <c r="D1349" i="16" s="1"/>
  <c r="D1354" i="16"/>
  <c r="Q1360" i="16" s="1"/>
  <c r="P1353" i="16"/>
  <c r="O1353" i="16"/>
  <c r="E1348" i="16"/>
  <c r="F1348" i="16" s="1"/>
  <c r="Q1353" i="16"/>
  <c r="N1353" i="16"/>
  <c r="D1348" i="16"/>
  <c r="M1353" i="16"/>
  <c r="B1347" i="16"/>
  <c r="L1353" i="16"/>
  <c r="O336" i="20"/>
  <c r="P336" i="20" s="1"/>
  <c r="P337" i="20" s="1"/>
  <c r="P2135" i="16"/>
  <c r="P1281" i="16"/>
  <c r="P486" i="20"/>
  <c r="P487" i="20" s="1"/>
  <c r="Q485" i="20"/>
  <c r="P1908" i="16"/>
  <c r="P1909" i="16" s="1"/>
  <c r="Q1907" i="16"/>
  <c r="Q2226" i="16" s="1"/>
  <c r="P350" i="20"/>
  <c r="P351" i="20" s="1"/>
  <c r="M59" i="16"/>
  <c r="N57" i="16" s="1"/>
  <c r="N2254" i="16" s="1"/>
  <c r="N2266" i="16" s="1"/>
  <c r="M2278" i="16"/>
  <c r="M60" i="16" s="1"/>
  <c r="M87" i="16" s="1"/>
  <c r="P364" i="20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378" i="20"/>
  <c r="N377" i="20"/>
  <c r="O377" i="20" s="1"/>
  <c r="O1170" i="16"/>
  <c r="P1141" i="16"/>
  <c r="P2114" i="16" s="1"/>
  <c r="M391" i="20"/>
  <c r="M393" i="20" s="1"/>
  <c r="M1191" i="16"/>
  <c r="M1192" i="16" s="1"/>
  <c r="L393" i="20"/>
  <c r="L1199" i="16"/>
  <c r="N1183" i="16"/>
  <c r="N2120" i="16" s="1"/>
  <c r="M1197" i="16"/>
  <c r="M2122" i="16" s="1"/>
  <c r="L1204" i="16"/>
  <c r="L2123" i="16" s="1"/>
  <c r="L1198" i="16"/>
  <c r="M1184" i="16"/>
  <c r="M1185" i="16" s="1"/>
  <c r="M1177" i="16"/>
  <c r="M1178" i="16" s="1"/>
  <c r="O370" i="20"/>
  <c r="P370" i="20" s="1"/>
  <c r="Q370" i="20" s="1"/>
  <c r="N371" i="20"/>
  <c r="L398" i="20"/>
  <c r="L400" i="20" s="1"/>
  <c r="N372" i="20"/>
  <c r="N1176" i="16"/>
  <c r="N2119" i="16" s="1"/>
  <c r="L1207" i="16"/>
  <c r="L255" i="16" s="1"/>
  <c r="M1193" i="16"/>
  <c r="M253" i="16" s="1"/>
  <c r="N1190" i="16"/>
  <c r="N2121" i="16" s="1"/>
  <c r="L405" i="20"/>
  <c r="L406" i="20" s="1"/>
  <c r="M386" i="20"/>
  <c r="N384" i="20"/>
  <c r="O384" i="20" s="1"/>
  <c r="P384" i="20" s="1"/>
  <c r="Q384" i="20" s="1"/>
  <c r="M385" i="20"/>
  <c r="L912" i="16"/>
  <c r="O1142" i="16"/>
  <c r="D934" i="16"/>
  <c r="F933" i="16" s="1"/>
  <c r="D939" i="16"/>
  <c r="P365" i="20"/>
  <c r="D944" i="16"/>
  <c r="C946" i="16"/>
  <c r="B943" i="16"/>
  <c r="D949" i="16"/>
  <c r="J948" i="16"/>
  <c r="E945" i="16"/>
  <c r="E944" i="16"/>
  <c r="F944" i="16" s="1"/>
  <c r="N1143" i="16"/>
  <c r="O252" i="16"/>
  <c r="O1193" i="16"/>
  <c r="K1205" i="16"/>
  <c r="K1207" i="16"/>
  <c r="K255" i="16" s="1"/>
  <c r="O1179" i="16"/>
  <c r="K1206" i="16"/>
  <c r="F1203" i="16"/>
  <c r="D1210" i="16"/>
  <c r="D1211" i="16" s="1"/>
  <c r="F1210" i="16" s="1"/>
  <c r="K1211" i="16"/>
  <c r="K2124" i="16" s="1"/>
  <c r="D1216" i="16"/>
  <c r="D1222" i="16"/>
  <c r="Q1221" i="16"/>
  <c r="P1221" i="16"/>
  <c r="E1217" i="16"/>
  <c r="E1216" i="16"/>
  <c r="F1216" i="16" s="1"/>
  <c r="K407" i="20"/>
  <c r="C423" i="20"/>
  <c r="C425" i="20" s="1"/>
  <c r="C426" i="20" s="1"/>
  <c r="D416" i="20"/>
  <c r="K400" i="20"/>
  <c r="P846" i="20"/>
  <c r="Q1287" i="16"/>
  <c r="P847" i="20"/>
  <c r="P1288" i="16"/>
  <c r="P2136" i="16"/>
  <c r="P329" i="20"/>
  <c r="P330" i="20" s="1"/>
  <c r="O1289" i="16"/>
  <c r="Q1398" i="16"/>
  <c r="Q2153" i="16" s="1"/>
  <c r="P1399" i="16"/>
  <c r="P1400" i="16" s="1"/>
  <c r="P500" i="20"/>
  <c r="P501" i="20" s="1"/>
  <c r="Q499" i="20"/>
  <c r="N1165" i="12"/>
  <c r="N1172" i="12" s="1"/>
  <c r="P1555" i="16"/>
  <c r="P2176" i="16"/>
  <c r="P1562" i="16"/>
  <c r="P1563" i="16" s="1"/>
  <c r="Q1561" i="16"/>
  <c r="Q2177" i="16" s="1"/>
  <c r="M923" i="12"/>
  <c r="O918" i="12"/>
  <c r="O928" i="12" s="1"/>
  <c r="O929" i="12" s="1"/>
  <c r="P1432" i="16"/>
  <c r="P2159" i="16"/>
  <c r="P472" i="20"/>
  <c r="P473" i="20" s="1"/>
  <c r="P507" i="20"/>
  <c r="Q506" i="20"/>
  <c r="Q508" i="20" s="1"/>
  <c r="M911" i="16"/>
  <c r="K923" i="16"/>
  <c r="K924" i="16" s="1"/>
  <c r="L922" i="16"/>
  <c r="M922" i="16" s="1"/>
  <c r="N922" i="16" s="1"/>
  <c r="K917" i="16"/>
  <c r="L916" i="16"/>
  <c r="P514" i="20"/>
  <c r="P1583" i="16"/>
  <c r="L1488" i="16"/>
  <c r="L1489" i="16"/>
  <c r="Q1582" i="16"/>
  <c r="L541" i="20"/>
  <c r="L543" i="20" s="1"/>
  <c r="K1943" i="16"/>
  <c r="K1944" i="16" s="1"/>
  <c r="L2230" i="16"/>
  <c r="M1929" i="16"/>
  <c r="M1930" i="16" s="1"/>
  <c r="L1936" i="16"/>
  <c r="Q894" i="20"/>
  <c r="K2231" i="16"/>
  <c r="O520" i="20"/>
  <c r="N522" i="20"/>
  <c r="M528" i="20"/>
  <c r="M529" i="20" s="1"/>
  <c r="M903" i="20"/>
  <c r="N901" i="20"/>
  <c r="O901" i="20" s="1"/>
  <c r="O903" i="20" s="1"/>
  <c r="N521" i="20"/>
  <c r="Q513" i="20"/>
  <c r="Q515" i="20" s="1"/>
  <c r="N527" i="20"/>
  <c r="Q335" i="20"/>
  <c r="D553" i="20"/>
  <c r="E553" i="20" s="1"/>
  <c r="C553" i="20"/>
  <c r="C559" i="20"/>
  <c r="C554" i="20"/>
  <c r="C555" i="20" s="1"/>
  <c r="C933" i="20"/>
  <c r="C928" i="20"/>
  <c r="C929" i="20" s="1"/>
  <c r="D928" i="20"/>
  <c r="O895" i="20"/>
  <c r="O896" i="20"/>
  <c r="L1942" i="16"/>
  <c r="K543" i="20"/>
  <c r="Q1589" i="16"/>
  <c r="L1610" i="16"/>
  <c r="L2184" i="16" s="1"/>
  <c r="P910" i="16"/>
  <c r="Q910" i="16" s="1"/>
  <c r="P1329" i="16"/>
  <c r="Q1329" i="16" s="1"/>
  <c r="K928" i="16"/>
  <c r="P1480" i="16"/>
  <c r="Q1480" i="16" s="1"/>
  <c r="M1935" i="16"/>
  <c r="M1487" i="16"/>
  <c r="N1487" i="16" s="1"/>
  <c r="L1494" i="16"/>
  <c r="M1494" i="16" s="1"/>
  <c r="P1596" i="16"/>
  <c r="Q1596" i="16" s="1"/>
  <c r="L2167" i="16"/>
  <c r="M2229" i="16"/>
  <c r="N1928" i="16"/>
  <c r="O1928" i="16" s="1"/>
  <c r="O2229" i="16" s="1"/>
  <c r="O888" i="16"/>
  <c r="P881" i="16"/>
  <c r="O882" i="16"/>
  <c r="O900" i="16"/>
  <c r="K918" i="16"/>
  <c r="O905" i="16"/>
  <c r="P1460" i="16"/>
  <c r="P1461" i="16" s="1"/>
  <c r="P332" i="16"/>
  <c r="P2227" i="16"/>
  <c r="P1915" i="16"/>
  <c r="M2166" i="16"/>
  <c r="M1597" i="16"/>
  <c r="N1597" i="16" s="1"/>
  <c r="K1627" i="16"/>
  <c r="P1627" i="16"/>
  <c r="L1627" i="16"/>
  <c r="E1623" i="16"/>
  <c r="D1623" i="16" s="1"/>
  <c r="M1627" i="16"/>
  <c r="E1622" i="16"/>
  <c r="F1622" i="16" s="1"/>
  <c r="N1627" i="16"/>
  <c r="B1621" i="16"/>
  <c r="O1627" i="16"/>
  <c r="D1622" i="16"/>
  <c r="D1628" i="16"/>
  <c r="O2181" i="16"/>
  <c r="K2184" i="16"/>
  <c r="K1611" i="16"/>
  <c r="K1612" i="16" s="1"/>
  <c r="M2182" i="16"/>
  <c r="N2182" i="16"/>
  <c r="Q1627" i="16"/>
  <c r="O1590" i="16"/>
  <c r="O2166" i="16"/>
  <c r="N2166" i="16"/>
  <c r="O2165" i="16"/>
  <c r="N2142" i="16"/>
  <c r="O2141" i="16"/>
  <c r="K2168" i="16"/>
  <c r="K1495" i="16"/>
  <c r="K1496" i="16" s="1"/>
  <c r="O1323" i="16"/>
  <c r="P2076" i="16"/>
  <c r="Q1137" i="16"/>
  <c r="Q245" i="16" s="1"/>
  <c r="P2078" i="16"/>
  <c r="P2092" i="16"/>
  <c r="P2080" i="16"/>
  <c r="R38" i="22"/>
  <c r="R106" i="11" s="1"/>
  <c r="S33" i="22"/>
  <c r="S37" i="22" s="1"/>
  <c r="Q67" i="22"/>
  <c r="Q92" i="12" s="1"/>
  <c r="S62" i="22"/>
  <c r="R66" i="22"/>
  <c r="S52" i="22"/>
  <c r="S56" i="22" s="1"/>
  <c r="S57" i="22" s="1"/>
  <c r="S58" i="22" s="1"/>
  <c r="U22" i="20"/>
  <c r="O1931" i="12"/>
  <c r="O1934" i="12" s="1"/>
  <c r="P462" i="20"/>
  <c r="P463" i="20" s="1"/>
  <c r="P2073" i="16"/>
  <c r="O2082" i="16"/>
  <c r="O256" i="20" s="1"/>
  <c r="U15" i="22"/>
  <c r="U17" i="22" s="1"/>
  <c r="Q199" i="18"/>
  <c r="Q200" i="18"/>
  <c r="P201" i="18"/>
  <c r="Q2047" i="16" l="1"/>
  <c r="Q2049" i="16"/>
  <c r="I284" i="16"/>
  <c r="Q322" i="16"/>
  <c r="Q76" i="20" s="1"/>
  <c r="Q561" i="16"/>
  <c r="Q165" i="20" s="1"/>
  <c r="I420" i="16"/>
  <c r="G119" i="20" s="1"/>
  <c r="P2115" i="16"/>
  <c r="P1151" i="16"/>
  <c r="P247" i="16" s="1"/>
  <c r="P265" i="16" s="1"/>
  <c r="P53" i="20" s="1"/>
  <c r="P114" i="10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92" i="10"/>
  <c r="Q91" i="10" s="1"/>
  <c r="Q105" i="10" s="1"/>
  <c r="Q77" i="10"/>
  <c r="Q36" i="10"/>
  <c r="Q775" i="16"/>
  <c r="Q237" i="20" s="1"/>
  <c r="Q744" i="16"/>
  <c r="Q206" i="20" s="1"/>
  <c r="C417" i="20"/>
  <c r="K419" i="20" s="1"/>
  <c r="K420" i="20" s="1"/>
  <c r="O1136" i="16"/>
  <c r="V42" i="22"/>
  <c r="V46" i="22" s="1"/>
  <c r="U47" i="22"/>
  <c r="U48" i="22" s="1"/>
  <c r="V106" i="22"/>
  <c r="V110" i="22" s="1"/>
  <c r="U111" i="22"/>
  <c r="U112" i="22" s="1"/>
  <c r="U121" i="22"/>
  <c r="U122" i="22" s="1"/>
  <c r="V116" i="22"/>
  <c r="V120" i="22" s="1"/>
  <c r="V130" i="22"/>
  <c r="V131" i="22" s="1"/>
  <c r="W126" i="22"/>
  <c r="P1157" i="16"/>
  <c r="P1135" i="16"/>
  <c r="Q1169" i="16"/>
  <c r="Q2118" i="16" s="1"/>
  <c r="O1176" i="16"/>
  <c r="O2119" i="16" s="1"/>
  <c r="M1200" i="16"/>
  <c r="M254" i="16" s="1"/>
  <c r="Q1162" i="16"/>
  <c r="Q2117" i="16" s="1"/>
  <c r="Q1134" i="16"/>
  <c r="Q2113" i="16" s="1"/>
  <c r="Q2137" i="16"/>
  <c r="Q1141" i="16"/>
  <c r="Q2114" i="16" s="1"/>
  <c r="Q1148" i="16"/>
  <c r="P1447" i="16"/>
  <c r="P1454" i="16"/>
  <c r="Q1454" i="16" s="1"/>
  <c r="H427" i="25"/>
  <c r="F255" i="25"/>
  <c r="F228" i="25"/>
  <c r="F236" i="25" s="1"/>
  <c r="P1149" i="16"/>
  <c r="P1170" i="16"/>
  <c r="P876" i="16"/>
  <c r="Q1568" i="16"/>
  <c r="Q2178" i="16" s="1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P1569" i="16"/>
  <c r="P1570" i="16" s="1"/>
  <c r="Q2060" i="16"/>
  <c r="Q2088" i="16" s="1"/>
  <c r="P1310" i="16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303" i="16"/>
  <c r="P1440" i="16"/>
  <c r="O1164" i="16"/>
  <c r="P1163" i="16"/>
  <c r="P1296" i="16"/>
  <c r="Q221" i="12"/>
  <c r="O337" i="20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O1406" i="12"/>
  <c r="P1401" i="12"/>
  <c r="P1411" i="12" s="1"/>
  <c r="P1412" i="12" s="1"/>
  <c r="P257" i="20" s="1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733" i="12"/>
  <c r="R741" i="12"/>
  <c r="R730" i="12"/>
  <c r="M931" i="12"/>
  <c r="M930" i="12"/>
  <c r="M216" i="10" s="1"/>
  <c r="M360" i="10" s="1"/>
  <c r="Q930" i="12"/>
  <c r="Q216" i="10" s="1"/>
  <c r="Q360" i="10" s="1"/>
  <c r="R943" i="12"/>
  <c r="R947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5" i="12"/>
  <c r="R1188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47" i="20"/>
  <c r="P1468" i="12"/>
  <c r="P1633" i="12" s="1"/>
  <c r="R904" i="16"/>
  <c r="R448" i="16"/>
  <c r="R1157" i="12"/>
  <c r="R153" i="20"/>
  <c r="R1728" i="12"/>
  <c r="R1678" i="12"/>
  <c r="R894" i="20"/>
  <c r="R328" i="16"/>
  <c r="R1740" i="12"/>
  <c r="R1806" i="12"/>
  <c r="R2031" i="16"/>
  <c r="R1830" i="12"/>
  <c r="R99" i="16"/>
  <c r="R1750" i="12"/>
  <c r="R1592" i="16"/>
  <c r="R521" i="16" s="1"/>
  <c r="R561" i="16" s="1"/>
  <c r="R165" i="20" s="1"/>
  <c r="R1716" i="12"/>
  <c r="R435" i="16"/>
  <c r="Q1450" i="12"/>
  <c r="R202" i="16"/>
  <c r="R1318" i="16"/>
  <c r="R312" i="16" s="1"/>
  <c r="R322" i="16" s="1"/>
  <c r="R76" i="20" s="1"/>
  <c r="R1557" i="16"/>
  <c r="R1835" i="16"/>
  <c r="R460" i="16" s="1"/>
  <c r="R698" i="12"/>
  <c r="R26" i="22"/>
  <c r="R141" i="20"/>
  <c r="Q1519" i="12"/>
  <c r="R64" i="20"/>
  <c r="R198" i="16"/>
  <c r="R1669" i="12"/>
  <c r="R1695" i="12"/>
  <c r="R1831" i="12"/>
  <c r="R629" i="12"/>
  <c r="R408" i="16"/>
  <c r="Q1565" i="12"/>
  <c r="R1780" i="12"/>
  <c r="R1731" i="12"/>
  <c r="R276" i="16"/>
  <c r="R84" i="20"/>
  <c r="R940" i="12"/>
  <c r="R44" i="11"/>
  <c r="R115" i="22"/>
  <c r="R1422" i="16"/>
  <c r="P699" i="16"/>
  <c r="Q18" i="18"/>
  <c r="Q23" i="18" s="1"/>
  <c r="Q77" i="18"/>
  <c r="Q110" i="18"/>
  <c r="Q48" i="18"/>
  <c r="Q53" i="18" s="1"/>
  <c r="Q365" i="20"/>
  <c r="Q101" i="18"/>
  <c r="Q119" i="18"/>
  <c r="Q68" i="18"/>
  <c r="P216" i="20"/>
  <c r="P246" i="20" s="1"/>
  <c r="Q86" i="18"/>
  <c r="R1290" i="16"/>
  <c r="R30" i="16"/>
  <c r="R231" i="11"/>
  <c r="R1723" i="12"/>
  <c r="R1404" i="12"/>
  <c r="R1794" i="12"/>
  <c r="R71" i="20"/>
  <c r="R1682" i="12"/>
  <c r="R1811" i="12"/>
  <c r="R622" i="16"/>
  <c r="R1732" i="12"/>
  <c r="R73" i="12"/>
  <c r="R431" i="16"/>
  <c r="R1798" i="12"/>
  <c r="R1727" i="12"/>
  <c r="R425" i="16"/>
  <c r="R1408" i="16"/>
  <c r="R573" i="16"/>
  <c r="R134" i="22"/>
  <c r="R417" i="16"/>
  <c r="R12" i="20"/>
  <c r="R25" i="20" s="1"/>
  <c r="R1188" i="20" s="1"/>
  <c r="R1222" i="20" s="1"/>
  <c r="R1235" i="20" s="1"/>
  <c r="R1248" i="20" s="1"/>
  <c r="R147" i="20"/>
  <c r="Q1502" i="12"/>
  <c r="Q1572" i="12"/>
  <c r="Q1490" i="12"/>
  <c r="R1582" i="16"/>
  <c r="R2180" i="16" s="1"/>
  <c r="R131" i="16"/>
  <c r="R353" i="16"/>
  <c r="R117" i="20"/>
  <c r="R62" i="20"/>
  <c r="R160" i="20"/>
  <c r="R1744" i="12"/>
  <c r="R100" i="12"/>
  <c r="R240" i="11"/>
  <c r="R1704" i="12"/>
  <c r="R1835" i="12"/>
  <c r="R95" i="11"/>
  <c r="R126" i="20"/>
  <c r="R1751" i="12"/>
  <c r="R124" i="11"/>
  <c r="R103" i="20"/>
  <c r="R1394" i="16"/>
  <c r="R114" i="12"/>
  <c r="R96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196" i="20"/>
  <c r="R63" i="12"/>
  <c r="R1683" i="12"/>
  <c r="R137" i="20"/>
  <c r="R222" i="11"/>
  <c r="R1833" i="16"/>
  <c r="R458" i="16" s="1"/>
  <c r="R46" i="16"/>
  <c r="R354" i="16"/>
  <c r="R57" i="20"/>
  <c r="R1945" i="16"/>
  <c r="R65" i="20"/>
  <c r="R125" i="22"/>
  <c r="R362" i="16"/>
  <c r="R192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170" i="20"/>
  <c r="R268" i="16"/>
  <c r="R1644" i="12"/>
  <c r="R1712" i="12"/>
  <c r="R1398" i="12"/>
  <c r="R1715" i="12"/>
  <c r="R786" i="16"/>
  <c r="R1803" i="12"/>
  <c r="R1824" i="12"/>
  <c r="R190" i="20"/>
  <c r="R1666" i="12"/>
  <c r="R1725" i="12"/>
  <c r="R1516" i="16"/>
  <c r="R1399" i="12"/>
  <c r="R1736" i="12"/>
  <c r="R151" i="20"/>
  <c r="R1664" i="12"/>
  <c r="R80" i="20"/>
  <c r="R1820" i="12"/>
  <c r="R2044" i="16"/>
  <c r="R169" i="20"/>
  <c r="R360" i="16"/>
  <c r="R63" i="18"/>
  <c r="R1325" i="16"/>
  <c r="R60" i="20"/>
  <c r="R1668" i="12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28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22" i="20"/>
  <c r="R1706" i="12"/>
  <c r="R42" i="12"/>
  <c r="R67" i="20"/>
  <c r="R1781" i="12"/>
  <c r="R1697" i="12"/>
  <c r="R104" i="11"/>
  <c r="R68" i="20"/>
  <c r="R1823" i="12"/>
  <c r="R327" i="16"/>
  <c r="R1640" i="12"/>
  <c r="R70" i="16"/>
  <c r="R156" i="20"/>
  <c r="R1665" i="12"/>
  <c r="R1880" i="12"/>
  <c r="R1919" i="12" s="1"/>
  <c r="R1849" i="16"/>
  <c r="R1638" i="12"/>
  <c r="R1774" i="12"/>
  <c r="R1688" i="12"/>
  <c r="R1163" i="12"/>
  <c r="R1773" i="12"/>
  <c r="R98" i="10"/>
  <c r="R1815" i="12"/>
  <c r="R154" i="20"/>
  <c r="R1769" i="12"/>
  <c r="R173" i="20"/>
  <c r="R90" i="22"/>
  <c r="R361" i="16"/>
  <c r="R127" i="20"/>
  <c r="R1917" i="16"/>
  <c r="R152" i="20"/>
  <c r="R1836" i="12"/>
  <c r="R63" i="20"/>
  <c r="Q1438" i="12"/>
  <c r="Q1441" i="12"/>
  <c r="R1207" i="16"/>
  <c r="R255" i="16" s="1"/>
  <c r="R1749" i="12"/>
  <c r="R1680" i="12"/>
  <c r="R1700" i="12"/>
  <c r="R12" i="18"/>
  <c r="R616" i="16"/>
  <c r="R1703" i="12"/>
  <c r="R155" i="20"/>
  <c r="R1639" i="12"/>
  <c r="R1813" i="12"/>
  <c r="R1722" i="12"/>
  <c r="R1775" i="12"/>
  <c r="R432" i="16"/>
  <c r="R161" i="20"/>
  <c r="R1705" i="12"/>
  <c r="R1729" i="12"/>
  <c r="R1689" i="12"/>
  <c r="R1792" i="12"/>
  <c r="R1673" i="12"/>
  <c r="R1737" i="12"/>
  <c r="R575" i="16"/>
  <c r="R219" i="10"/>
  <c r="R358" i="16"/>
  <c r="R93" i="20"/>
  <c r="R1828" i="12"/>
  <c r="R1401" i="16"/>
  <c r="R38" i="16"/>
  <c r="R194" i="20"/>
  <c r="Q1489" i="12"/>
  <c r="Q1580" i="12"/>
  <c r="R40" i="20"/>
  <c r="Q770" i="16"/>
  <c r="Q232" i="20" s="1"/>
  <c r="Q779" i="16"/>
  <c r="Q241" i="20" s="1"/>
  <c r="R1690" i="12"/>
  <c r="R1400" i="12"/>
  <c r="R1738" i="12"/>
  <c r="R94" i="20"/>
  <c r="R278" i="16"/>
  <c r="R455" i="16"/>
  <c r="R1679" i="12"/>
  <c r="R574" i="16"/>
  <c r="R329" i="16"/>
  <c r="R1181" i="12"/>
  <c r="R617" i="12"/>
  <c r="R621" i="16"/>
  <c r="R1804" i="12"/>
  <c r="R1730" i="12"/>
  <c r="R1353" i="16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171" i="20"/>
  <c r="R1297" i="16"/>
  <c r="R444" i="16"/>
  <c r="R144" i="20"/>
  <c r="R1745" i="12"/>
  <c r="R270" i="16"/>
  <c r="R451" i="16"/>
  <c r="R20" i="22"/>
  <c r="Q1528" i="12"/>
  <c r="Q1474" i="12"/>
  <c r="R203" i="16"/>
  <c r="R205" i="16"/>
  <c r="R117" i="16"/>
  <c r="R122" i="16"/>
  <c r="R44" i="20"/>
  <c r="R34" i="20"/>
  <c r="R1172" i="16"/>
  <c r="R250" i="16" s="1"/>
  <c r="R135" i="16"/>
  <c r="R102" i="16"/>
  <c r="R1476" i="16"/>
  <c r="R125" i="20"/>
  <c r="R131" i="20"/>
  <c r="R1836" i="16"/>
  <c r="R461" i="16" s="1"/>
  <c r="R436" i="16"/>
  <c r="R1938" i="16"/>
  <c r="R116" i="18"/>
  <c r="R178" i="20"/>
  <c r="R124" i="20"/>
  <c r="R434" i="16"/>
  <c r="R1833" i="12"/>
  <c r="R1784" i="12"/>
  <c r="R1674" i="12"/>
  <c r="R385" i="10"/>
  <c r="R489" i="10" s="1"/>
  <c r="R128" i="20"/>
  <c r="R2035" i="16"/>
  <c r="R2061" i="16" s="1"/>
  <c r="R2089" i="16" s="1"/>
  <c r="R447" i="16"/>
  <c r="R1782" i="12"/>
  <c r="R96" i="22"/>
  <c r="R100" i="20"/>
  <c r="R583" i="16"/>
  <c r="R426" i="16"/>
  <c r="R1777" i="12"/>
  <c r="R1606" i="16"/>
  <c r="R174" i="20"/>
  <c r="R121" i="20"/>
  <c r="R442" i="16"/>
  <c r="R429" i="16"/>
  <c r="R1490" i="16"/>
  <c r="R84" i="22"/>
  <c r="R118" i="20"/>
  <c r="R449" i="16"/>
  <c r="R356" i="16"/>
  <c r="R1676" i="12"/>
  <c r="R1693" i="12"/>
  <c r="R49" i="20"/>
  <c r="R12" i="16"/>
  <c r="R192" i="16" s="1"/>
  <c r="R1834" i="12"/>
  <c r="R32" i="8"/>
  <c r="R31" i="8" s="1"/>
  <c r="R68" i="18" s="1"/>
  <c r="R138" i="20"/>
  <c r="R438" i="16"/>
  <c r="R207" i="16"/>
  <c r="R213" i="16"/>
  <c r="R129" i="16"/>
  <c r="R109" i="16"/>
  <c r="R36" i="20"/>
  <c r="R33" i="20"/>
  <c r="R1179" i="16"/>
  <c r="R103" i="16"/>
  <c r="R1544" i="16"/>
  <c r="R175" i="20"/>
  <c r="R2038" i="16"/>
  <c r="R2051" i="16" s="1"/>
  <c r="R441" i="16"/>
  <c r="R1952" i="16"/>
  <c r="R1620" i="16"/>
  <c r="R29" i="18"/>
  <c r="R143" i="20"/>
  <c r="R617" i="16"/>
  <c r="R271" i="16"/>
  <c r="R1753" i="12"/>
  <c r="R1698" i="12"/>
  <c r="R1814" i="12"/>
  <c r="R46" i="10"/>
  <c r="R120" i="20"/>
  <c r="R129" i="20"/>
  <c r="R1502" i="16"/>
  <c r="R365" i="16" s="1"/>
  <c r="R1692" i="12"/>
  <c r="R107" i="18"/>
  <c r="R130" i="20"/>
  <c r="R2039" i="16"/>
  <c r="R2052" i="16" s="1"/>
  <c r="R433" i="16"/>
  <c r="R1691" i="12"/>
  <c r="R1469" i="16"/>
  <c r="R396" i="16" s="1"/>
  <c r="R406" i="16" s="1"/>
  <c r="R112" i="20" s="1"/>
  <c r="R215" i="16"/>
  <c r="R121" i="16"/>
  <c r="R111" i="16"/>
  <c r="R108" i="16"/>
  <c r="R41" i="20"/>
  <c r="R43" i="20"/>
  <c r="R1193" i="16"/>
  <c r="R253" i="16" s="1"/>
  <c r="R98" i="16"/>
  <c r="R271" i="10"/>
  <c r="R176" i="20"/>
  <c r="R148" i="20"/>
  <c r="R618" i="16"/>
  <c r="R1497" i="16"/>
  <c r="R1441" i="16"/>
  <c r="R197" i="20"/>
  <c r="R59" i="20"/>
  <c r="R454" i="16"/>
  <c r="R197" i="16"/>
  <c r="R54" i="16"/>
  <c r="R1827" i="12"/>
  <c r="R1771" i="12"/>
  <c r="R70" i="22"/>
  <c r="R145" i="20"/>
  <c r="R619" i="16"/>
  <c r="R430" i="16"/>
  <c r="R1829" i="12"/>
  <c r="R61" i="22"/>
  <c r="R132" i="20"/>
  <c r="R577" i="16"/>
  <c r="R110" i="16"/>
  <c r="R106" i="16"/>
  <c r="R128" i="16"/>
  <c r="R113" i="16"/>
  <c r="R39" i="20"/>
  <c r="R35" i="20"/>
  <c r="R1186" i="16"/>
  <c r="R252" i="16" s="1"/>
  <c r="R1214" i="16"/>
  <c r="R256" i="16" s="1"/>
  <c r="R349" i="20"/>
  <c r="R915" i="12"/>
  <c r="R1930" i="12" s="1"/>
  <c r="R97" i="16"/>
  <c r="R363" i="10"/>
  <c r="R30" i="20"/>
  <c r="R2040" i="16"/>
  <c r="R2053" i="16" s="1"/>
  <c r="R427" i="16"/>
  <c r="R1483" i="16"/>
  <c r="R1304" i="16"/>
  <c r="R205" i="20"/>
  <c r="R31" i="20"/>
  <c r="R582" i="16"/>
  <c r="R274" i="16"/>
  <c r="R1785" i="12"/>
  <c r="R1743" i="12"/>
  <c r="R1910" i="16"/>
  <c r="R44" i="18"/>
  <c r="R135" i="20"/>
  <c r="R2085" i="16"/>
  <c r="R1504" i="16"/>
  <c r="R367" i="16" s="1"/>
  <c r="R1896" i="16"/>
  <c r="R188" i="20"/>
  <c r="R140" i="20"/>
  <c r="R446" i="16"/>
  <c r="R420" i="16"/>
  <c r="R1748" i="12"/>
  <c r="R1523" i="16"/>
  <c r="R193" i="20"/>
  <c r="R2057" i="16"/>
  <c r="R439" i="16"/>
  <c r="R1903" i="16"/>
  <c r="R1530" i="16"/>
  <c r="R136" i="20"/>
  <c r="R102" i="20"/>
  <c r="R280" i="16"/>
  <c r="R1770" i="12"/>
  <c r="R1800" i="12"/>
  <c r="R1826" i="12"/>
  <c r="R698" i="16"/>
  <c r="R359" i="16"/>
  <c r="R1734" i="12"/>
  <c r="R82" i="20"/>
  <c r="R133" i="20"/>
  <c r="R1837" i="12"/>
  <c r="R1742" i="12"/>
  <c r="R82" i="12"/>
  <c r="R1332" i="16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38" i="20"/>
  <c r="R37" i="20"/>
  <c r="R1200" i="16"/>
  <c r="R254" i="16" s="1"/>
  <c r="R29" i="8"/>
  <c r="R127" i="8" s="1"/>
  <c r="R104" i="16"/>
  <c r="R1931" i="16"/>
  <c r="R32" i="22"/>
  <c r="R61" i="20"/>
  <c r="R801" i="16"/>
  <c r="R272" i="16"/>
  <c r="R1578" i="16"/>
  <c r="R1462" i="16"/>
  <c r="R177" i="20"/>
  <c r="R119" i="20"/>
  <c r="R456" i="16"/>
  <c r="R428" i="16"/>
  <c r="R1699" i="12"/>
  <c r="R1758" i="12"/>
  <c r="R1564" i="16"/>
  <c r="R189" i="20"/>
  <c r="R83" i="18"/>
  <c r="R581" i="16"/>
  <c r="R437" i="16"/>
  <c r="R1448" i="16"/>
  <c r="R179" i="20"/>
  <c r="R99" i="20"/>
  <c r="R457" i="16"/>
  <c r="R1778" i="12"/>
  <c r="R1884" i="12"/>
  <c r="R300" i="10"/>
  <c r="R66" i="20"/>
  <c r="R2033" i="16"/>
  <c r="R2059" i="16" s="1"/>
  <c r="R2087" i="16" s="1"/>
  <c r="R352" i="16"/>
  <c r="R1924" i="16"/>
  <c r="R413" i="10"/>
  <c r="R150" i="20"/>
  <c r="R191" i="20"/>
  <c r="R330" i="16"/>
  <c r="R1817" i="12"/>
  <c r="R1768" i="12"/>
  <c r="R22" i="16"/>
  <c r="R657" i="16"/>
  <c r="R1752" i="12"/>
  <c r="R1754" i="12"/>
  <c r="R1834" i="16"/>
  <c r="R459" i="16" s="1"/>
  <c r="R69" i="20"/>
  <c r="R212" i="16"/>
  <c r="R206" i="16"/>
  <c r="R125" i="16"/>
  <c r="R105" i="16"/>
  <c r="R112" i="16"/>
  <c r="R45" i="20"/>
  <c r="R1221" i="16"/>
  <c r="R174" i="16"/>
  <c r="R95" i="16"/>
  <c r="R96" i="16"/>
  <c r="R144" i="16" s="1"/>
  <c r="R1613" i="16"/>
  <c r="R74" i="18"/>
  <c r="R95" i="20"/>
  <c r="R625" i="16"/>
  <c r="R216" i="16"/>
  <c r="R1537" i="16"/>
  <c r="R190" i="10"/>
  <c r="R142" i="20"/>
  <c r="R2036" i="16"/>
  <c r="R2062" i="16" s="1"/>
  <c r="R2090" i="16" s="1"/>
  <c r="R419" i="16"/>
  <c r="R1786" i="12"/>
  <c r="R1756" i="12"/>
  <c r="R1746" i="12"/>
  <c r="R1877" i="16"/>
  <c r="R172" i="20"/>
  <c r="R116" i="20"/>
  <c r="R578" i="16"/>
  <c r="R424" i="16"/>
  <c r="R1585" i="16"/>
  <c r="R96" i="18"/>
  <c r="R72" i="20"/>
  <c r="R443" i="16"/>
  <c r="R1825" i="12"/>
  <c r="R1571" i="16"/>
  <c r="R105" i="22"/>
  <c r="R123" i="20"/>
  <c r="R579" i="16"/>
  <c r="R422" i="16"/>
  <c r="R1455" i="16"/>
  <c r="R75" i="10"/>
  <c r="R85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195" i="20"/>
  <c r="R1821" i="12"/>
  <c r="R1726" i="12"/>
  <c r="R1503" i="16"/>
  <c r="R366" i="16" s="1"/>
  <c r="R2041" i="16"/>
  <c r="R1707" i="12"/>
  <c r="R1795" i="12"/>
  <c r="R1627" i="16"/>
  <c r="R199" i="16"/>
  <c r="R210" i="16"/>
  <c r="R124" i="16"/>
  <c r="R119" i="16"/>
  <c r="R116" i="16"/>
  <c r="R46" i="20"/>
  <c r="R1165" i="16"/>
  <c r="R141" i="16"/>
  <c r="R101" i="16"/>
  <c r="R100" i="16"/>
  <c r="R1599" i="16"/>
  <c r="R146" i="20"/>
  <c r="R70" i="20"/>
  <c r="R580" i="16"/>
  <c r="R282" i="16"/>
  <c r="R1889" i="16"/>
  <c r="R127" i="10"/>
  <c r="R134" i="20"/>
  <c r="R623" i="16"/>
  <c r="R1500" i="16"/>
  <c r="R363" i="16" s="1"/>
  <c r="R1696" i="12"/>
  <c r="R1724" i="12"/>
  <c r="R62" i="16"/>
  <c r="R1339" i="16"/>
  <c r="R139" i="20"/>
  <c r="R187" i="20"/>
  <c r="R452" i="16"/>
  <c r="R1879" i="12"/>
  <c r="R1918" i="12" s="1"/>
  <c r="R97" i="20"/>
  <c r="R2034" i="16"/>
  <c r="R2060" i="16" s="1"/>
  <c r="R2088" i="16" s="1"/>
  <c r="R1434" i="16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98" i="20"/>
  <c r="R1793" i="12"/>
  <c r="R1819" i="12"/>
  <c r="R1837" i="16"/>
  <c r="R462" i="16" s="1"/>
  <c r="R273" i="16"/>
  <c r="R35" i="11"/>
  <c r="R1822" i="12"/>
  <c r="R1761" i="12"/>
  <c r="R1311" i="16"/>
  <c r="R1714" i="12"/>
  <c r="R275" i="16"/>
  <c r="R81" i="20"/>
  <c r="R1839" i="12"/>
  <c r="R576" i="16"/>
  <c r="R83" i="20"/>
  <c r="R1878" i="12"/>
  <c r="R1916" i="12" s="1"/>
  <c r="R440" i="16"/>
  <c r="R58" i="20"/>
  <c r="R1741" i="12"/>
  <c r="R1791" i="12"/>
  <c r="R325" i="16"/>
  <c r="R101" i="20"/>
  <c r="R1346" i="16"/>
  <c r="R453" i="16"/>
  <c r="R149" i="20"/>
  <c r="R1681" i="12"/>
  <c r="R450" i="16"/>
  <c r="R2071" i="16"/>
  <c r="R1415" i="16"/>
  <c r="Q1425" i="12"/>
  <c r="Q1475" i="12"/>
  <c r="R1287" i="16"/>
  <c r="R127" i="16"/>
  <c r="R1634" i="16"/>
  <c r="R1473" i="16"/>
  <c r="R1914" i="16"/>
  <c r="R2227" i="16" s="1"/>
  <c r="R1589" i="16"/>
  <c r="R384" i="20"/>
  <c r="R485" i="20"/>
  <c r="R1301" i="16"/>
  <c r="R1308" i="16"/>
  <c r="R874" i="16"/>
  <c r="R335" i="20"/>
  <c r="R898" i="16"/>
  <c r="R886" i="16"/>
  <c r="Q2066" i="16"/>
  <c r="Q2094" i="16" s="1"/>
  <c r="Q2077" i="16"/>
  <c r="H332" i="25"/>
  <c r="R1412" i="16"/>
  <c r="R2155" i="16" s="1"/>
  <c r="R1155" i="16"/>
  <c r="R2116" i="16" s="1"/>
  <c r="R1280" i="16"/>
  <c r="R2135" i="16" s="1"/>
  <c r="R1886" i="16"/>
  <c r="H475" i="25"/>
  <c r="H592" i="25" s="1"/>
  <c r="R356" i="20"/>
  <c r="R328" i="20"/>
  <c r="R1322" i="16"/>
  <c r="H285" i="25"/>
  <c r="R845" i="20"/>
  <c r="R847" i="20" s="1"/>
  <c r="R1158" i="16"/>
  <c r="R48" i="20"/>
  <c r="R32" i="20"/>
  <c r="R130" i="16"/>
  <c r="R132" i="16"/>
  <c r="R107" i="16"/>
  <c r="R209" i="16"/>
  <c r="R201" i="16"/>
  <c r="R204" i="16"/>
  <c r="R471" i="20"/>
  <c r="R880" i="16"/>
  <c r="R892" i="16"/>
  <c r="R478" i="20"/>
  <c r="R42" i="20"/>
  <c r="R123" i="16"/>
  <c r="R133" i="16"/>
  <c r="R134" i="16"/>
  <c r="R214" i="16"/>
  <c r="R211" i="16"/>
  <c r="R461" i="20"/>
  <c r="O1641" i="12"/>
  <c r="O1651" i="12" s="1"/>
  <c r="R157" i="16"/>
  <c r="Q116" i="12"/>
  <c r="G264" i="25"/>
  <c r="G263" i="25"/>
  <c r="Q86" i="20"/>
  <c r="Q1205" i="20" s="1"/>
  <c r="Q264" i="12"/>
  <c r="I13" i="25"/>
  <c r="I52" i="25" s="1"/>
  <c r="Q585" i="12"/>
  <c r="Q161" i="12"/>
  <c r="Q306" i="12"/>
  <c r="Q520" i="12"/>
  <c r="I77" i="25"/>
  <c r="Q594" i="12"/>
  <c r="Q206" i="12"/>
  <c r="Q434" i="12"/>
  <c r="P1567" i="12"/>
  <c r="P1636" i="12" s="1"/>
  <c r="G144" i="25"/>
  <c r="G226" i="25"/>
  <c r="G143" i="25"/>
  <c r="G225" i="25"/>
  <c r="H52" i="25"/>
  <c r="G209" i="25"/>
  <c r="G247" i="25" s="1"/>
  <c r="G266" i="25" s="1"/>
  <c r="G274" i="25" s="1"/>
  <c r="G217" i="25"/>
  <c r="H379" i="25"/>
  <c r="H127" i="25"/>
  <c r="H135" i="25" s="1"/>
  <c r="H146" i="25" s="1"/>
  <c r="H154" i="25" s="1"/>
  <c r="Q807" i="16"/>
  <c r="H163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43" i="20" s="1"/>
  <c r="Q372" i="20"/>
  <c r="Q769" i="16"/>
  <c r="Q231" i="20" s="1"/>
  <c r="Q757" i="16"/>
  <c r="Q219" i="20" s="1"/>
  <c r="Q764" i="16"/>
  <c r="Q226" i="20" s="1"/>
  <c r="Q750" i="16"/>
  <c r="Q212" i="20" s="1"/>
  <c r="H66" i="25"/>
  <c r="Q753" i="16"/>
  <c r="Q215" i="20" s="1"/>
  <c r="Q745" i="16"/>
  <c r="Q207" i="20" s="1"/>
  <c r="Q756" i="16"/>
  <c r="Q218" i="20" s="1"/>
  <c r="Q780" i="16"/>
  <c r="Q242" i="20" s="1"/>
  <c r="Q767" i="16"/>
  <c r="Q229" i="20" s="1"/>
  <c r="Q763" i="16"/>
  <c r="Q225" i="20" s="1"/>
  <c r="Q748" i="16"/>
  <c r="Q210" i="20" s="1"/>
  <c r="Q761" i="16"/>
  <c r="Q223" i="20" s="1"/>
  <c r="Q331" i="16"/>
  <c r="Q806" i="16" s="1"/>
  <c r="Q1684" i="12"/>
  <c r="Q1872" i="12" s="1"/>
  <c r="Q1910" i="12" s="1"/>
  <c r="Q1717" i="12"/>
  <c r="Q1874" i="12" s="1"/>
  <c r="Q1912" i="12" s="1"/>
  <c r="P1522" i="12"/>
  <c r="P1635" i="12" s="1"/>
  <c r="P1444" i="12"/>
  <c r="P1632" i="12" s="1"/>
  <c r="Q896" i="12"/>
  <c r="Q916" i="12" s="1"/>
  <c r="Q1932" i="12" s="1"/>
  <c r="Q783" i="16"/>
  <c r="Q245" i="20" s="1"/>
  <c r="Q758" i="16"/>
  <c r="Q220" i="20" s="1"/>
  <c r="Q746" i="16"/>
  <c r="Q208" i="20" s="1"/>
  <c r="Q754" i="16"/>
  <c r="Q216" i="20" s="1"/>
  <c r="Q751" i="16"/>
  <c r="Q213" i="20" s="1"/>
  <c r="Q2065" i="16"/>
  <c r="Q2079" i="16" s="1"/>
  <c r="Q1505" i="16"/>
  <c r="Q768" i="16"/>
  <c r="Q230" i="20" s="1"/>
  <c r="Q765" i="16"/>
  <c r="Q227" i="20" s="1"/>
  <c r="Q752" i="16"/>
  <c r="Q214" i="20" s="1"/>
  <c r="Q773" i="16"/>
  <c r="Q235" i="20" s="1"/>
  <c r="Q762" i="16"/>
  <c r="Q224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180" i="20"/>
  <c r="Q1208" i="20" s="1"/>
  <c r="Q996" i="12"/>
  <c r="Q1153" i="12" s="1"/>
  <c r="Q1708" i="12"/>
  <c r="Q1873" i="12" s="1"/>
  <c r="Q1911" i="12" s="1"/>
  <c r="Q1204" i="12"/>
  <c r="Q1392" i="12" s="1"/>
  <c r="Q772" i="16"/>
  <c r="Q234" i="20" s="1"/>
  <c r="Q771" i="16"/>
  <c r="Q233" i="20" s="1"/>
  <c r="Q759" i="16"/>
  <c r="Q221" i="20" s="1"/>
  <c r="Q776" i="16"/>
  <c r="Q238" i="20" s="1"/>
  <c r="Q2048" i="16"/>
  <c r="Q760" i="16"/>
  <c r="Q222" i="20" s="1"/>
  <c r="Q782" i="16"/>
  <c r="Q244" i="20" s="1"/>
  <c r="Q777" i="16"/>
  <c r="Q239" i="20" s="1"/>
  <c r="Q766" i="16"/>
  <c r="Q228" i="20" s="1"/>
  <c r="Q755" i="16"/>
  <c r="Q217" i="20" s="1"/>
  <c r="Q778" i="16"/>
  <c r="Q240" i="20" s="1"/>
  <c r="Q747" i="16"/>
  <c r="Q209" i="20" s="1"/>
  <c r="Q774" i="16"/>
  <c r="Q236" i="20" s="1"/>
  <c r="Q749" i="16"/>
  <c r="Q211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R1459" i="16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26" i="20"/>
  <c r="J922" i="20" a="1"/>
  <c r="J922" i="20" s="1"/>
  <c r="R1431" i="16"/>
  <c r="R2159" i="16" s="1"/>
  <c r="Q2227" i="16"/>
  <c r="Q1915" i="16"/>
  <c r="Q1432" i="16"/>
  <c r="R492" i="20"/>
  <c r="R1554" i="16"/>
  <c r="Q1555" i="16"/>
  <c r="Q721" i="12"/>
  <c r="Q909" i="12" s="1"/>
  <c r="Q1924" i="12" s="1"/>
  <c r="Q198" i="20"/>
  <c r="Q1209" i="20" s="1"/>
  <c r="Q73" i="20"/>
  <c r="Q1203" i="20" s="1"/>
  <c r="Q284" i="16"/>
  <c r="Q804" i="16" s="1"/>
  <c r="Q463" i="16"/>
  <c r="Q1838" i="16"/>
  <c r="Q808" i="16"/>
  <c r="Q963" i="12"/>
  <c r="Q1151" i="12" s="1"/>
  <c r="Q844" i="12"/>
  <c r="Q913" i="12" s="1"/>
  <c r="Q1928" i="12" s="1"/>
  <c r="Q846" i="20"/>
  <c r="Q847" i="20"/>
  <c r="Q2223" i="16"/>
  <c r="Q1887" i="16"/>
  <c r="Q2135" i="16"/>
  <c r="R1419" i="16"/>
  <c r="R2156" i="16" s="1"/>
  <c r="Q1281" i="16"/>
  <c r="Q493" i="20"/>
  <c r="Q494" i="20" s="1"/>
  <c r="Q878" i="12"/>
  <c r="Q914" i="12" s="1"/>
  <c r="Q1929" i="12" s="1"/>
  <c r="P1917" i="12"/>
  <c r="P1920" i="12" s="1"/>
  <c r="P1881" i="12"/>
  <c r="P1891" i="12" s="1"/>
  <c r="R1575" i="16"/>
  <c r="R2179" i="16" s="1"/>
  <c r="R1438" i="16"/>
  <c r="Q1576" i="16"/>
  <c r="R1405" i="16"/>
  <c r="R2154" i="16" s="1"/>
  <c r="Q1439" i="16"/>
  <c r="Q1156" i="16"/>
  <c r="R1294" i="16"/>
  <c r="Q1120" i="12"/>
  <c r="Q1156" i="12" s="1"/>
  <c r="Q987" i="12"/>
  <c r="Q1152" i="12" s="1"/>
  <c r="Q887" i="16"/>
  <c r="Q1041" i="12"/>
  <c r="Q1154" i="12" s="1"/>
  <c r="Q2155" i="16"/>
  <c r="R363" i="20"/>
  <c r="Q875" i="16"/>
  <c r="Q364" i="20"/>
  <c r="Q357" i="20"/>
  <c r="Q358" i="20" s="1"/>
  <c r="P805" i="16"/>
  <c r="Q1086" i="12"/>
  <c r="Q1155" i="12" s="1"/>
  <c r="Q893" i="16"/>
  <c r="P1160" i="12"/>
  <c r="P1170" i="12" s="1"/>
  <c r="P1171" i="12" s="1"/>
  <c r="Q1295" i="16"/>
  <c r="Q2139" i="16"/>
  <c r="R1391" i="16"/>
  <c r="R2152" i="16" s="1"/>
  <c r="Q1406" i="16"/>
  <c r="Q1309" i="16"/>
  <c r="Q899" i="16"/>
  <c r="Q1413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P1420" i="16"/>
  <c r="P1421" i="16" s="1"/>
  <c r="P334" i="16" s="1"/>
  <c r="P791" i="16" s="1"/>
  <c r="O333" i="16"/>
  <c r="S370" i="10"/>
  <c r="I383" i="10"/>
  <c r="I418" i="10"/>
  <c r="I382" i="10"/>
  <c r="P1315" i="16"/>
  <c r="Q1315" i="16" s="1"/>
  <c r="Q2140" i="16" s="1"/>
  <c r="R1466" i="16"/>
  <c r="Q1467" i="16"/>
  <c r="O1886" i="12"/>
  <c r="O1316" i="16"/>
  <c r="O1317" i="16" s="1"/>
  <c r="L1360" i="16"/>
  <c r="Q1446" i="16"/>
  <c r="P1894" i="16"/>
  <c r="P1895" i="16" s="1"/>
  <c r="Q1893" i="16"/>
  <c r="R1893" i="16" s="1"/>
  <c r="R2224" i="16" s="1"/>
  <c r="Q479" i="20"/>
  <c r="Q480" i="20" s="1"/>
  <c r="R1445" i="16"/>
  <c r="Q1302" i="16"/>
  <c r="Q2138" i="16"/>
  <c r="Q1453" i="16"/>
  <c r="Q2162" i="16"/>
  <c r="R1452" i="16"/>
  <c r="R2162" i="16" s="1"/>
  <c r="K909" i="20"/>
  <c r="K910" i="20" s="1"/>
  <c r="L908" i="20"/>
  <c r="L910" i="20" s="1"/>
  <c r="L915" i="20"/>
  <c r="L917" i="20" s="1"/>
  <c r="K916" i="20"/>
  <c r="K917" i="20" s="1"/>
  <c r="L2143" i="16"/>
  <c r="L1338" i="16"/>
  <c r="M1336" i="16"/>
  <c r="N1336" i="16" s="1"/>
  <c r="N2143" i="16" s="1"/>
  <c r="P1584" i="16"/>
  <c r="M535" i="20"/>
  <c r="M536" i="20" s="1"/>
  <c r="O1475" i="16"/>
  <c r="N1646" i="12"/>
  <c r="Q1888" i="16"/>
  <c r="Q1393" i="16"/>
  <c r="M1204" i="16"/>
  <c r="M2123" i="16" s="1"/>
  <c r="Q1407" i="16"/>
  <c r="O1591" i="16"/>
  <c r="Q1414" i="16"/>
  <c r="Q1468" i="16"/>
  <c r="O334" i="16"/>
  <c r="O791" i="16" s="1"/>
  <c r="F1948" i="16"/>
  <c r="Q1577" i="16"/>
  <c r="P1916" i="16"/>
  <c r="Q1916" i="16" s="1"/>
  <c r="P1556" i="16"/>
  <c r="O1324" i="16"/>
  <c r="M1598" i="16"/>
  <c r="N1598" i="16" s="1"/>
  <c r="N1331" i="16"/>
  <c r="M1482" i="16"/>
  <c r="N1482" i="16" s="1"/>
  <c r="O1171" i="16"/>
  <c r="P1282" i="16"/>
  <c r="O1143" i="16"/>
  <c r="D1350" i="16"/>
  <c r="F1349" i="16" s="1"/>
  <c r="K1350" i="16" s="1"/>
  <c r="O1603" i="16"/>
  <c r="P1603" i="16" s="1"/>
  <c r="Q1603" i="16" s="1"/>
  <c r="M2183" i="16"/>
  <c r="M1604" i="16"/>
  <c r="N1604" i="16" s="1"/>
  <c r="F1342" i="16"/>
  <c r="K1343" i="16" s="1"/>
  <c r="L1343" i="16" s="1"/>
  <c r="K1360" i="16"/>
  <c r="E1356" i="16"/>
  <c r="D1356" i="16" s="1"/>
  <c r="D1624" i="16"/>
  <c r="F1623" i="16" s="1"/>
  <c r="K1624" i="16" s="1"/>
  <c r="K1625" i="16" s="1"/>
  <c r="R1360" i="16"/>
  <c r="P1360" i="16"/>
  <c r="B1354" i="16"/>
  <c r="O1360" i="16"/>
  <c r="D1355" i="16"/>
  <c r="N1360" i="16"/>
  <c r="E1355" i="16"/>
  <c r="F1355" i="16" s="1"/>
  <c r="M1360" i="16"/>
  <c r="D1361" i="16"/>
  <c r="R1367" i="16" s="1"/>
  <c r="K1849" i="16"/>
  <c r="L1849" i="16"/>
  <c r="M1849" i="16"/>
  <c r="N1849" i="16"/>
  <c r="O1849" i="16"/>
  <c r="P1849" i="16"/>
  <c r="Q1849" i="16"/>
  <c r="P1433" i="16"/>
  <c r="Q486" i="20"/>
  <c r="Q487" i="20" s="1"/>
  <c r="R1907" i="16"/>
  <c r="R2226" i="16" s="1"/>
  <c r="Q1908" i="16"/>
  <c r="Q1909" i="16" s="1"/>
  <c r="Q350" i="20"/>
  <c r="Q351" i="20" s="1"/>
  <c r="O1165" i="12"/>
  <c r="O1172" i="12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9" i="16"/>
  <c r="O57" i="16" s="1"/>
  <c r="O2254" i="16" s="1"/>
  <c r="O2266" i="16" s="1"/>
  <c r="N2278" i="16"/>
  <c r="N60" i="16" s="1"/>
  <c r="N87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P377" i="20"/>
  <c r="Q377" i="20" s="1"/>
  <c r="N378" i="20"/>
  <c r="L1206" i="16"/>
  <c r="L1205" i="16"/>
  <c r="P1142" i="16"/>
  <c r="L407" i="20"/>
  <c r="M1198" i="16"/>
  <c r="M1199" i="16" s="1"/>
  <c r="M392" i="20"/>
  <c r="L399" i="20"/>
  <c r="N391" i="20"/>
  <c r="O391" i="20" s="1"/>
  <c r="N1184" i="16"/>
  <c r="N1185" i="16" s="1"/>
  <c r="N1186" i="16"/>
  <c r="O1183" i="16"/>
  <c r="O2120" i="16" s="1"/>
  <c r="P372" i="20"/>
  <c r="N1197" i="16"/>
  <c r="N2122" i="16" s="1"/>
  <c r="O371" i="20"/>
  <c r="R370" i="20"/>
  <c r="M398" i="20"/>
  <c r="M400" i="20" s="1"/>
  <c r="N1177" i="16"/>
  <c r="N1193" i="16"/>
  <c r="N253" i="16" s="1"/>
  <c r="O1190" i="16"/>
  <c r="O2121" i="16" s="1"/>
  <c r="N385" i="20"/>
  <c r="N386" i="20" s="1"/>
  <c r="N1191" i="16"/>
  <c r="N1192" i="16" s="1"/>
  <c r="L412" i="20"/>
  <c r="L414" i="20" s="1"/>
  <c r="L1211" i="16"/>
  <c r="L2124" i="16" s="1"/>
  <c r="M405" i="20"/>
  <c r="M406" i="20" s="1"/>
  <c r="M912" i="16"/>
  <c r="M916" i="16"/>
  <c r="D940" i="16"/>
  <c r="F939" i="16" s="1"/>
  <c r="K940" i="16" s="1"/>
  <c r="K941" i="16" s="1"/>
  <c r="K942" i="16" s="1"/>
  <c r="E950" i="16"/>
  <c r="F950" i="16" s="1"/>
  <c r="D950" i="16"/>
  <c r="C952" i="16"/>
  <c r="B949" i="16"/>
  <c r="D955" i="16"/>
  <c r="J954" i="16"/>
  <c r="E951" i="16"/>
  <c r="D945" i="16"/>
  <c r="I203" i="16"/>
  <c r="G36" i="20" s="1"/>
  <c r="O251" i="16"/>
  <c r="I205" i="16"/>
  <c r="G38" i="20" s="1"/>
  <c r="O253" i="16"/>
  <c r="K1212" i="16"/>
  <c r="K1213" i="16" s="1"/>
  <c r="K1214" i="16"/>
  <c r="K256" i="16" s="1"/>
  <c r="D1217" i="16"/>
  <c r="D1218" i="16" s="1"/>
  <c r="F1217" i="16" s="1"/>
  <c r="D1229" i="16"/>
  <c r="Q1228" i="16"/>
  <c r="D1223" i="16"/>
  <c r="P1228" i="16"/>
  <c r="E1224" i="16"/>
  <c r="R1228" i="16"/>
  <c r="E1223" i="16"/>
  <c r="F1223" i="16" s="1"/>
  <c r="K1218" i="16"/>
  <c r="K2125" i="16" s="1"/>
  <c r="D423" i="20"/>
  <c r="C430" i="20"/>
  <c r="C432" i="20" s="1"/>
  <c r="C433" i="20" s="1"/>
  <c r="C424" i="20"/>
  <c r="K414" i="20"/>
  <c r="Q2136" i="16"/>
  <c r="Q1288" i="16"/>
  <c r="Q1399" i="16"/>
  <c r="Q1400" i="16" s="1"/>
  <c r="R1398" i="16"/>
  <c r="Q329" i="20"/>
  <c r="Q330" i="20" s="1"/>
  <c r="P1289" i="16"/>
  <c r="Q500" i="20"/>
  <c r="Q501" i="20" s="1"/>
  <c r="R499" i="20"/>
  <c r="Q2074" i="16"/>
  <c r="Q1562" i="16"/>
  <c r="Q1563" i="16" s="1"/>
  <c r="R1561" i="16"/>
  <c r="R2177" i="16" s="1"/>
  <c r="P2069" i="16"/>
  <c r="N923" i="12"/>
  <c r="P918" i="12"/>
  <c r="P928" i="12" s="1"/>
  <c r="P929" i="12" s="1"/>
  <c r="P1931" i="12"/>
  <c r="P1934" i="12" s="1"/>
  <c r="Q472" i="20"/>
  <c r="O152" i="16"/>
  <c r="R506" i="20"/>
  <c r="Q507" i="20"/>
  <c r="N911" i="16"/>
  <c r="M541" i="20"/>
  <c r="Q2180" i="16"/>
  <c r="L923" i="16"/>
  <c r="L924" i="16" s="1"/>
  <c r="Q336" i="20"/>
  <c r="Q337" i="20" s="1"/>
  <c r="O922" i="16"/>
  <c r="P922" i="16" s="1"/>
  <c r="L917" i="16"/>
  <c r="L542" i="20"/>
  <c r="K929" i="16"/>
  <c r="L928" i="16"/>
  <c r="Q514" i="20"/>
  <c r="Q1583" i="16"/>
  <c r="O146" i="16"/>
  <c r="O162" i="16" s="1"/>
  <c r="O521" i="20"/>
  <c r="M2167" i="16"/>
  <c r="Q2181" i="16"/>
  <c r="L1943" i="16"/>
  <c r="M1488" i="16"/>
  <c r="N1488" i="16" s="1"/>
  <c r="L1612" i="16"/>
  <c r="P520" i="20"/>
  <c r="P522" i="20" s="1"/>
  <c r="N1929" i="16"/>
  <c r="O1929" i="16" s="1"/>
  <c r="L1611" i="16"/>
  <c r="O527" i="20"/>
  <c r="O529" i="20" s="1"/>
  <c r="N903" i="20"/>
  <c r="N902" i="20"/>
  <c r="O902" i="20" s="1"/>
  <c r="P901" i="20"/>
  <c r="Q901" i="20" s="1"/>
  <c r="M2230" i="16"/>
  <c r="O522" i="20"/>
  <c r="N528" i="20"/>
  <c r="R513" i="20"/>
  <c r="N529" i="20"/>
  <c r="P534" i="20"/>
  <c r="R1329" i="16"/>
  <c r="N536" i="20"/>
  <c r="M1942" i="16"/>
  <c r="N1942" i="16" s="1"/>
  <c r="N2231" i="16" s="1"/>
  <c r="L2231" i="16"/>
  <c r="M1936" i="16"/>
  <c r="M1937" i="16" s="1"/>
  <c r="C566" i="20"/>
  <c r="D561" i="20"/>
  <c r="C560" i="20"/>
  <c r="C561" i="20"/>
  <c r="C562" i="20" s="1"/>
  <c r="D560" i="20"/>
  <c r="E560" i="20" s="1"/>
  <c r="P895" i="20"/>
  <c r="Q895" i="20" s="1"/>
  <c r="P896" i="20"/>
  <c r="C940" i="20"/>
  <c r="C935" i="20"/>
  <c r="C936" i="20" s="1"/>
  <c r="O1487" i="16"/>
  <c r="P1487" i="16" s="1"/>
  <c r="N2229" i="16"/>
  <c r="L1617" i="16"/>
  <c r="L2185" i="16" s="1"/>
  <c r="M1610" i="16"/>
  <c r="R1596" i="16"/>
  <c r="R1480" i="16"/>
  <c r="R910" i="16"/>
  <c r="N1935" i="16"/>
  <c r="P1928" i="16"/>
  <c r="P2229" i="16" s="1"/>
  <c r="N1494" i="16"/>
  <c r="P888" i="16"/>
  <c r="P882" i="16"/>
  <c r="Q881" i="16"/>
  <c r="K930" i="16"/>
  <c r="P905" i="16"/>
  <c r="Q905" i="16" s="1"/>
  <c r="P900" i="16"/>
  <c r="O906" i="16"/>
  <c r="Q1460" i="16"/>
  <c r="Q1461" i="16" s="1"/>
  <c r="Q332" i="16"/>
  <c r="P1590" i="16"/>
  <c r="Q1590" i="16" s="1"/>
  <c r="N2183" i="16"/>
  <c r="P1474" i="16"/>
  <c r="O2182" i="16"/>
  <c r="O1597" i="16"/>
  <c r="P2181" i="16"/>
  <c r="K2185" i="16"/>
  <c r="K1618" i="16"/>
  <c r="K1619" i="16" s="1"/>
  <c r="E1630" i="16"/>
  <c r="D1630" i="16" s="1"/>
  <c r="M1634" i="16"/>
  <c r="E1629" i="16"/>
  <c r="F1629" i="16" s="1"/>
  <c r="N1634" i="16"/>
  <c r="Q1634" i="16"/>
  <c r="D1629" i="16"/>
  <c r="O1634" i="16"/>
  <c r="P1634" i="16"/>
  <c r="D1635" i="16"/>
  <c r="B1628" i="16"/>
  <c r="K1634" i="16"/>
  <c r="L1634" i="16"/>
  <c r="O1481" i="16"/>
  <c r="P2166" i="16"/>
  <c r="L2168" i="16"/>
  <c r="L1496" i="16"/>
  <c r="P2141" i="16"/>
  <c r="O2142" i="16"/>
  <c r="N2167" i="16"/>
  <c r="P1323" i="16"/>
  <c r="L1495" i="16"/>
  <c r="O1330" i="16"/>
  <c r="P2165" i="16"/>
  <c r="R1137" i="16"/>
  <c r="Q2075" i="16"/>
  <c r="Q2089" i="16"/>
  <c r="P112" i="10"/>
  <c r="R67" i="22"/>
  <c r="R92" i="12" s="1"/>
  <c r="S38" i="22"/>
  <c r="S106" i="11" s="1"/>
  <c r="T33" i="22"/>
  <c r="T37" i="22" s="1"/>
  <c r="T62" i="22"/>
  <c r="S66" i="22"/>
  <c r="T52" i="22"/>
  <c r="T56" i="22" s="1"/>
  <c r="T57" i="22" s="1"/>
  <c r="T58" i="22" s="1"/>
  <c r="V22" i="20"/>
  <c r="Q462" i="20"/>
  <c r="Q463" i="20" s="1"/>
  <c r="Q2073" i="16"/>
  <c r="P2082" i="16"/>
  <c r="P256" i="20" s="1"/>
  <c r="V15" i="22"/>
  <c r="V17" i="22" s="1"/>
  <c r="R200" i="18"/>
  <c r="R199" i="18"/>
  <c r="Q201" i="18"/>
  <c r="R2054" i="16" l="1"/>
  <c r="Q2080" i="16"/>
  <c r="R2047" i="16"/>
  <c r="R35" i="8"/>
  <c r="R2075" i="16"/>
  <c r="Q2076" i="16"/>
  <c r="Q114" i="10"/>
  <c r="Q112" i="10" s="1"/>
  <c r="R1283" i="16"/>
  <c r="Q2115" i="16"/>
  <c r="Q1151" i="16"/>
  <c r="Q247" i="16" s="1"/>
  <c r="Q265" i="16" s="1"/>
  <c r="Q53" i="20" s="1"/>
  <c r="M52" i="10"/>
  <c r="M340" i="10" s="1"/>
  <c r="R36" i="10"/>
  <c r="R115" i="10"/>
  <c r="R119" i="10"/>
  <c r="R110" i="10"/>
  <c r="R397" i="10" s="1"/>
  <c r="R89" i="10"/>
  <c r="R113" i="10" s="1"/>
  <c r="R116" i="10"/>
  <c r="R92" i="10"/>
  <c r="R91" i="10" s="1"/>
  <c r="R105" i="10" s="1"/>
  <c r="R71" i="10"/>
  <c r="R31" i="10"/>
  <c r="R77" i="10"/>
  <c r="R85" i="10"/>
  <c r="R84" i="10" s="1"/>
  <c r="R118" i="10" s="1"/>
  <c r="R779" i="16"/>
  <c r="R241" i="20" s="1"/>
  <c r="R744" i="16"/>
  <c r="R206" i="20" s="1"/>
  <c r="Q79" i="10"/>
  <c r="P366" i="10"/>
  <c r="N52" i="10"/>
  <c r="N340" i="10" s="1"/>
  <c r="P1136" i="16"/>
  <c r="W42" i="22"/>
  <c r="W46" i="22" s="1"/>
  <c r="V47" i="22"/>
  <c r="V48" i="22" s="1"/>
  <c r="Q1157" i="16"/>
  <c r="W106" i="22"/>
  <c r="W110" i="22" s="1"/>
  <c r="V111" i="22"/>
  <c r="V112" i="22" s="1"/>
  <c r="V121" i="22"/>
  <c r="V122" i="22" s="1"/>
  <c r="W116" i="22"/>
  <c r="W120" i="22" s="1"/>
  <c r="X126" i="22"/>
  <c r="X130" i="22" s="1"/>
  <c r="W130" i="22"/>
  <c r="W131" i="22" s="1"/>
  <c r="R1169" i="16"/>
  <c r="R2118" i="16" s="1"/>
  <c r="R1141" i="16"/>
  <c r="R2114" i="16" s="1"/>
  <c r="R1162" i="16"/>
  <c r="R2117" i="16" s="1"/>
  <c r="Q1135" i="16"/>
  <c r="Q1163" i="16"/>
  <c r="P1176" i="16"/>
  <c r="P2119" i="16" s="1"/>
  <c r="O1177" i="16"/>
  <c r="Q1142" i="16"/>
  <c r="P1190" i="16"/>
  <c r="P2121" i="16" s="1"/>
  <c r="M1207" i="16"/>
  <c r="M255" i="16" s="1"/>
  <c r="O1186" i="16"/>
  <c r="N1200" i="16"/>
  <c r="N254" i="16" s="1"/>
  <c r="Q1170" i="16"/>
  <c r="L1214" i="16"/>
  <c r="L256" i="16" s="1"/>
  <c r="P1171" i="16"/>
  <c r="R1134" i="16"/>
  <c r="R2113" i="16" s="1"/>
  <c r="P1150" i="16"/>
  <c r="O1367" i="16"/>
  <c r="L1367" i="16"/>
  <c r="D1368" i="16"/>
  <c r="S1374" i="16" s="1"/>
  <c r="R1148" i="16"/>
  <c r="Q1149" i="16"/>
  <c r="R2137" i="16"/>
  <c r="Q1447" i="16"/>
  <c r="I127" i="25"/>
  <c r="I135" i="25" s="1"/>
  <c r="I146" i="25" s="1"/>
  <c r="I154" i="25" s="1"/>
  <c r="G255" i="25"/>
  <c r="G228" i="25"/>
  <c r="G236" i="25" s="1"/>
  <c r="R1568" i="16"/>
  <c r="S1568" i="16" s="1"/>
  <c r="S2178" i="16" s="1"/>
  <c r="Q876" i="16"/>
  <c r="Q1569" i="16"/>
  <c r="Q1570" i="16" s="1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53" i="20" s="1"/>
  <c r="Q2078" i="16"/>
  <c r="Q1440" i="16"/>
  <c r="Q1310" i="16"/>
  <c r="Q1556" i="16"/>
  <c r="K1351" i="16"/>
  <c r="K1352" i="16" s="1"/>
  <c r="K2145" i="16"/>
  <c r="M2228" i="16"/>
  <c r="K1949" i="16"/>
  <c r="K1345" i="16"/>
  <c r="L1345" i="16" s="1"/>
  <c r="K2144" i="16"/>
  <c r="K1344" i="16"/>
  <c r="L1344" i="16" s="1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164" i="16" s="1"/>
  <c r="Q1296" i="16"/>
  <c r="Q1433" i="16"/>
  <c r="R161" i="12"/>
  <c r="E1362" i="16"/>
  <c r="F1362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P1406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Q1401" i="12"/>
  <c r="Q1411" i="12" s="1"/>
  <c r="Q1412" i="12" s="1"/>
  <c r="Q257" i="20" s="1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N931" i="12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47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715" i="12"/>
  <c r="S705" i="12"/>
  <c r="S1188" i="12" s="1"/>
  <c r="S709" i="12"/>
  <c r="S1192" i="12" s="1"/>
  <c r="S713" i="12"/>
  <c r="S717" i="12"/>
  <c r="S704" i="12"/>
  <c r="S708" i="12"/>
  <c r="S712" i="12"/>
  <c r="S716" i="12"/>
  <c r="S720" i="12"/>
  <c r="S711" i="12"/>
  <c r="S719" i="12"/>
  <c r="R372" i="20"/>
  <c r="Q2055" i="16"/>
  <c r="Q796" i="16" s="1"/>
  <c r="R2046" i="16"/>
  <c r="R2073" i="16"/>
  <c r="R2077" i="16"/>
  <c r="R2066" i="16"/>
  <c r="R2094" i="16" s="1"/>
  <c r="R2048" i="16"/>
  <c r="R2064" i="16"/>
  <c r="R2092" i="16" s="1"/>
  <c r="R365" i="20"/>
  <c r="R875" i="16"/>
  <c r="R2065" i="16"/>
  <c r="R2079" i="16" s="1"/>
  <c r="R2067" i="16"/>
  <c r="R2095" i="16" s="1"/>
  <c r="R2049" i="16"/>
  <c r="R2091" i="16"/>
  <c r="R748" i="16"/>
  <c r="R210" i="20" s="1"/>
  <c r="R2076" i="16"/>
  <c r="R762" i="16"/>
  <c r="R224" i="20" s="1"/>
  <c r="R758" i="16"/>
  <c r="R220" i="20" s="1"/>
  <c r="R780" i="16"/>
  <c r="R242" i="20" s="1"/>
  <c r="R778" i="16"/>
  <c r="R240" i="20" s="1"/>
  <c r="R747" i="16"/>
  <c r="R209" i="20" s="1"/>
  <c r="R761" i="16"/>
  <c r="R223" i="20" s="1"/>
  <c r="R751" i="16"/>
  <c r="R213" i="20" s="1"/>
  <c r="R774" i="16"/>
  <c r="R236" i="20" s="1"/>
  <c r="R764" i="16"/>
  <c r="R226" i="20" s="1"/>
  <c r="R782" i="16"/>
  <c r="R244" i="20" s="1"/>
  <c r="R765" i="16"/>
  <c r="R227" i="20" s="1"/>
  <c r="R763" i="16"/>
  <c r="R225" i="20" s="1"/>
  <c r="R746" i="16"/>
  <c r="R208" i="20" s="1"/>
  <c r="R781" i="16"/>
  <c r="R243" i="20" s="1"/>
  <c r="R752" i="16"/>
  <c r="R214" i="20" s="1"/>
  <c r="R770" i="16"/>
  <c r="R232" i="20" s="1"/>
  <c r="R766" i="16"/>
  <c r="R228" i="20" s="1"/>
  <c r="R775" i="16"/>
  <c r="R237" i="20" s="1"/>
  <c r="R772" i="16"/>
  <c r="R234" i="20" s="1"/>
  <c r="R756" i="16"/>
  <c r="R218" i="20" s="1"/>
  <c r="R760" i="16"/>
  <c r="R222" i="20" s="1"/>
  <c r="R768" i="16"/>
  <c r="R230" i="20" s="1"/>
  <c r="R750" i="16"/>
  <c r="R212" i="20" s="1"/>
  <c r="R754" i="16"/>
  <c r="R216" i="20" s="1"/>
  <c r="R745" i="16"/>
  <c r="R207" i="20" s="1"/>
  <c r="R773" i="16"/>
  <c r="R235" i="20" s="1"/>
  <c r="R777" i="16"/>
  <c r="R239" i="20" s="1"/>
  <c r="R767" i="16"/>
  <c r="R229" i="20" s="1"/>
  <c r="R759" i="16"/>
  <c r="R221" i="20" s="1"/>
  <c r="R771" i="16"/>
  <c r="R233" i="20" s="1"/>
  <c r="R783" i="16"/>
  <c r="R245" i="20" s="1"/>
  <c r="R753" i="16"/>
  <c r="R215" i="20" s="1"/>
  <c r="R776" i="16"/>
  <c r="R238" i="20" s="1"/>
  <c r="R749" i="16"/>
  <c r="R211" i="20" s="1"/>
  <c r="R757" i="16"/>
  <c r="R219" i="20" s="1"/>
  <c r="R769" i="16"/>
  <c r="R231" i="20" s="1"/>
  <c r="R755" i="16"/>
  <c r="R217" i="20" s="1"/>
  <c r="R1915" i="16"/>
  <c r="R1204" i="12"/>
  <c r="R1392" i="12" s="1"/>
  <c r="S361" i="16"/>
  <c r="S32" i="12"/>
  <c r="S1544" i="16"/>
  <c r="S408" i="16"/>
  <c r="S67" i="20"/>
  <c r="S53" i="11"/>
  <c r="S698" i="16"/>
  <c r="S116" i="18"/>
  <c r="S32" i="22"/>
  <c r="S438" i="16"/>
  <c r="R1498" i="12"/>
  <c r="S622" i="16"/>
  <c r="S100" i="20"/>
  <c r="S189" i="20"/>
  <c r="S1945" i="16"/>
  <c r="S440" i="16"/>
  <c r="S222" i="11"/>
  <c r="S141" i="20"/>
  <c r="S117" i="20"/>
  <c r="S921" i="12"/>
  <c r="S2033" i="16"/>
  <c r="S2059" i="16" s="1"/>
  <c r="S2087" i="16" s="1"/>
  <c r="S72" i="20"/>
  <c r="S1701" i="12"/>
  <c r="S1735" i="12"/>
  <c r="R1511" i="12"/>
  <c r="R1472" i="12"/>
  <c r="S1849" i="16"/>
  <c r="S621" i="16"/>
  <c r="S1811" i="12"/>
  <c r="S1557" i="16"/>
  <c r="S137" i="20"/>
  <c r="S1819" i="12"/>
  <c r="R1490" i="12"/>
  <c r="S910" i="16"/>
  <c r="S33" i="20"/>
  <c r="S62" i="16"/>
  <c r="S172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537" i="16"/>
  <c r="S1793" i="12"/>
  <c r="S1838" i="12"/>
  <c r="S1770" i="12"/>
  <c r="S1814" i="12"/>
  <c r="S1503" i="16"/>
  <c r="S366" i="16" s="1"/>
  <c r="S1879" i="12"/>
  <c r="S1918" i="12" s="1"/>
  <c r="S1697" i="12"/>
  <c r="S272" i="16"/>
  <c r="S155" i="20"/>
  <c r="S51" i="22"/>
  <c r="S427" i="16"/>
  <c r="S1761" i="12"/>
  <c r="R1449" i="12"/>
  <c r="R1501" i="12"/>
  <c r="S37" i="20"/>
  <c r="S1749" i="12"/>
  <c r="S197" i="16"/>
  <c r="S273" i="16"/>
  <c r="S121" i="16"/>
  <c r="S1639" i="12"/>
  <c r="S1734" i="12"/>
  <c r="S1696" i="12"/>
  <c r="S1753" i="12"/>
  <c r="R1581" i="12"/>
  <c r="S146" i="20"/>
  <c r="S2038" i="16"/>
  <c r="S2051" i="16" s="1"/>
  <c r="S623" i="16"/>
  <c r="S1792" i="12"/>
  <c r="S1748" i="12"/>
  <c r="S1806" i="12"/>
  <c r="S1725" i="12"/>
  <c r="S578" i="16"/>
  <c r="S450" i="16"/>
  <c r="S1835" i="12"/>
  <c r="S1585" i="16"/>
  <c r="S625" i="16"/>
  <c r="S97" i="20"/>
  <c r="R1599" i="12"/>
  <c r="R1566" i="12"/>
  <c r="S113" i="16"/>
  <c r="S1775" i="12"/>
  <c r="S1878" i="12"/>
  <c r="S1916" i="12" s="1"/>
  <c r="R1564" i="12"/>
  <c r="S1931" i="16"/>
  <c r="S1744" i="12"/>
  <c r="S1795" i="12"/>
  <c r="S577" i="16"/>
  <c r="S1592" i="16"/>
  <c r="S521" i="16" s="1"/>
  <c r="S561" i="16" s="1"/>
  <c r="S165" i="20" s="1"/>
  <c r="S71" i="20"/>
  <c r="R1492" i="12"/>
  <c r="R1583" i="16"/>
  <c r="S353" i="16"/>
  <c r="S1754" i="12"/>
  <c r="S100" i="12"/>
  <c r="S74" i="18"/>
  <c r="S334" i="10"/>
  <c r="S1781" i="12"/>
  <c r="S191" i="20"/>
  <c r="S270" i="16"/>
  <c r="S1695" i="12"/>
  <c r="S1837" i="12"/>
  <c r="S1832" i="12"/>
  <c r="S1683" i="12"/>
  <c r="S60" i="20"/>
  <c r="R1527" i="12"/>
  <c r="S619" i="16"/>
  <c r="S35" i="11"/>
  <c r="S603" i="12"/>
  <c r="S65" i="20"/>
  <c r="S657" i="16"/>
  <c r="S575" i="16"/>
  <c r="S429" i="16"/>
  <c r="S156" i="20"/>
  <c r="S1332" i="16"/>
  <c r="S421" i="16"/>
  <c r="S423" i="16"/>
  <c r="S42" i="12"/>
  <c r="S149" i="20"/>
  <c r="S144" i="20"/>
  <c r="R1453" i="12"/>
  <c r="S1459" i="16"/>
  <c r="S2163" i="16" s="1"/>
  <c r="S157" i="16"/>
  <c r="S1886" i="16"/>
  <c r="S2223" i="16" s="1"/>
  <c r="S1301" i="16"/>
  <c r="S1473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428" i="12"/>
  <c r="R1517" i="12"/>
  <c r="S94" i="20"/>
  <c r="S82" i="20"/>
  <c r="S1441" i="16"/>
  <c r="S84" i="22"/>
  <c r="S2035" i="16"/>
  <c r="S2061" i="16" s="1"/>
  <c r="S74" i="11"/>
  <c r="S82" i="12"/>
  <c r="S1771" i="12"/>
  <c r="S359" i="16"/>
  <c r="S140" i="20"/>
  <c r="S1627" i="16"/>
  <c r="S63" i="12"/>
  <c r="S1731" i="12"/>
  <c r="S283" i="16"/>
  <c r="S174" i="20"/>
  <c r="S1688" i="12"/>
  <c r="S1674" i="12"/>
  <c r="S1691" i="12"/>
  <c r="S2039" i="16"/>
  <c r="S2065" i="16" s="1"/>
  <c r="S2093" i="16" s="1"/>
  <c r="S98" i="10"/>
  <c r="S1667" i="12"/>
  <c r="S1880" i="12"/>
  <c r="S1919" i="12" s="1"/>
  <c r="S116" i="20"/>
  <c r="S156" i="10"/>
  <c r="S1400" i="12"/>
  <c r="S1755" i="12"/>
  <c r="S445" i="16"/>
  <c r="S1304" i="16"/>
  <c r="S1678" i="12"/>
  <c r="S437" i="16"/>
  <c r="S139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02" i="20"/>
  <c r="S41" i="22"/>
  <c r="S1772" i="12"/>
  <c r="S271" i="16"/>
  <c r="S148" i="20"/>
  <c r="S413" i="10"/>
  <c r="S1401" i="16"/>
  <c r="S240" i="11"/>
  <c r="S46" i="16"/>
  <c r="S446" i="16"/>
  <c r="S169" i="20"/>
  <c r="S125" i="22"/>
  <c r="S1502" i="16"/>
  <c r="S365" i="16" s="1"/>
  <c r="S576" i="16"/>
  <c r="S119" i="20"/>
  <c r="S46" i="10"/>
  <c r="R1454" i="12"/>
  <c r="R1541" i="12"/>
  <c r="R1590" i="12"/>
  <c r="R1458" i="12"/>
  <c r="R1533" i="12"/>
  <c r="R1427" i="12"/>
  <c r="R1486" i="12"/>
  <c r="S36" i="20"/>
  <c r="S112" i="16"/>
  <c r="S1571" i="16"/>
  <c r="S418" i="16"/>
  <c r="S1669" i="12"/>
  <c r="S12" i="12"/>
  <c r="S1730" i="12"/>
  <c r="S1421" i="12"/>
  <c r="S1544" i="12" s="1"/>
  <c r="S1723" i="12"/>
  <c r="S360" i="16"/>
  <c r="S130" i="20"/>
  <c r="S1613" i="16"/>
  <c r="S1713" i="12"/>
  <c r="S1784" i="12"/>
  <c r="S1833" i="16"/>
  <c r="S458" i="16" s="1"/>
  <c r="S196" i="20"/>
  <c r="S1837" i="16"/>
  <c r="S1638" i="12"/>
  <c r="S1813" i="12"/>
  <c r="S126" i="20"/>
  <c r="S1620" i="16"/>
  <c r="S1790" i="12"/>
  <c r="S1817" i="12"/>
  <c r="S30" i="20"/>
  <c r="S1297" i="16"/>
  <c r="S1399" i="12"/>
  <c r="S1690" i="12"/>
  <c r="S2071" i="16"/>
  <c r="S83" i="20"/>
  <c r="S1693" i="12"/>
  <c r="S358" i="16"/>
  <c r="S70" i="22"/>
  <c r="S44" i="11"/>
  <c r="S1824" i="12"/>
  <c r="S62" i="20"/>
  <c r="S328" i="16"/>
  <c r="S1692" i="12"/>
  <c r="S22" i="16"/>
  <c r="S1785" i="12"/>
  <c r="S447" i="16"/>
  <c r="S70" i="20"/>
  <c r="S385" i="10"/>
  <c r="S489" i="10" s="1"/>
  <c r="S1724" i="12"/>
  <c r="S434" i="16"/>
  <c r="S80" i="20"/>
  <c r="S1523" i="16"/>
  <c r="S1889" i="16"/>
  <c r="S1664" i="12"/>
  <c r="S1694" i="12"/>
  <c r="S424" i="16"/>
  <c r="S187" i="20"/>
  <c r="S1415" i="16"/>
  <c r="S1788" i="12"/>
  <c r="S354" i="16"/>
  <c r="S197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38" i="20"/>
  <c r="S42" i="20"/>
  <c r="S34" i="20"/>
  <c r="S1200" i="16"/>
  <c r="S254" i="16" s="1"/>
  <c r="S1228" i="16"/>
  <c r="S485" i="20"/>
  <c r="S1582" i="16"/>
  <c r="S2180" i="16" s="1"/>
  <c r="S99" i="16"/>
  <c r="S96" i="16"/>
  <c r="S144" i="16" s="1"/>
  <c r="S1903" i="16"/>
  <c r="S44" i="18"/>
  <c r="S59" i="20"/>
  <c r="S2040" i="16"/>
  <c r="S2066" i="16" s="1"/>
  <c r="S2094" i="16" s="1"/>
  <c r="S274" i="16"/>
  <c r="S1820" i="12"/>
  <c r="S1799" i="12"/>
  <c r="S1634" i="16"/>
  <c r="S145" i="20"/>
  <c r="S115" i="22"/>
  <c r="S433" i="16"/>
  <c r="S1716" i="12"/>
  <c r="S1759" i="12"/>
  <c r="S1704" i="12"/>
  <c r="S616" i="16"/>
  <c r="S1938" i="16"/>
  <c r="S1325" i="16"/>
  <c r="S127" i="10"/>
  <c r="S103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61" i="20"/>
  <c r="S147" i="20"/>
  <c r="S455" i="16"/>
  <c r="S1823" i="12"/>
  <c r="S629" i="12"/>
  <c r="S1599" i="16"/>
  <c r="S31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48" i="20"/>
  <c r="S43" i="20"/>
  <c r="S1207" i="16"/>
  <c r="S255" i="16" s="1"/>
  <c r="S349" i="20"/>
  <c r="S874" i="16"/>
  <c r="S100" i="16"/>
  <c r="S98" i="16"/>
  <c r="S1497" i="16"/>
  <c r="S192" i="20"/>
  <c r="S12" i="20"/>
  <c r="S25" i="20" s="1"/>
  <c r="S1188" i="20" s="1"/>
  <c r="S1222" i="20" s="1"/>
  <c r="S1235" i="20" s="1"/>
  <c r="S1248" i="20" s="1"/>
  <c r="S583" i="16"/>
  <c r="S432" i="16"/>
  <c r="S1740" i="12"/>
  <c r="S1714" i="12"/>
  <c r="S271" i="10"/>
  <c r="S69" i="20"/>
  <c r="S176" i="20"/>
  <c r="S417" i="16"/>
  <c r="S30" i="16"/>
  <c r="S1727" i="12"/>
  <c r="S1786" i="12"/>
  <c r="S160" i="20"/>
  <c r="S1448" i="16"/>
  <c r="S1606" i="16"/>
  <c r="S90" i="22"/>
  <c r="S118" i="20"/>
  <c r="S617" i="16"/>
  <c r="S356" i="16"/>
  <c r="S1836" i="12"/>
  <c r="S1917" i="16"/>
  <c r="S12" i="10"/>
  <c r="S204" i="16"/>
  <c r="S110" i="16"/>
  <c r="S205" i="16"/>
  <c r="S133" i="16"/>
  <c r="S109" i="16"/>
  <c r="S132" i="16"/>
  <c r="S40" i="20"/>
  <c r="S44" i="20"/>
  <c r="S1165" i="16"/>
  <c r="S1214" i="16"/>
  <c r="S256" i="16" s="1"/>
  <c r="S1221" i="16"/>
  <c r="S894" i="20"/>
  <c r="S1280" i="16"/>
  <c r="S2135" i="16" s="1"/>
  <c r="S97" i="16"/>
  <c r="S1483" i="16"/>
  <c r="S208" i="16"/>
  <c r="S118" i="16"/>
  <c r="S209" i="16"/>
  <c r="S111" i="16"/>
  <c r="S106" i="16"/>
  <c r="S117" i="16"/>
  <c r="S45" i="20"/>
  <c r="S46" i="20"/>
  <c r="S1158" i="16"/>
  <c r="S384" i="20"/>
  <c r="S1914" i="16"/>
  <c r="S2227" i="16" s="1"/>
  <c r="S102" i="16"/>
  <c r="S212" i="16"/>
  <c r="S126" i="16"/>
  <c r="S213" i="16"/>
  <c r="S123" i="16"/>
  <c r="S131" i="16"/>
  <c r="S105" i="16"/>
  <c r="S47" i="20"/>
  <c r="S35" i="20"/>
  <c r="S1172" i="16"/>
  <c r="S250" i="16" s="1"/>
  <c r="S174" i="16"/>
  <c r="S101" i="16"/>
  <c r="S1455" i="16"/>
  <c r="S173" i="20"/>
  <c r="S49" i="20"/>
  <c r="S579" i="16"/>
  <c r="S1729" i="12"/>
  <c r="S1702" i="12"/>
  <c r="S1318" i="16"/>
  <c r="S312" i="16" s="1"/>
  <c r="S322" i="16" s="1"/>
  <c r="S76" i="20" s="1"/>
  <c r="S134" i="22"/>
  <c r="S121" i="20"/>
  <c r="S564" i="16"/>
  <c r="S1833" i="12"/>
  <c r="S70" i="16"/>
  <c r="S1822" i="12"/>
  <c r="S114" i="12"/>
  <c r="S355" i="16"/>
  <c r="S1469" i="16"/>
  <c r="S396" i="16" s="1"/>
  <c r="S406" i="16" s="1"/>
  <c r="S112" i="20" s="1"/>
  <c r="S175" i="20"/>
  <c r="S122" i="20"/>
  <c r="S580" i="16"/>
  <c r="S1825" i="12"/>
  <c r="S1804" i="12"/>
  <c r="S1353" i="16"/>
  <c r="S177" i="20"/>
  <c r="S129" i="20"/>
  <c r="S453" i="16"/>
  <c r="S325" i="16"/>
  <c r="S1752" i="12"/>
  <c r="S1779" i="12"/>
  <c r="S1672" i="12"/>
  <c r="S124" i="11"/>
  <c r="S1311" i="16"/>
  <c r="S171" i="20"/>
  <c r="S1733" i="12"/>
  <c r="S1778" i="12"/>
  <c r="S32" i="8"/>
  <c r="S31" i="8" s="1"/>
  <c r="S110" i="18" s="1"/>
  <c r="S205" i="20"/>
  <c r="S449" i="16"/>
  <c r="S1816" i="12"/>
  <c r="S1782" i="12"/>
  <c r="S1137" i="16"/>
  <c r="S135" i="20"/>
  <c r="S1829" i="12"/>
  <c r="S199" i="16"/>
  <c r="S202" i="16"/>
  <c r="S115" i="16"/>
  <c r="S120" i="16"/>
  <c r="S128" i="16"/>
  <c r="S134" i="16"/>
  <c r="S32" i="20"/>
  <c r="S39" i="20"/>
  <c r="S1179" i="16"/>
  <c r="S915" i="12"/>
  <c r="S1930" i="12" s="1"/>
  <c r="S141" i="16"/>
  <c r="S1827" i="12"/>
  <c r="S1839" i="12"/>
  <c r="S1677" i="12"/>
  <c r="S1774" i="12"/>
  <c r="S154" i="20"/>
  <c r="S1398" i="12"/>
  <c r="S201" i="11"/>
  <c r="S194" i="20"/>
  <c r="S1741" i="12"/>
  <c r="S456" i="16"/>
  <c r="S1756" i="12"/>
  <c r="S2085" i="16"/>
  <c r="S1422" i="16"/>
  <c r="S1712" i="12"/>
  <c r="S940" i="12"/>
  <c r="S1780" i="12"/>
  <c r="S279" i="16"/>
  <c r="S132" i="20"/>
  <c r="S1339" i="16"/>
  <c r="S268" i="16"/>
  <c r="S362" i="16"/>
  <c r="S143" i="20"/>
  <c r="S1578" i="16"/>
  <c r="R1571" i="12"/>
  <c r="R1595" i="12"/>
  <c r="R1475" i="12"/>
  <c r="R1462" i="12"/>
  <c r="R1580" i="12"/>
  <c r="R1455" i="12"/>
  <c r="R1559" i="12"/>
  <c r="S104" i="16"/>
  <c r="S1412" i="16"/>
  <c r="S2155" i="16" s="1"/>
  <c r="S130" i="16"/>
  <c r="S206" i="16"/>
  <c r="S1434" i="16"/>
  <c r="S326" i="16"/>
  <c r="S1404" i="12"/>
  <c r="S275" i="16"/>
  <c r="S1736" i="12"/>
  <c r="S23" i="12"/>
  <c r="S1504" i="16"/>
  <c r="S367" i="16" s="1"/>
  <c r="S281" i="16"/>
  <c r="S66" i="20"/>
  <c r="S300" i="10"/>
  <c r="S1501" i="16"/>
  <c r="S364" i="16" s="1"/>
  <c r="S1516" i="16"/>
  <c r="S1394" i="16"/>
  <c r="S101" i="20"/>
  <c r="S448" i="16"/>
  <c r="S1738" i="12"/>
  <c r="S96" i="18"/>
  <c r="S73" i="12"/>
  <c r="S1783" i="12"/>
  <c r="S278" i="16"/>
  <c r="S95" i="20"/>
  <c r="S91" i="12"/>
  <c r="S1743" i="12"/>
  <c r="S282" i="16"/>
  <c r="S127" i="20"/>
  <c r="S96" i="20"/>
  <c r="S1830" i="12"/>
  <c r="S1707" i="12"/>
  <c r="S85" i="20"/>
  <c r="S162" i="11"/>
  <c r="S1698" i="12"/>
  <c r="S573" i="16"/>
  <c r="S1290" i="16"/>
  <c r="S1640" i="12"/>
  <c r="S12" i="16"/>
  <c r="S192" i="16" s="1"/>
  <c r="S120" i="20"/>
  <c r="S171" i="11"/>
  <c r="S419" i="16"/>
  <c r="S1831" i="12"/>
  <c r="S1821" i="12"/>
  <c r="S581" i="16"/>
  <c r="S64" i="20"/>
  <c r="S1346" i="16"/>
  <c r="S1789" i="12"/>
  <c r="S457" i="16"/>
  <c r="S151" i="20"/>
  <c r="S1476" i="16"/>
  <c r="S1767" i="12"/>
  <c r="S38" i="16"/>
  <c r="S1732" i="12"/>
  <c r="S330" i="16"/>
  <c r="S125" i="20"/>
  <c r="S1877" i="16"/>
  <c r="S1680" i="12"/>
  <c r="S444" i="16"/>
  <c r="S133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1924" i="16"/>
  <c r="S452" i="16"/>
  <c r="S124" i="20"/>
  <c r="S1144" i="16"/>
  <c r="S1815" i="12"/>
  <c r="S1777" i="12"/>
  <c r="S1747" i="12"/>
  <c r="S98" i="20"/>
  <c r="S190" i="20"/>
  <c r="S357" i="16"/>
  <c r="S1668" i="12"/>
  <c r="S136" i="20"/>
  <c r="S431" i="16"/>
  <c r="S1367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178" i="20"/>
  <c r="S113" i="11"/>
  <c r="S1675" i="12"/>
  <c r="S426" i="16"/>
  <c r="S61" i="20"/>
  <c r="S81" i="20"/>
  <c r="S1750" i="12"/>
  <c r="S280" i="16"/>
  <c r="S150" i="20"/>
  <c r="S1758" i="12"/>
  <c r="S216" i="16"/>
  <c r="S2031" i="16"/>
  <c r="S1952" i="16"/>
  <c r="S1798" i="12"/>
  <c r="S436" i="16"/>
  <c r="S12" i="22"/>
  <c r="S617" i="12"/>
  <c r="S1665" i="12"/>
  <c r="S1768" i="12"/>
  <c r="S276" i="16"/>
  <c r="S582" i="16"/>
  <c r="S138" i="20"/>
  <c r="S1490" i="16"/>
  <c r="S198" i="16"/>
  <c r="S2034" i="16"/>
  <c r="S2060" i="16" s="1"/>
  <c r="S2088" i="16" s="1"/>
  <c r="S83" i="18"/>
  <c r="S1910" i="16"/>
  <c r="S58" i="20"/>
  <c r="S1826" i="12"/>
  <c r="S1812" i="12"/>
  <c r="S624" i="16"/>
  <c r="S142" i="20"/>
  <c r="S1564" i="16"/>
  <c r="S1773" i="12"/>
  <c r="S620" i="16"/>
  <c r="S93" i="20"/>
  <c r="R1540" i="12"/>
  <c r="R1600" i="12"/>
  <c r="R1561" i="12"/>
  <c r="R1465" i="12"/>
  <c r="R1464" i="12"/>
  <c r="R1497" i="12"/>
  <c r="R1560" i="12"/>
  <c r="R1565" i="12"/>
  <c r="S95" i="16"/>
  <c r="S1329" i="16"/>
  <c r="S2142" i="16" s="1"/>
  <c r="S904" i="16"/>
  <c r="S506" i="20"/>
  <c r="S508" i="20" s="1"/>
  <c r="S1193" i="16"/>
  <c r="S253" i="16" s="1"/>
  <c r="S129" i="16"/>
  <c r="S203" i="16"/>
  <c r="S1715" i="12"/>
  <c r="S1181" i="12"/>
  <c r="S153" i="20"/>
  <c r="S152" i="20"/>
  <c r="S277" i="16"/>
  <c r="S1787" i="12"/>
  <c r="S1760" i="12"/>
  <c r="S443" i="16"/>
  <c r="S1163" i="12"/>
  <c r="S1742" i="12"/>
  <c r="S451" i="16"/>
  <c r="S123" i="20"/>
  <c r="S1794" i="12"/>
  <c r="S1776" i="12"/>
  <c r="S1360" i="16"/>
  <c r="S786" i="16"/>
  <c r="S442" i="16"/>
  <c r="S99" i="20"/>
  <c r="S1801" i="12"/>
  <c r="S1737" i="12"/>
  <c r="T28" i="8"/>
  <c r="S219" i="10"/>
  <c r="S1500" i="16"/>
  <c r="S363" i="16" s="1"/>
  <c r="S170" i="20"/>
  <c r="S1666" i="12"/>
  <c r="S1840" i="12"/>
  <c r="S63" i="20"/>
  <c r="S96" i="22"/>
  <c r="S574" i="16"/>
  <c r="S352" i="16"/>
  <c r="S1757" i="12"/>
  <c r="S57" i="20"/>
  <c r="S1462" i="16"/>
  <c r="S1157" i="12"/>
  <c r="S439" i="16"/>
  <c r="S84" i="20"/>
  <c r="S12" i="18"/>
  <c r="S1802" i="12"/>
  <c r="S1796" i="12"/>
  <c r="S1834" i="16"/>
  <c r="S459" i="16" s="1"/>
  <c r="S134" i="20"/>
  <c r="S269" i="16"/>
  <c r="S1671" i="12"/>
  <c r="S420" i="16"/>
  <c r="S179" i="20"/>
  <c r="S1726" i="12"/>
  <c r="S1769" i="12"/>
  <c r="S131" i="20"/>
  <c r="S327" i="16"/>
  <c r="S1681" i="12"/>
  <c r="S329" i="16"/>
  <c r="S105" i="22"/>
  <c r="S104" i="11"/>
  <c r="S1676" i="12"/>
  <c r="S1800" i="12"/>
  <c r="S441" i="16"/>
  <c r="S615" i="16"/>
  <c r="S63" i="18"/>
  <c r="S1408" i="16"/>
  <c r="S1745" i="12"/>
  <c r="S68" i="20"/>
  <c r="S195" i="20"/>
  <c r="S1530" i="16"/>
  <c r="S188" i="20"/>
  <c r="S1661" i="12"/>
  <c r="S1797" i="12"/>
  <c r="S2037" i="16"/>
  <c r="S2063" i="16" s="1"/>
  <c r="S2091" i="16" s="1"/>
  <c r="S128" i="20"/>
  <c r="S1896" i="16"/>
  <c r="S1805" i="12"/>
  <c r="S2032" i="16"/>
  <c r="S193" i="20"/>
  <c r="R1572" i="12"/>
  <c r="R1589" i="12"/>
  <c r="R1483" i="12"/>
  <c r="R1503" i="12"/>
  <c r="R1554" i="12"/>
  <c r="R1553" i="12"/>
  <c r="R1508" i="12"/>
  <c r="R1513" i="12"/>
  <c r="S1641" i="16"/>
  <c r="S79" i="16"/>
  <c r="S1322" i="16"/>
  <c r="S41" i="20"/>
  <c r="S125" i="16"/>
  <c r="S1445" i="16"/>
  <c r="S2161" i="16" s="1"/>
  <c r="S1438" i="16"/>
  <c r="S2160" i="16" s="1"/>
  <c r="S478" i="20"/>
  <c r="S1155" i="16"/>
  <c r="S2116" i="16" s="1"/>
  <c r="S1596" i="16"/>
  <c r="S513" i="20"/>
  <c r="S515" i="20" s="1"/>
  <c r="S1466" i="16"/>
  <c r="S2164" i="16" s="1"/>
  <c r="S1554" i="16"/>
  <c r="S2176" i="16" s="1"/>
  <c r="S461" i="20"/>
  <c r="S892" i="16"/>
  <c r="S492" i="20"/>
  <c r="S880" i="16"/>
  <c r="S328" i="20"/>
  <c r="S1398" i="16"/>
  <c r="S2153" i="16" s="1"/>
  <c r="R486" i="20"/>
  <c r="R487" i="20" s="1"/>
  <c r="S471" i="20"/>
  <c r="R1309" i="16"/>
  <c r="J77" i="25"/>
  <c r="S1308" i="16"/>
  <c r="R2139" i="16"/>
  <c r="R206" i="12"/>
  <c r="R1302" i="16"/>
  <c r="R2138" i="16"/>
  <c r="R86" i="20"/>
  <c r="R1205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J66" i="25" s="1"/>
  <c r="R221" i="12"/>
  <c r="R434" i="12"/>
  <c r="S898" i="16"/>
  <c r="S1287" i="16"/>
  <c r="R284" i="16"/>
  <c r="R804" i="16" s="1"/>
  <c r="Q1522" i="12"/>
  <c r="Q1635" i="12" s="1"/>
  <c r="Q1477" i="12"/>
  <c r="Q1634" i="12" s="1"/>
  <c r="I66" i="25"/>
  <c r="R520" i="12"/>
  <c r="R754" i="12"/>
  <c r="R911" i="12" s="1"/>
  <c r="R1926" i="12" s="1"/>
  <c r="R2136" i="16"/>
  <c r="R899" i="16"/>
  <c r="Q1444" i="12"/>
  <c r="Q1632" i="12" s="1"/>
  <c r="R1288" i="16"/>
  <c r="R987" i="12"/>
  <c r="R1152" i="12" s="1"/>
  <c r="S335" i="20"/>
  <c r="S1589" i="16"/>
  <c r="R584" i="16"/>
  <c r="R809" i="16" s="1"/>
  <c r="R626" i="16"/>
  <c r="R810" i="16" s="1"/>
  <c r="R180" i="20"/>
  <c r="R1208" i="20" s="1"/>
  <c r="R198" i="20"/>
  <c r="R1209" i="20" s="1"/>
  <c r="R463" i="16"/>
  <c r="R1684" i="12"/>
  <c r="R1872" i="12" s="1"/>
  <c r="R1910" i="12" s="1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73" i="20"/>
  <c r="R1203" i="20" s="1"/>
  <c r="R896" i="12"/>
  <c r="R916" i="12" s="1"/>
  <c r="R1932" i="12" s="1"/>
  <c r="O1646" i="12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27" i="25"/>
  <c r="R996" i="12"/>
  <c r="R1153" i="12" s="1"/>
  <c r="S356" i="20"/>
  <c r="R721" i="12"/>
  <c r="R909" i="12" s="1"/>
  <c r="R1924" i="12" s="1"/>
  <c r="R905" i="12"/>
  <c r="R917" i="12" s="1"/>
  <c r="R1933" i="12" s="1"/>
  <c r="R1156" i="16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963" i="12"/>
  <c r="R1151" i="12" s="1"/>
  <c r="R1413" i="16"/>
  <c r="R2223" i="16"/>
  <c r="R1887" i="16"/>
  <c r="R893" i="16"/>
  <c r="R357" i="20"/>
  <c r="R358" i="20" s="1"/>
  <c r="R846" i="20"/>
  <c r="S845" i="20"/>
  <c r="S847" i="20" s="1"/>
  <c r="P1641" i="12"/>
  <c r="P1651" i="12" s="1"/>
  <c r="Q1881" i="12"/>
  <c r="Q1891" i="12" s="1"/>
  <c r="H264" i="25"/>
  <c r="H263" i="25"/>
  <c r="I163" i="25"/>
  <c r="I217" i="25" s="1"/>
  <c r="Q1917" i="12"/>
  <c r="Q1920" i="12" s="1"/>
  <c r="I475" i="25"/>
  <c r="I592" i="25" s="1"/>
  <c r="I285" i="25"/>
  <c r="I332" i="25"/>
  <c r="I379" i="25"/>
  <c r="H144" i="25"/>
  <c r="H226" i="25"/>
  <c r="H143" i="25"/>
  <c r="H225" i="25"/>
  <c r="H217" i="25"/>
  <c r="H209" i="25"/>
  <c r="H247" i="25" s="1"/>
  <c r="H266" i="25" s="1"/>
  <c r="H274" i="25" s="1"/>
  <c r="R2163" i="16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46" i="20"/>
  <c r="S1419" i="16"/>
  <c r="S2156" i="16" s="1"/>
  <c r="S1431" i="16"/>
  <c r="S2159" i="16" s="1"/>
  <c r="P1886" i="12"/>
  <c r="Q1282" i="16"/>
  <c r="D933" i="20"/>
  <c r="J929" i="20" a="1"/>
  <c r="J929" i="20" s="1"/>
  <c r="R1432" i="16"/>
  <c r="R2176" i="16"/>
  <c r="R1555" i="16"/>
  <c r="R493" i="20"/>
  <c r="R494" i="20" s="1"/>
  <c r="S1575" i="16"/>
  <c r="S2179" i="16" s="1"/>
  <c r="R1576" i="16"/>
  <c r="S1405" i="16"/>
  <c r="R1406" i="16"/>
  <c r="R2160" i="16"/>
  <c r="R1295" i="16"/>
  <c r="R1439" i="16"/>
  <c r="S1294" i="16"/>
  <c r="S1391" i="16"/>
  <c r="S363" i="20"/>
  <c r="R364" i="20"/>
  <c r="Q1160" i="12"/>
  <c r="Q1170" i="12" s="1"/>
  <c r="Q1171" i="12" s="1"/>
  <c r="R1392" i="16"/>
  <c r="O169" i="16"/>
  <c r="N186" i="16"/>
  <c r="N60" i="10" s="1"/>
  <c r="O179" i="16"/>
  <c r="N86" i="16"/>
  <c r="M84" i="16"/>
  <c r="N83" i="16"/>
  <c r="P2140" i="16"/>
  <c r="R1315" i="16"/>
  <c r="R2140" i="16" s="1"/>
  <c r="Q894" i="16"/>
  <c r="R1467" i="16"/>
  <c r="P333" i="16"/>
  <c r="Q1420" i="16"/>
  <c r="Q1421" i="16" s="1"/>
  <c r="Q334" i="16" s="1"/>
  <c r="Q791" i="16" s="1"/>
  <c r="R2164" i="16"/>
  <c r="T380" i="10"/>
  <c r="T370" i="10"/>
  <c r="M915" i="20"/>
  <c r="N915" i="20" s="1"/>
  <c r="O915" i="20" s="1"/>
  <c r="P915" i="20" s="1"/>
  <c r="R1888" i="16"/>
  <c r="P1316" i="16"/>
  <c r="Q1316" i="16" s="1"/>
  <c r="S1893" i="16"/>
  <c r="S2224" i="16" s="1"/>
  <c r="Q2224" i="16"/>
  <c r="Q1894" i="16"/>
  <c r="R1894" i="16" s="1"/>
  <c r="R1453" i="16"/>
  <c r="R1454" i="16" s="1"/>
  <c r="R2161" i="16"/>
  <c r="K1367" i="16"/>
  <c r="R1446" i="16"/>
  <c r="Q1367" i="16"/>
  <c r="D1362" i="16"/>
  <c r="P1367" i="16"/>
  <c r="E1363" i="16"/>
  <c r="D1363" i="16" s="1"/>
  <c r="S1452" i="16"/>
  <c r="S2162" i="16" s="1"/>
  <c r="N1367" i="16"/>
  <c r="B1361" i="16"/>
  <c r="M1367" i="16"/>
  <c r="R479" i="20"/>
  <c r="R480" i="20" s="1"/>
  <c r="M908" i="20"/>
  <c r="N908" i="20" s="1"/>
  <c r="N910" i="20" s="1"/>
  <c r="N535" i="20"/>
  <c r="O535" i="20" s="1"/>
  <c r="P535" i="20" s="1"/>
  <c r="L916" i="20"/>
  <c r="L909" i="20"/>
  <c r="M2143" i="16"/>
  <c r="O1336" i="16"/>
  <c r="O2143" i="16" s="1"/>
  <c r="M1337" i="16"/>
  <c r="N1337" i="16" s="1"/>
  <c r="P1475" i="16"/>
  <c r="M1205" i="16"/>
  <c r="M1206" i="16" s="1"/>
  <c r="L1350" i="16"/>
  <c r="N1204" i="16"/>
  <c r="N2123" i="16" s="1"/>
  <c r="R1393" i="16"/>
  <c r="R1468" i="16"/>
  <c r="R1407" i="16"/>
  <c r="M1343" i="16"/>
  <c r="N1343" i="16" s="1"/>
  <c r="O1343" i="16" s="1"/>
  <c r="O2144" i="16" s="1"/>
  <c r="R1414" i="16"/>
  <c r="P1324" i="16"/>
  <c r="O1331" i="16"/>
  <c r="R1577" i="16"/>
  <c r="R1916" i="16"/>
  <c r="P1591" i="16"/>
  <c r="Q1591" i="16" s="1"/>
  <c r="M1605" i="16"/>
  <c r="N1605" i="16" s="1"/>
  <c r="O1482" i="16"/>
  <c r="O1598" i="16"/>
  <c r="Q1584" i="16"/>
  <c r="R1584" i="16" s="1"/>
  <c r="N1930" i="16"/>
  <c r="O1930" i="16" s="1"/>
  <c r="P1143" i="16"/>
  <c r="M1489" i="16"/>
  <c r="N1489" i="16" s="1"/>
  <c r="R1603" i="16"/>
  <c r="S1603" i="16" s="1"/>
  <c r="N1178" i="16"/>
  <c r="O1178" i="16" s="1"/>
  <c r="P1317" i="16"/>
  <c r="Q1317" i="16" s="1"/>
  <c r="D1364" i="16"/>
  <c r="Q1289" i="16"/>
  <c r="M1338" i="16"/>
  <c r="N1338" i="16" s="1"/>
  <c r="D1357" i="16"/>
  <c r="F1356" i="16" s="1"/>
  <c r="K1357" i="16" s="1"/>
  <c r="P1165" i="12"/>
  <c r="P1172" i="12" s="1"/>
  <c r="L2144" i="16"/>
  <c r="R350" i="20"/>
  <c r="R351" i="20" s="1"/>
  <c r="D1631" i="16"/>
  <c r="F1630" i="16" s="1"/>
  <c r="K1631" i="16" s="1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59" i="16"/>
  <c r="P57" i="16" s="1"/>
  <c r="P2254" i="16" s="1"/>
  <c r="P2266" i="16" s="1"/>
  <c r="O2278" i="16"/>
  <c r="O60" i="16" s="1"/>
  <c r="O87" i="16" s="1"/>
  <c r="O35" i="16"/>
  <c r="P33" i="16" s="1"/>
  <c r="P2251" i="16" s="1"/>
  <c r="P2263" i="16" s="1"/>
  <c r="O2275" i="16"/>
  <c r="O36" i="16" s="1"/>
  <c r="R377" i="20"/>
  <c r="S377" i="20" s="1"/>
  <c r="N379" i="20"/>
  <c r="O378" i="20"/>
  <c r="O385" i="20"/>
  <c r="O386" i="20" s="1"/>
  <c r="N398" i="20"/>
  <c r="O398" i="20" s="1"/>
  <c r="P391" i="20"/>
  <c r="Q391" i="20" s="1"/>
  <c r="L1213" i="16"/>
  <c r="P1183" i="16"/>
  <c r="P2120" i="16" s="1"/>
  <c r="N392" i="20"/>
  <c r="N1198" i="16"/>
  <c r="N1199" i="16" s="1"/>
  <c r="O1197" i="16"/>
  <c r="O2122" i="16" s="1"/>
  <c r="L1212" i="16"/>
  <c r="O1184" i="16"/>
  <c r="O1185" i="16" s="1"/>
  <c r="M399" i="20"/>
  <c r="L413" i="20"/>
  <c r="S370" i="20"/>
  <c r="O372" i="20"/>
  <c r="P371" i="20"/>
  <c r="Q371" i="20" s="1"/>
  <c r="R371" i="20" s="1"/>
  <c r="O1191" i="16"/>
  <c r="M412" i="20"/>
  <c r="M414" i="20" s="1"/>
  <c r="L1218" i="16"/>
  <c r="L2125" i="16" s="1"/>
  <c r="L940" i="16"/>
  <c r="L941" i="16" s="1"/>
  <c r="L942" i="16" s="1"/>
  <c r="L419" i="20"/>
  <c r="L420" i="20" s="1"/>
  <c r="M407" i="20"/>
  <c r="N405" i="20"/>
  <c r="O405" i="20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/>
  <c r="D956" i="16"/>
  <c r="Q386" i="20"/>
  <c r="P386" i="20"/>
  <c r="P379" i="20"/>
  <c r="I207" i="16"/>
  <c r="G40" i="20" s="1"/>
  <c r="K1219" i="16"/>
  <c r="K1221" i="16"/>
  <c r="K257" i="16" s="1"/>
  <c r="K1220" i="16"/>
  <c r="K1225" i="16"/>
  <c r="K2126" i="16" s="1"/>
  <c r="D1236" i="16"/>
  <c r="D1243" i="16" s="1"/>
  <c r="Q1235" i="16"/>
  <c r="P1235" i="16"/>
  <c r="E1230" i="16"/>
  <c r="F1230" i="16" s="1"/>
  <c r="E1231" i="16"/>
  <c r="S1235" i="16"/>
  <c r="R1235" i="16"/>
  <c r="D1230" i="16"/>
  <c r="D1224" i="16"/>
  <c r="D1225" i="16" s="1"/>
  <c r="F1224" i="16" s="1"/>
  <c r="K421" i="20"/>
  <c r="C431" i="20"/>
  <c r="D430" i="20"/>
  <c r="C437" i="20"/>
  <c r="C439" i="20" s="1"/>
  <c r="C440" i="20" s="1"/>
  <c r="K426" i="20"/>
  <c r="K427" i="20" s="1"/>
  <c r="R472" i="20"/>
  <c r="R473" i="20" s="1"/>
  <c r="Q473" i="20"/>
  <c r="R1399" i="16"/>
  <c r="R2153" i="16"/>
  <c r="R329" i="20"/>
  <c r="R330" i="20" s="1"/>
  <c r="R500" i="20"/>
  <c r="R501" i="20" s="1"/>
  <c r="S499" i="20"/>
  <c r="S1561" i="16"/>
  <c r="S2177" i="16" s="1"/>
  <c r="R1562" i="16"/>
  <c r="R1563" i="16" s="1"/>
  <c r="O923" i="12"/>
  <c r="Q918" i="12"/>
  <c r="Q928" i="12" s="1"/>
  <c r="Q929" i="12" s="1"/>
  <c r="Q1927" i="12"/>
  <c r="Q1931" i="12" s="1"/>
  <c r="Q1934" i="12" s="1"/>
  <c r="P152" i="16"/>
  <c r="R508" i="20"/>
  <c r="O911" i="16"/>
  <c r="R507" i="20"/>
  <c r="L918" i="16"/>
  <c r="N541" i="20"/>
  <c r="N543" i="20" s="1"/>
  <c r="M542" i="20"/>
  <c r="M543" i="20" s="1"/>
  <c r="M923" i="16"/>
  <c r="M924" i="16" s="1"/>
  <c r="R336" i="20"/>
  <c r="R337" i="20" s="1"/>
  <c r="R515" i="20"/>
  <c r="L929" i="16"/>
  <c r="R514" i="20"/>
  <c r="Q922" i="16"/>
  <c r="R922" i="16" s="1"/>
  <c r="S922" i="16" s="1"/>
  <c r="M928" i="16"/>
  <c r="N928" i="16" s="1"/>
  <c r="P146" i="16"/>
  <c r="P162" i="16" s="1"/>
  <c r="P903" i="20"/>
  <c r="P527" i="20"/>
  <c r="Q527" i="20" s="1"/>
  <c r="Q529" i="20" s="1"/>
  <c r="O528" i="20"/>
  <c r="L1624" i="16"/>
  <c r="M1624" i="16" s="1"/>
  <c r="M2231" i="16"/>
  <c r="M1943" i="16"/>
  <c r="N1943" i="16" s="1"/>
  <c r="O2167" i="16"/>
  <c r="P902" i="20"/>
  <c r="Q902" i="20" s="1"/>
  <c r="P521" i="20"/>
  <c r="Q520" i="20"/>
  <c r="O1942" i="16"/>
  <c r="P1942" i="16" s="1"/>
  <c r="Q1942" i="16" s="1"/>
  <c r="K2186" i="16"/>
  <c r="O1488" i="16"/>
  <c r="P1488" i="16" s="1"/>
  <c r="K1626" i="16"/>
  <c r="P536" i="20"/>
  <c r="R901" i="20"/>
  <c r="Q534" i="20"/>
  <c r="Q536" i="20" s="1"/>
  <c r="E561" i="20"/>
  <c r="K562" i="20" s="1"/>
  <c r="Q903" i="20"/>
  <c r="D568" i="20"/>
  <c r="D567" i="20"/>
  <c r="E567" i="20" s="1"/>
  <c r="C568" i="20"/>
  <c r="C569" i="20" s="1"/>
  <c r="C567" i="20"/>
  <c r="C947" i="20"/>
  <c r="D942" i="20"/>
  <c r="C942" i="20"/>
  <c r="C943" i="20" s="1"/>
  <c r="Q896" i="20"/>
  <c r="M1617" i="16"/>
  <c r="M2184" i="16"/>
  <c r="N1610" i="16"/>
  <c r="O1610" i="16" s="1"/>
  <c r="O2184" i="16" s="1"/>
  <c r="Q1487" i="16"/>
  <c r="Q2167" i="16" s="1"/>
  <c r="N2230" i="16"/>
  <c r="N1936" i="16"/>
  <c r="N1937" i="16" s="1"/>
  <c r="O1935" i="16"/>
  <c r="P1935" i="16" s="1"/>
  <c r="Q888" i="16"/>
  <c r="O1494" i="16"/>
  <c r="S1480" i="16"/>
  <c r="M1611" i="16"/>
  <c r="M1612" i="16" s="1"/>
  <c r="Q1928" i="16"/>
  <c r="Q882" i="16"/>
  <c r="R881" i="16"/>
  <c r="P906" i="16"/>
  <c r="R905" i="16"/>
  <c r="Q900" i="16"/>
  <c r="R1460" i="16"/>
  <c r="R1461" i="16" s="1"/>
  <c r="R332" i="16"/>
  <c r="L1618" i="16"/>
  <c r="R1590" i="16"/>
  <c r="R462" i="20"/>
  <c r="R463" i="20" s="1"/>
  <c r="L1619" i="16"/>
  <c r="O1604" i="16"/>
  <c r="O2183" i="16"/>
  <c r="Q2182" i="16"/>
  <c r="M1495" i="16"/>
  <c r="N1495" i="16" s="1"/>
  <c r="P1597" i="16"/>
  <c r="Q1597" i="16" s="1"/>
  <c r="Q1641" i="16"/>
  <c r="K1641" i="16"/>
  <c r="E1636" i="16"/>
  <c r="F1636" i="16" s="1"/>
  <c r="L1641" i="16"/>
  <c r="R1641" i="16"/>
  <c r="B1635" i="16"/>
  <c r="M1641" i="16"/>
  <c r="E1637" i="16"/>
  <c r="D1637" i="16" s="1"/>
  <c r="N1641" i="16"/>
  <c r="D1636" i="16"/>
  <c r="O1641" i="16"/>
  <c r="D1642" i="16"/>
  <c r="P1641" i="16"/>
  <c r="P1929" i="16"/>
  <c r="P2182" i="16"/>
  <c r="Q1323" i="16"/>
  <c r="P1481" i="16"/>
  <c r="Q2142" i="16"/>
  <c r="P2142" i="16"/>
  <c r="Q2165" i="16"/>
  <c r="Q1474" i="16"/>
  <c r="N2168" i="16"/>
  <c r="P1330" i="16"/>
  <c r="Q1330" i="16" s="1"/>
  <c r="M2168" i="16"/>
  <c r="E1370" i="16"/>
  <c r="D1370" i="16" s="1"/>
  <c r="E1369" i="16"/>
  <c r="F1369" i="16" s="1"/>
  <c r="D1375" i="16"/>
  <c r="B1368" i="16"/>
  <c r="D1369" i="16"/>
  <c r="K1374" i="16"/>
  <c r="L1374" i="16"/>
  <c r="M1374" i="16"/>
  <c r="N1374" i="16"/>
  <c r="O1374" i="16"/>
  <c r="P1374" i="16"/>
  <c r="Q1374" i="16"/>
  <c r="R1374" i="16"/>
  <c r="P2167" i="16"/>
  <c r="Q2141" i="16"/>
  <c r="U62" i="22"/>
  <c r="T66" i="22"/>
  <c r="U33" i="22"/>
  <c r="U37" i="22" s="1"/>
  <c r="T38" i="22"/>
  <c r="T106" i="11" s="1"/>
  <c r="U52" i="22"/>
  <c r="U56" i="22" s="1"/>
  <c r="U57" i="22" s="1"/>
  <c r="U58" i="22" s="1"/>
  <c r="S67" i="22"/>
  <c r="S92" i="12" s="1"/>
  <c r="W22" i="20"/>
  <c r="W15" i="22"/>
  <c r="W17" i="22" s="1"/>
  <c r="S199" i="18"/>
  <c r="S200" i="18"/>
  <c r="R201" i="18"/>
  <c r="S2052" i="16" l="1"/>
  <c r="S2045" i="16"/>
  <c r="S2048" i="16"/>
  <c r="R2081" i="16"/>
  <c r="S2054" i="16"/>
  <c r="S2064" i="16"/>
  <c r="S2092" i="16" s="1"/>
  <c r="R2080" i="16"/>
  <c r="S2080" i="16" s="1"/>
  <c r="Q2082" i="16"/>
  <c r="Q256" i="20" s="1"/>
  <c r="S1283" i="16"/>
  <c r="R2115" i="16"/>
  <c r="R1151" i="16"/>
  <c r="O52" i="10"/>
  <c r="O340" i="10" s="1"/>
  <c r="S36" i="10"/>
  <c r="S115" i="10"/>
  <c r="S119" i="10"/>
  <c r="S110" i="10"/>
  <c r="S397" i="10" s="1"/>
  <c r="S92" i="10"/>
  <c r="S91" i="10" s="1"/>
  <c r="S105" i="10" s="1"/>
  <c r="S89" i="10"/>
  <c r="S113" i="10" s="1"/>
  <c r="S116" i="10"/>
  <c r="S71" i="10"/>
  <c r="S31" i="10"/>
  <c r="S85" i="10"/>
  <c r="S84" i="10" s="1"/>
  <c r="S118" i="10" s="1"/>
  <c r="S77" i="10"/>
  <c r="S764" i="16"/>
  <c r="S226" i="20" s="1"/>
  <c r="S744" i="16"/>
  <c r="R114" i="10"/>
  <c r="R112" i="10" s="1"/>
  <c r="R79" i="10"/>
  <c r="Q366" i="10"/>
  <c r="Q1143" i="16"/>
  <c r="Q1136" i="16"/>
  <c r="X42" i="22"/>
  <c r="X46" i="22" s="1"/>
  <c r="X47" i="22" s="1"/>
  <c r="X48" i="22" s="1"/>
  <c r="W47" i="22"/>
  <c r="W48" i="22" s="1"/>
  <c r="R1157" i="16"/>
  <c r="X106" i="22"/>
  <c r="X110" i="22" s="1"/>
  <c r="X111" i="22" s="1"/>
  <c r="W111" i="22"/>
  <c r="W112" i="22" s="1"/>
  <c r="X131" i="22"/>
  <c r="W121" i="22"/>
  <c r="W122" i="22" s="1"/>
  <c r="X116" i="22"/>
  <c r="X120" i="22" s="1"/>
  <c r="X121" i="22" s="1"/>
  <c r="S1169" i="16"/>
  <c r="S2118" i="16" s="1"/>
  <c r="R1170" i="16"/>
  <c r="R1163" i="16"/>
  <c r="S1162" i="16"/>
  <c r="S2117" i="16" s="1"/>
  <c r="S1141" i="16"/>
  <c r="S2114" i="16" s="1"/>
  <c r="P1177" i="16"/>
  <c r="R1142" i="16"/>
  <c r="Q1176" i="16"/>
  <c r="Q2119" i="16" s="1"/>
  <c r="P1191" i="16"/>
  <c r="Q1171" i="16"/>
  <c r="R1171" i="16" s="1"/>
  <c r="Q1183" i="16"/>
  <c r="Q2120" i="16" s="1"/>
  <c r="L1221" i="16"/>
  <c r="L257" i="16" s="1"/>
  <c r="S1134" i="16"/>
  <c r="S2113" i="16" s="1"/>
  <c r="R1135" i="16"/>
  <c r="N1207" i="16"/>
  <c r="N255" i="16" s="1"/>
  <c r="Q1190" i="16"/>
  <c r="S1148" i="16"/>
  <c r="Q1150" i="16"/>
  <c r="R1149" i="16"/>
  <c r="R1447" i="16"/>
  <c r="S2138" i="16"/>
  <c r="R876" i="16"/>
  <c r="I255" i="25"/>
  <c r="I228" i="25"/>
  <c r="I236" i="25" s="1"/>
  <c r="J127" i="25"/>
  <c r="J135" i="25" s="1"/>
  <c r="J146" i="25" s="1"/>
  <c r="J154" i="25" s="1"/>
  <c r="H255" i="25"/>
  <c r="H228" i="25"/>
  <c r="H236" i="25" s="1"/>
  <c r="R2178" i="16"/>
  <c r="R1569" i="16"/>
  <c r="S1569" i="16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81" i="16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L1351" i="16"/>
  <c r="R1433" i="16"/>
  <c r="R1303" i="16"/>
  <c r="K1358" i="16"/>
  <c r="K1359" i="16" s="1"/>
  <c r="K2146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K2147" i="16" s="1"/>
  <c r="M934" i="16"/>
  <c r="L935" i="16"/>
  <c r="R1289" i="16"/>
  <c r="R1282" i="16"/>
  <c r="R1164" i="16"/>
  <c r="K13" i="25"/>
  <c r="K52" i="25" s="1"/>
  <c r="I263" i="25"/>
  <c r="S265" i="16"/>
  <c r="S53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Q140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R1401" i="12"/>
  <c r="R1411" i="12" s="1"/>
  <c r="R1412" i="12" s="1"/>
  <c r="R257" i="20" s="1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733" i="12"/>
  <c r="T741" i="12"/>
  <c r="T729" i="12"/>
  <c r="T1212" i="12" s="1"/>
  <c r="T730" i="12"/>
  <c r="T738" i="12"/>
  <c r="T727" i="12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P923" i="12"/>
  <c r="O931" i="12"/>
  <c r="S930" i="12"/>
  <c r="S216" i="10" s="1"/>
  <c r="S360" i="10" s="1"/>
  <c r="T943" i="12"/>
  <c r="T944" i="12"/>
  <c r="T948" i="12"/>
  <c r="T952" i="12"/>
  <c r="T956" i="12"/>
  <c r="T960" i="12"/>
  <c r="T947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5" i="12"/>
  <c r="T1188" i="12" s="1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711" i="12"/>
  <c r="T715" i="12"/>
  <c r="T719" i="12"/>
  <c r="T31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14" i="20" s="1"/>
  <c r="S762" i="16"/>
  <c r="S224" i="20" s="1"/>
  <c r="S1887" i="16"/>
  <c r="S1156" i="16"/>
  <c r="S1443" i="12"/>
  <c r="S756" i="16"/>
  <c r="S218" i="20" s="1"/>
  <c r="S1493" i="12"/>
  <c r="S769" i="16"/>
  <c r="S231" i="20" s="1"/>
  <c r="S1428" i="12"/>
  <c r="S1591" i="12"/>
  <c r="S1472" i="12"/>
  <c r="S1514" i="12"/>
  <c r="S1583" i="12"/>
  <c r="S1519" i="12"/>
  <c r="S1448" i="12"/>
  <c r="T120" i="20"/>
  <c r="S745" i="16"/>
  <c r="S207" i="20" s="1"/>
  <c r="S783" i="16"/>
  <c r="S245" i="20" s="1"/>
  <c r="S768" i="16"/>
  <c r="S230" i="20" s="1"/>
  <c r="S777" i="16"/>
  <c r="S239" i="20" s="1"/>
  <c r="S747" i="16"/>
  <c r="S209" i="20" s="1"/>
  <c r="S775" i="16"/>
  <c r="S237" i="20" s="1"/>
  <c r="S771" i="16"/>
  <c r="S233" i="20" s="1"/>
  <c r="S776" i="16"/>
  <c r="S238" i="20" s="1"/>
  <c r="S758" i="16"/>
  <c r="S220" i="20" s="1"/>
  <c r="S761" i="16"/>
  <c r="S223" i="20" s="1"/>
  <c r="S750" i="16"/>
  <c r="S212" i="20" s="1"/>
  <c r="S767" i="16"/>
  <c r="S229" i="20" s="1"/>
  <c r="S206" i="20"/>
  <c r="T1469" i="16"/>
  <c r="T396" i="16" s="1"/>
  <c r="T406" i="16" s="1"/>
  <c r="T112" i="20" s="1"/>
  <c r="T940" i="12"/>
  <c r="T1802" i="12"/>
  <c r="S770" i="16"/>
  <c r="S232" i="20" s="1"/>
  <c r="S774" i="16"/>
  <c r="S236" i="20" s="1"/>
  <c r="S760" i="16"/>
  <c r="S222" i="20" s="1"/>
  <c r="T1701" i="12"/>
  <c r="S755" i="16"/>
  <c r="S217" i="20" s="1"/>
  <c r="S746" i="16"/>
  <c r="S208" i="20" s="1"/>
  <c r="S766" i="16"/>
  <c r="S228" i="20" s="1"/>
  <c r="T132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350" i="20"/>
  <c r="S351" i="20" s="1"/>
  <c r="S1529" i="12"/>
  <c r="S1576" i="12"/>
  <c r="S1512" i="12"/>
  <c r="S1427" i="12"/>
  <c r="S1537" i="12"/>
  <c r="S1531" i="12"/>
  <c r="S1440" i="12"/>
  <c r="J379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94" i="20"/>
  <c r="T574" i="16"/>
  <c r="T921" i="12"/>
  <c r="T1578" i="16"/>
  <c r="T357" i="16"/>
  <c r="T58" i="20"/>
  <c r="T1740" i="12"/>
  <c r="T1805" i="12"/>
  <c r="T160" i="20"/>
  <c r="T1817" i="12"/>
  <c r="T12" i="22"/>
  <c r="T151" i="20"/>
  <c r="T1163" i="12"/>
  <c r="T22" i="16"/>
  <c r="T423" i="16"/>
  <c r="T1788" i="12"/>
  <c r="T174" i="16"/>
  <c r="S48" i="18"/>
  <c r="S53" i="18" s="1"/>
  <c r="T1667" i="12"/>
  <c r="U28" i="8"/>
  <c r="T425" i="16"/>
  <c r="T177" i="20"/>
  <c r="T1557" i="16"/>
  <c r="J475" i="25"/>
  <c r="J592" i="25" s="1"/>
  <c r="J285" i="25"/>
  <c r="J163" i="25"/>
  <c r="J209" i="25" s="1"/>
  <c r="J247" i="25" s="1"/>
  <c r="J266" i="25" s="1"/>
  <c r="J274" i="25" s="1"/>
  <c r="I143" i="25"/>
  <c r="J332" i="25"/>
  <c r="J427" i="25"/>
  <c r="S486" i="20"/>
  <c r="S487" i="20" s="1"/>
  <c r="S1583" i="16"/>
  <c r="S1204" i="12"/>
  <c r="S1392" i="12" s="1"/>
  <c r="S1439" i="16"/>
  <c r="S594" i="12"/>
  <c r="S520" i="12"/>
  <c r="S116" i="12"/>
  <c r="S585" i="12"/>
  <c r="S221" i="12"/>
  <c r="K77" i="25"/>
  <c r="S434" i="12"/>
  <c r="S161" i="12"/>
  <c r="S306" i="12"/>
  <c r="S1467" i="16"/>
  <c r="S514" i="20"/>
  <c r="I226" i="25"/>
  <c r="S748" i="16"/>
  <c r="S210" i="20" s="1"/>
  <c r="S781" i="16"/>
  <c r="S243" i="20" s="1"/>
  <c r="S759" i="16"/>
  <c r="S221" i="20" s="1"/>
  <c r="S749" i="16"/>
  <c r="S211" i="20" s="1"/>
  <c r="S782" i="16"/>
  <c r="S244" i="20" s="1"/>
  <c r="S773" i="16"/>
  <c r="S235" i="20" s="1"/>
  <c r="S753" i="16"/>
  <c r="S215" i="20" s="1"/>
  <c r="S763" i="16"/>
  <c r="S225" i="20" s="1"/>
  <c r="S754" i="16"/>
  <c r="S216" i="20" s="1"/>
  <c r="S780" i="16"/>
  <c r="S242" i="20" s="1"/>
  <c r="S772" i="16"/>
  <c r="S234" i="20" s="1"/>
  <c r="S751" i="16"/>
  <c r="S213" i="20" s="1"/>
  <c r="S757" i="16"/>
  <c r="S219" i="20" s="1"/>
  <c r="S765" i="16"/>
  <c r="S227" i="20" s="1"/>
  <c r="S778" i="16"/>
  <c r="S240" i="20" s="1"/>
  <c r="S779" i="16"/>
  <c r="S241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372" i="20"/>
  <c r="S893" i="16"/>
  <c r="S1281" i="16"/>
  <c r="S1555" i="16"/>
  <c r="S86" i="20"/>
  <c r="S1205" i="20" s="1"/>
  <c r="S331" i="16"/>
  <c r="S806" i="16" s="1"/>
  <c r="R1601" i="12"/>
  <c r="R1637" i="12" s="1"/>
  <c r="S198" i="20"/>
  <c r="S1209" i="20" s="1"/>
  <c r="S368" i="16"/>
  <c r="S1915" i="16"/>
  <c r="S1309" i="16"/>
  <c r="S284" i="16"/>
  <c r="S804" i="16" s="1"/>
  <c r="S1505" i="16"/>
  <c r="S807" i="16"/>
  <c r="S507" i="20"/>
  <c r="S1413" i="16"/>
  <c r="S2042" i="16"/>
  <c r="S811" i="16" s="1"/>
  <c r="S73" i="20"/>
  <c r="S1203" i="20" s="1"/>
  <c r="S180" i="20"/>
  <c r="S1208" i="20" s="1"/>
  <c r="S584" i="16"/>
  <c r="S809" i="16" s="1"/>
  <c r="S1807" i="12"/>
  <c r="S1876" i="12" s="1"/>
  <c r="S1914" i="12" s="1"/>
  <c r="S1684" i="12"/>
  <c r="S1872" i="12" s="1"/>
  <c r="S1910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R1444" i="12"/>
  <c r="R1632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434" i="16"/>
  <c r="T1699" i="12"/>
  <c r="T1822" i="12"/>
  <c r="T1672" i="12"/>
  <c r="T95" i="11"/>
  <c r="T1638" i="12"/>
  <c r="T1787" i="12"/>
  <c r="T1784" i="12"/>
  <c r="T801" i="16"/>
  <c r="T1796" i="12"/>
  <c r="T97" i="20"/>
  <c r="T1400" i="12"/>
  <c r="T1836" i="16"/>
  <c r="T461" i="16" s="1"/>
  <c r="T178" i="20"/>
  <c r="T1644" i="12"/>
  <c r="T275" i="16"/>
  <c r="T26" i="22"/>
  <c r="T1837" i="12"/>
  <c r="T102" i="20"/>
  <c r="T1592" i="16"/>
  <c r="T521" i="16" s="1"/>
  <c r="T561" i="16" s="1"/>
  <c r="T165" i="20" s="1"/>
  <c r="T280" i="16"/>
  <c r="T175" i="20"/>
  <c r="T84" i="20"/>
  <c r="T1760" i="12"/>
  <c r="T1877" i="16"/>
  <c r="S136" i="16"/>
  <c r="T205" i="16"/>
  <c r="T199" i="16"/>
  <c r="T130" i="16"/>
  <c r="T106" i="16"/>
  <c r="T114" i="16"/>
  <c r="T127" i="16"/>
  <c r="T35" i="20"/>
  <c r="T36" i="20"/>
  <c r="T1165" i="16"/>
  <c r="T1214" i="16"/>
  <c r="T256" i="16" s="1"/>
  <c r="T209" i="16"/>
  <c r="T203" i="16"/>
  <c r="T107" i="16"/>
  <c r="T120" i="16"/>
  <c r="T128" i="16"/>
  <c r="T118" i="16"/>
  <c r="T42" i="20"/>
  <c r="T48" i="20"/>
  <c r="T1158" i="16"/>
  <c r="T1221" i="16"/>
  <c r="T1235" i="16"/>
  <c r="T915" i="12"/>
  <c r="T1930" i="12" s="1"/>
  <c r="T1568" i="16"/>
  <c r="T2178" i="16" s="1"/>
  <c r="T471" i="20"/>
  <c r="T886" i="16"/>
  <c r="T513" i="20"/>
  <c r="T515" i="20" s="1"/>
  <c r="T892" i="16"/>
  <c r="T104" i="16"/>
  <c r="T213" i="16"/>
  <c r="T207" i="16"/>
  <c r="T112" i="16"/>
  <c r="T105" i="16"/>
  <c r="T113" i="16"/>
  <c r="T132" i="16"/>
  <c r="T40" i="20"/>
  <c r="T43" i="20"/>
  <c r="T1172" i="16"/>
  <c r="T250" i="16" s="1"/>
  <c r="T461" i="20"/>
  <c r="T506" i="20"/>
  <c r="T508" i="20" s="1"/>
  <c r="T1554" i="16"/>
  <c r="T2176" i="16" s="1"/>
  <c r="T492" i="20"/>
  <c r="T99" i="16"/>
  <c r="T206" i="16"/>
  <c r="T211" i="16"/>
  <c r="T129" i="16"/>
  <c r="T126" i="16"/>
  <c r="T121" i="16"/>
  <c r="T117" i="16"/>
  <c r="T41" i="20"/>
  <c r="T38" i="20"/>
  <c r="T1179" i="16"/>
  <c r="T1155" i="16"/>
  <c r="T2116" i="16" s="1"/>
  <c r="T384" i="20"/>
  <c r="T1412" i="16"/>
  <c r="T2155" i="16" s="1"/>
  <c r="T1582" i="16"/>
  <c r="T2180" i="16" s="1"/>
  <c r="T1886" i="16"/>
  <c r="T2223" i="16" s="1"/>
  <c r="T29" i="8"/>
  <c r="T127" i="8" s="1"/>
  <c r="T100" i="16"/>
  <c r="T1910" i="16"/>
  <c r="T1613" i="16"/>
  <c r="T1346" i="16"/>
  <c r="T193" i="20"/>
  <c r="T57" i="20"/>
  <c r="T157" i="16"/>
  <c r="T200" i="16"/>
  <c r="T215" i="16"/>
  <c r="T108" i="16"/>
  <c r="T110" i="16"/>
  <c r="T131" i="16"/>
  <c r="T122" i="16"/>
  <c r="T46" i="20"/>
  <c r="T39" i="20"/>
  <c r="T1186" i="16"/>
  <c r="T252" i="16" s="1"/>
  <c r="T1228" i="16"/>
  <c r="T880" i="16"/>
  <c r="T1445" i="16"/>
  <c r="T2161" i="16" s="1"/>
  <c r="T894" i="20"/>
  <c r="T1308" i="16"/>
  <c r="T1459" i="16"/>
  <c r="T79" i="16"/>
  <c r="T102" i="16"/>
  <c r="T1606" i="16"/>
  <c r="T1599" i="16"/>
  <c r="T1564" i="16"/>
  <c r="T173" i="20"/>
  <c r="T189" i="20"/>
  <c r="T625" i="16"/>
  <c r="T352" i="16"/>
  <c r="T1702" i="12"/>
  <c r="T1661" i="12"/>
  <c r="T1917" i="16"/>
  <c r="T90" i="22"/>
  <c r="T62" i="20"/>
  <c r="T624" i="16"/>
  <c r="T1497" i="16"/>
  <c r="T142" i="20"/>
  <c r="T2038" i="16"/>
  <c r="T2051" i="16" s="1"/>
  <c r="T441" i="16"/>
  <c r="T273" i="16"/>
  <c r="T70" i="16"/>
  <c r="T1758" i="12"/>
  <c r="T1903" i="16"/>
  <c r="T300" i="10"/>
  <c r="T143" i="20"/>
  <c r="T580" i="16"/>
  <c r="T428" i="16"/>
  <c r="T1748" i="12"/>
  <c r="T1838" i="12"/>
  <c r="T1664" i="12"/>
  <c r="T188" i="20"/>
  <c r="T1462" i="16"/>
  <c r="T83" i="18"/>
  <c r="T205" i="20"/>
  <c r="T447" i="16"/>
  <c r="T272" i="16"/>
  <c r="T1683" i="12"/>
  <c r="T1821" i="12"/>
  <c r="T617" i="12"/>
  <c r="T1938" i="16"/>
  <c r="T116" i="18"/>
  <c r="T121" i="20"/>
  <c r="T66" i="20"/>
  <c r="T433" i="16"/>
  <c r="T1820" i="12"/>
  <c r="T1705" i="12"/>
  <c r="T1737" i="12"/>
  <c r="T91" i="12"/>
  <c r="T1339" i="16"/>
  <c r="T176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47" i="20"/>
  <c r="T37" i="20"/>
  <c r="T1193" i="16"/>
  <c r="T253" i="16" s="1"/>
  <c r="T349" i="20"/>
  <c r="T208" i="16"/>
  <c r="T210" i="16"/>
  <c r="T116" i="16"/>
  <c r="T109" i="16"/>
  <c r="T111" i="16"/>
  <c r="T45" i="20"/>
  <c r="T44" i="20"/>
  <c r="T33" i="20"/>
  <c r="T1200" i="16"/>
  <c r="T254" i="16" s="1"/>
  <c r="T478" i="20"/>
  <c r="T1438" i="16"/>
  <c r="T2160" i="16" s="1"/>
  <c r="T141" i="16"/>
  <c r="T1301" i="16"/>
  <c r="T98" i="16"/>
  <c r="T101" i="16"/>
  <c r="T1620" i="16"/>
  <c r="T1571" i="16"/>
  <c r="T242" i="10"/>
  <c r="T64" i="20"/>
  <c r="T2041" i="16"/>
  <c r="T2067" i="16" s="1"/>
  <c r="T2095" i="16" s="1"/>
  <c r="T119" i="16"/>
  <c r="T1466" i="16"/>
  <c r="T2164" i="16" s="1"/>
  <c r="T1398" i="16"/>
  <c r="T95" i="16"/>
  <c r="T1476" i="16"/>
  <c r="T1537" i="16"/>
  <c r="T98" i="20"/>
  <c r="T583" i="16"/>
  <c r="T439" i="16"/>
  <c r="T1835" i="12"/>
  <c r="T38" i="16"/>
  <c r="T1290" i="16"/>
  <c r="T153" i="20"/>
  <c r="T34" i="20"/>
  <c r="T328" i="20"/>
  <c r="T1914" i="16"/>
  <c r="T2227" i="16" s="1"/>
  <c r="T96" i="16"/>
  <c r="T144" i="16" s="1"/>
  <c r="T1422" i="16"/>
  <c r="T1483" i="16"/>
  <c r="T70" i="20"/>
  <c r="T449" i="16"/>
  <c r="T1880" i="12"/>
  <c r="T1919" i="12" s="1"/>
  <c r="T1751" i="12"/>
  <c r="T1669" i="12"/>
  <c r="T1448" i="16"/>
  <c r="T29" i="18"/>
  <c r="T618" i="16"/>
  <c r="T216" i="16"/>
  <c r="T145" i="20"/>
  <c r="T146" i="20"/>
  <c r="T450" i="16"/>
  <c r="T1773" i="12"/>
  <c r="T1878" i="12"/>
  <c r="T1916" i="12" s="1"/>
  <c r="T1668" i="12"/>
  <c r="T363" i="10"/>
  <c r="T59" i="20"/>
  <c r="T456" i="16"/>
  <c r="T276" i="16"/>
  <c r="T1823" i="12"/>
  <c r="T1782" i="12"/>
  <c r="T44" i="11"/>
  <c r="T1455" i="16"/>
  <c r="T191" i="20"/>
  <c r="T169" i="20"/>
  <c r="T437" i="16"/>
  <c r="T1824" i="12"/>
  <c r="T1834" i="12"/>
  <c r="T1833" i="12"/>
  <c r="T1144" i="16"/>
  <c r="T96" i="18"/>
  <c r="T126" i="20"/>
  <c r="T621" i="16"/>
  <c r="T419" i="16"/>
  <c r="T1815" i="12"/>
  <c r="T1733" i="12"/>
  <c r="T104" i="11"/>
  <c r="T271" i="10"/>
  <c r="T127" i="20"/>
  <c r="T623" i="16"/>
  <c r="T408" i="16"/>
  <c r="T1715" i="12"/>
  <c r="T1778" i="12"/>
  <c r="T73" i="12"/>
  <c r="T435" i="16"/>
  <c r="T96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367" i="16"/>
  <c r="T1639" i="12"/>
  <c r="T1825" i="12"/>
  <c r="T1747" i="12"/>
  <c r="T326" i="16"/>
  <c r="T1725" i="12"/>
  <c r="T1739" i="12"/>
  <c r="T1516" i="16"/>
  <c r="T270" i="16"/>
  <c r="T1750" i="12"/>
  <c r="T1401" i="16"/>
  <c r="T141" i="20"/>
  <c r="T1731" i="12"/>
  <c r="T42" i="12"/>
  <c r="T101" i="20"/>
  <c r="T1502" i="16"/>
  <c r="T365" i="16" s="1"/>
  <c r="T1666" i="12"/>
  <c r="T1691" i="12"/>
  <c r="T1665" i="12"/>
  <c r="T240" i="11"/>
  <c r="T74" i="11"/>
  <c r="T32" i="20"/>
  <c r="T904" i="16"/>
  <c r="T910" i="16"/>
  <c r="T135" i="16"/>
  <c r="T1530" i="16"/>
  <c r="T603" i="12"/>
  <c r="T129" i="20"/>
  <c r="T617" i="16"/>
  <c r="T1781" i="12"/>
  <c r="T330" i="16"/>
  <c r="T1813" i="12"/>
  <c r="T385" i="10"/>
  <c r="T489" i="10" s="1"/>
  <c r="T194" i="20"/>
  <c r="T61" i="20"/>
  <c r="T1304" i="16"/>
  <c r="T174" i="20"/>
  <c r="T2037" i="16"/>
  <c r="T2063" i="16" s="1"/>
  <c r="T2091" i="16" s="1"/>
  <c r="T283" i="16"/>
  <c r="T1680" i="12"/>
  <c r="T1775" i="12"/>
  <c r="T32" i="22"/>
  <c r="T12" i="20"/>
  <c r="T25" i="20" s="1"/>
  <c r="T1188" i="20" s="1"/>
  <c r="T1222" i="20" s="1"/>
  <c r="T1235" i="20" s="1"/>
  <c r="T1248" i="20" s="1"/>
  <c r="T451" i="16"/>
  <c r="T1801" i="12"/>
  <c r="T12" i="16"/>
  <c r="T192" i="16" s="1"/>
  <c r="T327" i="16"/>
  <c r="T130" i="20"/>
  <c r="T30" i="20"/>
  <c r="T1744" i="12"/>
  <c r="T1404" i="12"/>
  <c r="T172" i="20"/>
  <c r="T448" i="16"/>
  <c r="T268" i="16"/>
  <c r="T1879" i="12"/>
  <c r="T1918" i="12" s="1"/>
  <c r="T75" i="10"/>
  <c r="T457" i="16"/>
  <c r="T46" i="16"/>
  <c r="T81" i="20"/>
  <c r="T1688" i="12"/>
  <c r="T197" i="20"/>
  <c r="T436" i="16"/>
  <c r="T1812" i="12"/>
  <c r="T201" i="16"/>
  <c r="T1473" i="16"/>
  <c r="T1322" i="16"/>
  <c r="T97" i="16"/>
  <c r="T1924" i="16"/>
  <c r="T12" i="10"/>
  <c r="T99" i="20"/>
  <c r="T422" i="16"/>
  <c r="T1695" i="12"/>
  <c r="T1783" i="12"/>
  <c r="T1692" i="12"/>
  <c r="T98" i="10"/>
  <c r="T95" i="20"/>
  <c r="T579" i="16"/>
  <c r="T1408" i="16"/>
  <c r="T149" i="20"/>
  <c r="T582" i="16"/>
  <c r="T198" i="16"/>
  <c r="T1832" i="12"/>
  <c r="T62" i="16"/>
  <c r="T1931" i="16"/>
  <c r="T41" i="22"/>
  <c r="T115" i="22"/>
  <c r="T446" i="16"/>
  <c r="T1769" i="12"/>
  <c r="T1803" i="12"/>
  <c r="T1770" i="12"/>
  <c r="T1722" i="12"/>
  <c r="T413" i="10"/>
  <c r="T135" i="20"/>
  <c r="T576" i="16"/>
  <c r="T424" i="16"/>
  <c r="T1804" i="12"/>
  <c r="T1681" i="12"/>
  <c r="T113" i="11"/>
  <c r="T1297" i="16"/>
  <c r="T139" i="20"/>
  <c r="T122" i="20"/>
  <c r="T443" i="16"/>
  <c r="T1793" i="12"/>
  <c r="T1795" i="12"/>
  <c r="T1757" i="12"/>
  <c r="T32" i="8"/>
  <c r="T31" i="8" s="1"/>
  <c r="T119" i="18" s="1"/>
  <c r="T107" i="18"/>
  <c r="T187" i="20"/>
  <c r="T564" i="16"/>
  <c r="T358" i="16"/>
  <c r="T1759" i="12"/>
  <c r="T1677" i="12"/>
  <c r="T1833" i="16"/>
  <c r="T458" i="16" s="1"/>
  <c r="T1792" i="12"/>
  <c r="T144" i="20"/>
  <c r="T12" i="12"/>
  <c r="T453" i="16"/>
  <c r="T82" i="12"/>
  <c r="T54" i="16"/>
  <c r="T83" i="20"/>
  <c r="T1839" i="12"/>
  <c r="T219" i="10"/>
  <c r="T1729" i="12"/>
  <c r="T118" i="20"/>
  <c r="T35" i="11"/>
  <c r="T114" i="12"/>
  <c r="T1374" i="16"/>
  <c r="T212" i="16"/>
  <c r="T1207" i="16"/>
  <c r="T255" i="16" s="1"/>
  <c r="T485" i="20"/>
  <c r="T103" i="16"/>
  <c r="T1952" i="16"/>
  <c r="T96" i="22"/>
  <c r="T69" i="20"/>
  <c r="T329" i="16"/>
  <c r="T1840" i="12"/>
  <c r="T1693" i="12"/>
  <c r="T1157" i="12"/>
  <c r="T105" i="22"/>
  <c r="T124" i="20"/>
  <c r="T445" i="16"/>
  <c r="T127" i="10"/>
  <c r="T67" i="20"/>
  <c r="T2036" i="16"/>
  <c r="T2062" i="16" s="1"/>
  <c r="T278" i="16"/>
  <c r="T1752" i="12"/>
  <c r="T1726" i="12"/>
  <c r="T1441" i="16"/>
  <c r="T195" i="20"/>
  <c r="T60" i="20"/>
  <c r="T279" i="16"/>
  <c r="T1676" i="12"/>
  <c r="T1771" i="12"/>
  <c r="T1421" i="12"/>
  <c r="T1549" i="12" s="1"/>
  <c r="T1712" i="12"/>
  <c r="T190" i="10"/>
  <c r="T140" i="20"/>
  <c r="T2034" i="16"/>
  <c r="T2060" i="16" s="1"/>
  <c r="T573" i="16"/>
  <c r="T1772" i="12"/>
  <c r="T1674" i="12"/>
  <c r="T124" i="11"/>
  <c r="T1332" i="16"/>
  <c r="T63" i="18"/>
  <c r="T2044" i="16"/>
  <c r="T434" i="16"/>
  <c r="T1707" i="12"/>
  <c r="T1830" i="12"/>
  <c r="T1774" i="12"/>
  <c r="T355" i="16"/>
  <c r="T51" i="22"/>
  <c r="T119" i="20"/>
  <c r="T444" i="16"/>
  <c r="T1789" i="12"/>
  <c r="T1791" i="12"/>
  <c r="T1398" i="12"/>
  <c r="T616" i="16"/>
  <c r="T214" i="16"/>
  <c r="T1329" i="16"/>
  <c r="T1596" i="16"/>
  <c r="T133" i="16"/>
  <c r="T874" i="16"/>
  <c r="T1280" i="16"/>
  <c r="T2135" i="16" s="1"/>
  <c r="T1325" i="16"/>
  <c r="T136" i="20"/>
  <c r="T698" i="16"/>
  <c r="T440" i="16"/>
  <c r="T1728" i="12"/>
  <c r="T1734" i="12"/>
  <c r="T1849" i="16"/>
  <c r="T190" i="20"/>
  <c r="T49" i="20"/>
  <c r="T577" i="16"/>
  <c r="T70" i="22"/>
  <c r="T65" i="20"/>
  <c r="T575" i="16"/>
  <c r="T431" i="16"/>
  <c r="T1694" i="12"/>
  <c r="T1798" i="12"/>
  <c r="T1627" i="16"/>
  <c r="T134" i="20"/>
  <c r="T578" i="16"/>
  <c r="T274" i="16"/>
  <c r="T1884" i="12"/>
  <c r="T1696" i="12"/>
  <c r="T100" i="12"/>
  <c r="T1137" i="16"/>
  <c r="T20" i="22"/>
  <c r="T179" i="20"/>
  <c r="T452" i="16"/>
  <c r="T1797" i="12"/>
  <c r="T1735" i="12"/>
  <c r="T1753" i="12"/>
  <c r="T12" i="11"/>
  <c r="T1544" i="16"/>
  <c r="T125" i="20"/>
  <c r="T2032" i="16"/>
  <c r="T2058" i="16" s="1"/>
  <c r="T2072" i="16" s="1"/>
  <c r="T417" i="16"/>
  <c r="T1800" i="12"/>
  <c r="T1678" i="12"/>
  <c r="T1806" i="12"/>
  <c r="T1490" i="16"/>
  <c r="T131" i="20"/>
  <c r="T71" i="20"/>
  <c r="T361" i="16"/>
  <c r="T1816" i="12"/>
  <c r="T1826" i="12"/>
  <c r="T1181" i="12"/>
  <c r="T154" i="20"/>
  <c r="T1673" i="12"/>
  <c r="T282" i="16"/>
  <c r="T1835" i="16"/>
  <c r="T460" i="16" s="1"/>
  <c r="T1706" i="12"/>
  <c r="T1503" i="16"/>
  <c r="T366" i="16" s="1"/>
  <c r="T1779" i="12"/>
  <c r="T1311" i="16"/>
  <c r="T1713" i="12"/>
  <c r="T277" i="16"/>
  <c r="T53" i="11"/>
  <c r="T1732" i="12"/>
  <c r="T1811" i="12"/>
  <c r="T1755" i="12"/>
  <c r="T619" i="16"/>
  <c r="T61" i="22"/>
  <c r="T1790" i="12"/>
  <c r="T156" i="10"/>
  <c r="T1353" i="16"/>
  <c r="T1786" i="12"/>
  <c r="T1889" i="16"/>
  <c r="S68" i="18"/>
  <c r="T46" i="10"/>
  <c r="T1777" i="12"/>
  <c r="T1756" i="12"/>
  <c r="T1697" i="12"/>
  <c r="T1836" i="12"/>
  <c r="T356" i="16"/>
  <c r="T116" i="20"/>
  <c r="T63" i="12"/>
  <c r="T362" i="16"/>
  <c r="T12" i="18"/>
  <c r="T1670" i="12"/>
  <c r="T271" i="16"/>
  <c r="T334" i="10"/>
  <c r="T1714" i="12"/>
  <c r="T2031" i="16"/>
  <c r="T1318" i="16"/>
  <c r="T312" i="16" s="1"/>
  <c r="T322" i="16" s="1"/>
  <c r="T76" i="20" s="1"/>
  <c r="T1690" i="12"/>
  <c r="T100" i="20"/>
  <c r="T1640" i="12"/>
  <c r="T455" i="16"/>
  <c r="T134" i="22"/>
  <c r="T74" i="18"/>
  <c r="T421" i="16"/>
  <c r="S33" i="18"/>
  <c r="S38" i="18" s="1"/>
  <c r="T80" i="20"/>
  <c r="T1698" i="12"/>
  <c r="T1736" i="12"/>
  <c r="T420" i="16"/>
  <c r="T438" i="16"/>
  <c r="T93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52" i="20"/>
  <c r="T1794" i="12"/>
  <c r="T85" i="20"/>
  <c r="T1634" i="16"/>
  <c r="T1799" i="12"/>
  <c r="T2057" i="16"/>
  <c r="T1641" i="16"/>
  <c r="T1776" i="12"/>
  <c r="T133" i="20"/>
  <c r="T1700" i="12"/>
  <c r="T581" i="16"/>
  <c r="T354" i="16"/>
  <c r="T1360" i="16"/>
  <c r="T786" i="16"/>
  <c r="T1682" i="12"/>
  <c r="T30" i="16"/>
  <c r="T123" i="20"/>
  <c r="T1749" i="12"/>
  <c r="T1754" i="12"/>
  <c r="T150" i="20"/>
  <c r="S77" i="18"/>
  <c r="T231" i="11"/>
  <c r="T1814" i="12"/>
  <c r="T125" i="22"/>
  <c r="T2085" i="16"/>
  <c r="T156" i="20"/>
  <c r="T196" i="20"/>
  <c r="T170" i="20"/>
  <c r="T32" i="12"/>
  <c r="T1399" i="12"/>
  <c r="T429" i="16"/>
  <c r="T1415" i="16"/>
  <c r="T1746" i="12"/>
  <c r="T2033" i="16"/>
  <c r="T1837" i="16"/>
  <c r="T462" i="16" s="1"/>
  <c r="T1819" i="12"/>
  <c r="T138" i="20"/>
  <c r="T201" i="11"/>
  <c r="T1828" i="12"/>
  <c r="T137" i="20"/>
  <c r="T1743" i="12"/>
  <c r="T620" i="16"/>
  <c r="T454" i="16"/>
  <c r="T1896" i="16"/>
  <c r="T622" i="16"/>
  <c r="T115" i="16"/>
  <c r="S1762" i="12"/>
  <c r="S1875" i="12" s="1"/>
  <c r="S1913" i="12" s="1"/>
  <c r="T1761" i="12"/>
  <c r="S18" i="18"/>
  <c r="S23" i="18" s="1"/>
  <c r="T1394" i="16"/>
  <c r="T269" i="16"/>
  <c r="T328" i="16"/>
  <c r="T82" i="20"/>
  <c r="T103" i="20"/>
  <c r="T1689" i="12"/>
  <c r="T1504" i="16"/>
  <c r="T367" i="16" s="1"/>
  <c r="T161" i="20"/>
  <c r="T1738" i="12"/>
  <c r="T1671" i="12"/>
  <c r="T1834" i="16"/>
  <c r="T459" i="16" s="1"/>
  <c r="T1585" i="16"/>
  <c r="T1679" i="12"/>
  <c r="T128" i="20"/>
  <c r="T117" i="20"/>
  <c r="T1500" i="16"/>
  <c r="T363" i="16" s="1"/>
  <c r="T171" i="20"/>
  <c r="T162" i="11"/>
  <c r="T427" i="16"/>
  <c r="T155" i="20"/>
  <c r="T1827" i="12"/>
  <c r="T72" i="20"/>
  <c r="T615" i="16"/>
  <c r="T1745" i="12"/>
  <c r="T148" i="20"/>
  <c r="T418" i="16"/>
  <c r="T171" i="11"/>
  <c r="T1723" i="12"/>
  <c r="T1742" i="12"/>
  <c r="T2035" i="16"/>
  <c r="T2048" i="16" s="1"/>
  <c r="T1945" i="16"/>
  <c r="T1768" i="12"/>
  <c r="T192" i="20"/>
  <c r="T629" i="12"/>
  <c r="T1716" i="12"/>
  <c r="T147" i="20"/>
  <c r="T1741" i="12"/>
  <c r="T359" i="16"/>
  <c r="T1523" i="16"/>
  <c r="T1780" i="12"/>
  <c r="T68" i="20"/>
  <c r="T63" i="20"/>
  <c r="T1818" i="12"/>
  <c r="T84" i="22"/>
  <c r="T356" i="20"/>
  <c r="T1648" i="16"/>
  <c r="T1381" i="16"/>
  <c r="T922" i="16"/>
  <c r="T363" i="20"/>
  <c r="T1294" i="16"/>
  <c r="S493" i="20"/>
  <c r="S494" i="20" s="1"/>
  <c r="T1589" i="16"/>
  <c r="T2181" i="16" s="1"/>
  <c r="T335" i="20"/>
  <c r="T1287" i="16"/>
  <c r="T898" i="16"/>
  <c r="S896" i="12"/>
  <c r="S916" i="12" s="1"/>
  <c r="S1932" i="12" s="1"/>
  <c r="S1138" i="12"/>
  <c r="S1158" i="12" s="1"/>
  <c r="S1147" i="12"/>
  <c r="S1159" i="12" s="1"/>
  <c r="I144" i="25"/>
  <c r="I225" i="25"/>
  <c r="I264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P1646" i="12"/>
  <c r="S996" i="12"/>
  <c r="S1153" i="12" s="1"/>
  <c r="S1086" i="12"/>
  <c r="S1155" i="12" s="1"/>
  <c r="S963" i="12"/>
  <c r="S1151" i="12" s="1"/>
  <c r="R1917" i="12"/>
  <c r="R1920" i="12" s="1"/>
  <c r="S878" i="12"/>
  <c r="S914" i="12" s="1"/>
  <c r="S1929" i="12" s="1"/>
  <c r="S1120" i="12"/>
  <c r="S1156" i="12" s="1"/>
  <c r="S905" i="12"/>
  <c r="S917" i="12" s="1"/>
  <c r="S1933" i="12" s="1"/>
  <c r="S721" i="12"/>
  <c r="S909" i="12" s="1"/>
  <c r="S1924" i="12" s="1"/>
  <c r="S1041" i="12"/>
  <c r="S1154" i="12" s="1"/>
  <c r="S844" i="12"/>
  <c r="S913" i="12" s="1"/>
  <c r="S1928" i="12" s="1"/>
  <c r="Q1641" i="12"/>
  <c r="Q1651" i="12" s="1"/>
  <c r="S987" i="12"/>
  <c r="S1152" i="12" s="1"/>
  <c r="R1881" i="12"/>
  <c r="R1891" i="12" s="1"/>
  <c r="S2181" i="16"/>
  <c r="S357" i="20"/>
  <c r="S358" i="20" s="1"/>
  <c r="Q1886" i="12"/>
  <c r="R1160" i="12"/>
  <c r="R1170" i="12" s="1"/>
  <c r="R1171" i="12" s="1"/>
  <c r="S846" i="20"/>
  <c r="T845" i="20"/>
  <c r="T847" i="20" s="1"/>
  <c r="J263" i="25"/>
  <c r="J264" i="25"/>
  <c r="I209" i="25"/>
  <c r="I247" i="25" s="1"/>
  <c r="I266" i="25" s="1"/>
  <c r="I274" i="25" s="1"/>
  <c r="J144" i="25"/>
  <c r="J226" i="25"/>
  <c r="J143" i="25"/>
  <c r="J225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T1419" i="16"/>
  <c r="S1432" i="16"/>
  <c r="J936" i="20" a="1"/>
  <c r="J936" i="20" s="1"/>
  <c r="D940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S365" i="20"/>
  <c r="S364" i="20"/>
  <c r="P179" i="16"/>
  <c r="P169" i="16"/>
  <c r="O186" i="16"/>
  <c r="O60" i="10" s="1"/>
  <c r="L80" i="16"/>
  <c r="N84" i="16"/>
  <c r="O86" i="16"/>
  <c r="O83" i="16"/>
  <c r="R894" i="16"/>
  <c r="S1315" i="16"/>
  <c r="T1315" i="16" s="1"/>
  <c r="T2140" i="16" s="1"/>
  <c r="R1316" i="16"/>
  <c r="S1888" i="16"/>
  <c r="R1420" i="16"/>
  <c r="R1421" i="16" s="1"/>
  <c r="Q333" i="16"/>
  <c r="U380" i="10"/>
  <c r="U370" i="10"/>
  <c r="M916" i="20"/>
  <c r="M917" i="20" s="1"/>
  <c r="S1894" i="16"/>
  <c r="T1893" i="16"/>
  <c r="S1453" i="16"/>
  <c r="S1454" i="16" s="1"/>
  <c r="S479" i="20"/>
  <c r="S480" i="20" s="1"/>
  <c r="T1452" i="16"/>
  <c r="T2162" i="16" s="1"/>
  <c r="F1363" i="16"/>
  <c r="O908" i="20"/>
  <c r="O910" i="20" s="1"/>
  <c r="M909" i="20"/>
  <c r="M910" i="20" s="1"/>
  <c r="O1337" i="16"/>
  <c r="P1336" i="16"/>
  <c r="P2143" i="16" s="1"/>
  <c r="L2145" i="16"/>
  <c r="Q1475" i="16"/>
  <c r="L1357" i="16"/>
  <c r="L1352" i="16"/>
  <c r="M1350" i="16"/>
  <c r="N1350" i="16" s="1"/>
  <c r="O1350" i="16" s="1"/>
  <c r="Q1165" i="12"/>
  <c r="Q1172" i="12" s="1"/>
  <c r="S1393" i="16"/>
  <c r="S1468" i="16"/>
  <c r="N1205" i="16"/>
  <c r="N1206" i="16" s="1"/>
  <c r="O1204" i="16"/>
  <c r="O2123" i="16" s="1"/>
  <c r="R246" i="20"/>
  <c r="S1407" i="16"/>
  <c r="P1598" i="16"/>
  <c r="Q1598" i="16" s="1"/>
  <c r="P1178" i="16"/>
  <c r="M2144" i="16"/>
  <c r="S1584" i="16"/>
  <c r="S1414" i="16"/>
  <c r="Q1324" i="16"/>
  <c r="M1344" i="16"/>
  <c r="M1345" i="16" s="1"/>
  <c r="R1591" i="16"/>
  <c r="S1916" i="16"/>
  <c r="P1482" i="16"/>
  <c r="S1577" i="16"/>
  <c r="O1605" i="16"/>
  <c r="P1930" i="16"/>
  <c r="O1338" i="16"/>
  <c r="T1603" i="16"/>
  <c r="M1944" i="16"/>
  <c r="N1944" i="16" s="1"/>
  <c r="R1570" i="16"/>
  <c r="S1570" i="16" s="1"/>
  <c r="O1489" i="16"/>
  <c r="P1489" i="16" s="1"/>
  <c r="M1496" i="16"/>
  <c r="N1496" i="16" s="1"/>
  <c r="R1400" i="16"/>
  <c r="S1400" i="16" s="1"/>
  <c r="R1317" i="16"/>
  <c r="O1192" i="16"/>
  <c r="P1192" i="16" s="1"/>
  <c r="D1371" i="16"/>
  <c r="F1370" i="16" s="1"/>
  <c r="P1331" i="16"/>
  <c r="Q1331" i="16" s="1"/>
  <c r="P1343" i="16"/>
  <c r="Q1343" i="16" s="1"/>
  <c r="S1908" i="16"/>
  <c r="S1909" i="16" s="1"/>
  <c r="T1907" i="16"/>
  <c r="T2226" i="16" s="1"/>
  <c r="D1638" i="16"/>
  <c r="F1637" i="16" s="1"/>
  <c r="K1638" i="16" s="1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59" i="16"/>
  <c r="Q57" i="16" s="1"/>
  <c r="Q2254" i="16" s="1"/>
  <c r="Q2266" i="16" s="1"/>
  <c r="P2278" i="16"/>
  <c r="P60" i="16" s="1"/>
  <c r="P87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N2257" i="16" s="1"/>
  <c r="N91" i="16" s="1"/>
  <c r="N101" i="12" s="1"/>
  <c r="M2273" i="16"/>
  <c r="M2269" i="16"/>
  <c r="T377" i="20"/>
  <c r="P385" i="20"/>
  <c r="Q385" i="20" s="1"/>
  <c r="R385" i="20" s="1"/>
  <c r="R386" i="20" s="1"/>
  <c r="O379" i="20"/>
  <c r="P378" i="20"/>
  <c r="Q378" i="20" s="1"/>
  <c r="N400" i="20"/>
  <c r="N399" i="20"/>
  <c r="O399" i="20" s="1"/>
  <c r="P398" i="20"/>
  <c r="Q398" i="20" s="1"/>
  <c r="R391" i="20"/>
  <c r="S391" i="20" s="1"/>
  <c r="P1184" i="16"/>
  <c r="T370" i="20"/>
  <c r="N393" i="20"/>
  <c r="O392" i="20"/>
  <c r="O1200" i="16"/>
  <c r="P1197" i="16"/>
  <c r="P2122" i="16" s="1"/>
  <c r="N412" i="20"/>
  <c r="N414" i="20" s="1"/>
  <c r="O1198" i="16"/>
  <c r="O1199" i="16" s="1"/>
  <c r="M940" i="16"/>
  <c r="N940" i="16" s="1"/>
  <c r="L1219" i="16"/>
  <c r="L1220" i="16"/>
  <c r="S371" i="20"/>
  <c r="N406" i="20"/>
  <c r="O406" i="20" s="1"/>
  <c r="O407" i="20" s="1"/>
  <c r="M413" i="20"/>
  <c r="M1212" i="16"/>
  <c r="M1213" i="16" s="1"/>
  <c r="N1211" i="16"/>
  <c r="N2124" i="16" s="1"/>
  <c r="L1225" i="16"/>
  <c r="L2126" i="16" s="1"/>
  <c r="L426" i="20"/>
  <c r="L427" i="20" s="1"/>
  <c r="N407" i="20"/>
  <c r="P405" i="20"/>
  <c r="L946" i="16"/>
  <c r="L947" i="16" s="1"/>
  <c r="M1214" i="16"/>
  <c r="L421" i="20"/>
  <c r="M419" i="20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/>
  <c r="D962" i="16"/>
  <c r="C964" i="16"/>
  <c r="B961" i="16"/>
  <c r="D967" i="16"/>
  <c r="J966" i="16"/>
  <c r="E963" i="16"/>
  <c r="D957" i="16"/>
  <c r="P393" i="20"/>
  <c r="R379" i="20"/>
  <c r="O1221" i="16"/>
  <c r="K1226" i="16"/>
  <c r="K1227" i="16" s="1"/>
  <c r="K1228" i="16"/>
  <c r="K258" i="16" s="1"/>
  <c r="T1249" i="16"/>
  <c r="S1249" i="16"/>
  <c r="E1244" i="16"/>
  <c r="F1244" i="16" s="1"/>
  <c r="R1249" i="16"/>
  <c r="D1244" i="16"/>
  <c r="D1250" i="16"/>
  <c r="Q1249" i="16"/>
  <c r="P1249" i="16"/>
  <c r="E1245" i="16"/>
  <c r="D1231" i="16"/>
  <c r="D1232" i="16" s="1"/>
  <c r="F1231" i="16" s="1"/>
  <c r="K1232" i="16"/>
  <c r="K2127" i="16" s="1"/>
  <c r="P1242" i="16"/>
  <c r="E1238" i="16"/>
  <c r="T1242" i="16"/>
  <c r="S1242" i="16"/>
  <c r="E1237" i="16"/>
  <c r="F1237" i="16" s="1"/>
  <c r="R1242" i="16"/>
  <c r="Q1242" i="16"/>
  <c r="D1237" i="16"/>
  <c r="S472" i="20"/>
  <c r="K433" i="20"/>
  <c r="K434" i="20" s="1"/>
  <c r="K428" i="20"/>
  <c r="C438" i="20"/>
  <c r="D437" i="20"/>
  <c r="C444" i="20"/>
  <c r="C446" i="20" s="1"/>
  <c r="C447" i="20" s="1"/>
  <c r="C699" i="20"/>
  <c r="D699" i="20"/>
  <c r="D664" i="20"/>
  <c r="E664" i="20" s="1"/>
  <c r="C664" i="20"/>
  <c r="D657" i="20"/>
  <c r="E657" i="20" s="1"/>
  <c r="C657" i="20"/>
  <c r="D605" i="20"/>
  <c r="C605" i="20"/>
  <c r="C598" i="20"/>
  <c r="D816" i="20" s="1"/>
  <c r="D598" i="20"/>
  <c r="D830" i="20"/>
  <c r="C591" i="20"/>
  <c r="D591" i="20"/>
  <c r="E591" i="20" s="1"/>
  <c r="D578" i="20"/>
  <c r="D577" i="20"/>
  <c r="E577" i="20" s="1"/>
  <c r="C577" i="20"/>
  <c r="Q2274" i="16"/>
  <c r="R25" i="16"/>
  <c r="S329" i="20"/>
  <c r="S330" i="20" s="1"/>
  <c r="T499" i="20"/>
  <c r="S500" i="20"/>
  <c r="S501" i="20" s="1"/>
  <c r="R918" i="12"/>
  <c r="R928" i="12" s="1"/>
  <c r="R929" i="12" s="1"/>
  <c r="R1931" i="12"/>
  <c r="R1934" i="12" s="1"/>
  <c r="T1561" i="16"/>
  <c r="T2177" i="16" s="1"/>
  <c r="S1562" i="16"/>
  <c r="S1563" i="16" s="1"/>
  <c r="O216" i="10"/>
  <c r="O360" i="10" s="1"/>
  <c r="P216" i="10"/>
  <c r="P360" i="10" s="1"/>
  <c r="Q152" i="16"/>
  <c r="M918" i="16"/>
  <c r="O541" i="20"/>
  <c r="P541" i="20" s="1"/>
  <c r="P543" i="20" s="1"/>
  <c r="N542" i="20"/>
  <c r="N923" i="16"/>
  <c r="O923" i="16" s="1"/>
  <c r="P923" i="16" s="1"/>
  <c r="Q923" i="16" s="1"/>
  <c r="R923" i="16" s="1"/>
  <c r="S923" i="16" s="1"/>
  <c r="S336" i="20"/>
  <c r="S337" i="20" s="1"/>
  <c r="M929" i="16"/>
  <c r="O928" i="16"/>
  <c r="O2231" i="16"/>
  <c r="Q146" i="16"/>
  <c r="Q162" i="16" s="1"/>
  <c r="N1624" i="16"/>
  <c r="N2186" i="16" s="1"/>
  <c r="L2186" i="16"/>
  <c r="N2184" i="16"/>
  <c r="L1626" i="16"/>
  <c r="N1611" i="16"/>
  <c r="O1611" i="16" s="1"/>
  <c r="L1625" i="16"/>
  <c r="M1625" i="16" s="1"/>
  <c r="O1943" i="16"/>
  <c r="P1943" i="16" s="1"/>
  <c r="Q1943" i="16" s="1"/>
  <c r="Q535" i="20"/>
  <c r="Q521" i="20"/>
  <c r="R527" i="20"/>
  <c r="S527" i="20" s="1"/>
  <c r="T527" i="20" s="1"/>
  <c r="P529" i="20"/>
  <c r="P528" i="20"/>
  <c r="Q528" i="20" s="1"/>
  <c r="R888" i="16"/>
  <c r="O1936" i="16"/>
  <c r="P1936" i="16" s="1"/>
  <c r="R520" i="20"/>
  <c r="S520" i="20" s="1"/>
  <c r="S522" i="20" s="1"/>
  <c r="Q522" i="20"/>
  <c r="O917" i="20"/>
  <c r="Q1935" i="16"/>
  <c r="Q2230" i="16" s="1"/>
  <c r="P2230" i="16"/>
  <c r="R534" i="20"/>
  <c r="R536" i="20" s="1"/>
  <c r="Q915" i="20"/>
  <c r="Q917" i="20" s="1"/>
  <c r="S901" i="20"/>
  <c r="T901" i="20" s="1"/>
  <c r="L562" i="20"/>
  <c r="M562" i="20" s="1"/>
  <c r="N917" i="20"/>
  <c r="Q1488" i="16"/>
  <c r="K563" i="20"/>
  <c r="K564" i="20" s="1"/>
  <c r="R902" i="20"/>
  <c r="E568" i="20"/>
  <c r="K569" i="20" s="1"/>
  <c r="C954" i="20"/>
  <c r="D948" i="20"/>
  <c r="E948" i="20" s="1"/>
  <c r="C949" i="20"/>
  <c r="C950" i="20" s="1"/>
  <c r="C948" i="20"/>
  <c r="N1617" i="16"/>
  <c r="O1617" i="16" s="1"/>
  <c r="P917" i="20"/>
  <c r="R896" i="20"/>
  <c r="R895" i="20"/>
  <c r="S895" i="20" s="1"/>
  <c r="R903" i="20"/>
  <c r="Q2229" i="16"/>
  <c r="R1928" i="16"/>
  <c r="R2229" i="16" s="1"/>
  <c r="L1631" i="16"/>
  <c r="M1631" i="16" s="1"/>
  <c r="N1631" i="16" s="1"/>
  <c r="K1632" i="16"/>
  <c r="K1633" i="16" s="1"/>
  <c r="P1494" i="16"/>
  <c r="K2187" i="16"/>
  <c r="P2231" i="16"/>
  <c r="R1942" i="16"/>
  <c r="O2230" i="16"/>
  <c r="O2168" i="16"/>
  <c r="O1495" i="16"/>
  <c r="T1480" i="16"/>
  <c r="P1610" i="16"/>
  <c r="R1487" i="16"/>
  <c r="Q906" i="16"/>
  <c r="S881" i="16"/>
  <c r="R882" i="16"/>
  <c r="R900" i="16"/>
  <c r="S905" i="16"/>
  <c r="S1460" i="16"/>
  <c r="S1461" i="16" s="1"/>
  <c r="S332" i="16"/>
  <c r="N2144" i="16"/>
  <c r="M1618" i="16"/>
  <c r="M1619" i="16" s="1"/>
  <c r="S462" i="20"/>
  <c r="S463" i="20" s="1"/>
  <c r="S1590" i="16"/>
  <c r="M2186" i="16"/>
  <c r="Q2231" i="16"/>
  <c r="P1604" i="16"/>
  <c r="R1330" i="16"/>
  <c r="S1330" i="16" s="1"/>
  <c r="P2183" i="16"/>
  <c r="M2185" i="16"/>
  <c r="R2182" i="16"/>
  <c r="Q1929" i="16"/>
  <c r="R1648" i="16"/>
  <c r="L1648" i="16"/>
  <c r="B1642" i="16"/>
  <c r="M1648" i="16"/>
  <c r="K1648" i="16"/>
  <c r="E1644" i="16"/>
  <c r="D1644" i="16" s="1"/>
  <c r="N1648" i="16"/>
  <c r="Q1648" i="16"/>
  <c r="D1649" i="16"/>
  <c r="O1648" i="16"/>
  <c r="E1643" i="16"/>
  <c r="F1643" i="16" s="1"/>
  <c r="D1643" i="16"/>
  <c r="P1648" i="16"/>
  <c r="S1648" i="16"/>
  <c r="R1597" i="16"/>
  <c r="Q2166" i="16"/>
  <c r="Q1481" i="16"/>
  <c r="R2142" i="16"/>
  <c r="K1371" i="16"/>
  <c r="R2141" i="16"/>
  <c r="R1323" i="16"/>
  <c r="E1376" i="16"/>
  <c r="F1376" i="16" s="1"/>
  <c r="D1376" i="16"/>
  <c r="B1375" i="16"/>
  <c r="E1377" i="16"/>
  <c r="D1377" i="16" s="1"/>
  <c r="K1381" i="16"/>
  <c r="L1381" i="16"/>
  <c r="M1381" i="16"/>
  <c r="N1381" i="16"/>
  <c r="O1381" i="16"/>
  <c r="P1381" i="16"/>
  <c r="Q1381" i="16"/>
  <c r="R1381" i="16"/>
  <c r="S1381" i="16"/>
  <c r="R2165" i="16"/>
  <c r="R1474" i="16"/>
  <c r="T2086" i="16"/>
  <c r="U38" i="22"/>
  <c r="U106" i="11" s="1"/>
  <c r="V33" i="22"/>
  <c r="V37" i="22" s="1"/>
  <c r="V52" i="22"/>
  <c r="V56" i="22" s="1"/>
  <c r="V57" i="22" s="1"/>
  <c r="V58" i="22" s="1"/>
  <c r="T67" i="22"/>
  <c r="T92" i="12" s="1"/>
  <c r="V62" i="22"/>
  <c r="U66" i="22"/>
  <c r="X22" i="20"/>
  <c r="S2075" i="16"/>
  <c r="S2089" i="16"/>
  <c r="X15" i="22"/>
  <c r="X17" i="22" s="1"/>
  <c r="T200" i="18"/>
  <c r="U200" i="18" s="1"/>
  <c r="T199" i="18"/>
  <c r="S201" i="18"/>
  <c r="T2076" i="16" l="1"/>
  <c r="T2046" i="16"/>
  <c r="T2077" i="16"/>
  <c r="T2054" i="16"/>
  <c r="T2045" i="16"/>
  <c r="S2086" i="16"/>
  <c r="S2096" i="16" s="1"/>
  <c r="T2074" i="16"/>
  <c r="R2082" i="16"/>
  <c r="R256" i="20" s="1"/>
  <c r="T2081" i="16"/>
  <c r="T2061" i="16"/>
  <c r="T2089" i="16" s="1"/>
  <c r="T2050" i="16"/>
  <c r="T1283" i="16"/>
  <c r="S2115" i="16"/>
  <c r="S1151" i="16"/>
  <c r="T776" i="16"/>
  <c r="T238" i="20" s="1"/>
  <c r="T744" i="16"/>
  <c r="T206" i="20" s="1"/>
  <c r="P52" i="10"/>
  <c r="P340" i="10" s="1"/>
  <c r="T92" i="10"/>
  <c r="T91" i="10" s="1"/>
  <c r="T105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69" i="16"/>
  <c r="T2118" i="16" s="1"/>
  <c r="S1170" i="16"/>
  <c r="S1163" i="16"/>
  <c r="T1162" i="16"/>
  <c r="T2117" i="16" s="1"/>
  <c r="T1141" i="16"/>
  <c r="T2114" i="16" s="1"/>
  <c r="S1142" i="16"/>
  <c r="Q1178" i="16"/>
  <c r="Q1184" i="16"/>
  <c r="T1148" i="16"/>
  <c r="R1176" i="16"/>
  <c r="R2119" i="16" s="1"/>
  <c r="Q1177" i="16"/>
  <c r="R1183" i="16"/>
  <c r="R2120" i="16" s="1"/>
  <c r="T1134" i="16"/>
  <c r="T2113" i="16" s="1"/>
  <c r="S1171" i="16"/>
  <c r="S1135" i="16"/>
  <c r="Q1191" i="16"/>
  <c r="Q1192" i="16" s="1"/>
  <c r="Q2121" i="16"/>
  <c r="O1207" i="16"/>
  <c r="O255" i="16" s="1"/>
  <c r="R1190" i="16"/>
  <c r="L1228" i="16"/>
  <c r="L258" i="16" s="1"/>
  <c r="N1214" i="16"/>
  <c r="N256" i="16" s="1"/>
  <c r="S1447" i="16"/>
  <c r="R1150" i="16"/>
  <c r="S1149" i="16"/>
  <c r="T2136" i="16"/>
  <c r="S2078" i="16"/>
  <c r="S2082" i="16" s="1"/>
  <c r="S256" i="20" s="1"/>
  <c r="T2064" i="16"/>
  <c r="T2092" i="16" s="1"/>
  <c r="S876" i="16"/>
  <c r="K127" i="25"/>
  <c r="K135" i="25" s="1"/>
  <c r="K146" i="25" s="1"/>
  <c r="K154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Q923" i="12"/>
  <c r="Q931" i="12" s="1"/>
  <c r="P931" i="12"/>
  <c r="S1433" i="16"/>
  <c r="T2059" i="16"/>
  <c r="T2087" i="16" s="1"/>
  <c r="S1440" i="16"/>
  <c r="S1303" i="16"/>
  <c r="S1289" i="16"/>
  <c r="L1358" i="16"/>
  <c r="S1310" i="16"/>
  <c r="T1310" i="16" s="1"/>
  <c r="S1282" i="16"/>
  <c r="L1364" i="16"/>
  <c r="L2147" i="16" s="1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S1164" i="16"/>
  <c r="K66" i="25"/>
  <c r="T594" i="12"/>
  <c r="T265" i="16"/>
  <c r="T53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R1406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S1401" i="12"/>
  <c r="S1411" i="12" s="1"/>
  <c r="S1412" i="12" s="1"/>
  <c r="S257" i="20" s="1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733" i="12"/>
  <c r="U741" i="12"/>
  <c r="U730" i="12"/>
  <c r="U738" i="12"/>
  <c r="U727" i="12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47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711" i="12"/>
  <c r="U715" i="12"/>
  <c r="U719" i="12"/>
  <c r="U702" i="12"/>
  <c r="U1185" i="12" s="1"/>
  <c r="U706" i="12"/>
  <c r="U710" i="12"/>
  <c r="U714" i="12"/>
  <c r="U718" i="12"/>
  <c r="U720" i="12"/>
  <c r="U705" i="12"/>
  <c r="U1188" i="12" s="1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196" i="20"/>
  <c r="U1788" i="12"/>
  <c r="U84" i="22"/>
  <c r="T2088" i="16"/>
  <c r="U197" i="16"/>
  <c r="U59" i="20"/>
  <c r="U117" i="20"/>
  <c r="U1835" i="16"/>
  <c r="U460" i="16" s="1"/>
  <c r="U190" i="10"/>
  <c r="U1582" i="16"/>
  <c r="U2180" i="16" s="1"/>
  <c r="U127" i="20"/>
  <c r="U146" i="20"/>
  <c r="U124" i="20"/>
  <c r="U1878" i="12"/>
  <c r="U1916" i="12" s="1"/>
  <c r="U1399" i="12"/>
  <c r="U134" i="20"/>
  <c r="U170" i="20"/>
  <c r="U1812" i="12"/>
  <c r="T2053" i="16"/>
  <c r="U898" i="16"/>
  <c r="T2080" i="16"/>
  <c r="T1156" i="16"/>
  <c r="U1339" i="16"/>
  <c r="U1737" i="12"/>
  <c r="U114" i="12"/>
  <c r="U2040" i="16"/>
  <c r="U1671" i="12"/>
  <c r="U1290" i="16"/>
  <c r="U616" i="16"/>
  <c r="U1421" i="12"/>
  <c r="U1452" i="12" s="1"/>
  <c r="U1476" i="16"/>
  <c r="U1665" i="12"/>
  <c r="U1814" i="12"/>
  <c r="U115" i="22"/>
  <c r="U125" i="20"/>
  <c r="U1825" i="12"/>
  <c r="V28" i="8"/>
  <c r="U95" i="11"/>
  <c r="U273" i="16"/>
  <c r="U1791" i="12"/>
  <c r="U1849" i="16"/>
  <c r="U1620" i="16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62" i="20"/>
  <c r="U1760" i="12"/>
  <c r="U698" i="12"/>
  <c r="U131" i="20"/>
  <c r="U325" i="16"/>
  <c r="U1798" i="12"/>
  <c r="U420" i="16"/>
  <c r="U1655" i="16"/>
  <c r="U119" i="16"/>
  <c r="U1828" i="12"/>
  <c r="U123" i="20"/>
  <c r="U1750" i="12"/>
  <c r="U1880" i="12"/>
  <c r="U1919" i="12" s="1"/>
  <c r="U355" i="16"/>
  <c r="U1889" i="16"/>
  <c r="U66" i="20"/>
  <c r="U1743" i="12"/>
  <c r="U1434" i="16"/>
  <c r="U173" i="20"/>
  <c r="U1782" i="12"/>
  <c r="U280" i="16"/>
  <c r="U171" i="20"/>
  <c r="U152" i="20"/>
  <c r="U20" i="22"/>
  <c r="U1441" i="16"/>
  <c r="U1678" i="12"/>
  <c r="U22" i="16"/>
  <c r="U1311" i="16"/>
  <c r="U231" i="11"/>
  <c r="U1677" i="12"/>
  <c r="U427" i="16"/>
  <c r="U431" i="16"/>
  <c r="U155" i="20"/>
  <c r="U1669" i="12"/>
  <c r="U579" i="16"/>
  <c r="U1823" i="12"/>
  <c r="U1648" i="16"/>
  <c r="U1181" i="12"/>
  <c r="U71" i="20"/>
  <c r="U443" i="16"/>
  <c r="U1783" i="12"/>
  <c r="U1599" i="16"/>
  <c r="U451" i="16"/>
  <c r="U1790" i="12"/>
  <c r="U1523" i="16"/>
  <c r="U85" i="20"/>
  <c r="U618" i="16"/>
  <c r="U1592" i="16"/>
  <c r="U521" i="16" s="1"/>
  <c r="U363" i="20"/>
  <c r="U446" i="16"/>
  <c r="U70" i="22"/>
  <c r="U1817" i="12"/>
  <c r="U1835" i="12"/>
  <c r="U1725" i="12"/>
  <c r="U12" i="12"/>
  <c r="U698" i="16"/>
  <c r="U1346" i="16"/>
  <c r="U180" i="11"/>
  <c r="U240" i="11"/>
  <c r="U1639" i="12"/>
  <c r="U1837" i="16"/>
  <c r="U462" i="16" s="1"/>
  <c r="U1644" i="12"/>
  <c r="U1775" i="12"/>
  <c r="U26" i="22"/>
  <c r="U188" i="20"/>
  <c r="U35" i="11"/>
  <c r="U58" i="20"/>
  <c r="U1774" i="12"/>
  <c r="U580" i="16"/>
  <c r="U100" i="12"/>
  <c r="U1729" i="12"/>
  <c r="U1752" i="12"/>
  <c r="U450" i="16"/>
  <c r="U197" i="20"/>
  <c r="U1415" i="16"/>
  <c r="U1753" i="12"/>
  <c r="U1693" i="12"/>
  <c r="U435" i="16"/>
  <c r="U624" i="16"/>
  <c r="U65" i="20"/>
  <c r="U1585" i="16"/>
  <c r="U1667" i="12"/>
  <c r="U1696" i="12"/>
  <c r="U1728" i="12"/>
  <c r="U623" i="16"/>
  <c r="U68" i="20"/>
  <c r="U1374" i="16"/>
  <c r="U63" i="12"/>
  <c r="U1700" i="12"/>
  <c r="U1732" i="12"/>
  <c r="U455" i="16"/>
  <c r="U189" i="20"/>
  <c r="U156" i="10"/>
  <c r="U940" i="12"/>
  <c r="U354" i="16"/>
  <c r="U359" i="16"/>
  <c r="U130" i="20"/>
  <c r="U12" i="18"/>
  <c r="U1722" i="12"/>
  <c r="U1805" i="12"/>
  <c r="U425" i="16"/>
  <c r="U63" i="18"/>
  <c r="U1801" i="12"/>
  <c r="U1503" i="16"/>
  <c r="U366" i="16" s="1"/>
  <c r="U413" i="10"/>
  <c r="U1886" i="16"/>
  <c r="U2223" i="16" s="1"/>
  <c r="U106" i="16"/>
  <c r="U207" i="16"/>
  <c r="U622" i="16"/>
  <c r="U139" i="20"/>
  <c r="U1400" i="12"/>
  <c r="U1682" i="12"/>
  <c r="U430" i="16"/>
  <c r="U452" i="16"/>
  <c r="U32" i="22"/>
  <c r="U1469" i="16"/>
  <c r="U396" i="16" s="1"/>
  <c r="U406" i="16" s="1"/>
  <c r="U112" i="20" s="1"/>
  <c r="U1749" i="12"/>
  <c r="U1839" i="12"/>
  <c r="U432" i="16"/>
  <c r="U2035" i="16"/>
  <c r="U2061" i="16" s="1"/>
  <c r="U2089" i="16" s="1"/>
  <c r="U176" i="20"/>
  <c r="U1917" i="16"/>
  <c r="U426" i="16"/>
  <c r="U1826" i="12"/>
  <c r="U1840" i="12"/>
  <c r="U575" i="16"/>
  <c r="U151" i="20"/>
  <c r="U1661" i="12"/>
  <c r="U1830" i="12"/>
  <c r="U30" i="16"/>
  <c r="U103" i="20"/>
  <c r="U80" i="20"/>
  <c r="U1557" i="16"/>
  <c r="U1157" i="12"/>
  <c r="U1795" i="12"/>
  <c r="U421" i="16"/>
  <c r="U195" i="20"/>
  <c r="U1530" i="16"/>
  <c r="U1501" i="16"/>
  <c r="U364" i="16" s="1"/>
  <c r="U1714" i="12"/>
  <c r="U564" i="16"/>
  <c r="U1571" i="16"/>
  <c r="U1770" i="12"/>
  <c r="U361" i="16"/>
  <c r="U1144" i="16"/>
  <c r="U101" i="16"/>
  <c r="U115" i="16"/>
  <c r="U335" i="20"/>
  <c r="U422" i="16"/>
  <c r="U1837" i="12"/>
  <c r="U120" i="20"/>
  <c r="U160" i="20"/>
  <c r="U1638" i="12"/>
  <c r="U1779" i="12"/>
  <c r="U272" i="16"/>
  <c r="U49" i="20"/>
  <c r="U156" i="20"/>
  <c r="U1360" i="16"/>
  <c r="U1666" i="12"/>
  <c r="U1702" i="12"/>
  <c r="U274" i="16"/>
  <c r="U2057" i="16"/>
  <c r="U126" i="20"/>
  <c r="U1836" i="16"/>
  <c r="U461" i="16" s="1"/>
  <c r="U1741" i="12"/>
  <c r="U1697" i="12"/>
  <c r="U358" i="16"/>
  <c r="U2031" i="16"/>
  <c r="U178" i="20"/>
  <c r="U1641" i="16"/>
  <c r="U1757" i="12"/>
  <c r="U1701" i="12"/>
  <c r="U362" i="16"/>
  <c r="U2033" i="16"/>
  <c r="U2046" i="16" s="1"/>
  <c r="U118" i="20"/>
  <c r="U1613" i="16"/>
  <c r="U1672" i="12"/>
  <c r="U1735" i="12"/>
  <c r="U329" i="16"/>
  <c r="U136" i="20"/>
  <c r="U1455" i="16"/>
  <c r="U96" i="20"/>
  <c r="U1739" i="12"/>
  <c r="U625" i="16"/>
  <c r="U1634" i="16"/>
  <c r="U1771" i="12"/>
  <c r="U444" i="16"/>
  <c r="U1401" i="16"/>
  <c r="U103" i="16"/>
  <c r="U1480" i="16"/>
  <c r="U1228" i="16"/>
  <c r="U127" i="16"/>
  <c r="U1459" i="16"/>
  <c r="U2163" i="16" s="1"/>
  <c r="U94" i="20"/>
  <c r="U127" i="10"/>
  <c r="U1730" i="12"/>
  <c r="U70" i="16"/>
  <c r="U12" i="20"/>
  <c r="U25" i="20" s="1"/>
  <c r="U1188" i="20" s="1"/>
  <c r="U1222" i="20" s="1"/>
  <c r="U1235" i="20" s="1"/>
  <c r="U1248" i="20" s="1"/>
  <c r="U441" i="16"/>
  <c r="U148" i="20"/>
  <c r="U1516" i="16"/>
  <c r="U418" i="16"/>
  <c r="U275" i="16"/>
  <c r="U1751" i="12"/>
  <c r="U445" i="16"/>
  <c r="U2039" i="16"/>
  <c r="U2065" i="16" s="1"/>
  <c r="U2093" i="16" s="1"/>
  <c r="U147" i="20"/>
  <c r="U1404" i="12"/>
  <c r="U1879" i="12"/>
  <c r="U1918" i="12" s="1"/>
  <c r="U1724" i="12"/>
  <c r="U573" i="16"/>
  <c r="U138" i="20"/>
  <c r="U116" i="18"/>
  <c r="U161" i="20"/>
  <c r="U1777" i="12"/>
  <c r="U1727" i="12"/>
  <c r="U439" i="16"/>
  <c r="U2071" i="16"/>
  <c r="U175" i="20"/>
  <c r="U1896" i="16"/>
  <c r="U1793" i="12"/>
  <c r="U1731" i="12"/>
  <c r="U281" i="16"/>
  <c r="U2034" i="16"/>
  <c r="U191" i="20"/>
  <c r="U1490" i="16"/>
  <c r="U1675" i="12"/>
  <c r="U1768" i="12"/>
  <c r="U577" i="16"/>
  <c r="U187" i="20"/>
  <c r="U1462" i="16"/>
  <c r="U1785" i="12"/>
  <c r="U1683" i="12"/>
  <c r="U116" i="20"/>
  <c r="U1903" i="16"/>
  <c r="U1827" i="12"/>
  <c r="U119" i="20"/>
  <c r="U35" i="20"/>
  <c r="U117" i="16"/>
  <c r="U478" i="20"/>
  <c r="U42" i="12"/>
  <c r="U242" i="10"/>
  <c r="U1733" i="12"/>
  <c r="U128" i="20"/>
  <c r="U1738" i="12"/>
  <c r="U1756" i="12"/>
  <c r="U456" i="16"/>
  <c r="U102" i="20"/>
  <c r="U90" i="22"/>
  <c r="U32" i="12"/>
  <c r="U1670" i="12"/>
  <c r="U1759" i="12"/>
  <c r="U278" i="16"/>
  <c r="U144" i="20"/>
  <c r="U74" i="18"/>
  <c r="U44" i="11"/>
  <c r="U1674" i="12"/>
  <c r="U1815" i="12"/>
  <c r="U216" i="16"/>
  <c r="U69" i="20"/>
  <c r="U142" i="20"/>
  <c r="U74" i="11"/>
  <c r="U1789" i="12"/>
  <c r="U1800" i="12"/>
  <c r="U179" i="20"/>
  <c r="U137" i="20"/>
  <c r="U1297" i="16"/>
  <c r="U1680" i="12"/>
  <c r="U1820" i="12"/>
  <c r="U192" i="20"/>
  <c r="U104" i="11"/>
  <c r="U1690" i="12"/>
  <c r="U172" i="20"/>
  <c r="U915" i="12"/>
  <c r="U1930" i="12" s="1"/>
  <c r="U47" i="20"/>
  <c r="U215" i="16"/>
  <c r="U1394" i="16"/>
  <c r="U2085" i="16"/>
  <c r="U1304" i="16"/>
  <c r="U53" i="11"/>
  <c r="U437" i="16"/>
  <c r="U98" i="10"/>
  <c r="U169" i="20"/>
  <c r="U1627" i="16"/>
  <c r="U1806" i="12"/>
  <c r="U1698" i="12"/>
  <c r="U72" i="20"/>
  <c r="U41" i="22"/>
  <c r="U1822" i="12"/>
  <c r="U1836" i="12"/>
  <c r="U615" i="16"/>
  <c r="U60" i="20"/>
  <c r="U12" i="10"/>
  <c r="U629" i="12"/>
  <c r="U1761" i="12"/>
  <c r="U46" i="16"/>
  <c r="U198" i="16"/>
  <c r="U122" i="20"/>
  <c r="U96" i="22"/>
  <c r="U91" i="12"/>
  <c r="U1773" i="12"/>
  <c r="U438" i="16"/>
  <c r="U1833" i="16"/>
  <c r="U458" i="16" s="1"/>
  <c r="U64" i="20"/>
  <c r="U190" i="20"/>
  <c r="U201" i="11"/>
  <c r="U1704" i="12"/>
  <c r="U1736" i="12"/>
  <c r="U177" i="20"/>
  <c r="U150" i="20"/>
  <c r="U1606" i="16"/>
  <c r="U1676" i="12"/>
  <c r="U360" i="16"/>
  <c r="U121" i="20"/>
  <c r="U1163" i="12"/>
  <c r="U1824" i="12"/>
  <c r="U135" i="20"/>
  <c r="U37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T350" i="20"/>
  <c r="T351" i="20" s="1"/>
  <c r="J217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28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486" i="20"/>
  <c r="T487" i="20" s="1"/>
  <c r="T1546" i="12"/>
  <c r="T1475" i="12"/>
  <c r="T1435" i="12"/>
  <c r="T1596" i="12"/>
  <c r="T1437" i="12"/>
  <c r="T1566" i="12"/>
  <c r="T364" i="20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493" i="20"/>
  <c r="T494" i="20" s="1"/>
  <c r="T1446" i="16"/>
  <c r="T116" i="12"/>
  <c r="L77" i="25"/>
  <c r="L13" i="25"/>
  <c r="L52" i="25" s="1"/>
  <c r="T161" i="12"/>
  <c r="U208" i="16"/>
  <c r="U206" i="16"/>
  <c r="U111" i="16"/>
  <c r="U129" i="16"/>
  <c r="U118" i="16"/>
  <c r="U116" i="16"/>
  <c r="U48" i="20"/>
  <c r="U42" i="20"/>
  <c r="U1193" i="16"/>
  <c r="U253" i="16" s="1"/>
  <c r="U461" i="20"/>
  <c r="U506" i="20"/>
  <c r="U508" i="20" s="1"/>
  <c r="U29" i="8"/>
  <c r="U127" i="8" s="1"/>
  <c r="U100" i="16"/>
  <c r="U1952" i="16"/>
  <c r="U1325" i="16"/>
  <c r="U83" i="18"/>
  <c r="U63" i="20"/>
  <c r="U442" i="16"/>
  <c r="U269" i="16"/>
  <c r="U1803" i="12"/>
  <c r="U1716" i="12"/>
  <c r="U171" i="11"/>
  <c r="U1408" i="16"/>
  <c r="U193" i="20"/>
  <c r="U205" i="20"/>
  <c r="U619" i="16"/>
  <c r="U1500" i="16"/>
  <c r="U363" i="16" s="1"/>
  <c r="U1799" i="12"/>
  <c r="U1695" i="12"/>
  <c r="U82" i="12"/>
  <c r="U1910" i="16"/>
  <c r="U75" i="10"/>
  <c r="U101" i="20"/>
  <c r="U621" i="16"/>
  <c r="U356" i="16"/>
  <c r="U1679" i="12"/>
  <c r="U1794" i="12"/>
  <c r="U1769" i="12"/>
  <c r="U1945" i="16"/>
  <c r="U46" i="10"/>
  <c r="U212" i="16"/>
  <c r="U210" i="16"/>
  <c r="U128" i="16"/>
  <c r="U110" i="16"/>
  <c r="U113" i="16"/>
  <c r="U32" i="20"/>
  <c r="U34" i="20"/>
  <c r="U41" i="20"/>
  <c r="U1200" i="16"/>
  <c r="U254" i="16" s="1"/>
  <c r="U141" i="16"/>
  <c r="U485" i="20"/>
  <c r="U79" i="16"/>
  <c r="U99" i="16"/>
  <c r="U1483" i="16"/>
  <c r="U1332" i="16"/>
  <c r="U157" i="16"/>
  <c r="U201" i="16"/>
  <c r="U199" i="16"/>
  <c r="U214" i="16"/>
  <c r="U125" i="16"/>
  <c r="U131" i="16"/>
  <c r="U126" i="16"/>
  <c r="U36" i="20"/>
  <c r="U46" i="20"/>
  <c r="U1207" i="16"/>
  <c r="U255" i="16" s="1"/>
  <c r="U1235" i="16"/>
  <c r="U1249" i="16"/>
  <c r="U1242" i="16"/>
  <c r="U174" i="16"/>
  <c r="U471" i="20"/>
  <c r="U95" i="16"/>
  <c r="U102" i="16"/>
  <c r="U1367" i="16"/>
  <c r="U1877" i="16"/>
  <c r="U1544" i="16"/>
  <c r="U153" i="20"/>
  <c r="U786" i="16"/>
  <c r="U429" i="16"/>
  <c r="U1744" i="12"/>
  <c r="U62" i="16"/>
  <c r="U1699" i="12"/>
  <c r="U1502" i="16"/>
  <c r="U365" i="16" s="1"/>
  <c r="U1537" i="16"/>
  <c r="U194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45" i="20"/>
  <c r="U38" i="20"/>
  <c r="U1165" i="16"/>
  <c r="U1214" i="16"/>
  <c r="U256" i="16" s="1"/>
  <c r="U1445" i="16"/>
  <c r="U2161" i="16" s="1"/>
  <c r="U1280" i="16"/>
  <c r="U2135" i="16" s="1"/>
  <c r="U96" i="16"/>
  <c r="U144" i="16" s="1"/>
  <c r="U104" i="16"/>
  <c r="U1353" i="16"/>
  <c r="U1578" i="16"/>
  <c r="U603" i="12"/>
  <c r="U140" i="20"/>
  <c r="U2041" i="16"/>
  <c r="U2054" i="16" s="1"/>
  <c r="U417" i="16"/>
  <c r="U1884" i="12"/>
  <c r="U1758" i="12"/>
  <c r="U1703" i="12"/>
  <c r="U1811" i="12"/>
  <c r="U363" i="10"/>
  <c r="U132" i="20"/>
  <c r="U2036" i="16"/>
  <c r="U2062" i="16" s="1"/>
  <c r="U2076" i="16" s="1"/>
  <c r="U357" i="16"/>
  <c r="U1804" i="12"/>
  <c r="U202" i="16"/>
  <c r="U132" i="16"/>
  <c r="U107" i="16"/>
  <c r="U43" i="20"/>
  <c r="U886" i="16"/>
  <c r="U135" i="16"/>
  <c r="U1497" i="16"/>
  <c r="U271" i="10"/>
  <c r="U100" i="20"/>
  <c r="U423" i="16"/>
  <c r="U1726" i="12"/>
  <c r="U162" i="11"/>
  <c r="U125" i="22"/>
  <c r="U93" i="20"/>
  <c r="U408" i="16"/>
  <c r="U1754" i="12"/>
  <c r="U1398" i="12"/>
  <c r="U1689" i="12"/>
  <c r="U300" i="10"/>
  <c r="U154" i="20"/>
  <c r="U657" i="16"/>
  <c r="U352" i="16"/>
  <c r="U1705" i="12"/>
  <c r="U1673" i="12"/>
  <c r="U574" i="16"/>
  <c r="U219" i="10"/>
  <c r="U129" i="20"/>
  <c r="U2038" i="16"/>
  <c r="U2064" i="16" s="1"/>
  <c r="U2092" i="16" s="1"/>
  <c r="U282" i="16"/>
  <c r="U1796" i="12"/>
  <c r="U1746" i="12"/>
  <c r="U1797" i="12"/>
  <c r="U83" i="20"/>
  <c r="U385" i="10"/>
  <c r="U489" i="10" s="1"/>
  <c r="U98" i="20"/>
  <c r="U30" i="20"/>
  <c r="U436" i="16"/>
  <c r="U1792" i="12"/>
  <c r="U1742" i="12"/>
  <c r="U1781" i="12"/>
  <c r="U73" i="12"/>
  <c r="U1422" i="16"/>
  <c r="U143" i="20"/>
  <c r="U97" i="20"/>
  <c r="U447" i="16"/>
  <c r="U276" i="16"/>
  <c r="U1755" i="12"/>
  <c r="U1692" i="12"/>
  <c r="U1707" i="12"/>
  <c r="U334" i="10"/>
  <c r="U67" i="20"/>
  <c r="U57" i="20"/>
  <c r="U270" i="16"/>
  <c r="U434" i="16"/>
  <c r="U1818" i="12"/>
  <c r="U1833" i="12"/>
  <c r="U23" i="12"/>
  <c r="U433" i="16"/>
  <c r="U583" i="16"/>
  <c r="U424" i="16"/>
  <c r="U149" i="20"/>
  <c r="U1767" i="12"/>
  <c r="U54" i="16"/>
  <c r="U12" i="16"/>
  <c r="U192" i="16" s="1"/>
  <c r="U268" i="16"/>
  <c r="U279" i="16"/>
  <c r="U1564" i="16"/>
  <c r="U326" i="16"/>
  <c r="U209" i="16"/>
  <c r="U121" i="16"/>
  <c r="U130" i="16"/>
  <c r="U39" i="20"/>
  <c r="U1158" i="16"/>
  <c r="U1596" i="16"/>
  <c r="U98" i="16"/>
  <c r="U1137" i="16"/>
  <c r="U134" i="22"/>
  <c r="U141" i="20"/>
  <c r="U453" i="16"/>
  <c r="U1802" i="12"/>
  <c r="U32" i="8"/>
  <c r="U31" i="8" s="1"/>
  <c r="U68" i="18" s="1"/>
  <c r="U51" i="22"/>
  <c r="U61" i="20"/>
  <c r="U419" i="16"/>
  <c r="U457" i="16"/>
  <c r="U124" i="11"/>
  <c r="U1712" i="12"/>
  <c r="U107" i="18"/>
  <c r="U99" i="20"/>
  <c r="U174" i="20"/>
  <c r="U1816" i="12"/>
  <c r="U1834" i="12"/>
  <c r="U1813" i="12"/>
  <c r="U82" i="20"/>
  <c r="U12" i="22"/>
  <c r="U84" i="20"/>
  <c r="U617" i="16"/>
  <c r="U440" i="16"/>
  <c r="U1715" i="12"/>
  <c r="U271" i="16"/>
  <c r="U1668" i="12"/>
  <c r="U1688" i="12"/>
  <c r="U61" i="22"/>
  <c r="U70" i="20"/>
  <c r="U581" i="16"/>
  <c r="U277" i="16"/>
  <c r="U1706" i="12"/>
  <c r="U38" i="16"/>
  <c r="U1664" i="12"/>
  <c r="U12" i="11"/>
  <c r="U1318" i="16"/>
  <c r="U312" i="16" s="1"/>
  <c r="U322" i="16" s="1"/>
  <c r="U76" i="20" s="1"/>
  <c r="U95" i="20"/>
  <c r="U2032" i="16"/>
  <c r="U2058" i="16" s="1"/>
  <c r="U2086" i="16" s="1"/>
  <c r="U454" i="16"/>
  <c r="U330" i="16"/>
  <c r="U1723" i="12"/>
  <c r="U1745" i="12"/>
  <c r="U1681" i="12"/>
  <c r="U105" i="22"/>
  <c r="U31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1931" i="16"/>
  <c r="U222" i="11"/>
  <c r="U113" i="11"/>
  <c r="U1780" i="12"/>
  <c r="U1381" i="16"/>
  <c r="U801" i="16"/>
  <c r="U353" i="16"/>
  <c r="U213" i="16"/>
  <c r="U134" i="16"/>
  <c r="U108" i="16"/>
  <c r="U44" i="20"/>
  <c r="U1172" i="16"/>
  <c r="U250" i="16" s="1"/>
  <c r="U97" i="16"/>
  <c r="U1924" i="16"/>
  <c r="U96" i="18"/>
  <c r="U576" i="16"/>
  <c r="U200" i="16"/>
  <c r="U120" i="16"/>
  <c r="U105" i="16"/>
  <c r="U33" i="20"/>
  <c r="U1179" i="16"/>
  <c r="U1412" i="16"/>
  <c r="U2155" i="16" s="1"/>
  <c r="U1448" i="16"/>
  <c r="U44" i="18"/>
  <c r="U578" i="16"/>
  <c r="U1776" i="12"/>
  <c r="U1821" i="12"/>
  <c r="U1938" i="16"/>
  <c r="U145" i="20"/>
  <c r="U133" i="20"/>
  <c r="U1772" i="12"/>
  <c r="U1713" i="12"/>
  <c r="U81" i="20"/>
  <c r="U204" i="16"/>
  <c r="U114" i="16"/>
  <c r="U123" i="16"/>
  <c r="U40" i="20"/>
  <c r="U1186" i="16"/>
  <c r="U252" i="16" s="1"/>
  <c r="T766" i="16"/>
  <c r="T228" i="20" s="1"/>
  <c r="U377" i="20"/>
  <c r="U527" i="20"/>
  <c r="U1329" i="16"/>
  <c r="U910" i="16"/>
  <c r="U1398" i="16"/>
  <c r="U2153" i="16" s="1"/>
  <c r="U1603" i="16"/>
  <c r="U356" i="20"/>
  <c r="U904" i="16"/>
  <c r="U894" i="20"/>
  <c r="U874" i="16"/>
  <c r="U1322" i="16"/>
  <c r="U328" i="20"/>
  <c r="U880" i="16"/>
  <c r="U384" i="20"/>
  <c r="U1419" i="16"/>
  <c r="U2156" i="16" s="1"/>
  <c r="U922" i="16"/>
  <c r="U1473" i="16"/>
  <c r="U901" i="20"/>
  <c r="U370" i="20"/>
  <c r="U1589" i="16"/>
  <c r="U2181" i="16" s="1"/>
  <c r="K475" i="25"/>
  <c r="K592" i="25" s="1"/>
  <c r="T1915" i="16"/>
  <c r="T1281" i="16"/>
  <c r="T780" i="16"/>
  <c r="T242" i="20" s="1"/>
  <c r="T763" i="16"/>
  <c r="T225" i="20" s="1"/>
  <c r="T758" i="16"/>
  <c r="T220" i="20" s="1"/>
  <c r="T777" i="16"/>
  <c r="T239" i="20" s="1"/>
  <c r="K332" i="25"/>
  <c r="K163" i="25"/>
  <c r="K209" i="25" s="1"/>
  <c r="K247" i="25" s="1"/>
  <c r="K266" i="25" s="1"/>
  <c r="K274" i="25" s="1"/>
  <c r="K379" i="25"/>
  <c r="S1477" i="12"/>
  <c r="S1634" i="12" s="1"/>
  <c r="K427" i="25"/>
  <c r="K285" i="25"/>
  <c r="S1444" i="12"/>
  <c r="S1632" i="12" s="1"/>
  <c r="S1522" i="12"/>
  <c r="S1635" i="12" s="1"/>
  <c r="S1468" i="12"/>
  <c r="S1633" i="12" s="1"/>
  <c r="S1601" i="12"/>
  <c r="S1637" i="12" s="1"/>
  <c r="S1567" i="12"/>
  <c r="S1636" i="12" s="1"/>
  <c r="T752" i="16"/>
  <c r="T214" i="20" s="1"/>
  <c r="T764" i="16"/>
  <c r="T226" i="20" s="1"/>
  <c r="T778" i="16"/>
  <c r="T240" i="20" s="1"/>
  <c r="T746" i="16"/>
  <c r="T208" i="20" s="1"/>
  <c r="T893" i="16"/>
  <c r="T756" i="16"/>
  <c r="T218" i="20" s="1"/>
  <c r="T774" i="16"/>
  <c r="T236" i="20" s="1"/>
  <c r="T754" i="16"/>
  <c r="T216" i="20" s="1"/>
  <c r="T772" i="16"/>
  <c r="T234" i="20" s="1"/>
  <c r="T773" i="16"/>
  <c r="T235" i="20" s="1"/>
  <c r="T761" i="16"/>
  <c r="T223" i="20" s="1"/>
  <c r="T781" i="16"/>
  <c r="T243" i="20" s="1"/>
  <c r="T768" i="16"/>
  <c r="T230" i="20" s="1"/>
  <c r="T751" i="16"/>
  <c r="T213" i="20" s="1"/>
  <c r="T748" i="16"/>
  <c r="T210" i="20" s="1"/>
  <c r="T767" i="16"/>
  <c r="T229" i="20" s="1"/>
  <c r="T747" i="16"/>
  <c r="T209" i="20" s="1"/>
  <c r="T775" i="16"/>
  <c r="T237" i="20" s="1"/>
  <c r="U1438" i="16"/>
  <c r="U2160" i="16" s="1"/>
  <c r="S699" i="16"/>
  <c r="T779" i="16"/>
  <c r="T241" i="20" s="1"/>
  <c r="T750" i="16"/>
  <c r="T212" i="20" s="1"/>
  <c r="T745" i="16"/>
  <c r="T207" i="20" s="1"/>
  <c r="T783" i="16"/>
  <c r="T245" i="20" s="1"/>
  <c r="T755" i="16"/>
  <c r="T217" i="20" s="1"/>
  <c r="T769" i="16"/>
  <c r="T231" i="20" s="1"/>
  <c r="T760" i="16"/>
  <c r="T222" i="20" s="1"/>
  <c r="T782" i="16"/>
  <c r="T244" i="20" s="1"/>
  <c r="T759" i="16"/>
  <c r="T221" i="20" s="1"/>
  <c r="T753" i="16"/>
  <c r="T215" i="20" s="1"/>
  <c r="T749" i="16"/>
  <c r="T211" i="20" s="1"/>
  <c r="T771" i="16"/>
  <c r="T233" i="20" s="1"/>
  <c r="T762" i="16"/>
  <c r="T224" i="20" s="1"/>
  <c r="T757" i="16"/>
  <c r="T219" i="20" s="1"/>
  <c r="T765" i="16"/>
  <c r="T227" i="20" s="1"/>
  <c r="T770" i="16"/>
  <c r="T232" i="20" s="1"/>
  <c r="T1439" i="16"/>
  <c r="T1204" i="12"/>
  <c r="T1392" i="12" s="1"/>
  <c r="T507" i="20"/>
  <c r="T2153" i="16"/>
  <c r="U1308" i="16"/>
  <c r="T2139" i="16"/>
  <c r="T1399" i="16"/>
  <c r="U892" i="16"/>
  <c r="T2142" i="16"/>
  <c r="T1887" i="16"/>
  <c r="U492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U1568" i="16"/>
  <c r="U2178" i="16" s="1"/>
  <c r="T1807" i="12"/>
  <c r="T1876" i="12" s="1"/>
  <c r="T1914" i="12" s="1"/>
  <c r="T365" i="20"/>
  <c r="T754" i="12"/>
  <c r="T911" i="12" s="1"/>
  <c r="T1926" i="12" s="1"/>
  <c r="T1138" i="12"/>
  <c r="T1158" i="12" s="1"/>
  <c r="T905" i="12"/>
  <c r="T917" i="12" s="1"/>
  <c r="T1933" i="12" s="1"/>
  <c r="R1641" i="12"/>
  <c r="R1651" i="12" s="1"/>
  <c r="T1413" i="16"/>
  <c r="T306" i="12"/>
  <c r="T264" i="12"/>
  <c r="T1288" i="16"/>
  <c r="T221" i="12"/>
  <c r="T585" i="12"/>
  <c r="T206" i="12"/>
  <c r="R1886" i="12"/>
  <c r="T520" i="12"/>
  <c r="U1287" i="16"/>
  <c r="T434" i="12"/>
  <c r="T899" i="16"/>
  <c r="T86" i="20"/>
  <c r="T1205" i="20" s="1"/>
  <c r="T626" i="16"/>
  <c r="T810" i="16" s="1"/>
  <c r="T2042" i="16"/>
  <c r="T811" i="16" s="1"/>
  <c r="T136" i="16"/>
  <c r="S1917" i="12"/>
  <c r="S1920" i="12" s="1"/>
  <c r="S805" i="16"/>
  <c r="T1569" i="16"/>
  <c r="U1155" i="16"/>
  <c r="U2116" i="16" s="1"/>
  <c r="S1881" i="12"/>
  <c r="S1891" i="12" s="1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684" i="12"/>
  <c r="T1872" i="12" s="1"/>
  <c r="T1910" i="12" s="1"/>
  <c r="T73" i="20"/>
  <c r="T1203" i="20" s="1"/>
  <c r="T180" i="20"/>
  <c r="T1208" i="20" s="1"/>
  <c r="T198" i="20"/>
  <c r="T1209" i="20" s="1"/>
  <c r="T1583" i="16"/>
  <c r="U513" i="20"/>
  <c r="U515" i="20" s="1"/>
  <c r="U1294" i="16"/>
  <c r="U1554" i="16"/>
  <c r="U2176" i="16" s="1"/>
  <c r="T896" i="12"/>
  <c r="T916" i="12" s="1"/>
  <c r="T1932" i="12" s="1"/>
  <c r="T721" i="12"/>
  <c r="T909" i="12" s="1"/>
  <c r="T1924" i="12" s="1"/>
  <c r="T987" i="12"/>
  <c r="T1152" i="12" s="1"/>
  <c r="T1041" i="12"/>
  <c r="T1154" i="12" s="1"/>
  <c r="T996" i="12"/>
  <c r="T1153" i="12" s="1"/>
  <c r="T963" i="12"/>
  <c r="T1151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1467" i="16"/>
  <c r="T808" i="16"/>
  <c r="T1505" i="16"/>
  <c r="T514" i="20"/>
  <c r="U1466" i="16"/>
  <c r="U2164" i="16" s="1"/>
  <c r="U349" i="20"/>
  <c r="T1295" i="16"/>
  <c r="T1555" i="16"/>
  <c r="T1838" i="16"/>
  <c r="T357" i="20"/>
  <c r="T358" i="20" s="1"/>
  <c r="S1160" i="12"/>
  <c r="S1170" i="12" s="1"/>
  <c r="S1171" i="12" s="1"/>
  <c r="Q1646" i="12"/>
  <c r="T846" i="20"/>
  <c r="U845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47" i="20"/>
  <c r="J943" i="20" a="1"/>
  <c r="J943" i="20" s="1"/>
  <c r="U1391" i="16"/>
  <c r="T1392" i="16"/>
  <c r="U1405" i="16"/>
  <c r="U2154" i="16" s="1"/>
  <c r="T1406" i="16"/>
  <c r="T2075" i="16"/>
  <c r="S246" i="20"/>
  <c r="Q179" i="16"/>
  <c r="P186" i="16"/>
  <c r="P60" i="10" s="1"/>
  <c r="Q169" i="16"/>
  <c r="S1420" i="16"/>
  <c r="S1421" i="16" s="1"/>
  <c r="S334" i="16" s="1"/>
  <c r="S791" i="16" s="1"/>
  <c r="P86" i="16"/>
  <c r="U1315" i="16"/>
  <c r="O84" i="16"/>
  <c r="P83" i="16"/>
  <c r="S2140" i="16"/>
  <c r="S1316" i="16"/>
  <c r="T1316" i="16" s="1"/>
  <c r="T1888" i="16"/>
  <c r="N916" i="20"/>
  <c r="O916" i="20" s="1"/>
  <c r="P916" i="20" s="1"/>
  <c r="Q916" i="20" s="1"/>
  <c r="R333" i="16"/>
  <c r="V380" i="10"/>
  <c r="V370" i="10"/>
  <c r="T1894" i="16"/>
  <c r="T2224" i="16"/>
  <c r="U1893" i="16"/>
  <c r="U2224" i="16" s="1"/>
  <c r="T1453" i="16"/>
  <c r="T1454" i="16" s="1"/>
  <c r="T479" i="20"/>
  <c r="T480" i="20" s="1"/>
  <c r="U1452" i="16"/>
  <c r="U2162" i="16" s="1"/>
  <c r="P908" i="20"/>
  <c r="Q908" i="20" s="1"/>
  <c r="M1357" i="16"/>
  <c r="M2146" i="16" s="1"/>
  <c r="Q1336" i="16"/>
  <c r="Q2143" i="16" s="1"/>
  <c r="P1337" i="16"/>
  <c r="N909" i="20"/>
  <c r="O909" i="20" s="1"/>
  <c r="R1475" i="16"/>
  <c r="Q1930" i="16"/>
  <c r="T1584" i="16"/>
  <c r="L1359" i="16"/>
  <c r="L2146" i="16"/>
  <c r="M1351" i="16"/>
  <c r="M1352" i="16" s="1"/>
  <c r="P1350" i="16"/>
  <c r="Q1350" i="16" s="1"/>
  <c r="R1350" i="16" s="1"/>
  <c r="M2145" i="16"/>
  <c r="R1165" i="12"/>
  <c r="R1172" i="12" s="1"/>
  <c r="R1598" i="16"/>
  <c r="T1468" i="16"/>
  <c r="T1393" i="16"/>
  <c r="T1414" i="16"/>
  <c r="T1407" i="16"/>
  <c r="P1204" i="16"/>
  <c r="P2123" i="16" s="1"/>
  <c r="O1205" i="16"/>
  <c r="O1206" i="16" s="1"/>
  <c r="R1324" i="16"/>
  <c r="S1591" i="16"/>
  <c r="N1344" i="16"/>
  <c r="O1344" i="16" s="1"/>
  <c r="P1344" i="16" s="1"/>
  <c r="Q1344" i="16" s="1"/>
  <c r="Q1482" i="16"/>
  <c r="T1916" i="16"/>
  <c r="P912" i="16"/>
  <c r="T1577" i="16"/>
  <c r="R334" i="16"/>
  <c r="R791" i="16" s="1"/>
  <c r="T1400" i="16"/>
  <c r="P1605" i="16"/>
  <c r="O1496" i="16"/>
  <c r="O1937" i="16"/>
  <c r="P1937" i="16" s="1"/>
  <c r="P1338" i="16"/>
  <c r="R1343" i="16"/>
  <c r="S1343" i="16" s="1"/>
  <c r="T1570" i="16"/>
  <c r="M1626" i="16"/>
  <c r="Q1489" i="16"/>
  <c r="N1612" i="16"/>
  <c r="O1612" i="16" s="1"/>
  <c r="O1944" i="16"/>
  <c r="P1944" i="16" s="1"/>
  <c r="Q1944" i="16" s="1"/>
  <c r="P1185" i="16"/>
  <c r="Q1185" i="16" s="1"/>
  <c r="R1331" i="16"/>
  <c r="S1331" i="16" s="1"/>
  <c r="D1378" i="16"/>
  <c r="F1377" i="16" s="1"/>
  <c r="S1317" i="16"/>
  <c r="T1317" i="16" s="1"/>
  <c r="U1907" i="16"/>
  <c r="U2226" i="16" s="1"/>
  <c r="T1908" i="16"/>
  <c r="T1909" i="16" s="1"/>
  <c r="D1645" i="16"/>
  <c r="F1644" i="16" s="1"/>
  <c r="N2261" i="16"/>
  <c r="N19" i="16" s="1"/>
  <c r="O17" i="16" s="1"/>
  <c r="O2249" i="16" s="1"/>
  <c r="T2078" i="16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59" i="16"/>
  <c r="R57" i="16" s="1"/>
  <c r="R2254" i="16" s="1"/>
  <c r="R2266" i="16" s="1"/>
  <c r="Q2278" i="16"/>
  <c r="Q60" i="16" s="1"/>
  <c r="Q87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S385" i="20"/>
  <c r="S386" i="20" s="1"/>
  <c r="R398" i="20"/>
  <c r="S398" i="20" s="1"/>
  <c r="Q379" i="20"/>
  <c r="R378" i="20"/>
  <c r="S378" i="20" s="1"/>
  <c r="O400" i="20"/>
  <c r="P399" i="20"/>
  <c r="P400" i="20" s="1"/>
  <c r="T472" i="20"/>
  <c r="T473" i="20" s="1"/>
  <c r="S473" i="20"/>
  <c r="T372" i="20"/>
  <c r="N413" i="20"/>
  <c r="M941" i="16"/>
  <c r="M942" i="16" s="1"/>
  <c r="T371" i="20"/>
  <c r="L1227" i="16"/>
  <c r="O917" i="16"/>
  <c r="O412" i="20"/>
  <c r="P412" i="20" s="1"/>
  <c r="Q412" i="20" s="1"/>
  <c r="R412" i="20" s="1"/>
  <c r="S412" i="20" s="1"/>
  <c r="O393" i="20"/>
  <c r="P392" i="20"/>
  <c r="Q392" i="20" s="1"/>
  <c r="L948" i="16"/>
  <c r="P1198" i="16"/>
  <c r="P1199" i="16" s="1"/>
  <c r="Q1197" i="16"/>
  <c r="Q2122" i="16" s="1"/>
  <c r="O1211" i="16"/>
  <c r="O2124" i="16" s="1"/>
  <c r="L1226" i="16"/>
  <c r="M1225" i="16"/>
  <c r="M2126" i="16" s="1"/>
  <c r="N1212" i="16"/>
  <c r="N1213" i="16" s="1"/>
  <c r="L1232" i="16"/>
  <c r="L2127" i="16" s="1"/>
  <c r="L1235" i="16"/>
  <c r="L259" i="16" s="1"/>
  <c r="M421" i="20"/>
  <c r="N419" i="20"/>
  <c r="N421" i="20" s="1"/>
  <c r="N1218" i="16"/>
  <c r="N2125" i="16" s="1"/>
  <c r="M1219" i="16"/>
  <c r="M1220" i="16" s="1"/>
  <c r="Q405" i="20"/>
  <c r="P406" i="20"/>
  <c r="M946" i="16"/>
  <c r="M947" i="16" s="1"/>
  <c r="M420" i="20"/>
  <c r="M1221" i="16"/>
  <c r="M257" i="16" s="1"/>
  <c r="L433" i="20"/>
  <c r="L434" i="20" s="1"/>
  <c r="L428" i="20"/>
  <c r="M426" i="20"/>
  <c r="M427" i="20" s="1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/>
  <c r="D968" i="16"/>
  <c r="C970" i="16"/>
  <c r="B967" i="16"/>
  <c r="O940" i="16"/>
  <c r="T379" i="20"/>
  <c r="I209" i="16"/>
  <c r="G42" i="20" s="1"/>
  <c r="O257" i="16"/>
  <c r="K1233" i="16"/>
  <c r="K1235" i="16"/>
  <c r="K259" i="16" s="1"/>
  <c r="K1234" i="16"/>
  <c r="S1256" i="16"/>
  <c r="R1256" i="16"/>
  <c r="E1251" i="16"/>
  <c r="F1251" i="16" s="1"/>
  <c r="D1257" i="16"/>
  <c r="D1264" i="16" s="1"/>
  <c r="Q1256" i="16"/>
  <c r="D1251" i="16"/>
  <c r="P1256" i="16"/>
  <c r="T1256" i="16"/>
  <c r="U1256" i="16"/>
  <c r="E1252" i="16"/>
  <c r="K1246" i="16"/>
  <c r="K2129" i="16" s="1"/>
  <c r="D1245" i="16"/>
  <c r="D1246" i="16" s="1"/>
  <c r="F1245" i="16" s="1"/>
  <c r="K1239" i="16"/>
  <c r="K2128" i="16" s="1"/>
  <c r="D1238" i="16"/>
  <c r="D1239" i="16" s="1"/>
  <c r="F1238" i="16" s="1"/>
  <c r="K435" i="20"/>
  <c r="D644" i="20"/>
  <c r="K440" i="20"/>
  <c r="K441" i="20" s="1"/>
  <c r="C685" i="20"/>
  <c r="D864" i="20"/>
  <c r="E864" i="20" s="1"/>
  <c r="C864" i="20"/>
  <c r="D636" i="20"/>
  <c r="E636" i="20" s="1"/>
  <c r="D815" i="20"/>
  <c r="E815" i="20" s="1"/>
  <c r="C815" i="20"/>
  <c r="C445" i="20"/>
  <c r="D444" i="20"/>
  <c r="C451" i="20"/>
  <c r="C453" i="20" s="1"/>
  <c r="C454" i="20" s="1"/>
  <c r="D679" i="20"/>
  <c r="T391" i="20"/>
  <c r="E699" i="20"/>
  <c r="C920" i="20"/>
  <c r="C671" i="20"/>
  <c r="D671" i="20"/>
  <c r="E671" i="20" s="1"/>
  <c r="D692" i="20"/>
  <c r="C692" i="20"/>
  <c r="D685" i="20"/>
  <c r="E598" i="20"/>
  <c r="C629" i="20"/>
  <c r="D629" i="20"/>
  <c r="E629" i="20" s="1"/>
  <c r="E605" i="20"/>
  <c r="D678" i="20"/>
  <c r="E678" i="20" s="1"/>
  <c r="C678" i="20"/>
  <c r="D615" i="20"/>
  <c r="D622" i="20"/>
  <c r="E622" i="20" s="1"/>
  <c r="C622" i="20"/>
  <c r="D665" i="20"/>
  <c r="D672" i="20"/>
  <c r="C615" i="20"/>
  <c r="D949" i="20"/>
  <c r="E949" i="20" s="1"/>
  <c r="D616" i="20"/>
  <c r="D623" i="20"/>
  <c r="D650" i="20"/>
  <c r="E650" i="20" s="1"/>
  <c r="C650" i="20"/>
  <c r="D651" i="20"/>
  <c r="D658" i="20"/>
  <c r="D630" i="20"/>
  <c r="D637" i="20"/>
  <c r="C636" i="20"/>
  <c r="E578" i="20"/>
  <c r="K579" i="20" s="1"/>
  <c r="Q28" i="16"/>
  <c r="Q82" i="16" s="1"/>
  <c r="R2250" i="16"/>
  <c r="T329" i="20"/>
  <c r="T330" i="20" s="1"/>
  <c r="U499" i="20"/>
  <c r="T500" i="20"/>
  <c r="T501" i="20" s="1"/>
  <c r="N918" i="16"/>
  <c r="T1562" i="16"/>
  <c r="T1563" i="16" s="1"/>
  <c r="U1561" i="16"/>
  <c r="U2177" i="16" s="1"/>
  <c r="S918" i="12"/>
  <c r="S928" i="12" s="1"/>
  <c r="S929" i="12" s="1"/>
  <c r="S1927" i="12"/>
  <c r="S1931" i="12" s="1"/>
  <c r="S1934" i="12" s="1"/>
  <c r="R152" i="16"/>
  <c r="O543" i="20"/>
  <c r="O542" i="20"/>
  <c r="P542" i="20" s="1"/>
  <c r="Q541" i="20"/>
  <c r="R541" i="20" s="1"/>
  <c r="S541" i="20" s="1"/>
  <c r="S543" i="20" s="1"/>
  <c r="M930" i="16"/>
  <c r="P928" i="16"/>
  <c r="T336" i="20"/>
  <c r="T337" i="20" s="1"/>
  <c r="N929" i="16"/>
  <c r="L1632" i="16"/>
  <c r="M1632" i="16" s="1"/>
  <c r="N1632" i="16" s="1"/>
  <c r="O1624" i="16"/>
  <c r="P1624" i="16" s="1"/>
  <c r="P2186" i="16" s="1"/>
  <c r="R146" i="16"/>
  <c r="R162" i="16" s="1"/>
  <c r="N1625" i="16"/>
  <c r="R535" i="20"/>
  <c r="R915" i="20"/>
  <c r="S915" i="20" s="1"/>
  <c r="T915" i="20" s="1"/>
  <c r="U915" i="20" s="1"/>
  <c r="L564" i="20"/>
  <c r="S534" i="20"/>
  <c r="T534" i="20" s="1"/>
  <c r="U534" i="20" s="1"/>
  <c r="R529" i="20"/>
  <c r="R1488" i="16"/>
  <c r="L563" i="20"/>
  <c r="M563" i="20" s="1"/>
  <c r="M564" i="20" s="1"/>
  <c r="Q1936" i="16"/>
  <c r="R528" i="20"/>
  <c r="S528" i="20" s="1"/>
  <c r="L1633" i="16"/>
  <c r="K1639" i="16"/>
  <c r="K1640" i="16" s="1"/>
  <c r="L1638" i="16"/>
  <c r="L2188" i="16" s="1"/>
  <c r="R522" i="20"/>
  <c r="T520" i="20"/>
  <c r="T522" i="20" s="1"/>
  <c r="R521" i="20"/>
  <c r="S521" i="20" s="1"/>
  <c r="P2184" i="16"/>
  <c r="R2167" i="16"/>
  <c r="K2188" i="16"/>
  <c r="P1495" i="16"/>
  <c r="L569" i="20"/>
  <c r="R1935" i="16"/>
  <c r="S1935" i="16" s="1"/>
  <c r="P1611" i="16"/>
  <c r="N562" i="20"/>
  <c r="S1928" i="16"/>
  <c r="S2229" i="16" s="1"/>
  <c r="S529" i="20"/>
  <c r="S902" i="20"/>
  <c r="K950" i="20"/>
  <c r="K951" i="20" s="1"/>
  <c r="S903" i="20"/>
  <c r="O1631" i="16"/>
  <c r="P1631" i="16" s="1"/>
  <c r="K570" i="20"/>
  <c r="K571" i="20" s="1"/>
  <c r="C961" i="20"/>
  <c r="C956" i="20"/>
  <c r="C957" i="20" s="1"/>
  <c r="C955" i="20"/>
  <c r="D956" i="20"/>
  <c r="D955" i="20"/>
  <c r="E955" i="20" s="1"/>
  <c r="P1617" i="16"/>
  <c r="Q1617" i="16" s="1"/>
  <c r="S896" i="20"/>
  <c r="S1487" i="16"/>
  <c r="T1487" i="16" s="1"/>
  <c r="S1942" i="16"/>
  <c r="S2231" i="16" s="1"/>
  <c r="L2187" i="16"/>
  <c r="K1645" i="16"/>
  <c r="R1943" i="16"/>
  <c r="Q1610" i="16"/>
  <c r="L1371" i="16"/>
  <c r="R2231" i="16"/>
  <c r="P2168" i="16"/>
  <c r="Q1494" i="16"/>
  <c r="R1494" i="16" s="1"/>
  <c r="S1494" i="16" s="1"/>
  <c r="T1494" i="16" s="1"/>
  <c r="U1494" i="16" s="1"/>
  <c r="R906" i="16"/>
  <c r="S882" i="16"/>
  <c r="T881" i="16"/>
  <c r="S900" i="16"/>
  <c r="T2163" i="16"/>
  <c r="T1460" i="16"/>
  <c r="T923" i="16"/>
  <c r="T2156" i="16"/>
  <c r="T332" i="16"/>
  <c r="T2090" i="16"/>
  <c r="M2187" i="16"/>
  <c r="P2144" i="16"/>
  <c r="T462" i="20"/>
  <c r="T463" i="20" s="1"/>
  <c r="N2187" i="16"/>
  <c r="N1618" i="16"/>
  <c r="N1619" i="16" s="1"/>
  <c r="T1590" i="16"/>
  <c r="T1330" i="16"/>
  <c r="Q1604" i="16"/>
  <c r="O2185" i="16"/>
  <c r="Q2183" i="16"/>
  <c r="N2185" i="16"/>
  <c r="R1929" i="16"/>
  <c r="S1655" i="16"/>
  <c r="K1655" i="16"/>
  <c r="Q1655" i="16"/>
  <c r="L1655" i="16"/>
  <c r="D1650" i="16"/>
  <c r="M1655" i="16"/>
  <c r="D1656" i="16"/>
  <c r="N1655" i="16"/>
  <c r="P1655" i="16"/>
  <c r="E1651" i="16"/>
  <c r="D1651" i="16" s="1"/>
  <c r="O1655" i="16"/>
  <c r="T1655" i="16"/>
  <c r="E1650" i="16"/>
  <c r="F1650" i="16" s="1"/>
  <c r="B1649" i="16"/>
  <c r="R1655" i="16"/>
  <c r="S1597" i="16"/>
  <c r="S2182" i="16"/>
  <c r="R2166" i="16"/>
  <c r="R1481" i="16"/>
  <c r="N2145" i="16"/>
  <c r="S2165" i="16"/>
  <c r="K2148" i="16"/>
  <c r="K1372" i="16"/>
  <c r="K1373" i="16" s="1"/>
  <c r="S1323" i="16"/>
  <c r="S1474" i="16"/>
  <c r="Q2144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W57" i="22" s="1"/>
  <c r="W58" i="22" s="1"/>
  <c r="V66" i="22"/>
  <c r="W62" i="22"/>
  <c r="V200" i="18"/>
  <c r="U199" i="18"/>
  <c r="T201" i="18"/>
  <c r="U201" i="18" s="1"/>
  <c r="U2067" i="16" l="1"/>
  <c r="U2081" i="16" s="1"/>
  <c r="U2050" i="16"/>
  <c r="U2091" i="16"/>
  <c r="U561" i="16"/>
  <c r="U165" i="20" s="1"/>
  <c r="I423" i="16"/>
  <c r="G122" i="20" s="1"/>
  <c r="G162" i="20" s="1"/>
  <c r="U1283" i="16"/>
  <c r="T2115" i="16"/>
  <c r="T1151" i="16"/>
  <c r="U92" i="10"/>
  <c r="U91" i="10" s="1"/>
  <c r="U105" i="10" s="1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38" i="20" s="1"/>
  <c r="U744" i="16"/>
  <c r="U206" i="20" s="1"/>
  <c r="Q52" i="10"/>
  <c r="Q340" i="10" s="1"/>
  <c r="T79" i="10"/>
  <c r="S366" i="10"/>
  <c r="T114" i="10"/>
  <c r="T112" i="10" s="1"/>
  <c r="S1136" i="16"/>
  <c r="S1143" i="16"/>
  <c r="U1169" i="16"/>
  <c r="U2118" i="16" s="1"/>
  <c r="K144" i="25"/>
  <c r="T1170" i="16"/>
  <c r="T1157" i="16"/>
  <c r="U1162" i="16"/>
  <c r="U2117" i="16" s="1"/>
  <c r="T1163" i="16"/>
  <c r="U1141" i="16"/>
  <c r="U2114" i="16" s="1"/>
  <c r="T1142" i="16"/>
  <c r="R1178" i="16"/>
  <c r="O924" i="16"/>
  <c r="P924" i="16" s="1"/>
  <c r="R1184" i="16"/>
  <c r="U1148" i="16"/>
  <c r="U1134" i="16"/>
  <c r="U2113" i="16" s="1"/>
  <c r="T1149" i="16"/>
  <c r="T1171" i="16"/>
  <c r="R1177" i="16"/>
  <c r="S1176" i="16"/>
  <c r="S2119" i="16" s="1"/>
  <c r="S1183" i="16"/>
  <c r="S2120" i="16" s="1"/>
  <c r="T1135" i="16"/>
  <c r="S1190" i="16"/>
  <c r="S2121" i="16" s="1"/>
  <c r="R2121" i="16"/>
  <c r="S1150" i="16"/>
  <c r="N1221" i="16"/>
  <c r="N257" i="16" s="1"/>
  <c r="P1211" i="16"/>
  <c r="P2124" i="16" s="1"/>
  <c r="T1447" i="16"/>
  <c r="U1447" i="16" s="1"/>
  <c r="R1191" i="16"/>
  <c r="M1228" i="16"/>
  <c r="M258" i="16" s="1"/>
  <c r="Q1204" i="16"/>
  <c r="Q2123" i="16" s="1"/>
  <c r="U2139" i="16"/>
  <c r="T1895" i="16"/>
  <c r="U1895" i="16" s="1"/>
  <c r="T876" i="16"/>
  <c r="J255" i="25"/>
  <c r="J228" i="25"/>
  <c r="J236" i="25" s="1"/>
  <c r="L127" i="25"/>
  <c r="L135" i="25" s="1"/>
  <c r="L146" i="25" s="1"/>
  <c r="L154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R923" i="12"/>
  <c r="R931" i="12" s="1"/>
  <c r="K264" i="25"/>
  <c r="U2053" i="16"/>
  <c r="T2073" i="16"/>
  <c r="T2082" i="16" s="1"/>
  <c r="T256" i="20" s="1"/>
  <c r="T1433" i="16"/>
  <c r="T2068" i="16"/>
  <c r="T2069" i="16" s="1"/>
  <c r="T1289" i="16"/>
  <c r="T1282" i="16"/>
  <c r="T1303" i="16"/>
  <c r="T1440" i="16"/>
  <c r="U2045" i="16"/>
  <c r="U2072" i="16"/>
  <c r="M1364" i="16"/>
  <c r="N1364" i="16" s="1"/>
  <c r="N2147" i="16" s="1"/>
  <c r="K263" i="25"/>
  <c r="K143" i="25"/>
  <c r="K225" i="25"/>
  <c r="K226" i="25"/>
  <c r="L1366" i="16"/>
  <c r="T1164" i="16"/>
  <c r="L1365" i="16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53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S1406" i="12"/>
  <c r="U1282" i="12"/>
  <c r="U1395" i="12" s="1"/>
  <c r="T1401" i="12"/>
  <c r="T1411" i="12" s="1"/>
  <c r="T1412" i="12" s="1"/>
  <c r="T257" i="20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733" i="12"/>
  <c r="V741" i="12"/>
  <c r="V735" i="12"/>
  <c r="V743" i="12"/>
  <c r="V730" i="12"/>
  <c r="V738" i="12"/>
  <c r="V727" i="12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47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711" i="12"/>
  <c r="V715" i="12"/>
  <c r="V719" i="12"/>
  <c r="V702" i="12"/>
  <c r="V1185" i="12" s="1"/>
  <c r="V706" i="12"/>
  <c r="V710" i="12"/>
  <c r="V714" i="12"/>
  <c r="V718" i="12"/>
  <c r="V705" i="12"/>
  <c r="V1188" i="12" s="1"/>
  <c r="V709" i="12"/>
  <c r="V1192" i="12" s="1"/>
  <c r="V713" i="12"/>
  <c r="V704" i="12"/>
  <c r="V708" i="12"/>
  <c r="V712" i="12"/>
  <c r="V716" i="12"/>
  <c r="V720" i="12"/>
  <c r="V717" i="12"/>
  <c r="U306" i="12"/>
  <c r="U221" i="12"/>
  <c r="M77" i="25"/>
  <c r="U520" i="12"/>
  <c r="U161" i="12"/>
  <c r="U585" i="12"/>
  <c r="U264" i="12"/>
  <c r="U434" i="12"/>
  <c r="U1583" i="16"/>
  <c r="U206" i="12"/>
  <c r="U594" i="12"/>
  <c r="M13" i="25"/>
  <c r="M66" i="25" s="1"/>
  <c r="T2096" i="16"/>
  <c r="U1500" i="12"/>
  <c r="V408" i="16"/>
  <c r="U1512" i="12"/>
  <c r="V1367" i="16"/>
  <c r="U1553" i="12"/>
  <c r="V1798" i="12"/>
  <c r="U1558" i="12"/>
  <c r="V455" i="16"/>
  <c r="V194" i="20"/>
  <c r="U899" i="16"/>
  <c r="V441" i="16"/>
  <c r="U1538" i="12"/>
  <c r="V91" i="12"/>
  <c r="V1896" i="16"/>
  <c r="V579" i="16"/>
  <c r="U1432" i="12"/>
  <c r="V1743" i="12"/>
  <c r="V129" i="20"/>
  <c r="V1828" i="12"/>
  <c r="U379" i="20"/>
  <c r="U372" i="20"/>
  <c r="U2079" i="16"/>
  <c r="U2052" i="16"/>
  <c r="U2066" i="16"/>
  <c r="U2094" i="16" s="1"/>
  <c r="U2049" i="16"/>
  <c r="U2090" i="16"/>
  <c r="U2060" i="16"/>
  <c r="U2074" i="16" s="1"/>
  <c r="U1399" i="16"/>
  <c r="U1887" i="16"/>
  <c r="U1586" i="12"/>
  <c r="U1544" i="12"/>
  <c r="V449" i="16"/>
  <c r="V1724" i="12"/>
  <c r="U2136" i="16"/>
  <c r="V453" i="16"/>
  <c r="V145" i="20"/>
  <c r="U2078" i="16"/>
  <c r="U1156" i="16"/>
  <c r="L66" i="25"/>
  <c r="U365" i="20"/>
  <c r="V210" i="16"/>
  <c r="V213" i="16"/>
  <c r="V208" i="16"/>
  <c r="V134" i="16"/>
  <c r="V119" i="16"/>
  <c r="V127" i="16"/>
  <c r="V41" i="20"/>
  <c r="V47" i="20"/>
  <c r="V1165" i="16"/>
  <c r="V1221" i="16"/>
  <c r="V214" i="16"/>
  <c r="V116" i="16"/>
  <c r="V212" i="16"/>
  <c r="V111" i="16"/>
  <c r="V133" i="16"/>
  <c r="V109" i="16"/>
  <c r="V33" i="20"/>
  <c r="V38" i="20"/>
  <c r="V1172" i="16"/>
  <c r="V1249" i="16"/>
  <c r="V461" i="20"/>
  <c r="V478" i="20"/>
  <c r="V215" i="16"/>
  <c r="V132" i="16"/>
  <c r="V120" i="16"/>
  <c r="V110" i="16"/>
  <c r="V108" i="16"/>
  <c r="V131" i="16"/>
  <c r="V46" i="20"/>
  <c r="V43" i="20"/>
  <c r="V1186" i="16"/>
  <c r="V1235" i="16"/>
  <c r="V898" i="16"/>
  <c r="V1886" i="16"/>
  <c r="V97" i="16"/>
  <c r="V1910" i="16"/>
  <c r="V1290" i="16"/>
  <c r="V196" i="20"/>
  <c r="V30" i="20"/>
  <c r="V582" i="16"/>
  <c r="V419" i="16"/>
  <c r="V1408" i="16"/>
  <c r="V148" i="20"/>
  <c r="V2034" i="16"/>
  <c r="V2060" i="16" s="1"/>
  <c r="V2088" i="16" s="1"/>
  <c r="V624" i="16"/>
  <c r="V1353" i="16"/>
  <c r="V29" i="18"/>
  <c r="V67" i="20"/>
  <c r="V105" i="22"/>
  <c r="V1641" i="16"/>
  <c r="V193" i="20"/>
  <c r="V144" i="20"/>
  <c r="V268" i="16"/>
  <c r="V1775" i="12"/>
  <c r="V1401" i="16"/>
  <c r="V62" i="20"/>
  <c r="V98" i="10"/>
  <c r="V71" i="20"/>
  <c r="V451" i="16"/>
  <c r="V1796" i="12"/>
  <c r="V1750" i="12"/>
  <c r="V41" i="22"/>
  <c r="V157" i="16"/>
  <c r="V199" i="16"/>
  <c r="V207" i="16"/>
  <c r="V128" i="16"/>
  <c r="V117" i="16"/>
  <c r="V123" i="16"/>
  <c r="V113" i="16"/>
  <c r="V32" i="20"/>
  <c r="V45" i="20"/>
  <c r="V1193" i="16"/>
  <c r="V201" i="16"/>
  <c r="V211" i="16"/>
  <c r="V107" i="16"/>
  <c r="V115" i="16"/>
  <c r="V105" i="16"/>
  <c r="V44" i="20"/>
  <c r="V35" i="20"/>
  <c r="V48" i="20"/>
  <c r="V1200" i="16"/>
  <c r="V174" i="16"/>
  <c r="V200" i="16"/>
  <c r="V118" i="16"/>
  <c r="V34" i="20"/>
  <c r="V915" i="12"/>
  <c r="V1930" i="12" s="1"/>
  <c r="V101" i="16"/>
  <c r="V1889" i="16"/>
  <c r="V363" i="10"/>
  <c r="V31" i="20"/>
  <c r="V2031" i="16"/>
  <c r="V428" i="16"/>
  <c r="V1374" i="16"/>
  <c r="V107" i="18"/>
  <c r="V2038" i="16"/>
  <c r="V2064" i="16" s="1"/>
  <c r="V2092" i="16" s="1"/>
  <c r="V417" i="16"/>
  <c r="V1530" i="16"/>
  <c r="V152" i="20"/>
  <c r="V603" i="12"/>
  <c r="V1599" i="16"/>
  <c r="V178" i="20"/>
  <c r="V2071" i="16"/>
  <c r="V1776" i="12"/>
  <c r="V1794" i="12"/>
  <c r="V142" i="20"/>
  <c r="V1606" i="16"/>
  <c r="V68" i="20"/>
  <c r="V450" i="16"/>
  <c r="V46" i="16"/>
  <c r="V1931" i="16"/>
  <c r="V154" i="20"/>
  <c r="V2044" i="16"/>
  <c r="V198" i="16"/>
  <c r="V1778" i="12"/>
  <c r="V1769" i="12"/>
  <c r="V162" i="11"/>
  <c r="V63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1523" i="16"/>
  <c r="V270" i="16"/>
  <c r="V1783" i="12"/>
  <c r="V361" i="16"/>
  <c r="V32" i="12"/>
  <c r="V1655" i="16"/>
  <c r="V128" i="20"/>
  <c r="V1694" i="12"/>
  <c r="V1829" i="12"/>
  <c r="V1681" i="12"/>
  <c r="V81" i="20"/>
  <c r="V452" i="16"/>
  <c r="V1683" i="12"/>
  <c r="V1825" i="12"/>
  <c r="V1671" i="12"/>
  <c r="V1767" i="12"/>
  <c r="V436" i="16"/>
  <c r="V657" i="16"/>
  <c r="V1797" i="12"/>
  <c r="V204" i="16"/>
  <c r="V122" i="16"/>
  <c r="V36" i="20"/>
  <c r="V1256" i="16"/>
  <c r="V206" i="16"/>
  <c r="V121" i="16"/>
  <c r="V126" i="16"/>
  <c r="V1158" i="16"/>
  <c r="V95" i="16"/>
  <c r="V135" i="16"/>
  <c r="V209" i="16"/>
  <c r="V40" i="20"/>
  <c r="V1228" i="16"/>
  <c r="V102" i="16"/>
  <c r="V1938" i="16"/>
  <c r="V219" i="10"/>
  <c r="V136" i="20"/>
  <c r="V620" i="16"/>
  <c r="V1483" i="16"/>
  <c r="V61" i="22"/>
  <c r="V2039" i="16"/>
  <c r="V2065" i="16" s="1"/>
  <c r="V433" i="16"/>
  <c r="V334" i="10"/>
  <c r="V103" i="20"/>
  <c r="V44" i="18"/>
  <c r="V1537" i="16"/>
  <c r="V66" i="20"/>
  <c r="V426" i="16"/>
  <c r="V1730" i="12"/>
  <c r="V140" i="20"/>
  <c r="V124" i="16"/>
  <c r="V39" i="20"/>
  <c r="V1582" i="16"/>
  <c r="V2180" i="16" s="1"/>
  <c r="V104" i="16"/>
  <c r="V1945" i="16"/>
  <c r="V134" i="22"/>
  <c r="V179" i="20"/>
  <c r="V1834" i="16"/>
  <c r="V459" i="16" s="1"/>
  <c r="V1297" i="16"/>
  <c r="V96" i="18"/>
  <c r="V100" i="20"/>
  <c r="V420" i="16"/>
  <c r="V12" i="10"/>
  <c r="V1877" i="16"/>
  <c r="V191" i="20"/>
  <c r="V413" i="10"/>
  <c r="V155" i="20"/>
  <c r="V1884" i="12"/>
  <c r="V1304" i="16"/>
  <c r="V174" i="20"/>
  <c r="V83" i="18"/>
  <c r="V93" i="20"/>
  <c r="V358" i="16"/>
  <c r="V1879" i="12"/>
  <c r="V1918" i="12" s="1"/>
  <c r="V187" i="20"/>
  <c r="V118" i="20"/>
  <c r="V1839" i="12"/>
  <c r="V1670" i="12"/>
  <c r="V1756" i="12"/>
  <c r="V1592" i="16"/>
  <c r="V425" i="16"/>
  <c r="V1697" i="12"/>
  <c r="V1748" i="12"/>
  <c r="V124" i="11"/>
  <c r="V116" i="18"/>
  <c r="V421" i="16"/>
  <c r="V1758" i="12"/>
  <c r="V1736" i="12"/>
  <c r="V97" i="20"/>
  <c r="V430" i="16"/>
  <c r="V1713" i="12"/>
  <c r="V1707" i="12"/>
  <c r="V83" i="20"/>
  <c r="V622" i="16"/>
  <c r="V1819" i="12"/>
  <c r="V1716" i="12"/>
  <c r="V73" i="12"/>
  <c r="V300" i="10"/>
  <c r="V360" i="16"/>
  <c r="V1838" i="12"/>
  <c r="V1840" i="12"/>
  <c r="V170" i="20"/>
  <c r="V95" i="20"/>
  <c r="V1755" i="12"/>
  <c r="V1675" i="12"/>
  <c r="V240" i="11"/>
  <c r="V1741" i="12"/>
  <c r="V435" i="16"/>
  <c r="V448" i="16"/>
  <c r="V1689" i="12"/>
  <c r="V1434" i="16"/>
  <c r="V363" i="20"/>
  <c r="V112" i="16"/>
  <c r="V42" i="20"/>
  <c r="V141" i="16"/>
  <c r="V100" i="16"/>
  <c r="V1917" i="16"/>
  <c r="V51" i="22"/>
  <c r="V138" i="20"/>
  <c r="V2057" i="16"/>
  <c r="V1634" i="16"/>
  <c r="V153" i="20"/>
  <c r="V621" i="16"/>
  <c r="V564" i="16"/>
  <c r="V125" i="22"/>
  <c r="V1339" i="16"/>
  <c r="V135" i="20"/>
  <c r="V70" i="22"/>
  <c r="V127" i="20"/>
  <c r="V1690" i="12"/>
  <c r="V1469" i="16"/>
  <c r="V84" i="20"/>
  <c r="V173" i="20"/>
  <c r="V581" i="16"/>
  <c r="V279" i="16"/>
  <c r="V1782" i="12"/>
  <c r="V192" i="20"/>
  <c r="V625" i="16"/>
  <c r="V1747" i="12"/>
  <c r="V1777" i="12"/>
  <c r="V1816" i="12"/>
  <c r="V20" i="22"/>
  <c r="V424" i="16"/>
  <c r="V38" i="16"/>
  <c r="V1664" i="12"/>
  <c r="V201" i="11"/>
  <c r="V70" i="20"/>
  <c r="V325" i="16"/>
  <c r="V1770" i="12"/>
  <c r="V1832" i="12"/>
  <c r="V2085" i="16"/>
  <c r="V1800" i="12"/>
  <c r="V1837" i="12"/>
  <c r="V1805" i="12"/>
  <c r="V160" i="20"/>
  <c r="V447" i="16"/>
  <c r="V1723" i="12"/>
  <c r="V1640" i="12"/>
  <c r="V222" i="11"/>
  <c r="V137" i="20"/>
  <c r="V359" i="16"/>
  <c r="V1742" i="12"/>
  <c r="V1703" i="12"/>
  <c r="V96" i="20"/>
  <c r="V205" i="20"/>
  <c r="V216" i="16"/>
  <c r="V1820" i="12"/>
  <c r="V106" i="16"/>
  <c r="V37" i="20"/>
  <c r="V506" i="20"/>
  <c r="V508" i="20" s="1"/>
  <c r="V125" i="16"/>
  <c r="V103" i="16"/>
  <c r="V129" i="16"/>
  <c r="V29" i="8"/>
  <c r="V127" i="8" s="1"/>
  <c r="V1476" i="16"/>
  <c r="V2036" i="16"/>
  <c r="V1500" i="16"/>
  <c r="V363" i="16" s="1"/>
  <c r="V99" i="20"/>
  <c r="V576" i="16"/>
  <c r="V121" i="20"/>
  <c r="V101" i="20"/>
  <c r="V65" i="20"/>
  <c r="V1739" i="12"/>
  <c r="V26" i="22"/>
  <c r="V169" i="20"/>
  <c r="V356" i="16"/>
  <c r="V1834" i="12"/>
  <c r="V1360" i="16"/>
  <c r="V427" i="16"/>
  <c r="V1737" i="12"/>
  <c r="V629" i="12"/>
  <c r="V619" i="16"/>
  <c r="V1799" i="12"/>
  <c r="V1638" i="12"/>
  <c r="V1837" i="16"/>
  <c r="V462" i="16" s="1"/>
  <c r="V446" i="16"/>
  <c r="V1639" i="12"/>
  <c r="V1578" i="16"/>
  <c r="V281" i="16"/>
  <c r="V1725" i="12"/>
  <c r="V100" i="12"/>
  <c r="V120" i="20"/>
  <c r="V1746" i="12"/>
  <c r="V1399" i="12"/>
  <c r="V1415" i="16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903" i="16"/>
  <c r="V1785" i="12"/>
  <c r="V114" i="16"/>
  <c r="V79" i="16"/>
  <c r="V1497" i="16"/>
  <c r="V149" i="20"/>
  <c r="V1137" i="16"/>
  <c r="V126" i="20"/>
  <c r="V362" i="16"/>
  <c r="V139" i="20"/>
  <c r="V124" i="20"/>
  <c r="V122" i="20"/>
  <c r="V1878" i="12"/>
  <c r="V1916" i="12" s="1"/>
  <c r="V72" i="20"/>
  <c r="V12" i="20"/>
  <c r="V25" i="20" s="1"/>
  <c r="V1188" i="20" s="1"/>
  <c r="V1222" i="20" s="1"/>
  <c r="V1235" i="20" s="1"/>
  <c r="V1248" i="20" s="1"/>
  <c r="V277" i="16"/>
  <c r="V1648" i="16"/>
  <c r="V1448" i="16"/>
  <c r="V1676" i="12"/>
  <c r="V231" i="11"/>
  <c r="V1774" i="12"/>
  <c r="V1811" i="12"/>
  <c r="V32" i="22"/>
  <c r="V1880" i="12"/>
  <c r="V1919" i="12" s="1"/>
  <c r="V418" i="16"/>
  <c r="V1802" i="12"/>
  <c r="V60" i="20"/>
  <c r="V1836" i="12"/>
  <c r="V439" i="16"/>
  <c r="V53" i="11"/>
  <c r="V1826" i="12"/>
  <c r="V271" i="16"/>
  <c r="V1679" i="12"/>
  <c r="V130" i="16"/>
  <c r="V99" i="16"/>
  <c r="V1311" i="16"/>
  <c r="V132" i="20"/>
  <c r="V1571" i="16"/>
  <c r="V175" i="20"/>
  <c r="V354" i="16"/>
  <c r="V141" i="20"/>
  <c r="V1833" i="16"/>
  <c r="V458" i="16" s="1"/>
  <c r="V1678" i="12"/>
  <c r="V49" i="20"/>
  <c r="V133" i="20"/>
  <c r="V352" i="16"/>
  <c r="V1332" i="16"/>
  <c r="V115" i="22"/>
  <c r="V1772" i="12"/>
  <c r="V1781" i="12"/>
  <c r="V44" i="11"/>
  <c r="V454" i="16"/>
  <c r="V12" i="16"/>
  <c r="V192" i="16" s="1"/>
  <c r="V1404" i="12"/>
  <c r="V1585" i="16"/>
  <c r="V1804" i="12"/>
  <c r="V1669" i="12"/>
  <c r="V147" i="20"/>
  <c r="V1827" i="12"/>
  <c r="V1728" i="12"/>
  <c r="V327" i="16"/>
  <c r="V273" i="16"/>
  <c r="V1704" i="12"/>
  <c r="V698" i="12"/>
  <c r="V125" i="20"/>
  <c r="V1815" i="12"/>
  <c r="V197" i="16"/>
  <c r="V1318" i="16"/>
  <c r="V442" i="16"/>
  <c r="V1745" i="12"/>
  <c r="V82" i="12"/>
  <c r="V786" i="16"/>
  <c r="V1699" i="12"/>
  <c r="V1786" i="12"/>
  <c r="V131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61" i="20"/>
  <c r="V1398" i="12"/>
  <c r="V1787" i="12"/>
  <c r="V1753" i="12"/>
  <c r="V2035" i="16"/>
  <c r="V12" i="12"/>
  <c r="V1784" i="12"/>
  <c r="V1824" i="12"/>
  <c r="V32" i="8"/>
  <c r="V31" i="8" s="1"/>
  <c r="V110" i="18" s="1"/>
  <c r="V1740" i="12"/>
  <c r="V1179" i="16"/>
  <c r="V1242" i="16"/>
  <c r="V98" i="16"/>
  <c r="V12" i="18"/>
  <c r="V64" i="20"/>
  <c r="V1516" i="16"/>
  <c r="V130" i="20"/>
  <c r="V1462" i="16"/>
  <c r="V1613" i="16"/>
  <c r="V1441" i="16"/>
  <c r="V457" i="16"/>
  <c r="V1814" i="12"/>
  <c r="V1346" i="16"/>
  <c r="V98" i="20"/>
  <c r="V1715" i="12"/>
  <c r="V1490" i="16"/>
  <c r="V189" i="20"/>
  <c r="V1803" i="12"/>
  <c r="V1668" i="12"/>
  <c r="V58" i="20"/>
  <c r="V438" i="16"/>
  <c r="V1813" i="12"/>
  <c r="V1157" i="12"/>
  <c r="V177" i="20"/>
  <c r="V1831" i="12"/>
  <c r="V573" i="16"/>
  <c r="V1731" i="12"/>
  <c r="V1381" i="16"/>
  <c r="V1833" i="12"/>
  <c r="V1812" i="12"/>
  <c r="V22" i="16"/>
  <c r="V1672" i="12"/>
  <c r="V1667" i="12"/>
  <c r="V353" i="16"/>
  <c r="V1644" i="12"/>
  <c r="V1422" i="16"/>
  <c r="V1779" i="12"/>
  <c r="V1504" i="16"/>
  <c r="V367" i="16" s="1"/>
  <c r="V269" i="16"/>
  <c r="V1394" i="16"/>
  <c r="V1207" i="16"/>
  <c r="V335" i="20"/>
  <c r="V96" i="16"/>
  <c r="V144" i="16" s="1"/>
  <c r="V176" i="20"/>
  <c r="V623" i="16"/>
  <c r="V271" i="10"/>
  <c r="V59" i="20"/>
  <c r="V1849" i="16"/>
  <c r="V1620" i="16"/>
  <c r="V1564" i="16"/>
  <c r="V278" i="16"/>
  <c r="V1627" i="16"/>
  <c r="V1455" i="16"/>
  <c r="V801" i="16"/>
  <c r="V1759" i="12"/>
  <c r="V46" i="10"/>
  <c r="V102" i="20"/>
  <c r="V1701" i="12"/>
  <c r="V1661" i="12"/>
  <c r="V1712" i="12"/>
  <c r="V70" i="16"/>
  <c r="V1733" i="12"/>
  <c r="V1789" i="12"/>
  <c r="V69" i="20"/>
  <c r="V1735" i="12"/>
  <c r="V575" i="16"/>
  <c r="V30" i="16"/>
  <c r="V422" i="16"/>
  <c r="V1503" i="16"/>
  <c r="V366" i="16" s="1"/>
  <c r="V156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28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94" i="20"/>
  <c r="V1501" i="16"/>
  <c r="V364" i="16" s="1"/>
  <c r="V195" i="20"/>
  <c r="V123" i="20"/>
  <c r="V272" i="16"/>
  <c r="V357" i="16"/>
  <c r="V63" i="12"/>
  <c r="V82" i="20"/>
  <c r="V85" i="20"/>
  <c r="V1835" i="12"/>
  <c r="V1817" i="12"/>
  <c r="V63" i="18"/>
  <c r="V96" i="22"/>
  <c r="V80" i="20"/>
  <c r="V1325" i="16"/>
  <c r="V274" i="16"/>
  <c r="V1214" i="16"/>
  <c r="U1565" i="12"/>
  <c r="U1521" i="12"/>
  <c r="V1773" i="12"/>
  <c r="V188" i="20"/>
  <c r="V1726" i="12"/>
  <c r="V385" i="10"/>
  <c r="V489" i="10" s="1"/>
  <c r="V445" i="16"/>
  <c r="U1527" i="12"/>
  <c r="U1581" i="12"/>
  <c r="U1596" i="12"/>
  <c r="V104" i="11"/>
  <c r="V617" i="16"/>
  <c r="V119" i="20"/>
  <c r="U1531" i="12"/>
  <c r="V1181" i="12"/>
  <c r="V328" i="20"/>
  <c r="U1563" i="12"/>
  <c r="V618" i="16"/>
  <c r="V114" i="12"/>
  <c r="V84" i="22"/>
  <c r="V1761" i="12"/>
  <c r="V12" i="11"/>
  <c r="V1727" i="12"/>
  <c r="V127" i="10"/>
  <c r="V12" i="22"/>
  <c r="V583" i="16"/>
  <c r="V146" i="20"/>
  <c r="V202" i="16"/>
  <c r="U1552" i="12"/>
  <c r="U1600" i="12"/>
  <c r="U1577" i="12"/>
  <c r="U1594" i="12"/>
  <c r="U1472" i="12"/>
  <c r="U1549" i="12"/>
  <c r="U1571" i="12"/>
  <c r="U1485" i="12"/>
  <c r="V180" i="11"/>
  <c r="V218" i="11" s="1"/>
  <c r="V2033" i="16"/>
  <c r="V2046" i="16" s="1"/>
  <c r="V1738" i="12"/>
  <c r="V95" i="11"/>
  <c r="V117" i="20"/>
  <c r="V57" i="20"/>
  <c r="V1682" i="12"/>
  <c r="V1693" i="12"/>
  <c r="V1752" i="12"/>
  <c r="V172" i="20"/>
  <c r="V429" i="16"/>
  <c r="V437" i="16"/>
  <c r="V1557" i="16"/>
  <c r="V242" i="10"/>
  <c r="V134" i="20"/>
  <c r="V143" i="20"/>
  <c r="U1528" i="12"/>
  <c r="U1516" i="12"/>
  <c r="V1734" i="12"/>
  <c r="V443" i="16"/>
  <c r="V1768" i="12"/>
  <c r="V197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16" i="20"/>
  <c r="V1791" i="12"/>
  <c r="V444" i="16"/>
  <c r="V1823" i="12"/>
  <c r="V1924" i="16"/>
  <c r="U1585" i="12"/>
  <c r="U1572" i="12"/>
  <c r="V326" i="16"/>
  <c r="V190" i="20"/>
  <c r="V62" i="16"/>
  <c r="V355" i="16"/>
  <c r="V1705" i="12"/>
  <c r="V580" i="16"/>
  <c r="V485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61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1544" i="16"/>
  <c r="V90" i="22"/>
  <c r="U1476" i="12"/>
  <c r="U1530" i="12"/>
  <c r="U1462" i="12"/>
  <c r="U1439" i="12"/>
  <c r="U1537" i="12"/>
  <c r="U1540" i="12"/>
  <c r="U1509" i="12"/>
  <c r="U1597" i="12"/>
  <c r="V171" i="20"/>
  <c r="V1751" i="12"/>
  <c r="V1771" i="12"/>
  <c r="V1700" i="12"/>
  <c r="V1691" i="12"/>
  <c r="V150" i="20"/>
  <c r="V698" i="16"/>
  <c r="V615" i="16"/>
  <c r="V1666" i="12"/>
  <c r="V1421" i="12"/>
  <c r="V1544" i="12" s="1"/>
  <c r="V1952" i="16"/>
  <c r="V2037" i="16"/>
  <c r="V2063" i="16" s="1"/>
  <c r="V2091" i="16" s="1"/>
  <c r="V431" i="16"/>
  <c r="V151" i="20"/>
  <c r="V75" i="10"/>
  <c r="V1144" i="16"/>
  <c r="V1315" i="16"/>
  <c r="V2140" i="16" s="1"/>
  <c r="V1294" i="16"/>
  <c r="V1322" i="16"/>
  <c r="V1329" i="16"/>
  <c r="V2142" i="16" s="1"/>
  <c r="V534" i="20"/>
  <c r="V356" i="20"/>
  <c r="V1662" i="16"/>
  <c r="V1494" i="16"/>
  <c r="V915" i="20"/>
  <c r="V471" i="20"/>
  <c r="V1391" i="16"/>
  <c r="V2152" i="16" s="1"/>
  <c r="V901" i="20"/>
  <c r="V874" i="16"/>
  <c r="V1473" i="16"/>
  <c r="V894" i="20"/>
  <c r="V527" i="20"/>
  <c r="V1596" i="16"/>
  <c r="V1459" i="16"/>
  <c r="V2163" i="16" s="1"/>
  <c r="V1480" i="16"/>
  <c r="V922" i="16"/>
  <c r="V904" i="16"/>
  <c r="V892" i="16"/>
  <c r="V384" i="20"/>
  <c r="V1603" i="16"/>
  <c r="U364" i="20"/>
  <c r="V880" i="16"/>
  <c r="U1460" i="16"/>
  <c r="V1445" i="16"/>
  <c r="V2161" i="16" s="1"/>
  <c r="U180" i="20"/>
  <c r="U1208" i="20" s="1"/>
  <c r="U507" i="20"/>
  <c r="U887" i="16"/>
  <c r="U486" i="20"/>
  <c r="U487" i="20" s="1"/>
  <c r="U1838" i="16"/>
  <c r="U350" i="20"/>
  <c r="U351" i="20" s="1"/>
  <c r="U905" i="12"/>
  <c r="U917" i="12" s="1"/>
  <c r="U1933" i="12" s="1"/>
  <c r="V513" i="20"/>
  <c r="V515" i="20" s="1"/>
  <c r="V1287" i="16"/>
  <c r="U1309" i="16"/>
  <c r="U1310" i="16" s="1"/>
  <c r="U1505" i="16"/>
  <c r="V1589" i="16"/>
  <c r="V1914" i="16"/>
  <c r="V2227" i="16" s="1"/>
  <c r="U1915" i="16"/>
  <c r="U1281" i="16"/>
  <c r="U807" i="16"/>
  <c r="V1280" i="16"/>
  <c r="V1283" i="16" s="1"/>
  <c r="V1398" i="16"/>
  <c r="V2153" i="16" s="1"/>
  <c r="U996" i="12"/>
  <c r="U1153" i="12" s="1"/>
  <c r="U284" i="16"/>
  <c r="U804" i="16" s="1"/>
  <c r="U1446" i="16"/>
  <c r="U764" i="16"/>
  <c r="U226" i="20" s="1"/>
  <c r="U771" i="16"/>
  <c r="U233" i="20" s="1"/>
  <c r="U893" i="16"/>
  <c r="U781" i="16"/>
  <c r="U243" i="20" s="1"/>
  <c r="U875" i="16"/>
  <c r="L163" i="25"/>
  <c r="L209" i="25" s="1"/>
  <c r="L247" i="25" s="1"/>
  <c r="L266" i="25" s="1"/>
  <c r="L274" i="25" s="1"/>
  <c r="V886" i="16"/>
  <c r="U749" i="16"/>
  <c r="U211" i="20" s="1"/>
  <c r="T1477" i="12"/>
  <c r="T1634" i="12" s="1"/>
  <c r="U759" i="16"/>
  <c r="U221" i="20" s="1"/>
  <c r="U73" i="20"/>
  <c r="U1203" i="20" s="1"/>
  <c r="U772" i="16"/>
  <c r="U234" i="20" s="1"/>
  <c r="U756" i="16"/>
  <c r="U218" i="20" s="1"/>
  <c r="U782" i="16"/>
  <c r="U244" i="20" s="1"/>
  <c r="U783" i="16"/>
  <c r="U245" i="20" s="1"/>
  <c r="U747" i="16"/>
  <c r="U209" i="20" s="1"/>
  <c r="U1717" i="12"/>
  <c r="U1874" i="12" s="1"/>
  <c r="U1912" i="12" s="1"/>
  <c r="U963" i="12"/>
  <c r="U1151" i="12" s="1"/>
  <c r="U584" i="16"/>
  <c r="U809" i="16" s="1"/>
  <c r="T1468" i="12"/>
  <c r="T1633" i="12" s="1"/>
  <c r="T1522" i="12"/>
  <c r="T1635" i="12" s="1"/>
  <c r="T1601" i="12"/>
  <c r="T1637" i="12" s="1"/>
  <c r="T1444" i="12"/>
  <c r="T1632" i="12" s="1"/>
  <c r="T1567" i="12"/>
  <c r="T1636" i="12" s="1"/>
  <c r="L427" i="25"/>
  <c r="U775" i="16"/>
  <c r="U237" i="20" s="1"/>
  <c r="U757" i="16"/>
  <c r="U219" i="20" s="1"/>
  <c r="U755" i="16"/>
  <c r="U217" i="20" s="1"/>
  <c r="U765" i="16"/>
  <c r="U227" i="20" s="1"/>
  <c r="U763" i="16"/>
  <c r="U225" i="20" s="1"/>
  <c r="U754" i="16"/>
  <c r="U216" i="20" s="1"/>
  <c r="U761" i="16"/>
  <c r="U223" i="20" s="1"/>
  <c r="U758" i="16"/>
  <c r="U220" i="20" s="1"/>
  <c r="U745" i="16"/>
  <c r="U207" i="20" s="1"/>
  <c r="U778" i="16"/>
  <c r="U240" i="20" s="1"/>
  <c r="U750" i="16"/>
  <c r="U212" i="20" s="1"/>
  <c r="U767" i="16"/>
  <c r="U229" i="20" s="1"/>
  <c r="U774" i="16"/>
  <c r="U236" i="20" s="1"/>
  <c r="U770" i="16"/>
  <c r="U232" i="20" s="1"/>
  <c r="L379" i="25"/>
  <c r="U751" i="16"/>
  <c r="U213" i="20" s="1"/>
  <c r="U752" i="16"/>
  <c r="U214" i="20" s="1"/>
  <c r="U773" i="16"/>
  <c r="U235" i="20" s="1"/>
  <c r="U762" i="16"/>
  <c r="U224" i="20" s="1"/>
  <c r="U746" i="16"/>
  <c r="U208" i="20" s="1"/>
  <c r="L332" i="25"/>
  <c r="L285" i="25"/>
  <c r="L475" i="25"/>
  <c r="L592" i="25" s="1"/>
  <c r="U748" i="16"/>
  <c r="U210" i="20" s="1"/>
  <c r="U780" i="16"/>
  <c r="U242" i="20" s="1"/>
  <c r="U779" i="16"/>
  <c r="U241" i="20" s="1"/>
  <c r="U768" i="16"/>
  <c r="U230" i="20" s="1"/>
  <c r="U760" i="16"/>
  <c r="U222" i="20" s="1"/>
  <c r="U769" i="16"/>
  <c r="U231" i="20" s="1"/>
  <c r="U753" i="16"/>
  <c r="U215" i="20" s="1"/>
  <c r="U766" i="16"/>
  <c r="U228" i="20" s="1"/>
  <c r="U777" i="16"/>
  <c r="U239" i="20" s="1"/>
  <c r="V1412" i="16"/>
  <c r="V2155" i="16" s="1"/>
  <c r="U878" i="12"/>
  <c r="U914" i="12" s="1"/>
  <c r="U1929" i="12" s="1"/>
  <c r="U101" i="18"/>
  <c r="U1120" i="12"/>
  <c r="U1156" i="12" s="1"/>
  <c r="V377" i="20"/>
  <c r="U626" i="16"/>
  <c r="U810" i="16" s="1"/>
  <c r="U1762" i="12"/>
  <c r="U1875" i="12" s="1"/>
  <c r="U1913" i="12" s="1"/>
  <c r="V1419" i="16"/>
  <c r="V2156" i="16" s="1"/>
  <c r="U357" i="20"/>
  <c r="U358" i="20" s="1"/>
  <c r="U33" i="18"/>
  <c r="U38" i="18" s="1"/>
  <c r="U86" i="18"/>
  <c r="U923" i="16"/>
  <c r="U119" i="18"/>
  <c r="U368" i="16"/>
  <c r="U77" i="18"/>
  <c r="U48" i="18"/>
  <c r="U53" i="18" s="1"/>
  <c r="U110" i="18"/>
  <c r="U1684" i="12"/>
  <c r="U1872" i="12" s="1"/>
  <c r="U1910" i="12" s="1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1204" i="12"/>
  <c r="U1392" i="12" s="1"/>
  <c r="U198" i="20"/>
  <c r="U1209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86" i="20"/>
  <c r="U1205" i="20" s="1"/>
  <c r="U331" i="16"/>
  <c r="U806" i="16" s="1"/>
  <c r="U808" i="16"/>
  <c r="U754" i="12"/>
  <c r="U911" i="12" s="1"/>
  <c r="U1926" i="12" s="1"/>
  <c r="V1308" i="16"/>
  <c r="U721" i="12"/>
  <c r="U909" i="12" s="1"/>
  <c r="U1924" i="12" s="1"/>
  <c r="U2042" i="16"/>
  <c r="U811" i="16" s="1"/>
  <c r="U2137" i="16"/>
  <c r="U371" i="20"/>
  <c r="V370" i="20"/>
  <c r="U463" i="16"/>
  <c r="U1413" i="16"/>
  <c r="U1295" i="16"/>
  <c r="U846" i="20"/>
  <c r="U1439" i="16"/>
  <c r="V1554" i="16"/>
  <c r="V2176" i="16" s="1"/>
  <c r="V1438" i="16"/>
  <c r="V2160" i="16" s="1"/>
  <c r="K217" i="25"/>
  <c r="V845" i="20"/>
  <c r="V847" i="20" s="1"/>
  <c r="V349" i="20"/>
  <c r="S1641" i="12"/>
  <c r="S1651" i="12" s="1"/>
  <c r="R1646" i="12"/>
  <c r="T699" i="16"/>
  <c r="U847" i="20"/>
  <c r="T246" i="20"/>
  <c r="U1302" i="16"/>
  <c r="U1569" i="16"/>
  <c r="U493" i="20"/>
  <c r="U494" i="20" s="1"/>
  <c r="V492" i="20"/>
  <c r="V1568" i="16"/>
  <c r="V2178" i="16" s="1"/>
  <c r="V1301" i="16"/>
  <c r="U2138" i="16"/>
  <c r="U1467" i="16"/>
  <c r="U514" i="20"/>
  <c r="T1917" i="12"/>
  <c r="T1920" i="12" s="1"/>
  <c r="T805" i="16"/>
  <c r="S1886" i="12"/>
  <c r="V1155" i="16"/>
  <c r="V2116" i="16" s="1"/>
  <c r="V1466" i="16"/>
  <c r="V2164" i="16" s="1"/>
  <c r="U1555" i="16"/>
  <c r="T1160" i="12"/>
  <c r="T1170" i="12" s="1"/>
  <c r="T1171" i="12" s="1"/>
  <c r="T1881" i="12"/>
  <c r="T1891" i="12" s="1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50" i="20" a="1"/>
  <c r="J950" i="20" s="1"/>
  <c r="D954" i="20"/>
  <c r="U2152" i="16"/>
  <c r="U1392" i="16"/>
  <c r="L571" i="20"/>
  <c r="U332" i="16"/>
  <c r="V1405" i="16"/>
  <c r="V2154" i="16" s="1"/>
  <c r="U1406" i="16"/>
  <c r="S333" i="16"/>
  <c r="T1420" i="16"/>
  <c r="T333" i="16" s="1"/>
  <c r="R179" i="16"/>
  <c r="R169" i="16"/>
  <c r="Q186" i="16"/>
  <c r="Q60" i="10" s="1"/>
  <c r="P84" i="16"/>
  <c r="U2140" i="16"/>
  <c r="U1316" i="16"/>
  <c r="M80" i="16"/>
  <c r="U1888" i="16"/>
  <c r="Q86" i="16"/>
  <c r="Q83" i="16"/>
  <c r="Q85" i="16"/>
  <c r="W380" i="10"/>
  <c r="X370" i="10"/>
  <c r="W370" i="10"/>
  <c r="U1894" i="16"/>
  <c r="V1893" i="16"/>
  <c r="V2224" i="16" s="1"/>
  <c r="N1351" i="16"/>
  <c r="N1352" i="16" s="1"/>
  <c r="O1352" i="16" s="1"/>
  <c r="P1352" i="16" s="1"/>
  <c r="V1452" i="16"/>
  <c r="V2162" i="16" s="1"/>
  <c r="U479" i="20"/>
  <c r="U480" i="20" s="1"/>
  <c r="U1453" i="16"/>
  <c r="U1454" i="16" s="1"/>
  <c r="Q1337" i="16"/>
  <c r="R1336" i="16"/>
  <c r="P910" i="20"/>
  <c r="N1357" i="16"/>
  <c r="N2146" i="16" s="1"/>
  <c r="M1358" i="16"/>
  <c r="P909" i="20"/>
  <c r="Q909" i="20" s="1"/>
  <c r="S1475" i="16"/>
  <c r="R1930" i="16"/>
  <c r="U1414" i="16"/>
  <c r="U1584" i="16"/>
  <c r="M1359" i="16"/>
  <c r="L579" i="20"/>
  <c r="M579" i="20" s="1"/>
  <c r="N579" i="20" s="1"/>
  <c r="O579" i="20" s="1"/>
  <c r="O581" i="20" s="1"/>
  <c r="K580" i="20"/>
  <c r="S1598" i="16"/>
  <c r="S1165" i="12"/>
  <c r="S1172" i="12" s="1"/>
  <c r="U1393" i="16"/>
  <c r="U1468" i="16"/>
  <c r="U1407" i="16"/>
  <c r="P1205" i="16"/>
  <c r="T1591" i="16"/>
  <c r="R1482" i="16"/>
  <c r="U1916" i="16"/>
  <c r="N1345" i="16"/>
  <c r="O1345" i="16" s="1"/>
  <c r="P1345" i="16" s="1"/>
  <c r="Q1345" i="16" s="1"/>
  <c r="S1324" i="16"/>
  <c r="U1577" i="16"/>
  <c r="Q1605" i="16"/>
  <c r="U1400" i="16"/>
  <c r="P1496" i="16"/>
  <c r="R1944" i="16"/>
  <c r="Q1937" i="16"/>
  <c r="N1626" i="16"/>
  <c r="Q1338" i="16"/>
  <c r="R1489" i="16"/>
  <c r="T1343" i="16"/>
  <c r="U1343" i="16" s="1"/>
  <c r="U1570" i="16"/>
  <c r="P1612" i="16"/>
  <c r="T1331" i="16"/>
  <c r="R1185" i="16"/>
  <c r="M1633" i="16"/>
  <c r="N1633" i="16" s="1"/>
  <c r="U1317" i="16"/>
  <c r="T1461" i="16"/>
  <c r="T1421" i="16"/>
  <c r="T334" i="16" s="1"/>
  <c r="T791" i="16" s="1"/>
  <c r="T199" i="10" s="1"/>
  <c r="U1908" i="16"/>
  <c r="U1909" i="16" s="1"/>
  <c r="V1907" i="16"/>
  <c r="L1645" i="16"/>
  <c r="M1645" i="16" s="1"/>
  <c r="N1645" i="16" s="1"/>
  <c r="D1652" i="16"/>
  <c r="F1651" i="16" s="1"/>
  <c r="N2273" i="16"/>
  <c r="N20" i="16" s="1"/>
  <c r="N81" i="16" s="1"/>
  <c r="N2269" i="16"/>
  <c r="U2075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O2257" i="16"/>
  <c r="O91" i="16" s="1"/>
  <c r="O101" i="12" s="1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59" i="16"/>
  <c r="S57" i="16" s="1"/>
  <c r="S2254" i="16" s="1"/>
  <c r="S2266" i="16" s="1"/>
  <c r="R2278" i="16"/>
  <c r="R60" i="16" s="1"/>
  <c r="R87" i="16" s="1"/>
  <c r="R43" i="16"/>
  <c r="S41" i="16" s="1"/>
  <c r="S2252" i="16" s="1"/>
  <c r="S2264" i="16" s="1"/>
  <c r="R2276" i="16"/>
  <c r="R44" i="16" s="1"/>
  <c r="T385" i="20"/>
  <c r="T386" i="20" s="1"/>
  <c r="Q399" i="20"/>
  <c r="Q400" i="20" s="1"/>
  <c r="S379" i="20"/>
  <c r="T378" i="20"/>
  <c r="U378" i="20" s="1"/>
  <c r="U472" i="20"/>
  <c r="U473" i="20" s="1"/>
  <c r="N941" i="16"/>
  <c r="N942" i="16" s="1"/>
  <c r="P917" i="16"/>
  <c r="O1218" i="16"/>
  <c r="O2125" i="16" s="1"/>
  <c r="L1233" i="16"/>
  <c r="O413" i="20"/>
  <c r="P413" i="20" s="1"/>
  <c r="O1212" i="16"/>
  <c r="N1225" i="16"/>
  <c r="N2126" i="16" s="1"/>
  <c r="R1197" i="16"/>
  <c r="R2122" i="16" s="1"/>
  <c r="Q393" i="20"/>
  <c r="R392" i="20"/>
  <c r="M1232" i="16"/>
  <c r="M2127" i="16" s="1"/>
  <c r="Q1198" i="16"/>
  <c r="Q1199" i="16" s="1"/>
  <c r="L1246" i="16"/>
  <c r="L2129" i="16" s="1"/>
  <c r="M948" i="16"/>
  <c r="N946" i="16"/>
  <c r="L1234" i="16"/>
  <c r="N426" i="20"/>
  <c r="N428" i="20" s="1"/>
  <c r="O414" i="20"/>
  <c r="L1239" i="16"/>
  <c r="L2128" i="16" s="1"/>
  <c r="M1226" i="16"/>
  <c r="M1227" i="16" s="1"/>
  <c r="P407" i="20"/>
  <c r="Q406" i="20"/>
  <c r="Q407" i="20"/>
  <c r="R405" i="20"/>
  <c r="S405" i="20" s="1"/>
  <c r="O419" i="20"/>
  <c r="P419" i="20" s="1"/>
  <c r="L435" i="20"/>
  <c r="M433" i="20"/>
  <c r="N433" i="20" s="1"/>
  <c r="N435" i="20" s="1"/>
  <c r="N1219" i="16"/>
  <c r="N420" i="20"/>
  <c r="L440" i="20"/>
  <c r="L441" i="20" s="1"/>
  <c r="M428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/>
  <c r="D974" i="16"/>
  <c r="D1265" i="16"/>
  <c r="E1266" i="16"/>
  <c r="D1266" i="16" s="1"/>
  <c r="D1267" i="16" s="1"/>
  <c r="E1265" i="16"/>
  <c r="U386" i="20"/>
  <c r="O1235" i="16"/>
  <c r="K1240" i="16"/>
  <c r="K1242" i="16"/>
  <c r="K260" i="16" s="1"/>
  <c r="K1247" i="16"/>
  <c r="K1249" i="16"/>
  <c r="K261" i="16" s="1"/>
  <c r="K1248" i="16"/>
  <c r="K1241" i="16"/>
  <c r="T412" i="20"/>
  <c r="S1263" i="16"/>
  <c r="E1258" i="16"/>
  <c r="T1263" i="16"/>
  <c r="R1263" i="16"/>
  <c r="D1258" i="16"/>
  <c r="Q1263" i="16"/>
  <c r="P1263" i="16"/>
  <c r="V1263" i="16"/>
  <c r="E1259" i="16"/>
  <c r="U1263" i="16"/>
  <c r="D1252" i="16"/>
  <c r="D1253" i="16" s="1"/>
  <c r="F1252" i="16" s="1"/>
  <c r="K1253" i="16"/>
  <c r="K2130" i="16" s="1"/>
  <c r="E816" i="20"/>
  <c r="K817" i="20" s="1"/>
  <c r="L817" i="20" s="1"/>
  <c r="L819" i="20" s="1"/>
  <c r="K442" i="20"/>
  <c r="E615" i="20"/>
  <c r="E616" i="20" s="1"/>
  <c r="K617" i="20" s="1"/>
  <c r="K618" i="20" s="1"/>
  <c r="C934" i="20"/>
  <c r="D934" i="20"/>
  <c r="E934" i="20" s="1"/>
  <c r="D941" i="20"/>
  <c r="E941" i="20" s="1"/>
  <c r="C941" i="20"/>
  <c r="C452" i="20"/>
  <c r="D451" i="20"/>
  <c r="K447" i="20"/>
  <c r="K448" i="20" s="1"/>
  <c r="T398" i="20"/>
  <c r="U391" i="20"/>
  <c r="D920" i="20"/>
  <c r="E920" i="20" s="1"/>
  <c r="D921" i="20"/>
  <c r="E685" i="20"/>
  <c r="E692" i="20"/>
  <c r="C871" i="20"/>
  <c r="D871" i="20"/>
  <c r="E871" i="20" s="1"/>
  <c r="E665" i="20"/>
  <c r="K666" i="20" s="1"/>
  <c r="K667" i="20" s="1"/>
  <c r="K668" i="20" s="1"/>
  <c r="E679" i="20"/>
  <c r="K680" i="20" s="1"/>
  <c r="E672" i="20"/>
  <c r="K673" i="20" s="1"/>
  <c r="E623" i="20"/>
  <c r="K624" i="20" s="1"/>
  <c r="E651" i="20"/>
  <c r="K652" i="20" s="1"/>
  <c r="E658" i="20"/>
  <c r="K659" i="20" s="1"/>
  <c r="K660" i="20" s="1"/>
  <c r="K661" i="20" s="1"/>
  <c r="E637" i="20"/>
  <c r="K638" i="20" s="1"/>
  <c r="E630" i="20"/>
  <c r="K631" i="20" s="1"/>
  <c r="K581" i="20"/>
  <c r="R2262" i="16"/>
  <c r="R27" i="16" s="1"/>
  <c r="S25" i="16" s="1"/>
  <c r="U329" i="20"/>
  <c r="U330" i="20" s="1"/>
  <c r="S65" i="16"/>
  <c r="S2255" i="16" s="1"/>
  <c r="S2267" i="16" s="1"/>
  <c r="S67" i="16" s="1"/>
  <c r="U500" i="20"/>
  <c r="U501" i="20" s="1"/>
  <c r="V499" i="20"/>
  <c r="O918" i="16"/>
  <c r="U1562" i="16"/>
  <c r="U1563" i="16" s="1"/>
  <c r="V1561" i="16"/>
  <c r="V2177" i="16" s="1"/>
  <c r="T918" i="12"/>
  <c r="T928" i="12" s="1"/>
  <c r="T929" i="12" s="1"/>
  <c r="T1931" i="12"/>
  <c r="T1934" i="12" s="1"/>
  <c r="S152" i="16"/>
  <c r="Q543" i="20"/>
  <c r="R543" i="20"/>
  <c r="T541" i="20"/>
  <c r="U541" i="20" s="1"/>
  <c r="U543" i="20" s="1"/>
  <c r="Q542" i="20"/>
  <c r="R542" i="20" s="1"/>
  <c r="S542" i="20" s="1"/>
  <c r="O929" i="16"/>
  <c r="N930" i="16"/>
  <c r="U336" i="20"/>
  <c r="Q928" i="16"/>
  <c r="O2186" i="16"/>
  <c r="O1625" i="16"/>
  <c r="P1625" i="16" s="1"/>
  <c r="S2167" i="16"/>
  <c r="Q1624" i="16"/>
  <c r="R1624" i="16" s="1"/>
  <c r="S1624" i="16" s="1"/>
  <c r="S2186" i="16" s="1"/>
  <c r="S535" i="20"/>
  <c r="T535" i="20" s="1"/>
  <c r="U535" i="20" s="1"/>
  <c r="S536" i="20"/>
  <c r="Q2168" i="16"/>
  <c r="U536" i="20"/>
  <c r="S146" i="16"/>
  <c r="S162" i="16" s="1"/>
  <c r="S906" i="16"/>
  <c r="L1639" i="16"/>
  <c r="T536" i="20"/>
  <c r="T1928" i="16"/>
  <c r="U1928" i="16" s="1"/>
  <c r="O2187" i="16"/>
  <c r="O1632" i="16"/>
  <c r="P1632" i="16" s="1"/>
  <c r="T521" i="20"/>
  <c r="L1640" i="16"/>
  <c r="M1638" i="16"/>
  <c r="N1638" i="16" s="1"/>
  <c r="N2188" i="16" s="1"/>
  <c r="S2168" i="16"/>
  <c r="Q1495" i="16"/>
  <c r="R1495" i="16" s="1"/>
  <c r="S1495" i="16" s="1"/>
  <c r="U520" i="20"/>
  <c r="R2230" i="16"/>
  <c r="N563" i="20"/>
  <c r="T1935" i="16"/>
  <c r="U1935" i="16" s="1"/>
  <c r="V1935" i="16" s="1"/>
  <c r="R1936" i="16"/>
  <c r="S1936" i="16" s="1"/>
  <c r="M569" i="20"/>
  <c r="R1617" i="16"/>
  <c r="S1617" i="16" s="1"/>
  <c r="L950" i="20"/>
  <c r="Q910" i="20"/>
  <c r="R908" i="20"/>
  <c r="S1488" i="16"/>
  <c r="T1488" i="16" s="1"/>
  <c r="O562" i="20"/>
  <c r="O564" i="20" s="1"/>
  <c r="P2187" i="16"/>
  <c r="Q1631" i="16"/>
  <c r="Q2187" i="16" s="1"/>
  <c r="U529" i="20"/>
  <c r="T529" i="20"/>
  <c r="K2189" i="16"/>
  <c r="E956" i="20"/>
  <c r="K957" i="20" s="1"/>
  <c r="K958" i="20" s="1"/>
  <c r="K1646" i="16"/>
  <c r="T903" i="20"/>
  <c r="K952" i="20"/>
  <c r="C968" i="20"/>
  <c r="D963" i="20"/>
  <c r="C963" i="20"/>
  <c r="C964" i="20" s="1"/>
  <c r="L570" i="20"/>
  <c r="R916" i="20"/>
  <c r="S916" i="20" s="1"/>
  <c r="T528" i="20"/>
  <c r="T902" i="20"/>
  <c r="K1647" i="16"/>
  <c r="R917" i="20"/>
  <c r="T917" i="20"/>
  <c r="T896" i="20"/>
  <c r="T895" i="20"/>
  <c r="U895" i="20" s="1"/>
  <c r="N564" i="20"/>
  <c r="R1610" i="16"/>
  <c r="Q2184" i="16"/>
  <c r="Q1611" i="16"/>
  <c r="L1378" i="16"/>
  <c r="L2149" i="16" s="1"/>
  <c r="M1371" i="16"/>
  <c r="S1350" i="16"/>
  <c r="T1350" i="16" s="1"/>
  <c r="U1350" i="16" s="1"/>
  <c r="U1487" i="16"/>
  <c r="V1487" i="16" s="1"/>
  <c r="S1943" i="16"/>
  <c r="T1942" i="16"/>
  <c r="T882" i="16"/>
  <c r="U881" i="16"/>
  <c r="T900" i="16"/>
  <c r="U1590" i="16"/>
  <c r="U2142" i="16"/>
  <c r="U1330" i="16"/>
  <c r="O1618" i="16"/>
  <c r="O1619" i="16" s="1"/>
  <c r="P2185" i="16"/>
  <c r="T2168" i="16"/>
  <c r="R2168" i="16"/>
  <c r="R2183" i="16"/>
  <c r="R1604" i="16"/>
  <c r="T2182" i="16"/>
  <c r="S1481" i="16"/>
  <c r="T1481" i="16" s="1"/>
  <c r="T1662" i="16"/>
  <c r="E1657" i="16"/>
  <c r="Q1662" i="16"/>
  <c r="R1662" i="16"/>
  <c r="K1662" i="16"/>
  <c r="S1662" i="16"/>
  <c r="N1662" i="16"/>
  <c r="L1662" i="16"/>
  <c r="U1662" i="16"/>
  <c r="D1663" i="16"/>
  <c r="M1662" i="16"/>
  <c r="B1656" i="16"/>
  <c r="B1958" i="16" s="1"/>
  <c r="D1657" i="16"/>
  <c r="O1662" i="16"/>
  <c r="E1658" i="16"/>
  <c r="P1662" i="16"/>
  <c r="S2230" i="16"/>
  <c r="K1652" i="16"/>
  <c r="S1929" i="16"/>
  <c r="T1597" i="16"/>
  <c r="T1474" i="16"/>
  <c r="S2166" i="16"/>
  <c r="T2166" i="16"/>
  <c r="T1323" i="16"/>
  <c r="P2145" i="16"/>
  <c r="S2144" i="16"/>
  <c r="L1372" i="16"/>
  <c r="K285" i="16"/>
  <c r="K1379" i="16"/>
  <c r="K1380" i="16" s="1"/>
  <c r="K287" i="16" s="1"/>
  <c r="K789" i="16" s="1"/>
  <c r="K2149" i="16"/>
  <c r="O2145" i="16"/>
  <c r="R2144" i="16"/>
  <c r="L2148" i="16"/>
  <c r="L1373" i="16"/>
  <c r="R1344" i="16"/>
  <c r="S1344" i="16" s="1"/>
  <c r="T2141" i="16"/>
  <c r="T2167" i="16"/>
  <c r="T2165" i="16"/>
  <c r="V2061" i="16"/>
  <c r="V2089" i="16" s="1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X57" i="22" s="1"/>
  <c r="X58" i="22" s="1"/>
  <c r="U462" i="20"/>
  <c r="V2059" i="16"/>
  <c r="W200" i="18"/>
  <c r="V201" i="18"/>
  <c r="V199" i="18"/>
  <c r="V2045" i="16" l="1"/>
  <c r="V2050" i="16"/>
  <c r="V2047" i="16"/>
  <c r="V2048" i="16"/>
  <c r="U2073" i="16"/>
  <c r="U2115" i="16"/>
  <c r="U1151" i="16"/>
  <c r="R52" i="10"/>
  <c r="R340" i="10" s="1"/>
  <c r="V778" i="16"/>
  <c r="V240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92" i="10"/>
  <c r="V91" i="10" s="1"/>
  <c r="V105" i="10" s="1"/>
  <c r="V71" i="10"/>
  <c r="V116" i="10"/>
  <c r="T1150" i="16"/>
  <c r="T1136" i="16"/>
  <c r="T1143" i="16"/>
  <c r="U1170" i="16"/>
  <c r="V1169" i="16"/>
  <c r="V2118" i="16" s="1"/>
  <c r="V1162" i="16"/>
  <c r="V2117" i="16" s="1"/>
  <c r="V1141" i="16"/>
  <c r="V2114" i="16" s="1"/>
  <c r="U1163" i="16"/>
  <c r="U1157" i="16"/>
  <c r="U1142" i="16"/>
  <c r="N936" i="16"/>
  <c r="O936" i="16" s="1"/>
  <c r="V1148" i="16"/>
  <c r="U1149" i="16"/>
  <c r="U1135" i="16"/>
  <c r="U1171" i="16"/>
  <c r="V1134" i="16"/>
  <c r="V2113" i="16" s="1"/>
  <c r="S1185" i="16"/>
  <c r="S1177" i="16"/>
  <c r="T1176" i="16"/>
  <c r="T2119" i="16" s="1"/>
  <c r="S1184" i="16"/>
  <c r="T1183" i="16"/>
  <c r="S1178" i="16"/>
  <c r="P1212" i="16"/>
  <c r="S1191" i="16"/>
  <c r="T1190" i="16"/>
  <c r="T2121" i="16" s="1"/>
  <c r="R1192" i="16"/>
  <c r="S1192" i="16" s="1"/>
  <c r="N1228" i="16"/>
  <c r="N258" i="16" s="1"/>
  <c r="M1235" i="16"/>
  <c r="M259" i="16" s="1"/>
  <c r="P1218" i="16"/>
  <c r="P2125" i="16" s="1"/>
  <c r="Q1205" i="16"/>
  <c r="L1249" i="16"/>
  <c r="L261" i="16" s="1"/>
  <c r="Q1211" i="16"/>
  <c r="Q2124" i="16" s="1"/>
  <c r="R1204" i="16"/>
  <c r="S1197" i="16"/>
  <c r="S2122" i="16" s="1"/>
  <c r="V2138" i="16"/>
  <c r="V2049" i="16"/>
  <c r="U876" i="16"/>
  <c r="K255" i="25"/>
  <c r="K228" i="25"/>
  <c r="K236" i="25" s="1"/>
  <c r="M127" i="25"/>
  <c r="M135" i="25" s="1"/>
  <c r="M146" i="25" s="1"/>
  <c r="M154" i="25" s="1"/>
  <c r="U1556" i="16"/>
  <c r="P1206" i="16"/>
  <c r="Q1206" i="16" s="1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S923" i="12"/>
  <c r="S931" i="12" s="1"/>
  <c r="U1433" i="16"/>
  <c r="V2077" i="16"/>
  <c r="U1289" i="16"/>
  <c r="U2080" i="16"/>
  <c r="U1303" i="16"/>
  <c r="U1282" i="16"/>
  <c r="U1440" i="16"/>
  <c r="O1364" i="16"/>
  <c r="P1364" i="16" s="1"/>
  <c r="M2147" i="16"/>
  <c r="M1365" i="16"/>
  <c r="N1365" i="16" s="1"/>
  <c r="U888" i="16"/>
  <c r="O952" i="16"/>
  <c r="P952" i="16" s="1"/>
  <c r="U1164" i="16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K1255" i="16"/>
  <c r="Q1922" i="16"/>
  <c r="U1461" i="16"/>
  <c r="U894" i="16"/>
  <c r="V264" i="12"/>
  <c r="V905" i="16"/>
  <c r="L143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2135" i="16" s="1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T1406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U1401" i="12"/>
  <c r="U1411" i="12" s="1"/>
  <c r="M72" i="25" s="1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3" i="25"/>
  <c r="M209" i="25" s="1"/>
  <c r="M247" i="25" s="1"/>
  <c r="M266" i="25" s="1"/>
  <c r="M274" i="25" s="1"/>
  <c r="M427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733" i="12"/>
  <c r="W741" i="12"/>
  <c r="W727" i="12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47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711" i="12"/>
  <c r="W715" i="12"/>
  <c r="W719" i="12"/>
  <c r="W705" i="12"/>
  <c r="W1188" i="12" s="1"/>
  <c r="W713" i="12"/>
  <c r="W702" i="12"/>
  <c r="W1185" i="12" s="1"/>
  <c r="W706" i="12"/>
  <c r="W710" i="12"/>
  <c r="W714" i="12"/>
  <c r="W718" i="12"/>
  <c r="W717" i="12"/>
  <c r="M285" i="25"/>
  <c r="M332" i="25"/>
  <c r="M475" i="25"/>
  <c r="M592" i="25" s="1"/>
  <c r="M379" i="25"/>
  <c r="V33" i="18"/>
  <c r="V38" i="18" s="1"/>
  <c r="V899" i="16"/>
  <c r="V86" i="18"/>
  <c r="M52" i="25"/>
  <c r="V206" i="12"/>
  <c r="V585" i="12"/>
  <c r="V161" i="12"/>
  <c r="W616" i="16"/>
  <c r="W1394" i="16"/>
  <c r="V1887" i="16"/>
  <c r="W1325" i="16"/>
  <c r="W457" i="16"/>
  <c r="W1834" i="16"/>
  <c r="W459" i="16" s="1"/>
  <c r="W95" i="16"/>
  <c r="W1476" i="16"/>
  <c r="W145" i="20"/>
  <c r="W127" i="10"/>
  <c r="W63" i="18"/>
  <c r="V1488" i="12"/>
  <c r="V1520" i="12"/>
  <c r="V1441" i="12"/>
  <c r="V1563" i="12"/>
  <c r="V752" i="16"/>
  <c r="V214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72" i="25"/>
  <c r="L225" i="25"/>
  <c r="V1561" i="12"/>
  <c r="V1536" i="12"/>
  <c r="L226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5" i="11"/>
  <c r="V1593" i="12"/>
  <c r="V1473" i="12"/>
  <c r="V1448" i="12"/>
  <c r="V1553" i="12"/>
  <c r="V1511" i="12"/>
  <c r="V1432" i="12"/>
  <c r="V1514" i="12"/>
  <c r="L144" i="25"/>
  <c r="V757" i="16"/>
  <c r="V219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15" i="20" s="1"/>
  <c r="V158" i="1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4" i="25"/>
  <c r="V761" i="16"/>
  <c r="V223" i="20" s="1"/>
  <c r="L263" i="25"/>
  <c r="V1462" i="12"/>
  <c r="V1490" i="12"/>
  <c r="V1579" i="12"/>
  <c r="V1498" i="12"/>
  <c r="V1587" i="12"/>
  <c r="V1428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34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1156" i="16"/>
  <c r="V923" i="16"/>
  <c r="V486" i="20"/>
  <c r="V487" i="20" s="1"/>
  <c r="V636" i="12"/>
  <c r="V514" i="20"/>
  <c r="W1724" i="12"/>
  <c r="W1740" i="12"/>
  <c r="W1504" i="16"/>
  <c r="W367" i="16" s="1"/>
  <c r="W221" i="10"/>
  <c r="W1585" i="16"/>
  <c r="W328" i="16"/>
  <c r="W1699" i="12"/>
  <c r="X28" i="8"/>
  <c r="W82" i="12"/>
  <c r="W1516" i="16"/>
  <c r="W335" i="20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627" i="16"/>
  <c r="W1774" i="12"/>
  <c r="W1669" i="12"/>
  <c r="W615" i="16"/>
  <c r="W74" i="11"/>
  <c r="W1829" i="12"/>
  <c r="W657" i="16"/>
  <c r="W437" i="16"/>
  <c r="W441" i="16"/>
  <c r="W198" i="16"/>
  <c r="W352" i="16"/>
  <c r="W12" i="20"/>
  <c r="W25" i="20" s="1"/>
  <c r="W1188" i="20" s="1"/>
  <c r="W1222" i="20" s="1"/>
  <c r="W122" i="16"/>
  <c r="W1793" i="12"/>
  <c r="W124" i="11"/>
  <c r="W1839" i="12"/>
  <c r="W1729" i="12"/>
  <c r="W141" i="20"/>
  <c r="W1311" i="16"/>
  <c r="W63" i="12"/>
  <c r="W136" i="20"/>
  <c r="W576" i="16"/>
  <c r="W103" i="20"/>
  <c r="W2031" i="16"/>
  <c r="W64" i="20"/>
  <c r="W171" i="20"/>
  <c r="W200" i="16"/>
  <c r="W214" i="16"/>
  <c r="W204" i="16"/>
  <c r="W133" i="16"/>
  <c r="W109" i="16"/>
  <c r="W114" i="16"/>
  <c r="W115" i="16"/>
  <c r="W48" i="20"/>
  <c r="W43" i="20"/>
  <c r="W1186" i="16"/>
  <c r="W1235" i="16"/>
  <c r="W901" i="20"/>
  <c r="W96" i="16"/>
  <c r="W144" i="16" s="1"/>
  <c r="W101" i="16"/>
  <c r="W201" i="16"/>
  <c r="W208" i="16"/>
  <c r="W130" i="16"/>
  <c r="W106" i="16"/>
  <c r="W107" i="16"/>
  <c r="W46" i="20"/>
  <c r="W33" i="20"/>
  <c r="W36" i="20"/>
  <c r="W1200" i="16"/>
  <c r="W1242" i="16"/>
  <c r="W104" i="16"/>
  <c r="W103" i="16"/>
  <c r="W1655" i="16"/>
  <c r="W178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38" i="20"/>
  <c r="W40" i="20"/>
  <c r="W1207" i="16"/>
  <c r="W1249" i="16"/>
  <c r="W1263" i="16"/>
  <c r="W915" i="12"/>
  <c r="W1930" i="12" s="1"/>
  <c r="W874" i="16"/>
  <c r="W99" i="16"/>
  <c r="W1318" i="16"/>
  <c r="W187" i="20"/>
  <c r="W62" i="20"/>
  <c r="W440" i="16"/>
  <c r="W1751" i="12"/>
  <c r="W421" i="16"/>
  <c r="W1792" i="12"/>
  <c r="W617" i="12"/>
  <c r="W88" i="12"/>
  <c r="W110" i="12" s="1"/>
  <c r="W1381" i="16"/>
  <c r="W26" i="22"/>
  <c r="W97" i="20"/>
  <c r="W583" i="16"/>
  <c r="W362" i="16"/>
  <c r="W1814" i="12"/>
  <c r="W1781" i="12"/>
  <c r="W1163" i="12"/>
  <c r="W60" i="12"/>
  <c r="W105" i="12" s="1"/>
  <c r="W1483" i="16"/>
  <c r="W156" i="20"/>
  <c r="W155" i="20"/>
  <c r="W432" i="16"/>
  <c r="W1743" i="12"/>
  <c r="W1817" i="12"/>
  <c r="W1702" i="12"/>
  <c r="W188" i="20"/>
  <c r="W1462" i="16"/>
  <c r="W105" i="22"/>
  <c r="W120" i="16"/>
  <c r="W209" i="16"/>
  <c r="W199" i="16"/>
  <c r="W108" i="16"/>
  <c r="W129" i="16"/>
  <c r="W118" i="16"/>
  <c r="W39" i="20"/>
  <c r="W32" i="20"/>
  <c r="W1165" i="16"/>
  <c r="W1214" i="16"/>
  <c r="W174" i="16"/>
  <c r="W898" i="16"/>
  <c r="W98" i="16"/>
  <c r="W1530" i="16"/>
  <c r="W189" i="20"/>
  <c r="W67" i="20"/>
  <c r="W281" i="16"/>
  <c r="W22" i="16"/>
  <c r="W1825" i="12"/>
  <c r="W1664" i="12"/>
  <c r="W53" i="11"/>
  <c r="W20" i="12"/>
  <c r="W102" i="12" s="1"/>
  <c r="W1599" i="16"/>
  <c r="W44" i="18"/>
  <c r="W128" i="20"/>
  <c r="W2035" i="16"/>
  <c r="W2061" i="16" s="1"/>
  <c r="W422" i="16"/>
  <c r="W1730" i="12"/>
  <c r="W1695" i="12"/>
  <c r="W157" i="16"/>
  <c r="W128" i="16"/>
  <c r="W213" i="16"/>
  <c r="W203" i="16"/>
  <c r="W116" i="16"/>
  <c r="W113" i="16"/>
  <c r="W127" i="16"/>
  <c r="W45" i="20"/>
  <c r="W34" i="20"/>
  <c r="W1158" i="16"/>
  <c r="W1221" i="16"/>
  <c r="W141" i="16"/>
  <c r="W102" i="16"/>
  <c r="W300" i="10"/>
  <c r="W179" i="20"/>
  <c r="W123" i="20"/>
  <c r="W439" i="16"/>
  <c r="W1779" i="12"/>
  <c r="W1745" i="12"/>
  <c r="W1752" i="12"/>
  <c r="W23" i="12"/>
  <c r="W206" i="16"/>
  <c r="W132" i="16"/>
  <c r="W211" i="16"/>
  <c r="W134" i="16"/>
  <c r="W119" i="16"/>
  <c r="W125" i="16"/>
  <c r="W42" i="20"/>
  <c r="W47" i="20"/>
  <c r="W1179" i="16"/>
  <c r="W527" i="20"/>
  <c r="W79" i="16"/>
  <c r="W97" i="16"/>
  <c r="W207" i="16"/>
  <c r="W44" i="20"/>
  <c r="W100" i="16"/>
  <c r="W1448" i="16"/>
  <c r="W144" i="20"/>
  <c r="W357" i="16"/>
  <c r="W1772" i="12"/>
  <c r="W327" i="16"/>
  <c r="W1497" i="16"/>
  <c r="W174" i="20"/>
  <c r="W2037" i="16"/>
  <c r="W2050" i="16" s="1"/>
  <c r="W329" i="16"/>
  <c r="W274" i="16"/>
  <c r="W1736" i="12"/>
  <c r="W1835" i="16"/>
  <c r="W460" i="16" s="1"/>
  <c r="W1441" i="16"/>
  <c r="W169" i="20"/>
  <c r="W2039" i="16"/>
  <c r="W358" i="16"/>
  <c r="W1726" i="12"/>
  <c r="W1748" i="12"/>
  <c r="W170" i="20"/>
  <c r="W1332" i="16"/>
  <c r="W173" i="20"/>
  <c r="W100" i="20"/>
  <c r="W577" i="16"/>
  <c r="W1823" i="12"/>
  <c r="W1700" i="12"/>
  <c r="W1665" i="12"/>
  <c r="W117" i="20"/>
  <c r="W1648" i="16"/>
  <c r="W98" i="10"/>
  <c r="W190" i="20"/>
  <c r="W142" i="20"/>
  <c r="W423" i="16"/>
  <c r="W1705" i="12"/>
  <c r="W1801" i="12"/>
  <c r="W1768" i="12"/>
  <c r="W1490" i="16"/>
  <c r="W132" i="20"/>
  <c r="W98" i="20"/>
  <c r="W360" i="16"/>
  <c r="W1815" i="12"/>
  <c r="W1692" i="12"/>
  <c r="W70" i="16"/>
  <c r="W1706" i="12"/>
  <c r="W81" i="20"/>
  <c r="W1290" i="16"/>
  <c r="W41" i="22"/>
  <c r="W177" i="20"/>
  <c r="W2044" i="16"/>
  <c r="W272" i="16"/>
  <c r="W1826" i="12"/>
  <c r="W1707" i="12"/>
  <c r="W1404" i="12"/>
  <c r="W574" i="16"/>
  <c r="W116" i="18"/>
  <c r="W355" i="16"/>
  <c r="W1668" i="12"/>
  <c r="W1783" i="12"/>
  <c r="W194" i="20"/>
  <c r="W1688" i="12"/>
  <c r="W201" i="11"/>
  <c r="W430" i="16"/>
  <c r="W242" i="10"/>
  <c r="W260" i="10"/>
  <c r="W125" i="22"/>
  <c r="W353" i="16"/>
  <c r="W581" i="16"/>
  <c r="W1804" i="12"/>
  <c r="W175" i="20"/>
  <c r="W240" i="11"/>
  <c r="W172" i="20"/>
  <c r="W38" i="12"/>
  <c r="W104" i="12" s="1"/>
  <c r="W215" i="16"/>
  <c r="W41" i="20"/>
  <c r="W135" i="16"/>
  <c r="W46" i="10"/>
  <c r="W619" i="16"/>
  <c r="W1682" i="12"/>
  <c r="W1832" i="12"/>
  <c r="W1500" i="16"/>
  <c r="W363" i="16" s="1"/>
  <c r="W1537" i="16"/>
  <c r="W149" i="20"/>
  <c r="W70" i="20"/>
  <c r="W1831" i="12"/>
  <c r="W1821" i="12"/>
  <c r="W1816" i="12"/>
  <c r="W230" i="10"/>
  <c r="W373" i="10" s="1"/>
  <c r="W1544" i="16"/>
  <c r="W147" i="20"/>
  <c r="W579" i="16"/>
  <c r="W354" i="16"/>
  <c r="W1794" i="12"/>
  <c r="W282" i="16"/>
  <c r="W160" i="20"/>
  <c r="W1408" i="16"/>
  <c r="W148" i="20"/>
  <c r="W127" i="20"/>
  <c r="W564" i="16"/>
  <c r="W1739" i="12"/>
  <c r="W12" i="16"/>
  <c r="W192" i="16" s="1"/>
  <c r="W1732" i="12"/>
  <c r="W83" i="20"/>
  <c r="W1469" i="16"/>
  <c r="W84" i="22"/>
  <c r="W71" i="20"/>
  <c r="W2033" i="16"/>
  <c r="W2046" i="16" s="1"/>
  <c r="W280" i="16"/>
  <c r="W1834" i="12"/>
  <c r="W1769" i="12"/>
  <c r="W1679" i="12"/>
  <c r="W1374" i="16"/>
  <c r="W107" i="18"/>
  <c r="W2036" i="16"/>
  <c r="W2062" i="16" s="1"/>
  <c r="W420" i="16"/>
  <c r="W1731" i="12"/>
  <c r="W1837" i="12"/>
  <c r="W1680" i="12"/>
  <c r="W1399" i="12"/>
  <c r="W161" i="20"/>
  <c r="W1422" i="16"/>
  <c r="W20" i="22"/>
  <c r="W195" i="20"/>
  <c r="W434" i="16"/>
  <c r="W1742" i="12"/>
  <c r="W1398" i="12"/>
  <c r="W58" i="20"/>
  <c r="W229" i="10"/>
  <c r="W1749" i="12"/>
  <c r="W197" i="20"/>
  <c r="W116" i="20"/>
  <c r="W105" i="16"/>
  <c r="W35" i="20"/>
  <c r="W910" i="16"/>
  <c r="W70" i="22"/>
  <c r="W698" i="16"/>
  <c r="W1818" i="12"/>
  <c r="W1675" i="12"/>
  <c r="W1903" i="16"/>
  <c r="W603" i="12"/>
  <c r="W84" i="20"/>
  <c r="W447" i="16"/>
  <c r="W1747" i="12"/>
  <c r="W1741" i="12"/>
  <c r="W698" i="12"/>
  <c r="W551" i="12"/>
  <c r="W610" i="12" s="1"/>
  <c r="W271" i="10"/>
  <c r="W68" i="20"/>
  <c r="W443" i="16"/>
  <c r="W216" i="16"/>
  <c r="W1704" i="12"/>
  <c r="W1800" i="12"/>
  <c r="W1833" i="16"/>
  <c r="W458" i="16" s="1"/>
  <c r="W1360" i="16"/>
  <c r="W143" i="20"/>
  <c r="W2040" i="16"/>
  <c r="W2066" i="16" s="1"/>
  <c r="W2094" i="16" s="1"/>
  <c r="W428" i="16"/>
  <c r="W1799" i="12"/>
  <c r="W1813" i="12"/>
  <c r="W30" i="16"/>
  <c r="W418" i="16"/>
  <c r="W1339" i="16"/>
  <c r="W12" i="18"/>
  <c r="W49" i="20"/>
  <c r="W621" i="16"/>
  <c r="W456" i="16"/>
  <c r="W1750" i="12"/>
  <c r="W1836" i="12"/>
  <c r="W629" i="12"/>
  <c r="W385" i="10"/>
  <c r="W489" i="10" s="1"/>
  <c r="W138" i="20"/>
  <c r="W786" i="16"/>
  <c r="W359" i="16"/>
  <c r="W1791" i="12"/>
  <c r="W1757" i="12"/>
  <c r="W1812" i="12"/>
  <c r="W91" i="12"/>
  <c r="W71" i="11"/>
  <c r="W117" i="11" s="1"/>
  <c r="W1620" i="16"/>
  <c r="W137" i="20"/>
  <c r="W69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96" i="20"/>
  <c r="W94" i="20"/>
  <c r="W111" i="16"/>
  <c r="W37" i="20"/>
  <c r="W96" i="22"/>
  <c r="W451" i="16"/>
  <c r="W1734" i="12"/>
  <c r="W1400" i="12"/>
  <c r="W1924" i="16"/>
  <c r="W334" i="10"/>
  <c r="W122" i="20"/>
  <c r="W618" i="16"/>
  <c r="W1878" i="12"/>
  <c r="W1916" i="12" s="1"/>
  <c r="W1880" i="12"/>
  <c r="W1919" i="12" s="1"/>
  <c r="W35" i="11"/>
  <c r="W1144" i="16"/>
  <c r="W134" i="22"/>
  <c r="W102" i="20"/>
  <c r="W2038" i="16"/>
  <c r="W2064" i="16" s="1"/>
  <c r="W2092" i="16" s="1"/>
  <c r="W1827" i="12"/>
  <c r="W1737" i="12"/>
  <c r="W921" i="12"/>
  <c r="W1689" i="12"/>
  <c r="W1557" i="16"/>
  <c r="W154" i="20"/>
  <c r="W134" i="20"/>
  <c r="W444" i="16"/>
  <c r="W1714" i="12"/>
  <c r="W1733" i="12"/>
  <c r="W1671" i="12"/>
  <c r="W269" i="16"/>
  <c r="W1415" i="16"/>
  <c r="W153" i="20"/>
  <c r="W93" i="20"/>
  <c r="W625" i="16"/>
  <c r="W279" i="16"/>
  <c r="W38" i="16"/>
  <c r="W429" i="16"/>
  <c r="W1910" i="16"/>
  <c r="W219" i="10"/>
  <c r="W129" i="20"/>
  <c r="W59" i="20"/>
  <c r="W419" i="16"/>
  <c r="W1701" i="12"/>
  <c r="W1725" i="12"/>
  <c r="W1661" i="12"/>
  <c r="W44" i="11"/>
  <c r="W595" i="12"/>
  <c r="W600" i="12" s="1"/>
  <c r="W614" i="12" s="1"/>
  <c r="W1367" i="16"/>
  <c r="W124" i="20"/>
  <c r="W95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1564" i="16"/>
  <c r="W940" i="12"/>
  <c r="W578" i="16"/>
  <c r="W325" i="16"/>
  <c r="W1683" i="12"/>
  <c r="W1434" i="16"/>
  <c r="W202" i="16"/>
  <c r="W110" i="16"/>
  <c r="W1172" i="16"/>
  <c r="W1256" i="16"/>
  <c r="W29" i="18"/>
  <c r="W442" i="16"/>
  <c r="W1802" i="12"/>
  <c r="W1181" i="12"/>
  <c r="W1952" i="16"/>
  <c r="W75" i="10"/>
  <c r="W193" i="20"/>
  <c r="W449" i="16"/>
  <c r="W1775" i="12"/>
  <c r="W1760" i="12"/>
  <c r="W222" i="11"/>
  <c r="W1641" i="16"/>
  <c r="W12" i="22"/>
  <c r="W66" i="20"/>
  <c r="W445" i="16"/>
  <c r="W1803" i="12"/>
  <c r="W1777" i="12"/>
  <c r="W1639" i="12"/>
  <c r="W262" i="10"/>
  <c r="W1523" i="16"/>
  <c r="W139" i="20"/>
  <c r="W133" i="20"/>
  <c r="W427" i="16"/>
  <c r="W1838" i="12"/>
  <c r="W1805" i="12"/>
  <c r="W1784" i="12"/>
  <c r="W233" i="10"/>
  <c r="W1606" i="16"/>
  <c r="W140" i="20"/>
  <c r="W118" i="20"/>
  <c r="W617" i="16"/>
  <c r="W197" i="16"/>
  <c r="W1786" i="12"/>
  <c r="W1640" i="12"/>
  <c r="W1938" i="16"/>
  <c r="W12" i="10"/>
  <c r="W152" i="20"/>
  <c r="W624" i="16"/>
  <c r="W276" i="16"/>
  <c r="W1830" i="12"/>
  <c r="W1797" i="12"/>
  <c r="W1756" i="12"/>
  <c r="W32" i="12"/>
  <c r="W1889" i="16"/>
  <c r="W1401" i="16"/>
  <c r="W74" i="18"/>
  <c r="W125" i="20"/>
  <c r="W356" i="16"/>
  <c r="W1759" i="12"/>
  <c r="W1833" i="12"/>
  <c r="W1672" i="12"/>
  <c r="W12" i="11"/>
  <c r="W1722" i="12"/>
  <c r="W1755" i="12"/>
  <c r="W150" i="20"/>
  <c r="W1353" i="16"/>
  <c r="W79" i="12"/>
  <c r="W107" i="12" s="1"/>
  <c r="W278" i="16"/>
  <c r="W268" i="16"/>
  <c r="W363" i="10"/>
  <c r="W42" i="12"/>
  <c r="W361" i="16"/>
  <c r="W114" i="12"/>
  <c r="W326" i="16"/>
  <c r="W192" i="20"/>
  <c r="W259" i="10"/>
  <c r="W210" i="16"/>
  <c r="W117" i="16"/>
  <c r="W1193" i="16"/>
  <c r="W1137" i="16"/>
  <c r="W99" i="20"/>
  <c r="W1501" i="16"/>
  <c r="W364" i="16" s="1"/>
  <c r="W54" i="16"/>
  <c r="W100" i="12"/>
  <c r="W1877" i="16"/>
  <c r="W51" i="22"/>
  <c r="W130" i="20"/>
  <c r="W436" i="16"/>
  <c r="W1678" i="12"/>
  <c r="W1673" i="12"/>
  <c r="W113" i="11"/>
  <c r="W1578" i="16"/>
  <c r="W83" i="18"/>
  <c r="W120" i="20"/>
  <c r="W273" i="16"/>
  <c r="W1771" i="12"/>
  <c r="W1691" i="12"/>
  <c r="W171" i="11"/>
  <c r="W1896" i="16"/>
  <c r="W190" i="10"/>
  <c r="W60" i="20"/>
  <c r="W2071" i="16"/>
  <c r="W330" i="16"/>
  <c r="W1754" i="12"/>
  <c r="W1773" i="12"/>
  <c r="W1690" i="12"/>
  <c r="W1767" i="12"/>
  <c r="W1304" i="16"/>
  <c r="W135" i="20"/>
  <c r="W801" i="16"/>
  <c r="W417" i="16"/>
  <c r="W1819" i="12"/>
  <c r="W1696" i="12"/>
  <c r="W1698" i="12"/>
  <c r="W1592" i="16"/>
  <c r="W61" i="22"/>
  <c r="W63" i="20"/>
  <c r="W582" i="16"/>
  <c r="W438" i="16"/>
  <c r="W1746" i="12"/>
  <c r="W1716" i="12"/>
  <c r="W1421" i="12"/>
  <c r="W1433" i="12" s="1"/>
  <c r="W32" i="8"/>
  <c r="W31" i="8" s="1"/>
  <c r="W1917" i="16"/>
  <c r="W1662" i="16"/>
  <c r="W205" i="20"/>
  <c r="W31" i="20"/>
  <c r="W408" i="16"/>
  <c r="W1727" i="12"/>
  <c r="W1753" i="12"/>
  <c r="W1796" i="12"/>
  <c r="W12" i="12"/>
  <c r="W41" i="11"/>
  <c r="W115" i="11" s="1"/>
  <c r="W1677" i="12"/>
  <c r="W623" i="16"/>
  <c r="W191" i="20"/>
  <c r="W431" i="12"/>
  <c r="W608" i="12" s="1"/>
  <c r="W1884" i="12"/>
  <c r="W1822" i="12"/>
  <c r="W92" i="11"/>
  <c r="W108" i="12" s="1"/>
  <c r="W1806" i="12"/>
  <c r="W131" i="20"/>
  <c r="W124" i="16"/>
  <c r="W126" i="16"/>
  <c r="W1228" i="16"/>
  <c r="W29" i="8"/>
  <c r="W127" i="8" s="1"/>
  <c r="W1297" i="16"/>
  <c r="W126" i="20"/>
  <c r="W452" i="16"/>
  <c r="W1785" i="12"/>
  <c r="W180" i="11"/>
  <c r="W151" i="11" s="1"/>
  <c r="W1634" i="16"/>
  <c r="W176" i="20"/>
  <c r="W2032" i="16"/>
  <c r="W2058" i="16" s="1"/>
  <c r="W2086" i="16" s="1"/>
  <c r="W277" i="16"/>
  <c r="W1798" i="12"/>
  <c r="W1776" i="12"/>
  <c r="W162" i="11"/>
  <c r="W1455" i="16"/>
  <c r="W196" i="20"/>
  <c r="W101" i="20"/>
  <c r="W431" i="16"/>
  <c r="W62" i="16"/>
  <c r="W1744" i="12"/>
  <c r="W104" i="11"/>
  <c r="W1931" i="16"/>
  <c r="W115" i="22"/>
  <c r="W72" i="20"/>
  <c r="W575" i="16"/>
  <c r="W283" i="16"/>
  <c r="W270" i="16"/>
  <c r="W433" i="16"/>
  <c r="W231" i="11"/>
  <c r="W212" i="12"/>
  <c r="W607" i="12" s="1"/>
  <c r="W413" i="10"/>
  <c r="W146" i="20"/>
  <c r="W121" i="20"/>
  <c r="W424" i="16"/>
  <c r="W1735" i="12"/>
  <c r="W1761" i="12"/>
  <c r="W1828" i="12"/>
  <c r="W1346" i="16"/>
  <c r="W32" i="22"/>
  <c r="W30" i="20"/>
  <c r="W454" i="16"/>
  <c r="W275" i="16"/>
  <c r="W1879" i="12"/>
  <c r="W1918" i="12" s="1"/>
  <c r="W1820" i="12"/>
  <c r="W1666" i="12"/>
  <c r="W82" i="20"/>
  <c r="W1945" i="16"/>
  <c r="W156" i="10"/>
  <c r="W119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61" i="20"/>
  <c r="W1849" i="16"/>
  <c r="W95" i="11"/>
  <c r="W1789" i="12"/>
  <c r="W80" i="20"/>
  <c r="W1712" i="12"/>
  <c r="W1788" i="12"/>
  <c r="W1613" i="16"/>
  <c r="W1670" i="12"/>
  <c r="W1644" i="12"/>
  <c r="W1697" i="12"/>
  <c r="W1728" i="12"/>
  <c r="W1713" i="12"/>
  <c r="W1738" i="12"/>
  <c r="W1811" i="12"/>
  <c r="W90" i="22"/>
  <c r="W85" i="20"/>
  <c r="W65" i="20"/>
  <c r="W57" i="20"/>
  <c r="W151" i="20"/>
  <c r="W1571" i="16"/>
  <c r="W349" i="20"/>
  <c r="W384" i="20"/>
  <c r="W1596" i="16"/>
  <c r="W1322" i="16"/>
  <c r="V996" i="12"/>
  <c r="V1153" i="12" s="1"/>
  <c r="V896" i="12"/>
  <c r="V916" i="12" s="1"/>
  <c r="V1932" i="12" s="1"/>
  <c r="W1287" i="16"/>
  <c r="W892" i="16"/>
  <c r="W1669" i="16"/>
  <c r="W1907" i="16"/>
  <c r="W2226" i="16" s="1"/>
  <c r="W1487" i="16"/>
  <c r="W1935" i="16"/>
  <c r="W880" i="16"/>
  <c r="W356" i="20"/>
  <c r="W1575" i="16"/>
  <c r="W2179" i="16" s="1"/>
  <c r="W1480" i="16"/>
  <c r="W2166" i="16" s="1"/>
  <c r="W534" i="20"/>
  <c r="W536" i="20" s="1"/>
  <c r="W1329" i="16"/>
  <c r="W2142" i="16" s="1"/>
  <c r="V1330" i="16"/>
  <c r="W1459" i="16"/>
  <c r="W2163" i="16" s="1"/>
  <c r="W1412" i="16"/>
  <c r="W2155" i="16" s="1"/>
  <c r="W1294" i="16"/>
  <c r="V1460" i="16"/>
  <c r="W485" i="20"/>
  <c r="V357" i="20"/>
  <c r="V358" i="20" s="1"/>
  <c r="V364" i="20"/>
  <c r="V584" i="16"/>
  <c r="V809" i="16" s="1"/>
  <c r="W471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06" i="20"/>
  <c r="W508" i="20" s="1"/>
  <c r="V2051" i="16"/>
  <c r="V2054" i="16"/>
  <c r="V1583" i="16"/>
  <c r="V2053" i="16"/>
  <c r="W904" i="16"/>
  <c r="W894" i="20"/>
  <c r="W915" i="20"/>
  <c r="V1295" i="16"/>
  <c r="V2078" i="16"/>
  <c r="V386" i="20"/>
  <c r="V372" i="20"/>
  <c r="N13" i="25"/>
  <c r="V507" i="20"/>
  <c r="V535" i="20"/>
  <c r="V1392" i="16"/>
  <c r="V875" i="16"/>
  <c r="W1589" i="16"/>
  <c r="W2181" i="16" s="1"/>
  <c r="N77" i="25"/>
  <c r="W1391" i="16"/>
  <c r="W2152" i="16" s="1"/>
  <c r="V594" i="12"/>
  <c r="V221" i="12"/>
  <c r="V434" i="12"/>
  <c r="V306" i="12"/>
  <c r="V536" i="20"/>
  <c r="U1477" i="12"/>
  <c r="U1634" i="12" s="1"/>
  <c r="W363" i="20"/>
  <c r="V1717" i="12"/>
  <c r="V1874" i="12" s="1"/>
  <c r="V1912" i="12" s="1"/>
  <c r="V1041" i="12"/>
  <c r="V1154" i="12" s="1"/>
  <c r="V86" i="20"/>
  <c r="V1205" i="20" s="1"/>
  <c r="V754" i="12"/>
  <c r="V911" i="12" s="1"/>
  <c r="V1926" i="12" s="1"/>
  <c r="W478" i="20"/>
  <c r="V520" i="12"/>
  <c r="V116" i="12"/>
  <c r="V379" i="20"/>
  <c r="W886" i="16"/>
  <c r="V68" i="18"/>
  <c r="V18" i="18"/>
  <c r="V23" i="18" s="1"/>
  <c r="V101" i="18"/>
  <c r="V48" i="18"/>
  <c r="V53" i="18" s="1"/>
  <c r="V119" i="18"/>
  <c r="V365" i="20"/>
  <c r="V77" i="18"/>
  <c r="W922" i="16"/>
  <c r="W1473" i="16"/>
  <c r="W1494" i="16"/>
  <c r="V1807" i="12"/>
  <c r="V1876" i="12" s="1"/>
  <c r="V1914" i="12" s="1"/>
  <c r="V198" i="20"/>
  <c r="V1209" i="20" s="1"/>
  <c r="V799" i="12"/>
  <c r="V912" i="12" s="1"/>
  <c r="V1927" i="12" s="1"/>
  <c r="W328" i="20"/>
  <c r="U1601" i="12"/>
  <c r="U1637" i="12" s="1"/>
  <c r="U1522" i="12"/>
  <c r="U1635" i="12" s="1"/>
  <c r="U1444" i="12"/>
  <c r="U1632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1684" i="12"/>
  <c r="V1872" i="12" s="1"/>
  <c r="V1910" i="12" s="1"/>
  <c r="V284" i="16"/>
  <c r="V804" i="16" s="1"/>
  <c r="V73" i="20"/>
  <c r="V1203" i="20" s="1"/>
  <c r="V180" i="20"/>
  <c r="V1208" i="20" s="1"/>
  <c r="V1204" i="12"/>
  <c r="V1392" i="12" s="1"/>
  <c r="V878" i="12"/>
  <c r="V914" i="12" s="1"/>
  <c r="V635" i="12" s="1"/>
  <c r="W1886" i="16"/>
  <c r="W2223" i="16" s="1"/>
  <c r="V136" i="16"/>
  <c r="V844" i="12"/>
  <c r="V913" i="12" s="1"/>
  <c r="V1928" i="12" s="1"/>
  <c r="V963" i="12"/>
  <c r="V1151" i="12" s="1"/>
  <c r="W461" i="20"/>
  <c r="V1147" i="12"/>
  <c r="V1159" i="12" s="1"/>
  <c r="V745" i="12"/>
  <c r="V910" i="12" s="1"/>
  <c r="V1086" i="12"/>
  <c r="V1155" i="12" s="1"/>
  <c r="V1505" i="16"/>
  <c r="V462" i="20"/>
  <c r="V463" i="20" s="1"/>
  <c r="V777" i="16"/>
  <c r="V239" i="20" s="1"/>
  <c r="V759" i="16"/>
  <c r="V221" i="20" s="1"/>
  <c r="V808" i="16"/>
  <c r="V760" i="16"/>
  <c r="V222" i="20" s="1"/>
  <c r="V156" i="11"/>
  <c r="V766" i="16"/>
  <c r="V228" i="20" s="1"/>
  <c r="V751" i="16"/>
  <c r="V213" i="20" s="1"/>
  <c r="V193" i="11"/>
  <c r="V780" i="16"/>
  <c r="V242" i="20" s="1"/>
  <c r="V754" i="16"/>
  <c r="V216" i="20" s="1"/>
  <c r="V770" i="16"/>
  <c r="V232" i="20" s="1"/>
  <c r="V195" i="11"/>
  <c r="V1838" i="16"/>
  <c r="V769" i="16"/>
  <c r="V231" i="20" s="1"/>
  <c r="V157" i="11"/>
  <c r="V782" i="16"/>
  <c r="V244" i="20" s="1"/>
  <c r="V755" i="16"/>
  <c r="V217" i="20" s="1"/>
  <c r="V197" i="11"/>
  <c r="V194" i="11"/>
  <c r="V747" i="16"/>
  <c r="V209" i="20" s="1"/>
  <c r="V776" i="16"/>
  <c r="V238" i="20" s="1"/>
  <c r="V746" i="16"/>
  <c r="V208" i="20" s="1"/>
  <c r="V149" i="11"/>
  <c r="V215" i="11"/>
  <c r="V745" i="16"/>
  <c r="V207" i="20" s="1"/>
  <c r="V748" i="16"/>
  <c r="V210" i="20" s="1"/>
  <c r="V779" i="16"/>
  <c r="V241" i="20" s="1"/>
  <c r="V758" i="16"/>
  <c r="V220" i="20" s="1"/>
  <c r="V763" i="16"/>
  <c r="V225" i="20" s="1"/>
  <c r="V150" i="11"/>
  <c r="V216" i="11"/>
  <c r="V151" i="11"/>
  <c r="V721" i="12"/>
  <c r="V909" i="12" s="1"/>
  <c r="V1924" i="12" s="1"/>
  <c r="V893" i="16"/>
  <c r="V774" i="16"/>
  <c r="V236" i="20" s="1"/>
  <c r="V214" i="11"/>
  <c r="W1315" i="16"/>
  <c r="W2140" i="16" s="1"/>
  <c r="V771" i="16"/>
  <c r="V233" i="20" s="1"/>
  <c r="V781" i="16"/>
  <c r="V243" i="20" s="1"/>
  <c r="V153" i="11"/>
  <c r="V750" i="16"/>
  <c r="V212" i="20" s="1"/>
  <c r="V773" i="16"/>
  <c r="V235" i="20" s="1"/>
  <c r="V762" i="16"/>
  <c r="V224" i="20" s="1"/>
  <c r="V152" i="11"/>
  <c r="V217" i="11"/>
  <c r="V2223" i="16"/>
  <c r="W1445" i="16"/>
  <c r="W2161" i="16" s="1"/>
  <c r="V1316" i="16"/>
  <c r="V765" i="16"/>
  <c r="V227" i="20" s="1"/>
  <c r="V767" i="16"/>
  <c r="V229" i="20" s="1"/>
  <c r="V196" i="11"/>
  <c r="V749" i="16"/>
  <c r="V211" i="20" s="1"/>
  <c r="V783" i="16"/>
  <c r="V245" i="20" s="1"/>
  <c r="V764" i="16"/>
  <c r="V226" i="20" s="1"/>
  <c r="V756" i="16"/>
  <c r="V218" i="20" s="1"/>
  <c r="V775" i="16"/>
  <c r="V237" i="20" s="1"/>
  <c r="V768" i="16"/>
  <c r="V230" i="20" s="1"/>
  <c r="V154" i="11"/>
  <c r="V1446" i="16"/>
  <c r="W370" i="20"/>
  <c r="W1914" i="16"/>
  <c r="W2227" i="16" s="1"/>
  <c r="V1915" i="16"/>
  <c r="W513" i="20"/>
  <c r="W515" i="20" s="1"/>
  <c r="V2136" i="16"/>
  <c r="V1281" i="16"/>
  <c r="V371" i="20"/>
  <c r="V1288" i="16"/>
  <c r="V2181" i="16"/>
  <c r="W1438" i="16"/>
  <c r="W2160" i="16" s="1"/>
  <c r="V1439" i="16"/>
  <c r="W1155" i="16"/>
  <c r="W2116" i="16" s="1"/>
  <c r="V378" i="20"/>
  <c r="V887" i="16"/>
  <c r="W377" i="20"/>
  <c r="W1419" i="16"/>
  <c r="W2156" i="16" s="1"/>
  <c r="W1554" i="16"/>
  <c r="W2176" i="16" s="1"/>
  <c r="W1301" i="16"/>
  <c r="V1555" i="16"/>
  <c r="V1413" i="16"/>
  <c r="V2135" i="16"/>
  <c r="V1399" i="16"/>
  <c r="W1398" i="16"/>
  <c r="W2153" i="16" s="1"/>
  <c r="L217" i="25"/>
  <c r="T1641" i="12"/>
  <c r="T1651" i="12" s="1"/>
  <c r="T250" i="20" s="1"/>
  <c r="U699" i="16"/>
  <c r="U246" i="20"/>
  <c r="U251" i="20" s="1"/>
  <c r="M73" i="25" s="1"/>
  <c r="W1308" i="16"/>
  <c r="U1917" i="12"/>
  <c r="U1920" i="12" s="1"/>
  <c r="U1881" i="12"/>
  <c r="U1891" i="12" s="1"/>
  <c r="V2139" i="16"/>
  <c r="V1309" i="16"/>
  <c r="V1310" i="16" s="1"/>
  <c r="V1302" i="16"/>
  <c r="U805" i="16"/>
  <c r="U1160" i="12"/>
  <c r="U1170" i="12" s="1"/>
  <c r="U1171" i="12" s="1"/>
  <c r="V846" i="20"/>
  <c r="W845" i="20"/>
  <c r="W847" i="20" s="1"/>
  <c r="V350" i="20"/>
  <c r="V351" i="20" s="1"/>
  <c r="S1646" i="12"/>
  <c r="W492" i="20"/>
  <c r="T1886" i="12"/>
  <c r="W1568" i="16"/>
  <c r="W2178" i="16" s="1"/>
  <c r="V493" i="20"/>
  <c r="V494" i="20" s="1"/>
  <c r="V1569" i="16"/>
  <c r="T1165" i="12"/>
  <c r="T1172" i="12" s="1"/>
  <c r="W1466" i="16"/>
  <c r="W2164" i="16" s="1"/>
  <c r="V1467" i="16"/>
  <c r="M263" i="25"/>
  <c r="M264" i="25"/>
  <c r="M144" i="25"/>
  <c r="M226" i="25"/>
  <c r="W1431" i="16"/>
  <c r="V1432" i="16"/>
  <c r="M225" i="25"/>
  <c r="M143" i="25"/>
  <c r="V2179" i="16"/>
  <c r="V1576" i="16"/>
  <c r="H1676" i="16"/>
  <c r="I1669" i="16" a="1"/>
  <c r="I1669" i="16" s="1"/>
  <c r="H1256" i="16"/>
  <c r="I1249" i="16" a="1"/>
  <c r="I1249" i="16" s="1"/>
  <c r="D961" i="20"/>
  <c r="J957" i="20" a="1"/>
  <c r="J957" i="20" s="1"/>
  <c r="V332" i="16"/>
  <c r="W1405" i="16"/>
  <c r="W2154" i="16" s="1"/>
  <c r="V1406" i="16"/>
  <c r="U1420" i="16"/>
  <c r="V1420" i="16" s="1"/>
  <c r="V1888" i="16"/>
  <c r="S179" i="16"/>
  <c r="R186" i="16"/>
  <c r="R60" i="10" s="1"/>
  <c r="S169" i="16"/>
  <c r="N80" i="16"/>
  <c r="W1452" i="16"/>
  <c r="W2162" i="16" s="1"/>
  <c r="N947" i="16"/>
  <c r="N948" i="16" s="1"/>
  <c r="R916" i="16"/>
  <c r="S916" i="16" s="1"/>
  <c r="Q84" i="16"/>
  <c r="L959" i="16"/>
  <c r="R86" i="16"/>
  <c r="R85" i="16"/>
  <c r="R83" i="16"/>
  <c r="O1351" i="16"/>
  <c r="P1351" i="16" s="1"/>
  <c r="Q1351" i="16" s="1"/>
  <c r="R1351" i="16" s="1"/>
  <c r="W1893" i="16"/>
  <c r="W2224" i="16" s="1"/>
  <c r="V1894" i="16"/>
  <c r="V1895" i="16" s="1"/>
  <c r="X380" i="10"/>
  <c r="V479" i="20"/>
  <c r="V480" i="20" s="1"/>
  <c r="V1453" i="16"/>
  <c r="V1454" i="16" s="1"/>
  <c r="R1337" i="16"/>
  <c r="O1357" i="16"/>
  <c r="P1357" i="16" s="1"/>
  <c r="P2146" i="16" s="1"/>
  <c r="N1358" i="16"/>
  <c r="T1475" i="16"/>
  <c r="S1336" i="16"/>
  <c r="R2143" i="16"/>
  <c r="V1447" i="16"/>
  <c r="S1930" i="16"/>
  <c r="V1414" i="16"/>
  <c r="V1584" i="16"/>
  <c r="N581" i="20"/>
  <c r="L581" i="20"/>
  <c r="P579" i="20"/>
  <c r="P581" i="20" s="1"/>
  <c r="V1468" i="16"/>
  <c r="N1359" i="16"/>
  <c r="L580" i="20"/>
  <c r="M580" i="20" s="1"/>
  <c r="L666" i="20"/>
  <c r="M666" i="20" s="1"/>
  <c r="T1598" i="16"/>
  <c r="L659" i="20"/>
  <c r="M659" i="20" s="1"/>
  <c r="L631" i="20"/>
  <c r="L633" i="20" s="1"/>
  <c r="K632" i="20"/>
  <c r="K633" i="20" s="1"/>
  <c r="K625" i="20"/>
  <c r="K626" i="20" s="1"/>
  <c r="L624" i="20"/>
  <c r="M624" i="20" s="1"/>
  <c r="K639" i="20"/>
  <c r="K640" i="20" s="1"/>
  <c r="L638" i="20"/>
  <c r="L640" i="20" s="1"/>
  <c r="K674" i="20"/>
  <c r="K675" i="20" s="1"/>
  <c r="L673" i="20"/>
  <c r="L675" i="20" s="1"/>
  <c r="K681" i="20"/>
  <c r="K682" i="20" s="1"/>
  <c r="L680" i="20"/>
  <c r="L682" i="20" s="1"/>
  <c r="K653" i="20"/>
  <c r="K654" i="20" s="1"/>
  <c r="L652" i="20"/>
  <c r="L654" i="20" s="1"/>
  <c r="V1393" i="16"/>
  <c r="V1407" i="16"/>
  <c r="U1591" i="16"/>
  <c r="V1343" i="16"/>
  <c r="W1343" i="16" s="1"/>
  <c r="V1916" i="16"/>
  <c r="T1324" i="16"/>
  <c r="V1400" i="16"/>
  <c r="V1577" i="16"/>
  <c r="R1605" i="16"/>
  <c r="S1944" i="16"/>
  <c r="R912" i="16"/>
  <c r="Q1612" i="16"/>
  <c r="V1570" i="16"/>
  <c r="R1338" i="16"/>
  <c r="V1317" i="16"/>
  <c r="S1482" i="16"/>
  <c r="T1482" i="16" s="1"/>
  <c r="V1908" i="16"/>
  <c r="R1937" i="16"/>
  <c r="S1937" i="16" s="1"/>
  <c r="O1626" i="16"/>
  <c r="P1626" i="16" s="1"/>
  <c r="O1633" i="16"/>
  <c r="P1633" i="16" s="1"/>
  <c r="M1503" i="16"/>
  <c r="M366" i="16" s="1"/>
  <c r="M1502" i="16"/>
  <c r="M365" i="16" s="1"/>
  <c r="M1501" i="16"/>
  <c r="M364" i="16" s="1"/>
  <c r="I413" i="16"/>
  <c r="G2036" i="16" s="1"/>
  <c r="G2090" i="16" s="1"/>
  <c r="M2090" i="16" s="1"/>
  <c r="M1504" i="16"/>
  <c r="M367" i="16" s="1"/>
  <c r="V2226" i="16"/>
  <c r="Q1496" i="16"/>
  <c r="R1496" i="16" s="1"/>
  <c r="S1496" i="16" s="1"/>
  <c r="N2281" i="16"/>
  <c r="S1489" i="16"/>
  <c r="T1489" i="16" s="1"/>
  <c r="U1421" i="16"/>
  <c r="V1421" i="16" s="1"/>
  <c r="O1213" i="16"/>
  <c r="P1213" i="16" s="1"/>
  <c r="U1331" i="16"/>
  <c r="V1331" i="16" s="1"/>
  <c r="R1345" i="16"/>
  <c r="S1345" i="16" s="1"/>
  <c r="M1366" i="16"/>
  <c r="N1366" i="16" s="1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M1833" i="16"/>
  <c r="M1500" i="16"/>
  <c r="F1265" i="16"/>
  <c r="F1266" i="16" s="1"/>
  <c r="E2008" i="16"/>
  <c r="F2008" i="16" s="1"/>
  <c r="D2008" i="16"/>
  <c r="F1258" i="16"/>
  <c r="E1959" i="16"/>
  <c r="F1959" i="16" s="1"/>
  <c r="D1959" i="16"/>
  <c r="F1657" i="16"/>
  <c r="E1966" i="16"/>
  <c r="F1966" i="16" s="1"/>
  <c r="D1966" i="16"/>
  <c r="D1658" i="16"/>
  <c r="E1973" i="16"/>
  <c r="F1973" i="16" s="1"/>
  <c r="D1973" i="16"/>
  <c r="R399" i="20"/>
  <c r="R400" i="20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59" i="16"/>
  <c r="T57" i="16" s="1"/>
  <c r="T2254" i="16" s="1"/>
  <c r="T2266" i="16" s="1"/>
  <c r="S2278" i="16"/>
  <c r="S60" i="16" s="1"/>
  <c r="S87" i="16" s="1"/>
  <c r="S75" i="16"/>
  <c r="T73" i="16" s="1"/>
  <c r="T2256" i="16" s="1"/>
  <c r="T2268" i="16" s="1"/>
  <c r="S2280" i="16"/>
  <c r="S76" i="16" s="1"/>
  <c r="S89" i="16" s="1"/>
  <c r="O2269" i="16"/>
  <c r="O2273" i="16"/>
  <c r="O19" i="16"/>
  <c r="P17" i="16" s="1"/>
  <c r="P2249" i="16" s="1"/>
  <c r="S35" i="16"/>
  <c r="T33" i="16" s="1"/>
  <c r="T2251" i="16" s="1"/>
  <c r="T2263" i="16" s="1"/>
  <c r="S2275" i="16"/>
  <c r="S36" i="16" s="1"/>
  <c r="U385" i="20"/>
  <c r="V385" i="20" s="1"/>
  <c r="V472" i="20"/>
  <c r="V473" i="20" s="1"/>
  <c r="O941" i="16"/>
  <c r="O942" i="16" s="1"/>
  <c r="O946" i="16"/>
  <c r="O1225" i="16"/>
  <c r="O2126" i="16" s="1"/>
  <c r="N1226" i="16"/>
  <c r="N1227" i="16" s="1"/>
  <c r="R1198" i="16"/>
  <c r="L442" i="20"/>
  <c r="N1232" i="16"/>
  <c r="N2127" i="16" s="1"/>
  <c r="R393" i="20"/>
  <c r="S392" i="20"/>
  <c r="L1240" i="16"/>
  <c r="L1241" i="16"/>
  <c r="L1248" i="16"/>
  <c r="M1246" i="16"/>
  <c r="M2129" i="16" s="1"/>
  <c r="L1247" i="16"/>
  <c r="M1233" i="16"/>
  <c r="M1234" i="16" s="1"/>
  <c r="O420" i="20"/>
  <c r="P420" i="20" s="1"/>
  <c r="T405" i="20"/>
  <c r="U405" i="20" s="1"/>
  <c r="N427" i="20"/>
  <c r="M958" i="16"/>
  <c r="O426" i="20"/>
  <c r="L1242" i="16"/>
  <c r="L260" i="16" s="1"/>
  <c r="M1239" i="16"/>
  <c r="M2128" i="16" s="1"/>
  <c r="P414" i="20"/>
  <c r="Q413" i="20"/>
  <c r="L447" i="20"/>
  <c r="L449" i="20" s="1"/>
  <c r="L1253" i="16"/>
  <c r="L2130" i="16" s="1"/>
  <c r="M435" i="20"/>
  <c r="O433" i="20"/>
  <c r="P433" i="20" s="1"/>
  <c r="L960" i="16"/>
  <c r="R406" i="20"/>
  <c r="M440" i="20"/>
  <c r="M441" i="20" s="1"/>
  <c r="M434" i="20"/>
  <c r="N434" i="20" s="1"/>
  <c r="O421" i="20"/>
  <c r="Q419" i="20"/>
  <c r="R419" i="20" s="1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/>
  <c r="D980" i="16"/>
  <c r="C982" i="16"/>
  <c r="B979" i="16"/>
  <c r="J984" i="16"/>
  <c r="E981" i="16"/>
  <c r="K1267" i="16"/>
  <c r="K2132" i="16" s="1"/>
  <c r="R414" i="20"/>
  <c r="I211" i="16"/>
  <c r="G44" i="20" s="1"/>
  <c r="O259" i="16"/>
  <c r="I213" i="16"/>
  <c r="G46" i="20" s="1"/>
  <c r="K1254" i="16"/>
  <c r="K1256" i="16"/>
  <c r="K262" i="16" s="1"/>
  <c r="U412" i="20"/>
  <c r="D1259" i="16"/>
  <c r="D1260" i="16" s="1"/>
  <c r="K1260" i="16"/>
  <c r="K2131" i="16" s="1"/>
  <c r="E942" i="20"/>
  <c r="K943" i="20" s="1"/>
  <c r="L943" i="20" s="1"/>
  <c r="M817" i="20"/>
  <c r="K818" i="20"/>
  <c r="L818" i="20" s="1"/>
  <c r="K449" i="20"/>
  <c r="K454" i="20"/>
  <c r="K455" i="20" s="1"/>
  <c r="D585" i="20"/>
  <c r="U398" i="20"/>
  <c r="V391" i="20"/>
  <c r="E921" i="20"/>
  <c r="K922" i="20" s="1"/>
  <c r="L922" i="20" s="1"/>
  <c r="L924" i="20" s="1"/>
  <c r="U463" i="20"/>
  <c r="L617" i="20"/>
  <c r="M617" i="20" s="1"/>
  <c r="K619" i="20"/>
  <c r="V336" i="20"/>
  <c r="V337" i="20" s="1"/>
  <c r="U337" i="20"/>
  <c r="S2279" i="16"/>
  <c r="S68" i="16" s="1"/>
  <c r="S88" i="16" s="1"/>
  <c r="R2274" i="16"/>
  <c r="S2250" i="16"/>
  <c r="S2262" i="16" s="1"/>
  <c r="S27" i="16" s="1"/>
  <c r="V329" i="20"/>
  <c r="V330" i="20" s="1"/>
  <c r="V500" i="20"/>
  <c r="V501" i="20" s="1"/>
  <c r="W499" i="20"/>
  <c r="V1562" i="16"/>
  <c r="V1563" i="16" s="1"/>
  <c r="W1561" i="16"/>
  <c r="W2177" i="16" s="1"/>
  <c r="U918" i="12"/>
  <c r="U1927" i="12"/>
  <c r="U1931" i="12" s="1"/>
  <c r="U1934" i="12" s="1"/>
  <c r="T152" i="16"/>
  <c r="T543" i="20"/>
  <c r="V541" i="20"/>
  <c r="W541" i="20" s="1"/>
  <c r="P929" i="16"/>
  <c r="T542" i="20"/>
  <c r="U542" i="20" s="1"/>
  <c r="O930" i="16"/>
  <c r="R928" i="16"/>
  <c r="Q2186" i="16"/>
  <c r="T1624" i="16"/>
  <c r="U1624" i="16" s="1"/>
  <c r="V1624" i="16" s="1"/>
  <c r="Q1625" i="16"/>
  <c r="R1625" i="16" s="1"/>
  <c r="S1625" i="16" s="1"/>
  <c r="M2188" i="16"/>
  <c r="O1638" i="16"/>
  <c r="O2188" i="16" s="1"/>
  <c r="L285" i="16"/>
  <c r="M1639" i="16"/>
  <c r="N1639" i="16" s="1"/>
  <c r="T2230" i="16"/>
  <c r="T906" i="16"/>
  <c r="T2229" i="16"/>
  <c r="T146" i="16"/>
  <c r="T162" i="16" s="1"/>
  <c r="U521" i="20"/>
  <c r="T1936" i="16"/>
  <c r="U1936" i="16" s="1"/>
  <c r="T1617" i="16"/>
  <c r="U1617" i="16" s="1"/>
  <c r="V1617" i="16" s="1"/>
  <c r="W1617" i="16" s="1"/>
  <c r="V520" i="20"/>
  <c r="L957" i="20"/>
  <c r="L958" i="20" s="1"/>
  <c r="U522" i="20"/>
  <c r="M950" i="20"/>
  <c r="N950" i="20" s="1"/>
  <c r="S908" i="20"/>
  <c r="R910" i="20"/>
  <c r="Q1632" i="16"/>
  <c r="L951" i="20"/>
  <c r="N569" i="20"/>
  <c r="N571" i="20" s="1"/>
  <c r="O563" i="20"/>
  <c r="K959" i="20"/>
  <c r="P562" i="20"/>
  <c r="R909" i="20"/>
  <c r="M570" i="20"/>
  <c r="M571" i="20" s="1"/>
  <c r="U903" i="20"/>
  <c r="U917" i="20"/>
  <c r="U902" i="20"/>
  <c r="R1611" i="16"/>
  <c r="S917" i="20"/>
  <c r="V917" i="20"/>
  <c r="U528" i="20"/>
  <c r="V528" i="20" s="1"/>
  <c r="V529" i="20"/>
  <c r="V1928" i="16"/>
  <c r="U2229" i="16"/>
  <c r="V1350" i="16"/>
  <c r="W1350" i="16" s="1"/>
  <c r="R1631" i="16"/>
  <c r="L952" i="20"/>
  <c r="U896" i="20"/>
  <c r="T916" i="20"/>
  <c r="U916" i="20" s="1"/>
  <c r="V916" i="20" s="1"/>
  <c r="C975" i="20"/>
  <c r="C970" i="20"/>
  <c r="C971" i="20" s="1"/>
  <c r="D969" i="20"/>
  <c r="E969" i="20" s="1"/>
  <c r="D970" i="20"/>
  <c r="C969" i="20"/>
  <c r="O1645" i="16"/>
  <c r="P1645" i="16" s="1"/>
  <c r="Q1645" i="16" s="1"/>
  <c r="T2231" i="16"/>
  <c r="U1942" i="16"/>
  <c r="T1943" i="16"/>
  <c r="M1378" i="16"/>
  <c r="M285" i="16" s="1"/>
  <c r="L1652" i="16"/>
  <c r="M1652" i="16" s="1"/>
  <c r="N1371" i="16"/>
  <c r="N2148" i="16" s="1"/>
  <c r="R2184" i="16"/>
  <c r="S1610" i="16"/>
  <c r="U882" i="16"/>
  <c r="V881" i="16"/>
  <c r="Q924" i="16"/>
  <c r="U900" i="16"/>
  <c r="V2075" i="16"/>
  <c r="W2075" i="16" s="1"/>
  <c r="V1590" i="16"/>
  <c r="U2168" i="16"/>
  <c r="T1495" i="16"/>
  <c r="S1604" i="16"/>
  <c r="P1618" i="16"/>
  <c r="P1619" i="16" s="1"/>
  <c r="S2183" i="16"/>
  <c r="M2189" i="16"/>
  <c r="U1481" i="16"/>
  <c r="V1481" i="16" s="1"/>
  <c r="V2166" i="16"/>
  <c r="L1380" i="16"/>
  <c r="U1597" i="16"/>
  <c r="K1654" i="16"/>
  <c r="T1929" i="16"/>
  <c r="U2230" i="16"/>
  <c r="U2182" i="16"/>
  <c r="K2190" i="16"/>
  <c r="K1653" i="16"/>
  <c r="R2186" i="16"/>
  <c r="U1669" i="16"/>
  <c r="D1670" i="16"/>
  <c r="P1669" i="16"/>
  <c r="Q1669" i="16"/>
  <c r="V1669" i="16"/>
  <c r="M1669" i="16"/>
  <c r="D1664" i="16"/>
  <c r="E2016" i="16" s="1"/>
  <c r="D2016" i="16" s="1"/>
  <c r="R1669" i="16"/>
  <c r="K1669" i="16"/>
  <c r="S1669" i="16"/>
  <c r="L1669" i="16"/>
  <c r="T1669" i="16"/>
  <c r="B1663" i="16"/>
  <c r="B2007" i="16" s="1"/>
  <c r="E1665" i="16"/>
  <c r="N1669" i="16"/>
  <c r="E1664" i="16"/>
  <c r="O1669" i="16"/>
  <c r="U2166" i="16"/>
  <c r="S2145" i="16"/>
  <c r="U2165" i="16"/>
  <c r="U1474" i="16"/>
  <c r="T2144" i="16"/>
  <c r="R2145" i="16"/>
  <c r="Q2145" i="16"/>
  <c r="U2167" i="16"/>
  <c r="U2141" i="16"/>
  <c r="T1344" i="16"/>
  <c r="U1323" i="16"/>
  <c r="M2148" i="16"/>
  <c r="K286" i="16"/>
  <c r="L1379" i="16"/>
  <c r="M1372" i="16"/>
  <c r="M1373" i="16" s="1"/>
  <c r="U1488" i="16"/>
  <c r="W2089" i="16"/>
  <c r="W2048" i="16"/>
  <c r="W234" i="10"/>
  <c r="W377" i="10" s="1"/>
  <c r="W32" i="11"/>
  <c r="W215" i="10"/>
  <c r="T251" i="20"/>
  <c r="L73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79" i="12"/>
  <c r="K107" i="12" s="1"/>
  <c r="K27" i="10" s="1"/>
  <c r="K71" i="11"/>
  <c r="K101" i="11"/>
  <c r="K230" i="10"/>
  <c r="K373" i="10" s="1"/>
  <c r="K137" i="12"/>
  <c r="K605" i="12" s="1"/>
  <c r="K1938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K195" i="11"/>
  <c r="K157" i="1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K217" i="11"/>
  <c r="K196" i="11"/>
  <c r="K149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K214" i="11"/>
  <c r="K197" i="11"/>
  <c r="K158" i="11"/>
  <c r="L260" i="10"/>
  <c r="L403" i="10" s="1"/>
  <c r="L431" i="12"/>
  <c r="L608" i="12" s="1"/>
  <c r="L1941" i="12" s="1"/>
  <c r="L1899" i="12" s="1"/>
  <c r="L215" i="10"/>
  <c r="L359" i="10" s="1"/>
  <c r="K152" i="11"/>
  <c r="K193" i="11"/>
  <c r="K156" i="11"/>
  <c r="L137" i="12"/>
  <c r="L605" i="12" s="1"/>
  <c r="L1938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K153" i="11"/>
  <c r="K150" i="11"/>
  <c r="K215" i="11"/>
  <c r="L71" i="11"/>
  <c r="L38" i="12"/>
  <c r="L88" i="12"/>
  <c r="L259" i="10"/>
  <c r="L402" i="10" s="1"/>
  <c r="K218" i="11"/>
  <c r="K194" i="11"/>
  <c r="L50" i="11"/>
  <c r="L262" i="10"/>
  <c r="L405" i="10" s="1"/>
  <c r="K636" i="12"/>
  <c r="K154" i="11"/>
  <c r="K155" i="11"/>
  <c r="L234" i="10"/>
  <c r="L377" i="10" s="1"/>
  <c r="K216" i="11"/>
  <c r="K151" i="11"/>
  <c r="L92" i="11"/>
  <c r="L70" i="12"/>
  <c r="L168" i="11"/>
  <c r="L242" i="11" s="1"/>
  <c r="L161" i="10" s="1"/>
  <c r="L182" i="12"/>
  <c r="L606" i="12" s="1"/>
  <c r="L1939" i="12" s="1"/>
  <c r="L1897" i="12" s="1"/>
  <c r="K630" i="12"/>
  <c r="K637" i="12"/>
  <c r="M41" i="11"/>
  <c r="M260" i="10"/>
  <c r="M403" i="10" s="1"/>
  <c r="M234" i="10"/>
  <c r="M377" i="10" s="1"/>
  <c r="M101" i="11"/>
  <c r="M38" i="12"/>
  <c r="L195" i="11"/>
  <c r="L152" i="11"/>
  <c r="L193" i="11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L156" i="11"/>
  <c r="L158" i="11"/>
  <c r="L194" i="11"/>
  <c r="K632" i="12"/>
  <c r="M230" i="10"/>
  <c r="M373" i="10" s="1"/>
  <c r="M92" i="11"/>
  <c r="M212" i="12"/>
  <c r="M60" i="12"/>
  <c r="L196" i="11"/>
  <c r="L215" i="11"/>
  <c r="L151" i="11"/>
  <c r="M137" i="12"/>
  <c r="M605" i="12" s="1"/>
  <c r="M1938" i="12" s="1"/>
  <c r="M32" i="11"/>
  <c r="M114" i="11" s="1"/>
  <c r="M16" i="10" s="1"/>
  <c r="M88" i="12"/>
  <c r="L217" i="11"/>
  <c r="L216" i="11"/>
  <c r="K633" i="12"/>
  <c r="M476" i="12"/>
  <c r="M609" i="12" s="1"/>
  <c r="M1942" i="12" s="1"/>
  <c r="M1900" i="12" s="1"/>
  <c r="L153" i="11"/>
  <c r="L149" i="1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L154" i="11"/>
  <c r="L197" i="11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150" i="11"/>
  <c r="L157" i="11"/>
  <c r="L636" i="12"/>
  <c r="M79" i="12"/>
  <c r="M595" i="12"/>
  <c r="M180" i="10" s="1"/>
  <c r="M324" i="10" s="1"/>
  <c r="M233" i="10"/>
  <c r="M20" i="12"/>
  <c r="M102" i="12" s="1"/>
  <c r="M22" i="10" s="1"/>
  <c r="L218" i="11"/>
  <c r="L155" i="11"/>
  <c r="L214" i="11"/>
  <c r="K638" i="12"/>
  <c r="L633" i="12"/>
  <c r="M194" i="11"/>
  <c r="M214" i="11"/>
  <c r="N137" i="12"/>
  <c r="N605" i="12" s="1"/>
  <c r="N1938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C72" i="25"/>
  <c r="L631" i="12"/>
  <c r="L637" i="12"/>
  <c r="M218" i="11"/>
  <c r="M156" i="11"/>
  <c r="N262" i="10"/>
  <c r="N405" i="10" s="1"/>
  <c r="N88" i="12"/>
  <c r="N431" i="12"/>
  <c r="N608" i="12" s="1"/>
  <c r="N1941" i="12" s="1"/>
  <c r="N1899" i="12" s="1"/>
  <c r="L630" i="12"/>
  <c r="K199" i="10"/>
  <c r="M151" i="11"/>
  <c r="M215" i="11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M155" i="11"/>
  <c r="M152" i="11"/>
  <c r="M149" i="11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M193" i="11"/>
  <c r="M216" i="11"/>
  <c r="M195" i="11"/>
  <c r="N591" i="12"/>
  <c r="N613" i="12" s="1"/>
  <c r="N1946" i="12" s="1"/>
  <c r="N1904" i="12" s="1"/>
  <c r="N60" i="12"/>
  <c r="N50" i="11"/>
  <c r="L638" i="12"/>
  <c r="M150" i="11"/>
  <c r="M217" i="11"/>
  <c r="M158" i="11"/>
  <c r="N230" i="10"/>
  <c r="N373" i="10" s="1"/>
  <c r="N70" i="12"/>
  <c r="N234" i="10"/>
  <c r="N377" i="10" s="1"/>
  <c r="L632" i="12"/>
  <c r="M153" i="11"/>
  <c r="M157" i="11"/>
  <c r="M154" i="11"/>
  <c r="N259" i="10"/>
  <c r="N402" i="10" s="1"/>
  <c r="N79" i="12"/>
  <c r="N551" i="12"/>
  <c r="N610" i="12" s="1"/>
  <c r="N1943" i="12" s="1"/>
  <c r="N1901" i="12" s="1"/>
  <c r="N229" i="10"/>
  <c r="N101" i="11"/>
  <c r="N41" i="11"/>
  <c r="K195" i="10"/>
  <c r="L97" i="12"/>
  <c r="M197" i="11"/>
  <c r="M196" i="11"/>
  <c r="N71" i="11"/>
  <c r="N595" i="12"/>
  <c r="N180" i="10" s="1"/>
  <c r="N324" i="10" s="1"/>
  <c r="N233" i="10"/>
  <c r="M630" i="12"/>
  <c r="M634" i="12"/>
  <c r="N217" i="11"/>
  <c r="N152" i="11"/>
  <c r="N151" i="11"/>
  <c r="O229" i="10"/>
  <c r="O50" i="11"/>
  <c r="N218" i="11"/>
  <c r="O70" i="12"/>
  <c r="O591" i="12"/>
  <c r="O613" i="12" s="1"/>
  <c r="O1946" i="12" s="1"/>
  <c r="O1904" i="12" s="1"/>
  <c r="L204" i="10"/>
  <c r="L348" i="10" s="1"/>
  <c r="N194" i="11"/>
  <c r="N153" i="11"/>
  <c r="O177" i="11"/>
  <c r="O243" i="11" s="1"/>
  <c r="O162" i="10" s="1"/>
  <c r="O79" i="12"/>
  <c r="N156" i="11"/>
  <c r="L202" i="10"/>
  <c r="D72" i="25"/>
  <c r="L199" i="10"/>
  <c r="M633" i="12"/>
  <c r="N216" i="11"/>
  <c r="N150" i="11"/>
  <c r="O101" i="11"/>
  <c r="O259" i="10"/>
  <c r="O402" i="10" s="1"/>
  <c r="O92" i="11"/>
  <c r="O71" i="11"/>
  <c r="O595" i="12"/>
  <c r="O180" i="10" s="1"/>
  <c r="O324" i="10" s="1"/>
  <c r="M97" i="12"/>
  <c r="N215" i="11"/>
  <c r="N149" i="11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N154" i="11"/>
  <c r="N197" i="11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N193" i="11"/>
  <c r="N157" i="11"/>
  <c r="N158" i="11"/>
  <c r="O41" i="11"/>
  <c r="O262" i="10"/>
  <c r="O405" i="10" s="1"/>
  <c r="O137" i="12"/>
  <c r="O605" i="12" s="1"/>
  <c r="O1938" i="12" s="1"/>
  <c r="O182" i="12"/>
  <c r="O606" i="12" s="1"/>
  <c r="O1939" i="12" s="1"/>
  <c r="O1897" i="12" s="1"/>
  <c r="O260" i="10"/>
  <c r="O403" i="10" s="1"/>
  <c r="M635" i="12"/>
  <c r="M637" i="12"/>
  <c r="N196" i="11"/>
  <c r="N155" i="11"/>
  <c r="N214" i="11"/>
  <c r="O551" i="12"/>
  <c r="O610" i="12" s="1"/>
  <c r="O1943" i="12" s="1"/>
  <c r="O1901" i="12" s="1"/>
  <c r="O32" i="11"/>
  <c r="O114" i="11" s="1"/>
  <c r="O16" i="10" s="1"/>
  <c r="O233" i="10"/>
  <c r="K352" i="10"/>
  <c r="N636" i="12"/>
  <c r="M631" i="12"/>
  <c r="N195" i="11"/>
  <c r="O20" i="12"/>
  <c r="O102" i="12" s="1"/>
  <c r="O22" i="10" s="1"/>
  <c r="O197" i="11"/>
  <c r="O149" i="11"/>
  <c r="O193" i="1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O215" i="11"/>
  <c r="P177" i="11"/>
  <c r="P243" i="11" s="1"/>
  <c r="P162" i="10" s="1"/>
  <c r="P233" i="10"/>
  <c r="N637" i="12"/>
  <c r="O194" i="11"/>
  <c r="O155" i="11"/>
  <c r="O217" i="11"/>
  <c r="P259" i="10"/>
  <c r="P402" i="10" s="1"/>
  <c r="P476" i="12"/>
  <c r="P609" i="12" s="1"/>
  <c r="P1942" i="12" s="1"/>
  <c r="P1900" i="12" s="1"/>
  <c r="P60" i="12"/>
  <c r="L208" i="10"/>
  <c r="L352" i="10" s="1"/>
  <c r="O636" i="12"/>
  <c r="O216" i="11"/>
  <c r="O152" i="11"/>
  <c r="O154" i="11"/>
  <c r="P182" i="12"/>
  <c r="P606" i="12" s="1"/>
  <c r="P1939" i="12" s="1"/>
  <c r="P1897" i="12" s="1"/>
  <c r="P79" i="12"/>
  <c r="P215" i="10"/>
  <c r="P359" i="10" s="1"/>
  <c r="K250" i="20"/>
  <c r="K1215" i="20" s="1"/>
  <c r="N630" i="12"/>
  <c r="N638" i="12"/>
  <c r="N633" i="12"/>
  <c r="O151" i="11"/>
  <c r="O214" i="11"/>
  <c r="O150" i="11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O158" i="11"/>
  <c r="O153" i="11"/>
  <c r="P137" i="12"/>
  <c r="P605" i="12" s="1"/>
  <c r="P1938" i="12" s="1"/>
  <c r="P92" i="11"/>
  <c r="P229" i="10"/>
  <c r="P38" i="12"/>
  <c r="P20" i="12"/>
  <c r="P102" i="12" s="1"/>
  <c r="P22" i="10" s="1"/>
  <c r="N635" i="12"/>
  <c r="O157" i="11"/>
  <c r="O156" i="11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E72" i="25"/>
  <c r="L250" i="20"/>
  <c r="N634" i="12"/>
  <c r="O218" i="11"/>
  <c r="O195" i="11"/>
  <c r="P50" i="11"/>
  <c r="P71" i="11"/>
  <c r="P29" i="12"/>
  <c r="P551" i="12"/>
  <c r="P610" i="12" s="1"/>
  <c r="P1943" i="12" s="1"/>
  <c r="P1901" i="12" s="1"/>
  <c r="P168" i="11"/>
  <c r="P242" i="11" s="1"/>
  <c r="P161" i="10" s="1"/>
  <c r="O196" i="11"/>
  <c r="P70" i="12"/>
  <c r="O630" i="12"/>
  <c r="P215" i="11"/>
  <c r="P195" i="11"/>
  <c r="P216" i="11"/>
  <c r="Q591" i="12"/>
  <c r="Q613" i="12" s="1"/>
  <c r="Q1946" i="12" s="1"/>
  <c r="Q1904" i="12" s="1"/>
  <c r="Q92" i="11"/>
  <c r="Q260" i="10"/>
  <c r="Q403" i="10" s="1"/>
  <c r="P636" i="12"/>
  <c r="P194" i="11"/>
  <c r="P218" i="11"/>
  <c r="P151" i="11"/>
  <c r="Q70" i="12"/>
  <c r="Q230" i="10"/>
  <c r="Q373" i="10" s="1"/>
  <c r="Q79" i="12"/>
  <c r="M208" i="10"/>
  <c r="M352" i="10" s="1"/>
  <c r="O631" i="12"/>
  <c r="P149" i="11"/>
  <c r="P193" i="11"/>
  <c r="P150" i="11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P155" i="11"/>
  <c r="P196" i="11"/>
  <c r="Q215" i="10"/>
  <c r="Q359" i="10" s="1"/>
  <c r="Q29" i="12"/>
  <c r="Q71" i="11"/>
  <c r="Q50" i="11"/>
  <c r="Q88" i="12"/>
  <c r="Q101" i="11"/>
  <c r="O204" i="10"/>
  <c r="O348" i="10" s="1"/>
  <c r="O97" i="12"/>
  <c r="O632" i="12"/>
  <c r="P154" i="11"/>
  <c r="P217" i="11"/>
  <c r="Q234" i="10"/>
  <c r="Q377" i="10" s="1"/>
  <c r="Q177" i="11"/>
  <c r="Q243" i="11" s="1"/>
  <c r="Q162" i="10" s="1"/>
  <c r="N204" i="10"/>
  <c r="N348" i="10" s="1"/>
  <c r="O635" i="12"/>
  <c r="P214" i="11"/>
  <c r="P156" i="11"/>
  <c r="O638" i="12"/>
  <c r="Q137" i="12"/>
  <c r="Q605" i="12" s="1"/>
  <c r="Q1938" i="12" s="1"/>
  <c r="Q233" i="10"/>
  <c r="Q20" i="12"/>
  <c r="Q102" i="12" s="1"/>
  <c r="Q22" i="10" s="1"/>
  <c r="Q229" i="10"/>
  <c r="Q259" i="10"/>
  <c r="Q402" i="10" s="1"/>
  <c r="O637" i="12"/>
  <c r="P153" i="11"/>
  <c r="P197" i="11"/>
  <c r="Q221" i="10"/>
  <c r="Q365" i="10" s="1"/>
  <c r="Q476" i="12"/>
  <c r="Q609" i="12" s="1"/>
  <c r="Q1942" i="12" s="1"/>
  <c r="Q1900" i="12" s="1"/>
  <c r="Q38" i="12"/>
  <c r="O634" i="12"/>
  <c r="F72" i="25"/>
  <c r="P157" i="11"/>
  <c r="P152" i="11"/>
  <c r="P158" i="11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Q155" i="11"/>
  <c r="Q193" i="11"/>
  <c r="R137" i="12"/>
  <c r="R605" i="12" s="1"/>
  <c r="R1938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Q158" i="11"/>
  <c r="Q157" i="11"/>
  <c r="R60" i="12"/>
  <c r="R168" i="11"/>
  <c r="R242" i="11" s="1"/>
  <c r="R161" i="10" s="1"/>
  <c r="R70" i="12"/>
  <c r="R88" i="12"/>
  <c r="R260" i="10"/>
  <c r="R403" i="10" s="1"/>
  <c r="P632" i="12"/>
  <c r="Q636" i="12"/>
  <c r="Q214" i="11"/>
  <c r="Q156" i="11"/>
  <c r="R20" i="12"/>
  <c r="R230" i="10"/>
  <c r="R373" i="10" s="1"/>
  <c r="N208" i="10"/>
  <c r="N352" i="10" s="1"/>
  <c r="G72" i="25"/>
  <c r="Q153" i="11"/>
  <c r="Q217" i="11"/>
  <c r="R92" i="11"/>
  <c r="N250" i="20"/>
  <c r="N1215" i="20" s="1"/>
  <c r="P635" i="12"/>
  <c r="P633" i="12"/>
  <c r="Q151" i="11"/>
  <c r="Q150" i="11"/>
  <c r="Q218" i="11"/>
  <c r="R262" i="10"/>
  <c r="R405" i="10" s="1"/>
  <c r="R29" i="12"/>
  <c r="R41" i="11"/>
  <c r="P204" i="10"/>
  <c r="P348" i="10" s="1"/>
  <c r="Q154" i="11"/>
  <c r="Q195" i="11"/>
  <c r="Q152" i="11"/>
  <c r="R177" i="11"/>
  <c r="R243" i="11" s="1"/>
  <c r="R162" i="10" s="1"/>
  <c r="R212" i="12"/>
  <c r="R607" i="12" s="1"/>
  <c r="R1940" i="12" s="1"/>
  <c r="R1898" i="12" s="1"/>
  <c r="R79" i="12"/>
  <c r="M250" i="20"/>
  <c r="P630" i="12"/>
  <c r="P97" i="12"/>
  <c r="Q215" i="11"/>
  <c r="Q216" i="11"/>
  <c r="Q196" i="11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Q149" i="11"/>
  <c r="Q194" i="11"/>
  <c r="Q197" i="11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O208" i="10"/>
  <c r="O352" i="10" s="1"/>
  <c r="Q632" i="12"/>
  <c r="R155" i="11"/>
  <c r="R193" i="11"/>
  <c r="R216" i="11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R208" i="10"/>
  <c r="R352" i="10" s="1"/>
  <c r="Q637" i="12"/>
  <c r="Q635" i="12"/>
  <c r="R631" i="12"/>
  <c r="R154" i="11"/>
  <c r="R149" i="11"/>
  <c r="R157" i="11"/>
  <c r="S233" i="10"/>
  <c r="S234" i="10"/>
  <c r="S377" i="10" s="1"/>
  <c r="S29" i="12"/>
  <c r="S70" i="12"/>
  <c r="S229" i="10"/>
  <c r="Q633" i="12"/>
  <c r="H72" i="25"/>
  <c r="R214" i="11"/>
  <c r="R196" i="11"/>
  <c r="S182" i="12"/>
  <c r="S606" i="12" s="1"/>
  <c r="S1939" i="12" s="1"/>
  <c r="S1897" i="12" s="1"/>
  <c r="S92" i="11"/>
  <c r="S32" i="11"/>
  <c r="S114" i="11" s="1"/>
  <c r="S16" i="10" s="1"/>
  <c r="S20" i="12"/>
  <c r="S71" i="11"/>
  <c r="O250" i="20"/>
  <c r="O1215" i="20" s="1"/>
  <c r="Q631" i="12"/>
  <c r="R153" i="11"/>
  <c r="R150" i="11"/>
  <c r="S177" i="11"/>
  <c r="S243" i="11" s="1"/>
  <c r="S162" i="10" s="1"/>
  <c r="P199" i="10"/>
  <c r="Q204" i="10"/>
  <c r="Q348" i="10" s="1"/>
  <c r="R635" i="12"/>
  <c r="R194" i="11"/>
  <c r="R158" i="11"/>
  <c r="S137" i="12"/>
  <c r="S605" i="12" s="1"/>
  <c r="S101" i="11"/>
  <c r="Q634" i="12"/>
  <c r="R634" i="12"/>
  <c r="R195" i="11"/>
  <c r="R217" i="11"/>
  <c r="S88" i="12"/>
  <c r="S212" i="12"/>
  <c r="S607" i="12" s="1"/>
  <c r="S1940" i="12" s="1"/>
  <c r="S1898" i="12" s="1"/>
  <c r="S262" i="10"/>
  <c r="S405" i="10" s="1"/>
  <c r="Q630" i="12"/>
  <c r="R637" i="12"/>
  <c r="R632" i="12"/>
  <c r="R151" i="11"/>
  <c r="R218" i="11"/>
  <c r="R197" i="11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R152" i="11"/>
  <c r="R156" i="11"/>
  <c r="R215" i="11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I72" i="25"/>
  <c r="T137" i="12"/>
  <c r="T605" i="12" s="1"/>
  <c r="T1938" i="12" s="1"/>
  <c r="T1896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S196" i="11"/>
  <c r="S214" i="11"/>
  <c r="S154" i="11"/>
  <c r="Q251" i="20"/>
  <c r="I73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S194" i="11"/>
  <c r="S158" i="11"/>
  <c r="S218" i="11"/>
  <c r="S152" i="1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153" i="11"/>
  <c r="S216" i="11"/>
  <c r="S215" i="11"/>
  <c r="S149" i="11"/>
  <c r="S195" i="11"/>
  <c r="S197" i="11"/>
  <c r="S193" i="11"/>
  <c r="S631" i="12"/>
  <c r="Q199" i="10"/>
  <c r="S632" i="12"/>
  <c r="T32" i="11"/>
  <c r="T114" i="11" s="1"/>
  <c r="T16" i="10" s="1"/>
  <c r="T29" i="12"/>
  <c r="S156" i="11"/>
  <c r="S637" i="12"/>
  <c r="S155" i="11"/>
  <c r="T431" i="12"/>
  <c r="T608" i="12" s="1"/>
  <c r="T1941" i="12" s="1"/>
  <c r="T1899" i="12" s="1"/>
  <c r="T20" i="12"/>
  <c r="P208" i="10"/>
  <c r="P352" i="10" s="1"/>
  <c r="P250" i="20"/>
  <c r="P1215" i="20" s="1"/>
  <c r="S634" i="12"/>
  <c r="T60" i="12"/>
  <c r="T215" i="10"/>
  <c r="T359" i="10" s="1"/>
  <c r="T71" i="11"/>
  <c r="T50" i="11"/>
  <c r="S157" i="11"/>
  <c r="S151" i="11"/>
  <c r="S208" i="10"/>
  <c r="S352" i="10" s="1"/>
  <c r="R630" i="12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250" i="20"/>
  <c r="S1215" i="20" s="1"/>
  <c r="S638" i="12"/>
  <c r="T229" i="10"/>
  <c r="T233" i="10"/>
  <c r="T41" i="11"/>
  <c r="T221" i="10"/>
  <c r="T365" i="10" s="1"/>
  <c r="S217" i="11"/>
  <c r="S150" i="11"/>
  <c r="S630" i="12"/>
  <c r="S204" i="10"/>
  <c r="T638" i="12"/>
  <c r="T155" i="11"/>
  <c r="T150" i="11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T195" i="11"/>
  <c r="T216" i="11"/>
  <c r="U137" i="12"/>
  <c r="U605" i="12" s="1"/>
  <c r="U1938" i="12" s="1"/>
  <c r="U1896" i="12" s="1"/>
  <c r="U79" i="12"/>
  <c r="U260" i="10"/>
  <c r="U403" i="10" s="1"/>
  <c r="U177" i="11"/>
  <c r="U243" i="11" s="1"/>
  <c r="U162" i="10" s="1"/>
  <c r="U229" i="10"/>
  <c r="T630" i="12"/>
  <c r="T154" i="11"/>
  <c r="T635" i="12"/>
  <c r="T634" i="12"/>
  <c r="T151" i="11"/>
  <c r="T152" i="11"/>
  <c r="T196" i="11"/>
  <c r="U101" i="11"/>
  <c r="U60" i="12"/>
  <c r="R251" i="20"/>
  <c r="J73" i="25" s="1"/>
  <c r="T208" i="10"/>
  <c r="T352" i="10" s="1"/>
  <c r="T149" i="11"/>
  <c r="T153" i="11"/>
  <c r="T197" i="11"/>
  <c r="T636" i="12"/>
  <c r="U221" i="10"/>
  <c r="U365" i="10" s="1"/>
  <c r="U71" i="11"/>
  <c r="U70" i="12"/>
  <c r="T632" i="12"/>
  <c r="Q250" i="20"/>
  <c r="Q1215" i="20" s="1"/>
  <c r="J72" i="25"/>
  <c r="T631" i="12"/>
  <c r="T158" i="11"/>
  <c r="T193" i="11"/>
  <c r="T157" i="11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R199" i="10"/>
  <c r="S97" i="12"/>
  <c r="T637" i="12"/>
  <c r="T215" i="11"/>
  <c r="T218" i="11"/>
  <c r="T156" i="11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T194" i="11"/>
  <c r="U50" i="11"/>
  <c r="Q208" i="10"/>
  <c r="Q352" i="10" s="1"/>
  <c r="T217" i="11"/>
  <c r="T214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K72" i="25"/>
  <c r="V262" i="10"/>
  <c r="V92" i="11"/>
  <c r="V29" i="12"/>
  <c r="U193" i="11"/>
  <c r="U194" i="11"/>
  <c r="U158" i="11"/>
  <c r="U153" i="11"/>
  <c r="V97" i="12"/>
  <c r="V233" i="10"/>
  <c r="V431" i="12"/>
  <c r="V608" i="12" s="1"/>
  <c r="V41" i="11"/>
  <c r="V50" i="11"/>
  <c r="U154" i="11"/>
  <c r="U157" i="11"/>
  <c r="U632" i="12"/>
  <c r="U152" i="11"/>
  <c r="R250" i="20"/>
  <c r="R1215" i="20" s="1"/>
  <c r="U630" i="12"/>
  <c r="V88" i="12"/>
  <c r="V230" i="10"/>
  <c r="V373" i="10" s="1"/>
  <c r="V168" i="11"/>
  <c r="V242" i="11" s="1"/>
  <c r="V161" i="10" s="1"/>
  <c r="V60" i="12"/>
  <c r="U197" i="11"/>
  <c r="U156" i="11"/>
  <c r="U214" i="11"/>
  <c r="V177" i="11"/>
  <c r="V243" i="11" s="1"/>
  <c r="V162" i="10" s="1"/>
  <c r="U155" i="11"/>
  <c r="V551" i="12"/>
  <c r="V610" i="12" s="1"/>
  <c r="V38" i="12"/>
  <c r="V20" i="12"/>
  <c r="V259" i="10"/>
  <c r="V221" i="10"/>
  <c r="U215" i="11"/>
  <c r="U149" i="11"/>
  <c r="V212" i="12"/>
  <c r="V607" i="12" s="1"/>
  <c r="V234" i="10"/>
  <c r="V377" i="10" s="1"/>
  <c r="U638" i="12"/>
  <c r="U633" i="12"/>
  <c r="U635" i="12"/>
  <c r="V229" i="10"/>
  <c r="V595" i="12"/>
  <c r="V70" i="12"/>
  <c r="U151" i="11"/>
  <c r="U150" i="11"/>
  <c r="U218" i="11"/>
  <c r="V260" i="10"/>
  <c r="S199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U216" i="11"/>
  <c r="S251" i="20"/>
  <c r="K73" i="25" s="1"/>
  <c r="T204" i="10"/>
  <c r="U634" i="12"/>
  <c r="V215" i="10"/>
  <c r="V101" i="11"/>
  <c r="V476" i="12"/>
  <c r="V609" i="12" s="1"/>
  <c r="V79" i="12"/>
  <c r="U196" i="11"/>
  <c r="U217" i="11"/>
  <c r="U195" i="11"/>
  <c r="X38" i="22"/>
  <c r="X106" i="11" s="1"/>
  <c r="W67" i="22"/>
  <c r="W92" i="12" s="1"/>
  <c r="X67" i="22"/>
  <c r="W2090" i="16"/>
  <c r="V2072" i="16"/>
  <c r="V2086" i="16"/>
  <c r="W2049" i="16"/>
  <c r="V2074" i="16"/>
  <c r="V2073" i="16"/>
  <c r="V2087" i="16"/>
  <c r="V2080" i="16"/>
  <c r="X200" i="18"/>
  <c r="W201" i="18"/>
  <c r="W199" i="18"/>
  <c r="D1500" i="16"/>
  <c r="D1501" i="16"/>
  <c r="D1833" i="16"/>
  <c r="D1503" i="16"/>
  <c r="D1837" i="16"/>
  <c r="D1504" i="16"/>
  <c r="D1836" i="16"/>
  <c r="D1502" i="16"/>
  <c r="D1834" i="16"/>
  <c r="D1835" i="16"/>
  <c r="V365" i="10" l="1"/>
  <c r="V359" i="10"/>
  <c r="W2059" i="16"/>
  <c r="W2087" i="16" s="1"/>
  <c r="V403" i="10"/>
  <c r="U2082" i="16"/>
  <c r="U256" i="20" s="1"/>
  <c r="D462" i="16"/>
  <c r="N1833" i="16"/>
  <c r="N1834" i="16"/>
  <c r="N459" i="16" s="1"/>
  <c r="N1501" i="16"/>
  <c r="N364" i="16" s="1"/>
  <c r="N1500" i="16"/>
  <c r="V376" i="10"/>
  <c r="V405" i="10"/>
  <c r="W1283" i="16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92" i="10"/>
  <c r="W91" i="10" s="1"/>
  <c r="W105" i="10" s="1"/>
  <c r="W27" i="10"/>
  <c r="W36" i="10"/>
  <c r="W17" i="10"/>
  <c r="W305" i="10" s="1"/>
  <c r="W26" i="10"/>
  <c r="W776" i="16"/>
  <c r="W238" i="20" s="1"/>
  <c r="W744" i="16"/>
  <c r="W206" i="20" s="1"/>
  <c r="S52" i="10"/>
  <c r="S340" i="10" s="1"/>
  <c r="U1150" i="16"/>
  <c r="U1143" i="16"/>
  <c r="U1136" i="16"/>
  <c r="W1169" i="16"/>
  <c r="W2118" i="16" s="1"/>
  <c r="V1170" i="16"/>
  <c r="V1163" i="16"/>
  <c r="W1162" i="16"/>
  <c r="W2117" i="16" s="1"/>
  <c r="V1142" i="16"/>
  <c r="W1141" i="16"/>
  <c r="W2114" i="16" s="1"/>
  <c r="V1157" i="16"/>
  <c r="V1149" i="16"/>
  <c r="W1148" i="16"/>
  <c r="W1134" i="16"/>
  <c r="W2113" i="16" s="1"/>
  <c r="P936" i="16"/>
  <c r="Q936" i="16" s="1"/>
  <c r="V1171" i="16"/>
  <c r="V1135" i="16"/>
  <c r="T1184" i="16"/>
  <c r="U1183" i="16"/>
  <c r="U2120" i="16" s="1"/>
  <c r="T1185" i="16"/>
  <c r="U1176" i="16"/>
  <c r="U2119" i="16" s="1"/>
  <c r="T1178" i="16"/>
  <c r="T2120" i="16"/>
  <c r="T1177" i="16"/>
  <c r="Q1218" i="16"/>
  <c r="Q2125" i="16" s="1"/>
  <c r="P1219" i="16"/>
  <c r="U1190" i="16"/>
  <c r="V1190" i="16" s="1"/>
  <c r="S1198" i="16"/>
  <c r="S1204" i="16"/>
  <c r="S2123" i="16" s="1"/>
  <c r="R2123" i="16"/>
  <c r="T1191" i="16"/>
  <c r="T1192" i="16" s="1"/>
  <c r="R1211" i="16"/>
  <c r="R2124" i="16" s="1"/>
  <c r="O1228" i="16"/>
  <c r="O258" i="16" s="1"/>
  <c r="M1249" i="16"/>
  <c r="M261" i="16" s="1"/>
  <c r="T1197" i="16"/>
  <c r="Q1212" i="16"/>
  <c r="L1256" i="16"/>
  <c r="L262" i="16" s="1"/>
  <c r="R1205" i="16"/>
  <c r="V876" i="16"/>
  <c r="W2137" i="16"/>
  <c r="W2136" i="16"/>
  <c r="W2047" i="16"/>
  <c r="W1235" i="20"/>
  <c r="W1248" i="20" s="1"/>
  <c r="V1556" i="16"/>
  <c r="N127" i="25"/>
  <c r="N135" i="25" s="1"/>
  <c r="N146" i="25" s="1"/>
  <c r="N154" i="25" s="1"/>
  <c r="L255" i="25"/>
  <c r="L228" i="25"/>
  <c r="L236" i="25" s="1"/>
  <c r="O1502" i="16"/>
  <c r="O365" i="16" s="1"/>
  <c r="I411" i="16"/>
  <c r="G2034" i="16" s="1"/>
  <c r="G2088" i="16" s="1"/>
  <c r="O1501" i="16"/>
  <c r="O364" i="16" s="1"/>
  <c r="I410" i="16"/>
  <c r="G2033" i="16" s="1"/>
  <c r="G2087" i="16" s="1"/>
  <c r="N2087" i="16" s="1"/>
  <c r="O1503" i="16"/>
  <c r="O366" i="16" s="1"/>
  <c r="I412" i="16"/>
  <c r="G2035" i="16" s="1"/>
  <c r="G2089" i="16" s="1"/>
  <c r="O1835" i="16"/>
  <c r="O460" i="16" s="1"/>
  <c r="D460" i="16"/>
  <c r="C159" i="20" s="1"/>
  <c r="F159" i="20" s="1"/>
  <c r="X159" i="20" s="1"/>
  <c r="O1836" i="16"/>
  <c r="O461" i="16" s="1"/>
  <c r="D461" i="16"/>
  <c r="C160" i="20" s="1"/>
  <c r="O1834" i="16"/>
  <c r="O459" i="16" s="1"/>
  <c r="D459" i="16"/>
  <c r="C158" i="20" s="1"/>
  <c r="F158" i="20" s="1"/>
  <c r="I459" i="16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T923" i="12"/>
  <c r="T931" i="12" s="1"/>
  <c r="V1433" i="16"/>
  <c r="X126" i="8"/>
  <c r="W636" i="12"/>
  <c r="V888" i="16"/>
  <c r="V1289" i="16"/>
  <c r="W1289" i="16" s="1"/>
  <c r="V1303" i="16"/>
  <c r="W2081" i="16"/>
  <c r="W2052" i="16"/>
  <c r="W2053" i="16"/>
  <c r="V638" i="12"/>
  <c r="V1440" i="16"/>
  <c r="V1282" i="16"/>
  <c r="Q1364" i="16"/>
  <c r="R1364" i="16" s="1"/>
  <c r="S1364" i="16" s="1"/>
  <c r="T1364" i="16" s="1"/>
  <c r="U1364" i="16" s="1"/>
  <c r="V1364" i="16" s="1"/>
  <c r="W1364" i="16" s="1"/>
  <c r="X1364" i="16" s="1"/>
  <c r="O2147" i="16"/>
  <c r="W2051" i="16"/>
  <c r="W2074" i="16"/>
  <c r="Q952" i="16"/>
  <c r="R952" i="16" s="1"/>
  <c r="O1365" i="16"/>
  <c r="P1365" i="16" s="1"/>
  <c r="W2045" i="16"/>
  <c r="V1164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U1412" i="12"/>
  <c r="U257" i="20" s="1"/>
  <c r="U928" i="12"/>
  <c r="U929" i="12" s="1"/>
  <c r="U208" i="10" s="1"/>
  <c r="U352" i="10" s="1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17" i="25"/>
  <c r="X895" i="12"/>
  <c r="X892" i="12"/>
  <c r="X893" i="12"/>
  <c r="X894" i="12"/>
  <c r="X891" i="12"/>
  <c r="V1401" i="12"/>
  <c r="V1411" i="12" s="1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U1406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730" i="12"/>
  <c r="X738" i="12"/>
  <c r="X732" i="12"/>
  <c r="X727" i="12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47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711" i="12"/>
  <c r="X715" i="12"/>
  <c r="X719" i="12"/>
  <c r="X702" i="12"/>
  <c r="X1185" i="12" s="1"/>
  <c r="X706" i="12"/>
  <c r="X710" i="12"/>
  <c r="X714" i="12"/>
  <c r="X705" i="12"/>
  <c r="X1188" i="12" s="1"/>
  <c r="X709" i="12"/>
  <c r="X1192" i="12" s="1"/>
  <c r="X713" i="12"/>
  <c r="X717" i="12"/>
  <c r="W747" i="16"/>
  <c r="W209" i="20" s="1"/>
  <c r="W434" i="12"/>
  <c r="X1487" i="16"/>
  <c r="X1596" i="16"/>
  <c r="W197" i="11"/>
  <c r="W1460" i="12"/>
  <c r="W1550" i="12"/>
  <c r="W782" i="16"/>
  <c r="W244" i="20" s="1"/>
  <c r="W751" i="16"/>
  <c r="W213" i="20" s="1"/>
  <c r="W767" i="16"/>
  <c r="W229" i="20" s="1"/>
  <c r="W771" i="16"/>
  <c r="W233" i="20" s="1"/>
  <c r="W766" i="16"/>
  <c r="W228" i="20" s="1"/>
  <c r="W768" i="16"/>
  <c r="W230" i="20" s="1"/>
  <c r="X1802" i="12"/>
  <c r="X233" i="10"/>
  <c r="X257" i="10" s="1"/>
  <c r="X620" i="16"/>
  <c r="X436" i="16"/>
  <c r="W1204" i="12"/>
  <c r="W1392" i="12" s="1"/>
  <c r="X32" i="11"/>
  <c r="X114" i="11" s="1"/>
  <c r="W773" i="16"/>
  <c r="W235" i="20" s="1"/>
  <c r="X2037" i="16"/>
  <c r="X2063" i="16" s="1"/>
  <c r="X2091" i="16" s="1"/>
  <c r="W1572" i="12"/>
  <c r="W783" i="16"/>
  <c r="W245" i="20" s="1"/>
  <c r="W1555" i="12"/>
  <c r="W775" i="16"/>
  <c r="W237" i="20" s="1"/>
  <c r="W754" i="16"/>
  <c r="W216" i="20" s="1"/>
  <c r="W745" i="16"/>
  <c r="W207" i="20" s="1"/>
  <c r="W765" i="16"/>
  <c r="W227" i="20" s="1"/>
  <c r="W756" i="16"/>
  <c r="W218" i="20" s="1"/>
  <c r="X1836" i="12"/>
  <c r="X1735" i="12"/>
  <c r="W1539" i="12"/>
  <c r="X1740" i="12"/>
  <c r="X1729" i="12"/>
  <c r="W774" i="16"/>
  <c r="W236" i="20" s="1"/>
  <c r="X124" i="11"/>
  <c r="W1481" i="16"/>
  <c r="W770" i="16"/>
  <c r="W232" i="20" s="1"/>
  <c r="W777" i="16"/>
  <c r="W239" i="20" s="1"/>
  <c r="W753" i="16"/>
  <c r="W215" i="20" s="1"/>
  <c r="W1503" i="12"/>
  <c r="W750" i="16"/>
  <c r="W212" i="20" s="1"/>
  <c r="W1595" i="12"/>
  <c r="W152" i="11"/>
  <c r="W763" i="16"/>
  <c r="W225" i="20" s="1"/>
  <c r="W757" i="16"/>
  <c r="W219" i="20" s="1"/>
  <c r="W760" i="16"/>
  <c r="W222" i="20" s="1"/>
  <c r="W781" i="16"/>
  <c r="W243" i="20" s="1"/>
  <c r="X1544" i="16"/>
  <c r="X591" i="12"/>
  <c r="X613" i="12" s="1"/>
  <c r="W1596" i="12"/>
  <c r="X195" i="20"/>
  <c r="W748" i="16"/>
  <c r="W210" i="20" s="1"/>
  <c r="W1548" i="12"/>
  <c r="X1767" i="12"/>
  <c r="W149" i="11"/>
  <c r="W755" i="16"/>
  <c r="W217" i="20" s="1"/>
  <c r="W762" i="16"/>
  <c r="W224" i="20" s="1"/>
  <c r="X573" i="16"/>
  <c r="W216" i="11"/>
  <c r="W764" i="16"/>
  <c r="W226" i="20" s="1"/>
  <c r="W769" i="16"/>
  <c r="W231" i="20" s="1"/>
  <c r="W772" i="16"/>
  <c r="W234" i="20" s="1"/>
  <c r="X12" i="12"/>
  <c r="X1813" i="12"/>
  <c r="W1549" i="12"/>
  <c r="N66" i="25"/>
  <c r="N52" i="25"/>
  <c r="X72" i="20"/>
  <c r="X176" i="20"/>
  <c r="W193" i="11"/>
  <c r="X1679" i="12"/>
  <c r="X1502" i="16"/>
  <c r="X365" i="16" s="1"/>
  <c r="X194" i="20"/>
  <c r="X127" i="10"/>
  <c r="X1776" i="12"/>
  <c r="X432" i="16"/>
  <c r="X12" i="18"/>
  <c r="X160" i="20"/>
  <c r="X437" i="16"/>
  <c r="X230" i="10"/>
  <c r="X373" i="10" s="1"/>
  <c r="X657" i="16"/>
  <c r="X1789" i="12"/>
  <c r="X1831" i="12"/>
  <c r="X117" i="20"/>
  <c r="X1964" i="16"/>
  <c r="X1801" i="12"/>
  <c r="X622" i="16"/>
  <c r="W1430" i="12"/>
  <c r="W1552" i="12"/>
  <c r="W1563" i="12"/>
  <c r="W1432" i="12"/>
  <c r="W1579" i="12"/>
  <c r="X141" i="16"/>
  <c r="X801" i="16"/>
  <c r="W746" i="16"/>
  <c r="W208" i="20" s="1"/>
  <c r="W779" i="16"/>
  <c r="W241" i="20" s="1"/>
  <c r="W778" i="16"/>
  <c r="W240" i="20" s="1"/>
  <c r="W758" i="16"/>
  <c r="W220" i="20" s="1"/>
  <c r="W761" i="16"/>
  <c r="W223" i="20" s="1"/>
  <c r="W752" i="16"/>
  <c r="W214" i="20" s="1"/>
  <c r="W749" i="16"/>
  <c r="W211" i="20" s="1"/>
  <c r="W759" i="16"/>
  <c r="W221" i="20" s="1"/>
  <c r="W780" i="16"/>
  <c r="W242" i="20" s="1"/>
  <c r="X1849" i="16"/>
  <c r="X426" i="16"/>
  <c r="X1945" i="16"/>
  <c r="X156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52" i="20"/>
  <c r="X281" i="16"/>
  <c r="X1737" i="12"/>
  <c r="X1404" i="12"/>
  <c r="X1311" i="16"/>
  <c r="X132" i="20"/>
  <c r="X270" i="16"/>
  <c r="X1835" i="12"/>
  <c r="X44" i="11"/>
  <c r="X101" i="11"/>
  <c r="X120" i="11" s="1"/>
  <c r="X124" i="20"/>
  <c r="X619" i="16"/>
  <c r="X1771" i="12"/>
  <c r="X1756" i="12"/>
  <c r="X201" i="11"/>
  <c r="X1448" i="16"/>
  <c r="X126" i="20"/>
  <c r="X577" i="16"/>
  <c r="X1730" i="12"/>
  <c r="X1792" i="12"/>
  <c r="X1837" i="16"/>
  <c r="X462" i="16" s="1"/>
  <c r="X79" i="12"/>
  <c r="X107" i="12" s="1"/>
  <c r="X125" i="22"/>
  <c r="X130" i="20"/>
  <c r="X698" i="16"/>
  <c r="X1822" i="12"/>
  <c r="X1727" i="12"/>
  <c r="X35" i="11"/>
  <c r="X1712" i="12"/>
  <c r="X1697" i="12"/>
  <c r="X31" i="20"/>
  <c r="X424" i="16"/>
  <c r="X58" i="20"/>
  <c r="X98" i="10"/>
  <c r="X1701" i="12"/>
  <c r="X1497" i="16"/>
  <c r="X119" i="20"/>
  <c r="X361" i="16"/>
  <c r="X1723" i="12"/>
  <c r="X455" i="16"/>
  <c r="X1828" i="12"/>
  <c r="X81" i="20"/>
  <c r="X75" i="10"/>
  <c r="X447" i="16"/>
  <c r="X1806" i="12"/>
  <c r="X1768" i="12"/>
  <c r="X1137" i="16"/>
  <c r="I197" i="16" s="1"/>
  <c r="X97" i="20"/>
  <c r="X268" i="16"/>
  <c r="X1793" i="12"/>
  <c r="X1399" i="12"/>
  <c r="X84" i="22"/>
  <c r="X618" i="16"/>
  <c r="X1838" i="12"/>
  <c r="X1672" i="12"/>
  <c r="X63" i="12"/>
  <c r="X595" i="12"/>
  <c r="X180" i="10" s="1"/>
  <c r="X57" i="20"/>
  <c r="X453" i="16"/>
  <c r="X1834" i="12"/>
  <c r="X1819" i="12"/>
  <c r="X12" i="11"/>
  <c r="X211" i="16"/>
  <c r="X1571" i="16"/>
  <c r="X83" i="18"/>
  <c r="X1746" i="12"/>
  <c r="X1360" i="16"/>
  <c r="X63" i="20"/>
  <c r="X1682" i="12"/>
  <c r="X1469" i="16"/>
  <c r="X427" i="16"/>
  <c r="X1736" i="12"/>
  <c r="X29" i="12"/>
  <c r="X103" i="12" s="1"/>
  <c r="X151" i="20"/>
  <c r="X1833" i="16"/>
  <c r="X458" i="16" s="1"/>
  <c r="X1704" i="12"/>
  <c r="X1670" i="12"/>
  <c r="X85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01" i="20"/>
  <c r="X359" i="16"/>
  <c r="X1677" i="12"/>
  <c r="X1661" i="12"/>
  <c r="X1172" i="16"/>
  <c r="I202" i="16" s="1"/>
  <c r="G35" i="20" s="1"/>
  <c r="X1578" i="16"/>
  <c r="X60" i="20"/>
  <c r="X1745" i="12"/>
  <c r="X1290" i="16"/>
  <c r="X128" i="20"/>
  <c r="X1713" i="12"/>
  <c r="X1483" i="16"/>
  <c r="X422" i="16"/>
  <c r="X1780" i="12"/>
  <c r="X215" i="10"/>
  <c r="X172" i="20"/>
  <c r="X456" i="16"/>
  <c r="X1741" i="12"/>
  <c r="X1421" i="12"/>
  <c r="X1559" i="12" s="1"/>
  <c r="X300" i="10"/>
  <c r="X2041" i="16"/>
  <c r="X2067" i="16" s="1"/>
  <c r="X278" i="16"/>
  <c r="X1724" i="12"/>
  <c r="X91" i="12"/>
  <c r="X178" i="20"/>
  <c r="X457" i="16"/>
  <c r="X1696" i="12"/>
  <c r="X1755" i="12"/>
  <c r="X1836" i="16"/>
  <c r="X461" i="16" s="1"/>
  <c r="X242" i="10"/>
  <c r="X121" i="20"/>
  <c r="X273" i="16"/>
  <c r="X1790" i="12"/>
  <c r="X1668" i="12"/>
  <c r="X95" i="11"/>
  <c r="X63" i="18"/>
  <c r="X67" i="20"/>
  <c r="X438" i="16"/>
  <c r="X1761" i="12"/>
  <c r="X1706" i="12"/>
  <c r="X1501" i="16"/>
  <c r="X364" i="16" s="1"/>
  <c r="X1669" i="16"/>
  <c r="X197" i="20"/>
  <c r="X59" i="20"/>
  <c r="X434" i="16"/>
  <c r="X1757" i="12"/>
  <c r="X1638" i="12"/>
  <c r="X1689" i="12"/>
  <c r="X575" i="16"/>
  <c r="X98" i="20"/>
  <c r="X38" i="16"/>
  <c r="X1839" i="12"/>
  <c r="X180" i="11"/>
  <c r="X154" i="11" s="1"/>
  <c r="X221" i="10"/>
  <c r="X1394" i="16"/>
  <c r="X54" i="16"/>
  <c r="X168" i="11"/>
  <c r="X242" i="11" s="1"/>
  <c r="X161" i="10" s="1"/>
  <c r="X446" i="16"/>
  <c r="X1694" i="12"/>
  <c r="X1374" i="16"/>
  <c r="X1401" i="16"/>
  <c r="X69" i="20"/>
  <c r="X1824" i="12"/>
  <c r="X1304" i="16"/>
  <c r="X173" i="20"/>
  <c r="X12" i="16"/>
  <c r="X192" i="16" s="1"/>
  <c r="X187" i="20"/>
  <c r="X421" i="16"/>
  <c r="X1675" i="12"/>
  <c r="X177" i="11"/>
  <c r="X243" i="11" s="1"/>
  <c r="X162" i="10" s="1"/>
  <c r="X196" i="20"/>
  <c r="X276" i="16"/>
  <c r="X1797" i="12"/>
  <c r="X82" i="12"/>
  <c r="X115" i="22"/>
  <c r="X2044" i="16"/>
  <c r="X1783" i="12"/>
  <c r="X1673" i="12"/>
  <c r="X96" i="20"/>
  <c r="X127" i="20"/>
  <c r="X444" i="16"/>
  <c r="X1821" i="12"/>
  <c r="X1400" i="12"/>
  <c r="X1835" i="16"/>
  <c r="X460" i="16" s="1"/>
  <c r="X96" i="22"/>
  <c r="X193" i="20"/>
  <c r="X352" i="16"/>
  <c r="X1692" i="12"/>
  <c r="X1671" i="12"/>
  <c r="X161" i="20"/>
  <c r="X148" i="20"/>
  <c r="X65" i="20"/>
  <c r="X279" i="16"/>
  <c r="X356" i="16"/>
  <c r="X1772" i="12"/>
  <c r="X82" i="20"/>
  <c r="X1952" i="16"/>
  <c r="X141" i="20"/>
  <c r="X624" i="16"/>
  <c r="X275" i="16"/>
  <c r="X1690" i="12"/>
  <c r="X1799" i="12"/>
  <c r="X574" i="16"/>
  <c r="X1585" i="16"/>
  <c r="X441" i="16"/>
  <c r="X1398" i="12"/>
  <c r="X190" i="10"/>
  <c r="X448" i="16"/>
  <c r="X1715" i="12"/>
  <c r="X123" i="20"/>
  <c r="X1805" i="12"/>
  <c r="X100" i="12"/>
  <c r="X1648" i="16"/>
  <c r="X118" i="20"/>
  <c r="X1787" i="12"/>
  <c r="X1676" i="12"/>
  <c r="X551" i="12"/>
  <c r="X610" i="12" s="1"/>
  <c r="X138" i="20"/>
  <c r="X452" i="16"/>
  <c r="X1829" i="12"/>
  <c r="X1666" i="12"/>
  <c r="X1627" i="16"/>
  <c r="X61" i="20"/>
  <c r="X216" i="16"/>
  <c r="X1760" i="12"/>
  <c r="X231" i="11"/>
  <c r="X92" i="11"/>
  <c r="X108" i="12" s="1"/>
  <c r="X192" i="20"/>
  <c r="X582" i="16"/>
  <c r="X417" i="16"/>
  <c r="X360" i="16"/>
  <c r="X629" i="12"/>
  <c r="X1938" i="16"/>
  <c r="X116" i="20"/>
  <c r="X2038" i="16"/>
  <c r="X1714" i="12"/>
  <c r="X1743" i="12"/>
  <c r="X53" i="11"/>
  <c r="X234" i="10"/>
  <c r="X377" i="10" s="1"/>
  <c r="X156" i="10"/>
  <c r="X150" i="20"/>
  <c r="X454" i="16"/>
  <c r="X1705" i="12"/>
  <c r="X1748" i="12"/>
  <c r="X240" i="11"/>
  <c r="X50" i="11"/>
  <c r="X116" i="11" s="1"/>
  <c r="X125" i="20"/>
  <c r="X60" i="12"/>
  <c r="X105" i="12" s="1"/>
  <c r="X174" i="20"/>
  <c r="X580" i="16"/>
  <c r="X431" i="16"/>
  <c r="X425" i="16"/>
  <c r="X1753" i="12"/>
  <c r="X1773" i="12"/>
  <c r="X354" i="16"/>
  <c r="W150" i="11"/>
  <c r="W155" i="11"/>
  <c r="W196" i="11"/>
  <c r="W157" i="11"/>
  <c r="W214" i="11"/>
  <c r="W158" i="11"/>
  <c r="W154" i="11"/>
  <c r="X32" i="8"/>
  <c r="X31" i="8" s="1"/>
  <c r="X101" i="18" s="1"/>
  <c r="X1774" i="12"/>
  <c r="X96" i="18"/>
  <c r="X83" i="20"/>
  <c r="X1782" i="12"/>
  <c r="X12" i="20"/>
  <c r="X25" i="20" s="1"/>
  <c r="X1188" i="20" s="1"/>
  <c r="X1222" i="20" s="1"/>
  <c r="X1811" i="12"/>
  <c r="X1664" i="12"/>
  <c r="X70" i="20"/>
  <c r="X1163" i="12"/>
  <c r="X116" i="18"/>
  <c r="X362" i="16"/>
  <c r="X1750" i="12"/>
  <c r="X1703" i="12"/>
  <c r="X1788" i="12"/>
  <c r="X621" i="16"/>
  <c r="X1462" i="16"/>
  <c r="W1449" i="12"/>
  <c r="W1588" i="12"/>
  <c r="W1441" i="12"/>
  <c r="W1438" i="12"/>
  <c r="W1591" i="12"/>
  <c r="X1814" i="12"/>
  <c r="X1804" i="12"/>
  <c r="X450" i="16"/>
  <c r="W195" i="11"/>
  <c r="W217" i="11"/>
  <c r="X353" i="16"/>
  <c r="X1800" i="12"/>
  <c r="X623" i="16"/>
  <c r="X1832" i="12"/>
  <c r="X269" i="16"/>
  <c r="X1726" i="12"/>
  <c r="X80" i="20"/>
  <c r="X38" i="12"/>
  <c r="X104" i="12" s="1"/>
  <c r="X1840" i="12"/>
  <c r="X30" i="20"/>
  <c r="X1785" i="12"/>
  <c r="X182" i="12"/>
  <c r="X606" i="12" s="1"/>
  <c r="X136" i="20"/>
  <c r="X625" i="16"/>
  <c r="X282" i="16"/>
  <c r="X1770" i="12"/>
  <c r="X137" i="12"/>
  <c r="X605" i="12" s="1"/>
  <c r="W1486" i="12"/>
  <c r="W1537" i="12"/>
  <c r="W1431" i="12"/>
  <c r="X1613" i="16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28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W156" i="11"/>
  <c r="X94" i="20"/>
  <c r="X615" i="16"/>
  <c r="X229" i="10"/>
  <c r="X258" i="10" s="1"/>
  <c r="X51" i="22"/>
  <c r="X23" i="12"/>
  <c r="X1803" i="12"/>
  <c r="X122" i="20"/>
  <c r="X20" i="12"/>
  <c r="X102" i="12" s="1"/>
  <c r="X1777" i="12"/>
  <c r="X149" i="20"/>
  <c r="X1817" i="12"/>
  <c r="X259" i="10"/>
  <c r="X129" i="20"/>
  <c r="X2031" i="16"/>
  <c r="X357" i="16"/>
  <c r="X1795" i="12"/>
  <c r="X1367" i="16"/>
  <c r="W1439" i="12"/>
  <c r="W1485" i="12"/>
  <c r="W1528" i="12"/>
  <c r="W1464" i="12"/>
  <c r="W1467" i="12"/>
  <c r="X1722" i="12"/>
  <c r="X42" i="12"/>
  <c r="X1408" i="16"/>
  <c r="W153" i="11"/>
  <c r="W218" i="11"/>
  <c r="X326" i="16"/>
  <c r="X84" i="20"/>
  <c r="X222" i="11"/>
  <c r="X1716" i="12"/>
  <c r="X940" i="12"/>
  <c r="X433" i="16"/>
  <c r="X99" i="20"/>
  <c r="X260" i="10"/>
  <c r="X1786" i="12"/>
  <c r="X74" i="18"/>
  <c r="X283" i="16"/>
  <c r="X698" i="12"/>
  <c r="X1688" i="12"/>
  <c r="X143" i="20"/>
  <c r="X93" i="20"/>
  <c r="X71" i="20"/>
  <c r="X1747" i="12"/>
  <c r="W1594" i="12"/>
  <c r="W1577" i="12"/>
  <c r="W1462" i="12"/>
  <c r="W1590" i="12"/>
  <c r="W1553" i="12"/>
  <c r="X62" i="20"/>
  <c r="X171" i="11"/>
  <c r="W215" i="11"/>
  <c r="W194" i="11"/>
  <c r="X1434" i="16"/>
  <c r="X1796" i="12"/>
  <c r="X430" i="16"/>
  <c r="X120" i="20"/>
  <c r="X1644" i="12"/>
  <c r="X439" i="16"/>
  <c r="X140" i="20"/>
  <c r="X188" i="20"/>
  <c r="X1878" i="12"/>
  <c r="X1916" i="12" s="1"/>
  <c r="X1523" i="16"/>
  <c r="X330" i="16"/>
  <c r="X921" i="12"/>
  <c r="E1168" i="12" s="1"/>
  <c r="G1168" i="12" s="1"/>
  <c r="X328" i="16"/>
  <c r="X107" i="18"/>
  <c r="X175" i="20"/>
  <c r="X68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16" i="20"/>
  <c r="W626" i="16"/>
  <c r="W810" i="16" s="1"/>
  <c r="W514" i="20"/>
  <c r="V1444" i="12"/>
  <c r="V1632" i="12" s="1"/>
  <c r="V1522" i="12"/>
  <c r="V1635" i="12" s="1"/>
  <c r="V1601" i="12"/>
  <c r="V1637" i="12" s="1"/>
  <c r="V1567" i="12"/>
  <c r="V1636" i="12" s="1"/>
  <c r="V1468" i="12"/>
  <c r="V1633" i="12" s="1"/>
  <c r="N475" i="25"/>
  <c r="N592" i="25" s="1"/>
  <c r="W116" i="12"/>
  <c r="W2065" i="16"/>
  <c r="W2079" i="16" s="1"/>
  <c r="W2063" i="16"/>
  <c r="W2091" i="16" s="1"/>
  <c r="O77" i="25"/>
  <c r="W264" i="12"/>
  <c r="V2090" i="16"/>
  <c r="V2096" i="16" s="1"/>
  <c r="W520" i="12"/>
  <c r="W594" i="12"/>
  <c r="W306" i="12"/>
  <c r="V2076" i="16"/>
  <c r="W2076" i="16" s="1"/>
  <c r="W386" i="20"/>
  <c r="W180" i="10"/>
  <c r="O13" i="25"/>
  <c r="O66" i="25" s="1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198" i="20"/>
  <c r="W1209" i="20" s="1"/>
  <c r="W1841" i="12"/>
  <c r="W1877" i="12" s="1"/>
  <c r="W1915" i="12" s="1"/>
  <c r="W463" i="16"/>
  <c r="W284" i="16"/>
  <c r="W804" i="16" s="1"/>
  <c r="W807" i="16"/>
  <c r="W180" i="20"/>
  <c r="W1208" i="20" s="1"/>
  <c r="W86" i="20"/>
  <c r="W1205" i="20" s="1"/>
  <c r="W584" i="16"/>
  <c r="W809" i="16" s="1"/>
  <c r="W893" i="16"/>
  <c r="W136" i="16"/>
  <c r="X215" i="16"/>
  <c r="X209" i="16"/>
  <c r="X130" i="16"/>
  <c r="X123" i="16"/>
  <c r="X113" i="16"/>
  <c r="X118" i="16"/>
  <c r="X32" i="20"/>
  <c r="X45" i="20"/>
  <c r="X1179" i="16"/>
  <c r="X1235" i="16"/>
  <c r="X915" i="12"/>
  <c r="X1930" i="12" s="1"/>
  <c r="X1603" i="16"/>
  <c r="X29" i="8"/>
  <c r="X127" i="8" s="1"/>
  <c r="X101" i="16"/>
  <c r="X1634" i="16"/>
  <c r="X1877" i="16"/>
  <c r="X1641" i="16"/>
  <c r="X2013" i="16"/>
  <c r="X334" i="10"/>
  <c r="X144" i="20"/>
  <c r="X147" i="20"/>
  <c r="X428" i="16"/>
  <c r="X1791" i="12"/>
  <c r="X1880" i="12"/>
  <c r="X1919" i="12" s="1"/>
  <c r="X46" i="16"/>
  <c r="X1346" i="16"/>
  <c r="X1144" i="16"/>
  <c r="I198" i="16" s="1"/>
  <c r="G31" i="20" s="1"/>
  <c r="X385" i="10"/>
  <c r="X489" i="10" s="1"/>
  <c r="X133" i="20"/>
  <c r="X139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41" i="20"/>
  <c r="X37" i="20"/>
  <c r="X1193" i="16"/>
  <c r="X1249" i="16"/>
  <c r="X1480" i="16"/>
  <c r="X2166" i="16" s="1"/>
  <c r="X79" i="16"/>
  <c r="X98" i="16"/>
  <c r="X206" i="16"/>
  <c r="X208" i="16"/>
  <c r="X120" i="16"/>
  <c r="X126" i="16"/>
  <c r="X129" i="16"/>
  <c r="X109" i="16"/>
  <c r="X36" i="20"/>
  <c r="X44" i="20"/>
  <c r="X1186" i="16"/>
  <c r="I204" i="16" s="1"/>
  <c r="G37" i="20" s="1"/>
  <c r="X1242" i="16"/>
  <c r="X95" i="16"/>
  <c r="X135" i="16"/>
  <c r="X1381" i="16"/>
  <c r="X1455" i="16"/>
  <c r="X1332" i="16"/>
  <c r="X1339" i="16"/>
  <c r="X70" i="22"/>
  <c r="X102" i="20"/>
  <c r="X155" i="20"/>
  <c r="X1504" i="16"/>
  <c r="X367" i="16" s="1"/>
  <c r="X1830" i="12"/>
  <c r="X1695" i="12"/>
  <c r="X1815" i="12"/>
  <c r="X1620" i="16"/>
  <c r="X1564" i="16"/>
  <c r="X90" i="22"/>
  <c r="X145" i="20"/>
  <c r="X578" i="16"/>
  <c r="X358" i="16"/>
  <c r="X1798" i="12"/>
  <c r="X1812" i="12"/>
  <c r="X1639" i="12"/>
  <c r="X169" i="20"/>
  <c r="X576" i="16"/>
  <c r="X280" i="16"/>
  <c r="X1837" i="12"/>
  <c r="X210" i="16"/>
  <c r="X200" i="16"/>
  <c r="X134" i="16"/>
  <c r="X105" i="16"/>
  <c r="X132" i="16"/>
  <c r="X47" i="20"/>
  <c r="X38" i="20"/>
  <c r="X46" i="20"/>
  <c r="X1200" i="16"/>
  <c r="I206" i="16" s="1"/>
  <c r="G39" i="20" s="1"/>
  <c r="X1256" i="16"/>
  <c r="X104" i="16"/>
  <c r="X97" i="16"/>
  <c r="X199" i="16"/>
  <c r="X214" i="16"/>
  <c r="X204" i="16"/>
  <c r="X119" i="16"/>
  <c r="X128" i="16"/>
  <c r="X114" i="16"/>
  <c r="X48" i="20"/>
  <c r="X43" i="20"/>
  <c r="X1207" i="16"/>
  <c r="X1280" i="16"/>
  <c r="X1283" i="16" s="1"/>
  <c r="X96" i="16"/>
  <c r="X144" i="16" s="1"/>
  <c r="X100" i="16"/>
  <c r="X203" i="16"/>
  <c r="X212" i="16"/>
  <c r="X125" i="16"/>
  <c r="X107" i="16"/>
  <c r="X110" i="16"/>
  <c r="X131" i="16"/>
  <c r="X33" i="20"/>
  <c r="X42" i="20"/>
  <c r="X1158" i="16"/>
  <c r="I200" i="16" s="1"/>
  <c r="G33" i="20" s="1"/>
  <c r="X1214" i="16"/>
  <c r="I208" i="16" s="1"/>
  <c r="G41" i="20" s="1"/>
  <c r="X922" i="16"/>
  <c r="X102" i="16"/>
  <c r="X1606" i="16"/>
  <c r="X1476" i="16"/>
  <c r="X1353" i="16"/>
  <c r="X1599" i="16"/>
  <c r="X171" i="20"/>
  <c r="X103" i="20"/>
  <c r="X1834" i="16"/>
  <c r="X459" i="16" s="1"/>
  <c r="X271" i="16"/>
  <c r="X1263" i="16"/>
  <c r="X207" i="16"/>
  <c r="X201" i="16"/>
  <c r="X133" i="16"/>
  <c r="X124" i="16"/>
  <c r="X127" i="16"/>
  <c r="X122" i="16"/>
  <c r="X40" i="20"/>
  <c r="X35" i="20"/>
  <c r="X1165" i="16"/>
  <c r="I201" i="16" s="1"/>
  <c r="G34" i="20" s="1"/>
  <c r="X1221" i="16"/>
  <c r="X174" i="16"/>
  <c r="X103" i="16"/>
  <c r="X1903" i="16"/>
  <c r="X1557" i="16"/>
  <c r="X1896" i="16"/>
  <c r="X1297" i="16"/>
  <c r="X189" i="20"/>
  <c r="X41" i="22"/>
  <c r="X579" i="16"/>
  <c r="X197" i="16"/>
  <c r="X1825" i="12"/>
  <c r="X1669" i="12"/>
  <c r="X1917" i="16"/>
  <c r="X1516" i="16"/>
  <c r="X1530" i="16"/>
  <c r="X135" i="20"/>
  <c r="X134" i="20"/>
  <c r="X449" i="16"/>
  <c r="X1779" i="12"/>
  <c r="X1733" i="12"/>
  <c r="X1680" i="12"/>
  <c r="X46" i="10"/>
  <c r="X100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73" i="20"/>
  <c r="W1203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J2048" i="16" s="1"/>
  <c r="X12" i="22"/>
  <c r="X1732" i="12"/>
  <c r="X22" i="16"/>
  <c r="X786" i="16"/>
  <c r="X20" i="22"/>
  <c r="X603" i="12"/>
  <c r="X1674" i="12"/>
  <c r="X1681" i="12"/>
  <c r="X583" i="16"/>
  <c r="X179" i="20"/>
  <c r="X1910" i="16"/>
  <c r="X1931" i="16"/>
  <c r="X99" i="16"/>
  <c r="X39" i="20"/>
  <c r="X1301" i="16"/>
  <c r="X12" i="10"/>
  <c r="X476" i="12"/>
  <c r="X609" i="12" s="1"/>
  <c r="X418" i="16"/>
  <c r="X1181" i="12"/>
  <c r="X1691" i="12"/>
  <c r="X1775" i="12"/>
  <c r="X2071" i="16"/>
  <c r="X205" i="20"/>
  <c r="X212" i="12"/>
  <c r="X607" i="12" s="1"/>
  <c r="X1157" i="12"/>
  <c r="X1816" i="12"/>
  <c r="X62" i="16"/>
  <c r="X443" i="16"/>
  <c r="X190" i="20"/>
  <c r="X1662" i="16"/>
  <c r="X113" i="11"/>
  <c r="X1728" i="12"/>
  <c r="X1754" i="12"/>
  <c r="X325" i="16"/>
  <c r="X64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490" i="16"/>
  <c r="X1667" i="12"/>
  <c r="X1778" i="12"/>
  <c r="X2032" i="16"/>
  <c r="X2058" i="16" s="1"/>
  <c r="X2086" i="16" s="1"/>
  <c r="X191" i="20"/>
  <c r="X1655" i="16"/>
  <c r="X1592" i="16"/>
  <c r="X34" i="20"/>
  <c r="X1431" i="16"/>
  <c r="X2159" i="16" s="1"/>
  <c r="W1807" i="12"/>
  <c r="W1876" i="12" s="1"/>
  <c r="W1914" i="12" s="1"/>
  <c r="X1318" i="16"/>
  <c r="X112" i="16"/>
  <c r="W77" i="18"/>
  <c r="X111" i="16"/>
  <c r="X1422" i="16"/>
  <c r="X1744" i="12"/>
  <c r="X274" i="16"/>
  <c r="X153" i="20"/>
  <c r="X1537" i="16"/>
  <c r="X1889" i="16"/>
  <c r="X1978" i="16"/>
  <c r="W18" i="18"/>
  <c r="W23" i="18" s="1"/>
  <c r="X106" i="16"/>
  <c r="X116" i="16"/>
  <c r="X114" i="12"/>
  <c r="M654" i="25" s="1" a="1"/>
  <c r="M654" i="25" s="1"/>
  <c r="X1752" i="12"/>
  <c r="X1826" i="12"/>
  <c r="X445" i="16"/>
  <c r="X137" i="20"/>
  <c r="X134" i="22"/>
  <c r="X327" i="16"/>
  <c r="X1739" i="12"/>
  <c r="X1725" i="12"/>
  <c r="X198" i="16"/>
  <c r="X581" i="16"/>
  <c r="X131" i="20"/>
  <c r="X1924" i="16"/>
  <c r="X1503" i="16"/>
  <c r="X366" i="16" s="1"/>
  <c r="X617" i="12"/>
  <c r="X1665" i="12"/>
  <c r="X1794" i="12"/>
  <c r="X277" i="16"/>
  <c r="X66" i="20"/>
  <c r="X271" i="10"/>
  <c r="X104" i="11"/>
  <c r="X1698" i="12"/>
  <c r="X1700" i="12"/>
  <c r="X419" i="16"/>
  <c r="X142" i="20"/>
  <c r="X32" i="22"/>
  <c r="X70" i="12"/>
  <c r="X106" i="12" s="1"/>
  <c r="X1751" i="12"/>
  <c r="X1833" i="12"/>
  <c r="X1500" i="16"/>
  <c r="X363" i="16" s="1"/>
  <c r="X95" i="20"/>
  <c r="X146" i="20"/>
  <c r="X262" i="10"/>
  <c r="X170" i="20"/>
  <c r="X1784" i="12"/>
  <c r="X1749" i="12"/>
  <c r="X564" i="16"/>
  <c r="X177" i="20"/>
  <c r="X70" i="16"/>
  <c r="X1734" i="12"/>
  <c r="X451" i="16"/>
  <c r="X154" i="20"/>
  <c r="X1441" i="16"/>
  <c r="X1971" i="16"/>
  <c r="X1781" i="12"/>
  <c r="X272" i="16"/>
  <c r="X49" i="20"/>
  <c r="X1415" i="16"/>
  <c r="X1325" i="16"/>
  <c r="X1228" i="16"/>
  <c r="I210" i="16" s="1"/>
  <c r="G43" i="20" s="1"/>
  <c r="X205" i="16"/>
  <c r="X1350" i="16"/>
  <c r="X370" i="20"/>
  <c r="X1494" i="16"/>
  <c r="X2168" i="16" s="1"/>
  <c r="X1473" i="16"/>
  <c r="X1617" i="16"/>
  <c r="X461" i="20"/>
  <c r="X915" i="20"/>
  <c r="X917" i="20" s="1"/>
  <c r="X1294" i="16"/>
  <c r="X892" i="16"/>
  <c r="X527" i="20"/>
  <c r="X874" i="16"/>
  <c r="X492" i="20"/>
  <c r="X886" i="16"/>
  <c r="X894" i="20"/>
  <c r="X356" i="20"/>
  <c r="X910" i="16"/>
  <c r="X335" i="20"/>
  <c r="X328" i="20"/>
  <c r="X904" i="16"/>
  <c r="X471" i="20"/>
  <c r="X880" i="16"/>
  <c r="X1155" i="16"/>
  <c r="X2116" i="16" s="1"/>
  <c r="X363" i="20"/>
  <c r="X1935" i="16"/>
  <c r="X1322" i="16"/>
  <c r="W963" i="12"/>
  <c r="W1151" i="12" s="1"/>
  <c r="X901" i="20"/>
  <c r="X1907" i="16"/>
  <c r="X2226" i="16" s="1"/>
  <c r="W1908" i="16"/>
  <c r="W385" i="20"/>
  <c r="X534" i="20"/>
  <c r="X536" i="20" s="1"/>
  <c r="X384" i="20"/>
  <c r="W535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721" i="12"/>
  <c r="W909" i="12" s="1"/>
  <c r="W630" i="12" s="1"/>
  <c r="W618" i="12" s="1"/>
  <c r="W166" i="10" s="1"/>
  <c r="W1684" i="12"/>
  <c r="W1872" i="12" s="1"/>
  <c r="W1910" i="12" s="1"/>
  <c r="W1138" i="12"/>
  <c r="W1158" i="12" s="1"/>
  <c r="W1295" i="16"/>
  <c r="W917" i="20"/>
  <c r="X506" i="20"/>
  <c r="X508" i="20" s="1"/>
  <c r="X1575" i="16"/>
  <c r="X2179" i="16" s="1"/>
  <c r="W1576" i="16"/>
  <c r="X1412" i="16"/>
  <c r="X2155" i="16" s="1"/>
  <c r="W1330" i="16"/>
  <c r="X898" i="16"/>
  <c r="X513" i="20"/>
  <c r="X515" i="20" s="1"/>
  <c r="X1391" i="16"/>
  <c r="X2152" i="16" s="1"/>
  <c r="X1914" i="16"/>
  <c r="X2227" i="16" s="1"/>
  <c r="W507" i="20"/>
  <c r="W1887" i="16"/>
  <c r="X1886" i="16"/>
  <c r="X2223" i="16" s="1"/>
  <c r="X1329" i="16"/>
  <c r="X2142" i="16" s="1"/>
  <c r="W1413" i="16"/>
  <c r="W364" i="20"/>
  <c r="W905" i="16"/>
  <c r="X1287" i="16"/>
  <c r="X349" i="20"/>
  <c r="X1459" i="16"/>
  <c r="X2163" i="16" s="1"/>
  <c r="X1445" i="16"/>
  <c r="X2161" i="16" s="1"/>
  <c r="W365" i="20"/>
  <c r="W462" i="20"/>
  <c r="W463" i="20" s="1"/>
  <c r="W1156" i="16"/>
  <c r="E1519" i="16"/>
  <c r="D1519" i="16" s="1"/>
  <c r="D364" i="16"/>
  <c r="C105" i="20" s="1"/>
  <c r="E1526" i="16"/>
  <c r="D1526" i="16" s="1"/>
  <c r="D365" i="16"/>
  <c r="C106" i="20" s="1"/>
  <c r="E1533" i="16"/>
  <c r="D1533" i="16" s="1"/>
  <c r="D366" i="16"/>
  <c r="C107" i="20" s="1"/>
  <c r="D1838" i="16"/>
  <c r="H1844" i="16" s="1"/>
  <c r="I1844" i="16" s="1"/>
  <c r="D367" i="16"/>
  <c r="C108" i="20" s="1"/>
  <c r="E1540" i="16"/>
  <c r="D1540" i="16" s="1"/>
  <c r="D1541" i="16" s="1"/>
  <c r="E1512" i="16"/>
  <c r="D1512" i="16" s="1"/>
  <c r="D1513" i="16" s="1"/>
  <c r="D363" i="16"/>
  <c r="C104" i="20" s="1"/>
  <c r="D1505" i="16"/>
  <c r="H1511" i="16" s="1"/>
  <c r="I1511" i="16" s="1"/>
  <c r="W350" i="20"/>
  <c r="W351" i="20" s="1"/>
  <c r="W357" i="20"/>
  <c r="W358" i="20" s="1"/>
  <c r="V159" i="11"/>
  <c r="V241" i="11" s="1"/>
  <c r="V219" i="11"/>
  <c r="V246" i="11" s="1"/>
  <c r="V611" i="12" s="1"/>
  <c r="V1944" i="12" s="1"/>
  <c r="W1120" i="12"/>
  <c r="W1156" i="12" s="1"/>
  <c r="W1288" i="16"/>
  <c r="W1460" i="16"/>
  <c r="W486" i="20"/>
  <c r="W487" i="20" s="1"/>
  <c r="X1582" i="16"/>
  <c r="X2180" i="16" s="1"/>
  <c r="X485" i="20"/>
  <c r="X1419" i="16"/>
  <c r="X2156" i="16" s="1"/>
  <c r="X1315" i="16"/>
  <c r="X2140" i="16" s="1"/>
  <c r="X1589" i="16"/>
  <c r="X2181" i="16" s="1"/>
  <c r="N285" i="25"/>
  <c r="V2055" i="16"/>
  <c r="V796" i="16" s="1"/>
  <c r="V204" i="10" s="1"/>
  <c r="N332" i="25"/>
  <c r="W1583" i="16"/>
  <c r="V805" i="16"/>
  <c r="N427" i="25"/>
  <c r="X478" i="20"/>
  <c r="X480" i="20" s="1"/>
  <c r="W372" i="20"/>
  <c r="W371" i="20"/>
  <c r="N379" i="25"/>
  <c r="N163" i="25"/>
  <c r="N217" i="25" s="1"/>
  <c r="W1316" i="16"/>
  <c r="W2054" i="16"/>
  <c r="V198" i="11"/>
  <c r="V244" i="11" s="1"/>
  <c r="V163" i="10" s="1"/>
  <c r="V1160" i="12"/>
  <c r="V1170" i="12" s="1"/>
  <c r="V1171" i="12" s="1"/>
  <c r="V1917" i="12"/>
  <c r="V1920" i="12" s="1"/>
  <c r="U1641" i="12"/>
  <c r="U1651" i="12" s="1"/>
  <c r="U250" i="20" s="1"/>
  <c r="U1215" i="20" s="1"/>
  <c r="W1392" i="16"/>
  <c r="W1915" i="16"/>
  <c r="V1881" i="12"/>
  <c r="V1891" i="12" s="1"/>
  <c r="W887" i="16"/>
  <c r="W1446" i="16"/>
  <c r="W1447" i="16" s="1"/>
  <c r="V699" i="16"/>
  <c r="V206" i="20"/>
  <c r="V246" i="20" s="1"/>
  <c r="V251" i="20" s="1"/>
  <c r="W1420" i="16"/>
  <c r="X1554" i="16"/>
  <c r="X2176" i="16" s="1"/>
  <c r="W1555" i="16"/>
  <c r="X1438" i="16"/>
  <c r="X2160" i="16" s="1"/>
  <c r="W1439" i="16"/>
  <c r="W378" i="20"/>
  <c r="T1646" i="12"/>
  <c r="X377" i="20"/>
  <c r="W379" i="20"/>
  <c r="U1886" i="12"/>
  <c r="W1309" i="16"/>
  <c r="W1310" i="16" s="1"/>
  <c r="X1308" i="16"/>
  <c r="U1165" i="12"/>
  <c r="U1172" i="12" s="1"/>
  <c r="W1302" i="16"/>
  <c r="W2138" i="16"/>
  <c r="W1399" i="16"/>
  <c r="X1398" i="16"/>
  <c r="X2153" i="16" s="1"/>
  <c r="W846" i="20"/>
  <c r="X845" i="20"/>
  <c r="X847" i="20" s="1"/>
  <c r="W2139" i="16"/>
  <c r="W493" i="20"/>
  <c r="W494" i="20" s="1"/>
  <c r="W1569" i="16"/>
  <c r="X1568" i="16"/>
  <c r="X2178" i="16" s="1"/>
  <c r="W1467" i="16"/>
  <c r="X1466" i="16"/>
  <c r="X2164" i="16" s="1"/>
  <c r="W2159" i="16"/>
  <c r="W1432" i="16"/>
  <c r="H1263" i="16"/>
  <c r="I1256" i="16" a="1"/>
  <c r="I1256" i="16" s="1"/>
  <c r="H1683" i="16"/>
  <c r="I1676" i="16" a="1"/>
  <c r="I1676" i="16" s="1"/>
  <c r="K1270" i="16"/>
  <c r="K264" i="16" s="1"/>
  <c r="J964" i="20" a="1"/>
  <c r="J964" i="20" s="1"/>
  <c r="D968" i="20"/>
  <c r="W332" i="16"/>
  <c r="W1406" i="16"/>
  <c r="X1405" i="16"/>
  <c r="X2154" i="16" s="1"/>
  <c r="V333" i="16"/>
  <c r="U333" i="16"/>
  <c r="W1888" i="16"/>
  <c r="R348" i="10"/>
  <c r="W1453" i="16"/>
  <c r="W1454" i="16" s="1"/>
  <c r="X1452" i="16"/>
  <c r="X2162" i="16" s="1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R84" i="16"/>
  <c r="T916" i="16"/>
  <c r="O947" i="16"/>
  <c r="O948" i="16" s="1"/>
  <c r="R917" i="16"/>
  <c r="S917" i="16" s="1"/>
  <c r="M959" i="16"/>
  <c r="S83" i="16"/>
  <c r="S86" i="16"/>
  <c r="S85" i="16"/>
  <c r="X1893" i="16"/>
  <c r="X2224" i="16" s="1"/>
  <c r="W1894" i="16"/>
  <c r="W1895" i="16" s="1"/>
  <c r="W479" i="20"/>
  <c r="W480" i="20" s="1"/>
  <c r="Q1357" i="16"/>
  <c r="R1357" i="16" s="1"/>
  <c r="S1357" i="16" s="1"/>
  <c r="T1357" i="16" s="1"/>
  <c r="U1357" i="16" s="1"/>
  <c r="V1357" i="16" s="1"/>
  <c r="W1357" i="16" s="1"/>
  <c r="X1357" i="16" s="1"/>
  <c r="O2146" i="16"/>
  <c r="S1337" i="16"/>
  <c r="O1358" i="16"/>
  <c r="P1358" i="16" s="1"/>
  <c r="S2143" i="16"/>
  <c r="T1336" i="16"/>
  <c r="U1336" i="16" s="1"/>
  <c r="U1475" i="16"/>
  <c r="T1930" i="16"/>
  <c r="W1584" i="16"/>
  <c r="W1414" i="16"/>
  <c r="W1468" i="16"/>
  <c r="Q579" i="20"/>
  <c r="Q581" i="20" s="1"/>
  <c r="L681" i="20"/>
  <c r="M631" i="20"/>
  <c r="N631" i="20" s="1"/>
  <c r="O631" i="20" s="1"/>
  <c r="O633" i="20" s="1"/>
  <c r="U1598" i="16"/>
  <c r="M581" i="20"/>
  <c r="N580" i="20"/>
  <c r="O580" i="20" s="1"/>
  <c r="L667" i="20"/>
  <c r="M667" i="20" s="1"/>
  <c r="M668" i="20" s="1"/>
  <c r="N666" i="20"/>
  <c r="N668" i="20" s="1"/>
  <c r="L668" i="20"/>
  <c r="L674" i="20"/>
  <c r="L661" i="20"/>
  <c r="M673" i="20"/>
  <c r="N673" i="20" s="1"/>
  <c r="N675" i="20" s="1"/>
  <c r="L660" i="20"/>
  <c r="M660" i="20" s="1"/>
  <c r="M661" i="20" s="1"/>
  <c r="V633" i="12"/>
  <c r="V621" i="12" s="1"/>
  <c r="V169" i="10" s="1"/>
  <c r="L632" i="20"/>
  <c r="M680" i="20"/>
  <c r="N680" i="20" s="1"/>
  <c r="N682" i="20" s="1"/>
  <c r="N624" i="20"/>
  <c r="O624" i="20" s="1"/>
  <c r="P624" i="20" s="1"/>
  <c r="M652" i="20"/>
  <c r="N652" i="20" s="1"/>
  <c r="L653" i="20"/>
  <c r="L625" i="20"/>
  <c r="M625" i="20" s="1"/>
  <c r="M626" i="20" s="1"/>
  <c r="M638" i="20"/>
  <c r="N638" i="20" s="1"/>
  <c r="O638" i="20" s="1"/>
  <c r="O640" i="20" s="1"/>
  <c r="L639" i="20"/>
  <c r="W1393" i="16"/>
  <c r="K923" i="20"/>
  <c r="L923" i="20" s="1"/>
  <c r="K819" i="20"/>
  <c r="W1407" i="16"/>
  <c r="V1591" i="16"/>
  <c r="W1916" i="16"/>
  <c r="X1343" i="16"/>
  <c r="U1324" i="16"/>
  <c r="W1400" i="16"/>
  <c r="R1612" i="16"/>
  <c r="V334" i="16"/>
  <c r="V791" i="16" s="1"/>
  <c r="V199" i="10" s="1"/>
  <c r="S912" i="16"/>
  <c r="W1570" i="16"/>
  <c r="V2069" i="16"/>
  <c r="W1577" i="16"/>
  <c r="S1605" i="16"/>
  <c r="T1944" i="16"/>
  <c r="C161" i="20"/>
  <c r="I569" i="16"/>
  <c r="I2041" i="16" s="1"/>
  <c r="S1338" i="16"/>
  <c r="Q918" i="16"/>
  <c r="V1909" i="16"/>
  <c r="W1909" i="16" s="1"/>
  <c r="T1496" i="16"/>
  <c r="W1317" i="16"/>
  <c r="M1647" i="16"/>
  <c r="U1482" i="16"/>
  <c r="V1482" i="16" s="1"/>
  <c r="W1482" i="16" s="1"/>
  <c r="Q1633" i="16"/>
  <c r="Q1626" i="16"/>
  <c r="R1626" i="16" s="1"/>
  <c r="S1626" i="16" s="1"/>
  <c r="T1937" i="16"/>
  <c r="U1937" i="16" s="1"/>
  <c r="W1331" i="16"/>
  <c r="T1345" i="16"/>
  <c r="O1366" i="16"/>
  <c r="M1640" i="16"/>
  <c r="N1640" i="16" s="1"/>
  <c r="U1489" i="16"/>
  <c r="I366" i="16"/>
  <c r="D879" i="20"/>
  <c r="F108" i="20"/>
  <c r="I364" i="16"/>
  <c r="U334" i="16"/>
  <c r="U791" i="16" s="1"/>
  <c r="U199" i="10" s="1"/>
  <c r="W1421" i="16"/>
  <c r="Q1352" i="16"/>
  <c r="R1352" i="16" s="1"/>
  <c r="O1220" i="16"/>
  <c r="P1220" i="16" s="1"/>
  <c r="R1199" i="16"/>
  <c r="S1199" i="16" s="1"/>
  <c r="O1359" i="16"/>
  <c r="P1359" i="16" s="1"/>
  <c r="M1838" i="16"/>
  <c r="M458" i="16"/>
  <c r="M463" i="16" s="1"/>
  <c r="M1505" i="16"/>
  <c r="M363" i="16"/>
  <c r="M368" i="16" s="1"/>
  <c r="F1259" i="16"/>
  <c r="E1967" i="16"/>
  <c r="D1967" i="16" s="1"/>
  <c r="D1968" i="16" s="1"/>
  <c r="K1964" i="16"/>
  <c r="K644" i="16" s="1"/>
  <c r="L1964" i="16"/>
  <c r="L644" i="16" s="1"/>
  <c r="N1964" i="16"/>
  <c r="N644" i="16" s="1"/>
  <c r="M1964" i="16"/>
  <c r="M644" i="16" s="1"/>
  <c r="O1964" i="16"/>
  <c r="O644" i="16" s="1"/>
  <c r="P1964" i="16"/>
  <c r="P644" i="16" s="1"/>
  <c r="Q1964" i="16"/>
  <c r="R1964" i="16"/>
  <c r="S1964" i="16"/>
  <c r="T1964" i="16"/>
  <c r="U1964" i="16"/>
  <c r="V1964" i="16"/>
  <c r="W1964" i="16"/>
  <c r="O2013" i="16"/>
  <c r="N2013" i="16"/>
  <c r="L2013" i="16"/>
  <c r="K2013" i="16"/>
  <c r="M2013" i="16"/>
  <c r="P2013" i="16"/>
  <c r="Q2013" i="16"/>
  <c r="R2013" i="16"/>
  <c r="S2013" i="16"/>
  <c r="T2013" i="16"/>
  <c r="U2013" i="16"/>
  <c r="V2013" i="16"/>
  <c r="W2013" i="16"/>
  <c r="D1659" i="16"/>
  <c r="K1978" i="16"/>
  <c r="K646" i="16" s="1"/>
  <c r="L1978" i="16"/>
  <c r="L646" i="16" s="1"/>
  <c r="M1978" i="16"/>
  <c r="M646" i="16" s="1"/>
  <c r="N1978" i="16"/>
  <c r="N646" i="16" s="1"/>
  <c r="O1978" i="16"/>
  <c r="O646" i="16" s="1"/>
  <c r="P1978" i="16"/>
  <c r="P646" i="16" s="1"/>
  <c r="Q1978" i="16"/>
  <c r="R1978" i="16"/>
  <c r="S1978" i="16"/>
  <c r="T1978" i="16"/>
  <c r="U1978" i="16"/>
  <c r="V1978" i="16"/>
  <c r="W1978" i="16"/>
  <c r="F1664" i="16"/>
  <c r="D2015" i="16"/>
  <c r="D2017" i="16"/>
  <c r="E2015" i="16"/>
  <c r="F2015" i="16" s="1"/>
  <c r="D1665" i="16"/>
  <c r="D1666" i="16" s="1"/>
  <c r="D2022" i="16"/>
  <c r="E2022" i="16"/>
  <c r="F2022" i="16" s="1"/>
  <c r="K1971" i="16"/>
  <c r="K645" i="16" s="1"/>
  <c r="L1971" i="16"/>
  <c r="L645" i="16" s="1"/>
  <c r="M1971" i="16"/>
  <c r="M645" i="16" s="1"/>
  <c r="O1971" i="16"/>
  <c r="O645" i="16" s="1"/>
  <c r="N1971" i="16"/>
  <c r="N645" i="16" s="1"/>
  <c r="P1971" i="16"/>
  <c r="P645" i="16" s="1"/>
  <c r="Q1971" i="16"/>
  <c r="R1971" i="16"/>
  <c r="S1971" i="16"/>
  <c r="T1971" i="16"/>
  <c r="U1971" i="16"/>
  <c r="V1971" i="16"/>
  <c r="W1971" i="16"/>
  <c r="X1676" i="16"/>
  <c r="E1974" i="16"/>
  <c r="S399" i="20"/>
  <c r="S400" i="20" s="1"/>
  <c r="V637" i="12"/>
  <c r="V625" i="12" s="1"/>
  <c r="V176" i="10" s="1"/>
  <c r="W2073" i="16"/>
  <c r="W472" i="20"/>
  <c r="W473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59" i="16"/>
  <c r="U57" i="16" s="1"/>
  <c r="U2254" i="16" s="1"/>
  <c r="U2266" i="16" s="1"/>
  <c r="T2278" i="16"/>
  <c r="T60" i="16" s="1"/>
  <c r="T87" i="16" s="1"/>
  <c r="T35" i="16"/>
  <c r="U33" i="16" s="1"/>
  <c r="U2251" i="16" s="1"/>
  <c r="U2263" i="16" s="1"/>
  <c r="T2275" i="16"/>
  <c r="T36" i="16" s="1"/>
  <c r="P2261" i="16"/>
  <c r="P2257" i="16"/>
  <c r="P91" i="16" s="1"/>
  <c r="P101" i="12" s="1"/>
  <c r="O2281" i="16"/>
  <c r="O20" i="16"/>
  <c r="O81" i="16" s="1"/>
  <c r="P941" i="16"/>
  <c r="P942" i="16" s="1"/>
  <c r="P946" i="16"/>
  <c r="P1225" i="16"/>
  <c r="P2126" i="16" s="1"/>
  <c r="Q421" i="20"/>
  <c r="O1226" i="16"/>
  <c r="O1227" i="16" s="1"/>
  <c r="N440" i="20"/>
  <c r="N442" i="20" s="1"/>
  <c r="M960" i="16"/>
  <c r="O427" i="20"/>
  <c r="N958" i="16"/>
  <c r="O434" i="20"/>
  <c r="O435" i="20" s="1"/>
  <c r="N1233" i="16"/>
  <c r="N1234" i="16" s="1"/>
  <c r="L1267" i="16"/>
  <c r="M1247" i="16"/>
  <c r="M1248" i="16" s="1"/>
  <c r="Q433" i="20"/>
  <c r="R433" i="20" s="1"/>
  <c r="S393" i="20"/>
  <c r="T392" i="20"/>
  <c r="N1246" i="16"/>
  <c r="N2129" i="16" s="1"/>
  <c r="N1235" i="16"/>
  <c r="N259" i="16" s="1"/>
  <c r="O1232" i="16"/>
  <c r="O2127" i="16" s="1"/>
  <c r="L454" i="20"/>
  <c r="M454" i="20" s="1"/>
  <c r="N454" i="20" s="1"/>
  <c r="N456" i="20" s="1"/>
  <c r="P426" i="20"/>
  <c r="Q426" i="20" s="1"/>
  <c r="R426" i="20" s="1"/>
  <c r="S426" i="20" s="1"/>
  <c r="T426" i="20" s="1"/>
  <c r="O428" i="20"/>
  <c r="L448" i="20"/>
  <c r="Q414" i="20"/>
  <c r="R413" i="20"/>
  <c r="S413" i="20" s="1"/>
  <c r="M1242" i="16"/>
  <c r="N1239" i="16"/>
  <c r="N2128" i="16" s="1"/>
  <c r="L1260" i="16"/>
  <c r="L2131" i="16" s="1"/>
  <c r="M1240" i="16"/>
  <c r="M1241" i="16" s="1"/>
  <c r="L1255" i="16"/>
  <c r="L1254" i="16"/>
  <c r="M442" i="20"/>
  <c r="R407" i="20"/>
  <c r="S406" i="20"/>
  <c r="P421" i="20"/>
  <c r="Q420" i="20"/>
  <c r="R420" i="20" s="1"/>
  <c r="M1253" i="16"/>
  <c r="M2130" i="16" s="1"/>
  <c r="M447" i="20"/>
  <c r="S419" i="20"/>
  <c r="T419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/>
  <c r="D986" i="16"/>
  <c r="C988" i="16"/>
  <c r="B985" i="16"/>
  <c r="R940" i="16"/>
  <c r="D981" i="16"/>
  <c r="K1268" i="16"/>
  <c r="K1269" i="16" s="1"/>
  <c r="V412" i="20"/>
  <c r="K1261" i="16"/>
  <c r="K1263" i="16"/>
  <c r="K263" i="16" s="1"/>
  <c r="K1262" i="16"/>
  <c r="K456" i="20"/>
  <c r="L945" i="20"/>
  <c r="N817" i="20"/>
  <c r="N819" i="20" s="1"/>
  <c r="D872" i="20"/>
  <c r="D865" i="20"/>
  <c r="M818" i="20"/>
  <c r="M819" i="20" s="1"/>
  <c r="K944" i="20"/>
  <c r="L944" i="20" s="1"/>
  <c r="D858" i="20"/>
  <c r="M943" i="20"/>
  <c r="V405" i="20"/>
  <c r="V398" i="20"/>
  <c r="C584" i="20"/>
  <c r="D584" i="20"/>
  <c r="E584" i="20" s="1"/>
  <c r="M922" i="20"/>
  <c r="W391" i="20"/>
  <c r="L618" i="20"/>
  <c r="M618" i="20" s="1"/>
  <c r="M619" i="20" s="1"/>
  <c r="N617" i="20"/>
  <c r="N659" i="20"/>
  <c r="W336" i="20"/>
  <c r="W337" i="20" s="1"/>
  <c r="R28" i="16"/>
  <c r="R82" i="16" s="1"/>
  <c r="S2274" i="16"/>
  <c r="W329" i="20"/>
  <c r="W330" i="20" s="1"/>
  <c r="W500" i="20"/>
  <c r="W501" i="20" s="1"/>
  <c r="T25" i="16"/>
  <c r="T65" i="16"/>
  <c r="T2255" i="16" s="1"/>
  <c r="T2267" i="16" s="1"/>
  <c r="T67" i="16" s="1"/>
  <c r="X499" i="20"/>
  <c r="W1562" i="16"/>
  <c r="W1563" i="16" s="1"/>
  <c r="U1941" i="12"/>
  <c r="U1899" i="12" s="1"/>
  <c r="X1561" i="16"/>
  <c r="X2177" i="16" s="1"/>
  <c r="V632" i="12"/>
  <c r="V620" i="12" s="1"/>
  <c r="V168" i="10" s="1"/>
  <c r="V918" i="12"/>
  <c r="V630" i="12"/>
  <c r="V618" i="12" s="1"/>
  <c r="V166" i="10" s="1"/>
  <c r="V1929" i="12"/>
  <c r="V1943" i="12" s="1"/>
  <c r="V1901" i="12" s="1"/>
  <c r="V1925" i="12"/>
  <c r="V1939" i="12" s="1"/>
  <c r="V1897" i="12" s="1"/>
  <c r="V631" i="12"/>
  <c r="V619" i="12" s="1"/>
  <c r="V167" i="10" s="1"/>
  <c r="V1938" i="12"/>
  <c r="V1896" i="12" s="1"/>
  <c r="V1942" i="12"/>
  <c r="V1900" i="12" s="1"/>
  <c r="V1946" i="12"/>
  <c r="V1904" i="12" s="1"/>
  <c r="X541" i="20"/>
  <c r="X543" i="20" s="1"/>
  <c r="U152" i="16"/>
  <c r="Q929" i="16"/>
  <c r="P930" i="16"/>
  <c r="S928" i="16"/>
  <c r="T928" i="16" s="1"/>
  <c r="W1624" i="16"/>
  <c r="X1624" i="16" s="1"/>
  <c r="U2186" i="16"/>
  <c r="P1638" i="16"/>
  <c r="P2188" i="16" s="1"/>
  <c r="U906" i="16"/>
  <c r="O1639" i="16"/>
  <c r="R1632" i="16"/>
  <c r="T625" i="12"/>
  <c r="T176" i="10" s="1"/>
  <c r="S909" i="20"/>
  <c r="M957" i="20"/>
  <c r="N957" i="20" s="1"/>
  <c r="N959" i="20" s="1"/>
  <c r="V521" i="20"/>
  <c r="U146" i="16"/>
  <c r="U162" i="16" s="1"/>
  <c r="W520" i="20"/>
  <c r="V522" i="20"/>
  <c r="L2190" i="16"/>
  <c r="V882" i="16"/>
  <c r="L1653" i="16"/>
  <c r="M1653" i="16" s="1"/>
  <c r="L1654" i="16"/>
  <c r="P564" i="20"/>
  <c r="Q562" i="20"/>
  <c r="N1372" i="16"/>
  <c r="N1373" i="16" s="1"/>
  <c r="O569" i="20"/>
  <c r="M951" i="20"/>
  <c r="N951" i="20" s="1"/>
  <c r="P563" i="20"/>
  <c r="O950" i="20"/>
  <c r="T908" i="20"/>
  <c r="S910" i="20"/>
  <c r="E970" i="20"/>
  <c r="K971" i="20" s="1"/>
  <c r="K972" i="20" s="1"/>
  <c r="V903" i="20"/>
  <c r="W1928" i="16"/>
  <c r="V2229" i="16"/>
  <c r="C982" i="20"/>
  <c r="C977" i="20"/>
  <c r="C978" i="20" s="1"/>
  <c r="D977" i="20"/>
  <c r="S1631" i="16"/>
  <c r="R2187" i="16"/>
  <c r="N570" i="20"/>
  <c r="V543" i="20"/>
  <c r="V542" i="20"/>
  <c r="W542" i="20" s="1"/>
  <c r="W543" i="20"/>
  <c r="N1652" i="16"/>
  <c r="O1652" i="16" s="1"/>
  <c r="P1652" i="16" s="1"/>
  <c r="V896" i="20"/>
  <c r="V895" i="20"/>
  <c r="W895" i="20" s="1"/>
  <c r="N952" i="20"/>
  <c r="V902" i="20"/>
  <c r="W902" i="20" s="1"/>
  <c r="L959" i="20"/>
  <c r="U2231" i="16"/>
  <c r="V1942" i="16"/>
  <c r="U1943" i="16"/>
  <c r="R1645" i="16"/>
  <c r="S1645" i="16" s="1"/>
  <c r="T1645" i="16" s="1"/>
  <c r="M2149" i="16"/>
  <c r="N1378" i="16"/>
  <c r="O1378" i="16" s="1"/>
  <c r="T1610" i="16"/>
  <c r="S2184" i="16"/>
  <c r="S1611" i="16"/>
  <c r="O137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488" i="16"/>
  <c r="Q2185" i="16"/>
  <c r="Q1618" i="16"/>
  <c r="R1618" i="16" s="1"/>
  <c r="V1936" i="16"/>
  <c r="T2183" i="16"/>
  <c r="O2189" i="16"/>
  <c r="T1604" i="16"/>
  <c r="L287" i="16"/>
  <c r="L789" i="16" s="1"/>
  <c r="L195" i="10" s="1"/>
  <c r="S1351" i="16"/>
  <c r="V2186" i="16"/>
  <c r="R2185" i="16"/>
  <c r="T1625" i="16"/>
  <c r="U1625" i="16" s="1"/>
  <c r="T2186" i="16"/>
  <c r="N1646" i="16"/>
  <c r="O1646" i="16" s="1"/>
  <c r="P1646" i="16" s="1"/>
  <c r="N2189" i="16"/>
  <c r="M2190" i="16"/>
  <c r="V1676" i="16"/>
  <c r="L1676" i="16"/>
  <c r="T1676" i="16"/>
  <c r="E1671" i="16"/>
  <c r="M1676" i="16"/>
  <c r="U1676" i="16"/>
  <c r="D1671" i="16"/>
  <c r="E1981" i="16" s="1"/>
  <c r="D1981" i="16" s="1"/>
  <c r="N1676" i="16"/>
  <c r="W1676" i="16"/>
  <c r="E1672" i="16"/>
  <c r="O1676" i="16"/>
  <c r="P1676" i="16"/>
  <c r="Q1676" i="16"/>
  <c r="B1670" i="16"/>
  <c r="B1972" i="16" s="1"/>
  <c r="R1676" i="16"/>
  <c r="D1677" i="16"/>
  <c r="E2023" i="16" s="1"/>
  <c r="K1676" i="16"/>
  <c r="S1676" i="16"/>
  <c r="V2230" i="16"/>
  <c r="U2145" i="16"/>
  <c r="V2182" i="16"/>
  <c r="V1597" i="16"/>
  <c r="U1929" i="16"/>
  <c r="U1344" i="16"/>
  <c r="V1323" i="16"/>
  <c r="V1474" i="16"/>
  <c r="L286" i="16"/>
  <c r="M1379" i="16"/>
  <c r="M1380" i="16" s="1"/>
  <c r="M287" i="16" s="1"/>
  <c r="M789" i="16" s="1"/>
  <c r="M195" i="10" s="1"/>
  <c r="U2144" i="16"/>
  <c r="P2189" i="16"/>
  <c r="V2141" i="16"/>
  <c r="P2147" i="16"/>
  <c r="V2165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N618" i="12"/>
  <c r="N166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L618" i="12"/>
  <c r="L166" i="10" s="1"/>
  <c r="S618" i="12"/>
  <c r="S166" i="10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U618" i="12"/>
  <c r="U166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P618" i="12"/>
  <c r="P166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K71" i="25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618" i="12"/>
  <c r="O166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R618" i="12"/>
  <c r="R166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Q618" i="12"/>
  <c r="Q166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K618" i="12"/>
  <c r="K166" i="10" s="1"/>
  <c r="T618" i="12"/>
  <c r="T166" i="10" s="1"/>
  <c r="S219" i="11"/>
  <c r="S246" i="11" s="1"/>
  <c r="S611" i="12" s="1"/>
  <c r="S1944" i="12" s="1"/>
  <c r="S1902" i="12" s="1"/>
  <c r="M618" i="12"/>
  <c r="M166" i="10" s="1"/>
  <c r="K600" i="12"/>
  <c r="K614" i="12" s="1"/>
  <c r="K1947" i="12" s="1"/>
  <c r="K1905" i="12" s="1"/>
  <c r="V257" i="10"/>
  <c r="V400" i="10" s="1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G71" i="25"/>
  <c r="S600" i="12"/>
  <c r="S614" i="12" s="1"/>
  <c r="Q159" i="11"/>
  <c r="Q241" i="11" s="1"/>
  <c r="J71" i="25"/>
  <c r="H71" i="25"/>
  <c r="F71" i="25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I71" i="25"/>
  <c r="U159" i="11"/>
  <c r="U241" i="11" s="1"/>
  <c r="V1941" i="12"/>
  <c r="V1899" i="12" s="1"/>
  <c r="T619" i="12"/>
  <c r="T167" i="10" s="1"/>
  <c r="C71" i="25"/>
  <c r="N600" i="12"/>
  <c r="N614" i="12" s="1"/>
  <c r="N1947" i="12" s="1"/>
  <c r="N1905" i="12" s="1"/>
  <c r="U622" i="12"/>
  <c r="U170" i="10" s="1"/>
  <c r="V623" i="12"/>
  <c r="V171" i="10" s="1"/>
  <c r="T1215" i="20"/>
  <c r="L71" i="25"/>
  <c r="Q1896" i="12"/>
  <c r="M1896" i="12"/>
  <c r="L228" i="10"/>
  <c r="L372" i="10"/>
  <c r="L371" i="10" s="1"/>
  <c r="L258" i="10"/>
  <c r="L401" i="10" s="1"/>
  <c r="V372" i="10"/>
  <c r="V371" i="10" s="1"/>
  <c r="V258" i="10"/>
  <c r="V228" i="10"/>
  <c r="U258" i="10"/>
  <c r="U401" i="10" s="1"/>
  <c r="U228" i="10"/>
  <c r="U372" i="10"/>
  <c r="U371" i="10" s="1"/>
  <c r="R228" i="10"/>
  <c r="R258" i="10"/>
  <c r="R401" i="10" s="1"/>
  <c r="R372" i="10"/>
  <c r="R371" i="10" s="1"/>
  <c r="O257" i="10"/>
  <c r="O400" i="10" s="1"/>
  <c r="O376" i="10"/>
  <c r="L1896" i="12"/>
  <c r="W257" i="10"/>
  <c r="S1938" i="12"/>
  <c r="R257" i="10"/>
  <c r="R400" i="10" s="1"/>
  <c r="R376" i="10"/>
  <c r="P228" i="10"/>
  <c r="P258" i="10"/>
  <c r="P401" i="10" s="1"/>
  <c r="P372" i="10"/>
  <c r="P371" i="10" s="1"/>
  <c r="K16" i="10"/>
  <c r="Q257" i="10"/>
  <c r="Q400" i="10" s="1"/>
  <c r="Q376" i="10"/>
  <c r="D71" i="25"/>
  <c r="L1215" i="20"/>
  <c r="U257" i="10"/>
  <c r="U400" i="10" s="1"/>
  <c r="U376" i="10"/>
  <c r="S258" i="10"/>
  <c r="S401" i="10" s="1"/>
  <c r="S228" i="10"/>
  <c r="S372" i="10"/>
  <c r="S371" i="10" s="1"/>
  <c r="N1896" i="12"/>
  <c r="K258" i="10"/>
  <c r="K401" i="10" s="1"/>
  <c r="K228" i="10"/>
  <c r="K372" i="10"/>
  <c r="K371" i="10" s="1"/>
  <c r="S257" i="10"/>
  <c r="S400" i="10" s="1"/>
  <c r="S376" i="10"/>
  <c r="P1896" i="12"/>
  <c r="O1896" i="12"/>
  <c r="K108" i="12"/>
  <c r="K28" i="10" s="1"/>
  <c r="N258" i="10"/>
  <c r="N401" i="10" s="1"/>
  <c r="N228" i="10"/>
  <c r="N372" i="10"/>
  <c r="N371" i="10" s="1"/>
  <c r="T257" i="10"/>
  <c r="T400" i="10" s="1"/>
  <c r="T376" i="10"/>
  <c r="E71" i="25"/>
  <c r="M1215" i="20"/>
  <c r="R1896" i="12"/>
  <c r="Q228" i="10"/>
  <c r="Q258" i="10"/>
  <c r="Q401" i="10" s="1"/>
  <c r="Q372" i="10"/>
  <c r="Q371" i="10" s="1"/>
  <c r="O228" i="10"/>
  <c r="O258" i="10"/>
  <c r="O401" i="10" s="1"/>
  <c r="O372" i="10"/>
  <c r="O371" i="10" s="1"/>
  <c r="N257" i="10"/>
  <c r="N400" i="10" s="1"/>
  <c r="N376" i="10"/>
  <c r="M258" i="10"/>
  <c r="M401" i="10" s="1"/>
  <c r="M228" i="10"/>
  <c r="M372" i="10"/>
  <c r="M371" i="10" s="1"/>
  <c r="L257" i="10"/>
  <c r="L400" i="10" s="1"/>
  <c r="L376" i="10"/>
  <c r="K257" i="10"/>
  <c r="K400" i="10" s="1"/>
  <c r="K376" i="10"/>
  <c r="T372" i="10"/>
  <c r="T371" i="10" s="1"/>
  <c r="T258" i="10"/>
  <c r="T401" i="10" s="1"/>
  <c r="T228" i="10"/>
  <c r="P257" i="10"/>
  <c r="P400" i="10" s="1"/>
  <c r="P376" i="10"/>
  <c r="M257" i="10"/>
  <c r="M400" i="10" s="1"/>
  <c r="M376" i="10"/>
  <c r="K1896" i="12"/>
  <c r="W258" i="10"/>
  <c r="W376" i="10"/>
  <c r="X92" i="12"/>
  <c r="W2072" i="16"/>
  <c r="X199" i="18"/>
  <c r="X201" i="18"/>
  <c r="W310" i="10" l="1"/>
  <c r="X2046" i="16"/>
  <c r="J2046" i="16" s="1"/>
  <c r="X2049" i="16"/>
  <c r="J2049" i="16" s="1"/>
  <c r="X2073" i="16"/>
  <c r="X2045" i="16"/>
  <c r="F106" i="20"/>
  <c r="R106" i="20" s="1"/>
  <c r="F104" i="20"/>
  <c r="I363" i="16" s="1"/>
  <c r="F105" i="20"/>
  <c r="X105" i="20" s="1"/>
  <c r="D714" i="20"/>
  <c r="F107" i="20"/>
  <c r="X107" i="20" s="1"/>
  <c r="W2077" i="16"/>
  <c r="W2082" i="16" s="1"/>
  <c r="W256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01" i="20" s="1"/>
  <c r="P251" i="20" s="1"/>
  <c r="H73" i="25" s="1"/>
  <c r="I616" i="16"/>
  <c r="G188" i="20" s="1"/>
  <c r="K654" i="16"/>
  <c r="K201" i="20" s="1"/>
  <c r="L654" i="16"/>
  <c r="L201" i="20" s="1"/>
  <c r="N654" i="16"/>
  <c r="N201" i="20" s="1"/>
  <c r="I618" i="16"/>
  <c r="G190" i="20" s="1"/>
  <c r="O654" i="16"/>
  <c r="O201" i="20" s="1"/>
  <c r="M654" i="16"/>
  <c r="M201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399" i="25" a="1"/>
  <c r="O399" i="25" s="1"/>
  <c r="O447" i="25" a="1"/>
  <c r="O447" i="25" s="1"/>
  <c r="O352" i="25" a="1"/>
  <c r="O352" i="25" s="1"/>
  <c r="O495" i="25" a="1"/>
  <c r="O495" i="25" s="1"/>
  <c r="O305" i="25" a="1"/>
  <c r="O305" i="25" s="1"/>
  <c r="K650" i="25" a="1"/>
  <c r="K650" i="25" s="1"/>
  <c r="L653" i="25" a="1"/>
  <c r="L653" i="25" s="1"/>
  <c r="I652" i="25" a="1"/>
  <c r="I652" i="25" s="1"/>
  <c r="M204" i="25" a="1"/>
  <c r="M204" i="25" s="1"/>
  <c r="K352" i="25" a="1"/>
  <c r="K352" i="25" s="1"/>
  <c r="L204" i="25" a="1"/>
  <c r="L204" i="25" s="1"/>
  <c r="N447" i="25" a="1"/>
  <c r="N447" i="25" s="1"/>
  <c r="J206" i="25" a="1"/>
  <c r="J206" i="25" s="1"/>
  <c r="L122" i="25" a="1"/>
  <c r="L122" i="25" s="1"/>
  <c r="K204" i="25" a="1"/>
  <c r="K204" i="25" s="1"/>
  <c r="M639" i="25" a="1"/>
  <c r="M639" i="25" s="1"/>
  <c r="K123" i="25" a="1"/>
  <c r="K123" i="25" s="1"/>
  <c r="L654" i="25" a="1"/>
  <c r="L654" i="25" s="1"/>
  <c r="M399" i="25" a="1"/>
  <c r="M399" i="25" s="1"/>
  <c r="J638" i="25" a="1"/>
  <c r="J638" i="25" s="1"/>
  <c r="M206" i="25" a="1"/>
  <c r="M206" i="25" s="1"/>
  <c r="K638" i="25" a="1"/>
  <c r="K638" i="25" s="1"/>
  <c r="L652" i="25" a="1"/>
  <c r="L652" i="25" s="1"/>
  <c r="S60" i="10"/>
  <c r="S348" i="10" s="1"/>
  <c r="L17" i="10"/>
  <c r="L305" i="10" s="1"/>
  <c r="I641" i="25" a="1"/>
  <c r="I641" i="25" s="1"/>
  <c r="M651" i="25" a="1"/>
  <c r="M651" i="25" s="1"/>
  <c r="M495" i="25" a="1"/>
  <c r="M495" i="25" s="1"/>
  <c r="J124" i="25" a="1"/>
  <c r="J124" i="25" s="1"/>
  <c r="J203" i="25" a="1"/>
  <c r="J203" i="25" s="1"/>
  <c r="H202" i="25" a="1"/>
  <c r="H202" i="25" s="1"/>
  <c r="M638" i="25" a="1"/>
  <c r="M638" i="25" s="1"/>
  <c r="N399" i="25" a="1"/>
  <c r="N399" i="25" s="1"/>
  <c r="I638" i="25" a="1"/>
  <c r="I638" i="25" s="1"/>
  <c r="M203" i="25" a="1"/>
  <c r="M203" i="25" s="1"/>
  <c r="J205" i="25" a="1"/>
  <c r="J205" i="25" s="1"/>
  <c r="I654" i="25" a="1"/>
  <c r="I654" i="25" s="1"/>
  <c r="M641" i="25" a="1"/>
  <c r="M641" i="25" s="1"/>
  <c r="J654" i="25" a="1"/>
  <c r="J654" i="25" s="1"/>
  <c r="M652" i="25" a="1"/>
  <c r="M652" i="25" s="1"/>
  <c r="J122" i="25" a="1"/>
  <c r="J122" i="25" s="1"/>
  <c r="K652" i="25" a="1"/>
  <c r="K652" i="25" s="1"/>
  <c r="M205" i="25" a="1"/>
  <c r="M205" i="25" s="1"/>
  <c r="L642" i="25" a="1"/>
  <c r="L642" i="25" s="1"/>
  <c r="V18" i="10"/>
  <c r="V306" i="10" s="1"/>
  <c r="U18" i="10"/>
  <c r="U306" i="10" s="1"/>
  <c r="Q17" i="10"/>
  <c r="Q305" i="10" s="1"/>
  <c r="L399" i="25" a="1"/>
  <c r="L399" i="25" s="1"/>
  <c r="M202" i="25" a="1"/>
  <c r="M202" i="25" s="1"/>
  <c r="I655" i="25" a="1"/>
  <c r="I655" i="25" s="1"/>
  <c r="H653" i="25" a="1"/>
  <c r="H653" i="25" s="1"/>
  <c r="J655" i="25" a="1"/>
  <c r="J655" i="25" s="1"/>
  <c r="I124" i="25" a="1"/>
  <c r="I124" i="25" s="1"/>
  <c r="M643" i="25" a="1"/>
  <c r="M643" i="25" s="1"/>
  <c r="N495" i="25" a="1"/>
  <c r="N495" i="25" s="1"/>
  <c r="J123" i="25" a="1"/>
  <c r="J123" i="25" s="1"/>
  <c r="M201" i="25" a="1"/>
  <c r="M201" i="25" s="1"/>
  <c r="K124" i="25" a="1"/>
  <c r="K124" i="25" s="1"/>
  <c r="K202" i="25" a="1"/>
  <c r="K202" i="25" s="1"/>
  <c r="I639" i="25" a="1"/>
  <c r="I639" i="25" s="1"/>
  <c r="K205" i="25" a="1"/>
  <c r="K205" i="25" s="1"/>
  <c r="M650" i="25" a="1"/>
  <c r="M650" i="25" s="1"/>
  <c r="J643" i="25" a="1"/>
  <c r="J643" i="25" s="1"/>
  <c r="H638" i="25" a="1"/>
  <c r="H638" i="25" s="1"/>
  <c r="J119" i="25" a="1"/>
  <c r="J119" i="25" s="1"/>
  <c r="M655" i="25" a="1"/>
  <c r="M655" i="25" s="1"/>
  <c r="R18" i="10"/>
  <c r="R306" i="10" s="1"/>
  <c r="I119" i="25" a="1"/>
  <c r="I119" i="25" s="1"/>
  <c r="M642" i="25" a="1"/>
  <c r="M642" i="25" s="1"/>
  <c r="I206" i="25" a="1"/>
  <c r="I206" i="25" s="1"/>
  <c r="M119" i="25" a="1"/>
  <c r="M119" i="25" s="1"/>
  <c r="J642" i="25" a="1"/>
  <c r="J642" i="25" s="1"/>
  <c r="M653" i="25" a="1"/>
  <c r="M653" i="25" s="1"/>
  <c r="N352" i="25" a="1"/>
  <c r="N352" i="25" s="1"/>
  <c r="I201" i="25" a="1"/>
  <c r="I201" i="25" s="1"/>
  <c r="M122" i="25" a="1"/>
  <c r="M122" i="25" s="1"/>
  <c r="K119" i="25" a="1"/>
  <c r="K119" i="25" s="1"/>
  <c r="L655" i="25" a="1"/>
  <c r="L655" i="25" s="1"/>
  <c r="I651" i="25" a="1"/>
  <c r="I651" i="25" s="1"/>
  <c r="K447" i="25" a="1"/>
  <c r="K447" i="25" s="1"/>
  <c r="M123" i="25" a="1"/>
  <c r="M123" i="25" s="1"/>
  <c r="I642" i="25" a="1"/>
  <c r="I642" i="25" s="1"/>
  <c r="L352" i="25" a="1"/>
  <c r="L352" i="25" s="1"/>
  <c r="K641" i="25" a="1"/>
  <c r="K641" i="25" s="1"/>
  <c r="L305" i="25" a="1"/>
  <c r="L305" i="25" s="1"/>
  <c r="M120" i="25" a="1"/>
  <c r="M120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92" i="10"/>
  <c r="X91" i="10" s="1"/>
  <c r="X105" i="10" s="1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495" i="25" a="1"/>
  <c r="L495" i="25" s="1"/>
  <c r="I203" i="25" a="1"/>
  <c r="I203" i="25" s="1"/>
  <c r="I123" i="25" a="1"/>
  <c r="I123" i="25" s="1"/>
  <c r="L640" i="25" a="1"/>
  <c r="L640" i="25" s="1"/>
  <c r="M305" i="25" a="1"/>
  <c r="M305" i="25" s="1"/>
  <c r="J651" i="25" a="1"/>
  <c r="J651" i="25" s="1"/>
  <c r="I643" i="25" a="1"/>
  <c r="I643" i="25" s="1"/>
  <c r="N305" i="25" a="1"/>
  <c r="N305" i="25" s="1"/>
  <c r="K122" i="25" a="1"/>
  <c r="K122" i="25" s="1"/>
  <c r="K206" i="25" a="1"/>
  <c r="K206" i="25" s="1"/>
  <c r="L206" i="25" a="1"/>
  <c r="L206" i="25" s="1"/>
  <c r="K120" i="25" a="1"/>
  <c r="K120" i="25" s="1"/>
  <c r="K201" i="25" a="1"/>
  <c r="K201" i="25" s="1"/>
  <c r="I650" i="25" a="1"/>
  <c r="I650" i="25" s="1"/>
  <c r="K654" i="25" a="1"/>
  <c r="K654" i="25" s="1"/>
  <c r="L638" i="25" a="1"/>
  <c r="L638" i="25" s="1"/>
  <c r="M352" i="25" a="1"/>
  <c r="M352" i="25" s="1"/>
  <c r="K651" i="25" a="1"/>
  <c r="K651" i="25" s="1"/>
  <c r="K34" i="10"/>
  <c r="K322" i="10" s="1"/>
  <c r="C447" i="25" a="1"/>
  <c r="C447" i="25" s="1"/>
  <c r="C399" i="25" a="1"/>
  <c r="C399" i="25" s="1"/>
  <c r="C352" i="25" a="1"/>
  <c r="C352" i="25" s="1"/>
  <c r="C305" i="25" a="1"/>
  <c r="C305" i="25" s="1"/>
  <c r="D495" i="25" a="1"/>
  <c r="D495" i="25" s="1"/>
  <c r="D206" i="25" a="1"/>
  <c r="D206" i="25" s="1"/>
  <c r="D399" i="25" a="1"/>
  <c r="D399" i="25" s="1"/>
  <c r="D447" i="25" a="1"/>
  <c r="D447" i="25" s="1"/>
  <c r="C495" i="25" a="1"/>
  <c r="C495" i="25" s="1"/>
  <c r="C121" i="25" a="1"/>
  <c r="C121" i="25" s="1"/>
  <c r="C650" i="25" a="1"/>
  <c r="C650" i="25" s="1"/>
  <c r="C641" i="25" a="1"/>
  <c r="C641" i="25" s="1"/>
  <c r="C123" i="25" a="1"/>
  <c r="C123" i="25" s="1"/>
  <c r="C640" i="25" a="1"/>
  <c r="C640" i="25" s="1"/>
  <c r="C122" i="25" a="1"/>
  <c r="C122" i="25" s="1"/>
  <c r="C638" i="25" a="1"/>
  <c r="C638" i="25" s="1"/>
  <c r="C651" i="25" a="1"/>
  <c r="C651" i="25" s="1"/>
  <c r="C205" i="25" a="1"/>
  <c r="C205" i="25" s="1"/>
  <c r="C119" i="25" a="1"/>
  <c r="C119" i="25" s="1"/>
  <c r="E447" i="25" a="1"/>
  <c r="E447" i="25" s="1"/>
  <c r="C120" i="25" a="1"/>
  <c r="C120" i="25" s="1"/>
  <c r="E399" i="25" a="1"/>
  <c r="E399" i="25" s="1"/>
  <c r="C652" i="25" a="1"/>
  <c r="C652" i="25" s="1"/>
  <c r="C203" i="25" a="1"/>
  <c r="C203" i="25" s="1"/>
  <c r="C124" i="25" a="1"/>
  <c r="C124" i="25" s="1"/>
  <c r="D305" i="25" a="1"/>
  <c r="D305" i="25" s="1"/>
  <c r="E305" i="25" a="1"/>
  <c r="E305" i="25" s="1"/>
  <c r="C642" i="25" a="1"/>
  <c r="C642" i="25" s="1"/>
  <c r="C643" i="25" a="1"/>
  <c r="C643" i="25" s="1"/>
  <c r="C201" i="25" a="1"/>
  <c r="C201" i="25" s="1"/>
  <c r="E495" i="25" a="1"/>
  <c r="E495" i="25" s="1"/>
  <c r="E352" i="25" a="1"/>
  <c r="E352" i="25" s="1"/>
  <c r="C202" i="25" a="1"/>
  <c r="C202" i="25" s="1"/>
  <c r="D640" i="25" a="1"/>
  <c r="D640" i="25" s="1"/>
  <c r="F352" i="25" a="1"/>
  <c r="F352" i="25" s="1"/>
  <c r="C654" i="25" a="1"/>
  <c r="C654" i="25" s="1"/>
  <c r="D642" i="25" a="1"/>
  <c r="D642" i="25" s="1"/>
  <c r="D652" i="25" a="1"/>
  <c r="D652" i="25" s="1"/>
  <c r="D121" i="25" a="1"/>
  <c r="D121" i="25" s="1"/>
  <c r="D352" i="25" a="1"/>
  <c r="D352" i="25" s="1"/>
  <c r="C204" i="25" a="1"/>
  <c r="C204" i="25" s="1"/>
  <c r="D204" i="25" a="1"/>
  <c r="D204" i="25" s="1"/>
  <c r="D122" i="25" a="1"/>
  <c r="D122" i="25" s="1"/>
  <c r="D123" i="25" a="1"/>
  <c r="D123" i="25" s="1"/>
  <c r="D124" i="25" a="1"/>
  <c r="D124" i="25" s="1"/>
  <c r="C655" i="25" a="1"/>
  <c r="C655" i="25" s="1"/>
  <c r="D120" i="25" a="1"/>
  <c r="D120" i="25" s="1"/>
  <c r="C206" i="25" a="1"/>
  <c r="C206" i="25" s="1"/>
  <c r="F495" i="25" a="1"/>
  <c r="F495" i="25" s="1"/>
  <c r="D653" i="25" a="1"/>
  <c r="D653" i="25" s="1"/>
  <c r="C653" i="25" a="1"/>
  <c r="C653" i="25" s="1"/>
  <c r="D654" i="25" a="1"/>
  <c r="D654" i="25" s="1"/>
  <c r="C639" i="25" a="1"/>
  <c r="C639" i="25" s="1"/>
  <c r="D651" i="25" a="1"/>
  <c r="D651" i="25" s="1"/>
  <c r="D205" i="25" a="1"/>
  <c r="D205" i="25" s="1"/>
  <c r="D203" i="25" a="1"/>
  <c r="D203" i="25" s="1"/>
  <c r="D655" i="25" a="1"/>
  <c r="D655" i="25" s="1"/>
  <c r="D202" i="25" a="1"/>
  <c r="D202" i="25" s="1"/>
  <c r="F447" i="25" a="1"/>
  <c r="F447" i="25" s="1"/>
  <c r="F305" i="25" a="1"/>
  <c r="F305" i="25" s="1"/>
  <c r="E642" i="25" a="1"/>
  <c r="E642" i="25" s="1"/>
  <c r="D119" i="25" a="1"/>
  <c r="D119" i="25" s="1"/>
  <c r="D638" i="25" a="1"/>
  <c r="D638" i="25" s="1"/>
  <c r="G399" i="25" a="1"/>
  <c r="G399" i="25" s="1"/>
  <c r="E120" i="25" a="1"/>
  <c r="E120" i="25" s="1"/>
  <c r="E638" i="25" a="1"/>
  <c r="E638" i="25" s="1"/>
  <c r="E651" i="25" a="1"/>
  <c r="E651" i="25" s="1"/>
  <c r="D201" i="25" a="1"/>
  <c r="D201" i="25" s="1"/>
  <c r="G352" i="25" a="1"/>
  <c r="G352" i="25" s="1"/>
  <c r="E203" i="25" a="1"/>
  <c r="E203" i="25" s="1"/>
  <c r="E122" i="25" a="1"/>
  <c r="E122" i="25" s="1"/>
  <c r="D643" i="25" a="1"/>
  <c r="D643" i="25" s="1"/>
  <c r="E652" i="25" a="1"/>
  <c r="E652" i="25" s="1"/>
  <c r="E640" i="25" a="1"/>
  <c r="E640" i="25" s="1"/>
  <c r="G495" i="25" a="1"/>
  <c r="G495" i="25" s="1"/>
  <c r="E641" i="25" a="1"/>
  <c r="E641" i="25" s="1"/>
  <c r="E643" i="25" a="1"/>
  <c r="E643" i="25" s="1"/>
  <c r="D650" i="25" a="1"/>
  <c r="D650" i="25" s="1"/>
  <c r="E650" i="25" a="1"/>
  <c r="E650" i="25" s="1"/>
  <c r="E654" i="25" a="1"/>
  <c r="E654" i="25" s="1"/>
  <c r="D639" i="25" a="1"/>
  <c r="D639" i="25" s="1"/>
  <c r="F399" i="25" a="1"/>
  <c r="F399" i="25" s="1"/>
  <c r="E204" i="25" a="1"/>
  <c r="E204" i="25" s="1"/>
  <c r="E655" i="25" a="1"/>
  <c r="E655" i="25" s="1"/>
  <c r="D641" i="25" a="1"/>
  <c r="D641" i="25" s="1"/>
  <c r="E201" i="25" a="1"/>
  <c r="E201" i="25" s="1"/>
  <c r="G305" i="25" a="1"/>
  <c r="G305" i="25" s="1"/>
  <c r="I399" i="25" a="1"/>
  <c r="I399" i="25" s="1"/>
  <c r="F206" i="25" a="1"/>
  <c r="F206" i="25" s="1"/>
  <c r="G447" i="25" a="1"/>
  <c r="G447" i="25" s="1"/>
  <c r="E124" i="25" a="1"/>
  <c r="E124" i="25" s="1"/>
  <c r="F655" i="25" a="1"/>
  <c r="F655" i="25" s="1"/>
  <c r="H352" i="25" a="1"/>
  <c r="H352" i="25" s="1"/>
  <c r="F201" i="25" a="1"/>
  <c r="F201" i="25" s="1"/>
  <c r="E202" i="25" a="1"/>
  <c r="E202" i="25" s="1"/>
  <c r="F641" i="25" a="1"/>
  <c r="F641" i="25" s="1"/>
  <c r="F124" i="25" a="1"/>
  <c r="F124" i="25" s="1"/>
  <c r="F654" i="25" a="1"/>
  <c r="F654" i="25" s="1"/>
  <c r="F204" i="25" a="1"/>
  <c r="F204" i="25" s="1"/>
  <c r="E205" i="25" a="1"/>
  <c r="E205" i="25" s="1"/>
  <c r="E119" i="25" a="1"/>
  <c r="E119" i="25" s="1"/>
  <c r="H399" i="25" a="1"/>
  <c r="H399" i="25" s="1"/>
  <c r="F120" i="25" a="1"/>
  <c r="F120" i="25" s="1"/>
  <c r="H305" i="25" a="1"/>
  <c r="H305" i="25" s="1"/>
  <c r="F642" i="25" a="1"/>
  <c r="F642" i="25" s="1"/>
  <c r="F122" i="25" a="1"/>
  <c r="F122" i="25" s="1"/>
  <c r="E206" i="25" a="1"/>
  <c r="E206" i="25" s="1"/>
  <c r="H495" i="25" a="1"/>
  <c r="H495" i="25" s="1"/>
  <c r="E639" i="25" a="1"/>
  <c r="E639" i="25" s="1"/>
  <c r="F643" i="25" a="1"/>
  <c r="F643" i="25" s="1"/>
  <c r="F650" i="25" a="1"/>
  <c r="F650" i="25" s="1"/>
  <c r="E123" i="25" a="1"/>
  <c r="E123" i="25" s="1"/>
  <c r="F640" i="25" a="1"/>
  <c r="F640" i="25" s="1"/>
  <c r="F653" i="25" a="1"/>
  <c r="F653" i="25" s="1"/>
  <c r="F652" i="25" a="1"/>
  <c r="F652" i="25" s="1"/>
  <c r="F121" i="25" a="1"/>
  <c r="F121" i="25" s="1"/>
  <c r="F202" i="25" a="1"/>
  <c r="F202" i="25" s="1"/>
  <c r="H447" i="25" a="1"/>
  <c r="H447" i="25" s="1"/>
  <c r="F651" i="25" a="1"/>
  <c r="F651" i="25" s="1"/>
  <c r="H652" i="25" a="1"/>
  <c r="H652" i="25" s="1"/>
  <c r="I495" i="25" a="1"/>
  <c r="I495" i="25" s="1"/>
  <c r="G638" i="25" a="1"/>
  <c r="G638" i="25" s="1"/>
  <c r="G124" i="25" a="1"/>
  <c r="G124" i="25" s="1"/>
  <c r="G120" i="25" a="1"/>
  <c r="G120" i="25" s="1"/>
  <c r="G202" i="25" a="1"/>
  <c r="G202" i="25" s="1"/>
  <c r="G643" i="25" a="1"/>
  <c r="G643" i="25" s="1"/>
  <c r="G653" i="25" a="1"/>
  <c r="G653" i="25" s="1"/>
  <c r="G641" i="25" a="1"/>
  <c r="G641" i="25" s="1"/>
  <c r="G204" i="25" a="1"/>
  <c r="G204" i="25" s="1"/>
  <c r="G652" i="25" a="1"/>
  <c r="G652" i="25" s="1"/>
  <c r="F638" i="25" a="1"/>
  <c r="F638" i="25" s="1"/>
  <c r="G655" i="25" a="1"/>
  <c r="G655" i="25" s="1"/>
  <c r="I352" i="25" a="1"/>
  <c r="I352" i="25" s="1"/>
  <c r="G642" i="25" a="1"/>
  <c r="G642" i="25" s="1"/>
  <c r="G122" i="25" a="1"/>
  <c r="G122" i="25" s="1"/>
  <c r="G205" i="25" a="1"/>
  <c r="G205" i="25" s="1"/>
  <c r="F205" i="25" a="1"/>
  <c r="F205" i="25" s="1"/>
  <c r="G121" i="25" a="1"/>
  <c r="G121" i="25" s="1"/>
  <c r="F123" i="25" a="1"/>
  <c r="F123" i="25" s="1"/>
  <c r="G654" i="25" a="1"/>
  <c r="G654" i="25" s="1"/>
  <c r="G650" i="25" a="1"/>
  <c r="G650" i="25" s="1"/>
  <c r="G639" i="25" a="1"/>
  <c r="G639" i="25" s="1"/>
  <c r="E653" i="25" a="1"/>
  <c r="E653" i="25" s="1"/>
  <c r="G123" i="25" a="1"/>
  <c r="G123" i="25" s="1"/>
  <c r="G201" i="25" a="1"/>
  <c r="G201" i="25" s="1"/>
  <c r="E121" i="25" a="1"/>
  <c r="E121" i="25" s="1"/>
  <c r="F203" i="25" a="1"/>
  <c r="F203" i="25" s="1"/>
  <c r="F639" i="25" a="1"/>
  <c r="F639" i="25" s="1"/>
  <c r="I447" i="25" a="1"/>
  <c r="I447" i="25" s="1"/>
  <c r="G651" i="25" a="1"/>
  <c r="G651" i="25" s="1"/>
  <c r="G203" i="25" a="1"/>
  <c r="G203" i="25" s="1"/>
  <c r="J352" i="25" a="1"/>
  <c r="J352" i="25" s="1"/>
  <c r="H201" i="25" a="1"/>
  <c r="H201" i="25" s="1"/>
  <c r="J305" i="25" a="1"/>
  <c r="J305" i="25" s="1"/>
  <c r="H642" i="25" a="1"/>
  <c r="H642" i="25" s="1"/>
  <c r="H643" i="25" a="1"/>
  <c r="H643" i="25" s="1"/>
  <c r="H641" i="25" a="1"/>
  <c r="H641" i="25" s="1"/>
  <c r="H204" i="25" a="1"/>
  <c r="H204" i="25" s="1"/>
  <c r="G119" i="25" a="1"/>
  <c r="G119" i="25" s="1"/>
  <c r="J495" i="25" a="1"/>
  <c r="J495" i="25" s="1"/>
  <c r="H639" i="25" a="1"/>
  <c r="H639" i="25" s="1"/>
  <c r="J399" i="25" a="1"/>
  <c r="J399" i="25" s="1"/>
  <c r="H650" i="25" a="1"/>
  <c r="H650" i="25" s="1"/>
  <c r="H654" i="25" a="1"/>
  <c r="H654" i="25" s="1"/>
  <c r="G206" i="25" a="1"/>
  <c r="G206" i="25" s="1"/>
  <c r="H206" i="25" a="1"/>
  <c r="H206" i="25" s="1"/>
  <c r="I305" i="25" a="1"/>
  <c r="I305" i="25" s="1"/>
  <c r="H205" i="25" a="1"/>
  <c r="H205" i="25" s="1"/>
  <c r="H123" i="25" a="1"/>
  <c r="H123" i="25" s="1"/>
  <c r="F119" i="25" a="1"/>
  <c r="F119" i="25" s="1"/>
  <c r="H120" i="25" a="1"/>
  <c r="H120" i="25" s="1"/>
  <c r="G640" i="25" a="1"/>
  <c r="G640" i="25" s="1"/>
  <c r="H121" i="25" a="1"/>
  <c r="H121" i="25" s="1"/>
  <c r="J447" i="25" a="1"/>
  <c r="J447" i="25" s="1"/>
  <c r="H203" i="25" a="1"/>
  <c r="H203" i="25" s="1"/>
  <c r="H655" i="25" a="1"/>
  <c r="H655" i="25" s="1"/>
  <c r="H640" i="25" a="1"/>
  <c r="H640" i="25" s="1"/>
  <c r="H651" i="25" a="1"/>
  <c r="H651" i="25" s="1"/>
  <c r="H124" i="25" a="1"/>
  <c r="H124" i="25" s="1"/>
  <c r="H122" i="25" a="1"/>
  <c r="H122" i="25" s="1"/>
  <c r="N640" i="25" a="1"/>
  <c r="N640" i="25" s="1"/>
  <c r="N652" i="25" a="1"/>
  <c r="N652" i="25" s="1"/>
  <c r="N639" i="25" a="1"/>
  <c r="N639" i="25" s="1"/>
  <c r="N201" i="25" a="1"/>
  <c r="N201" i="25" s="1"/>
  <c r="N643" i="25" a="1"/>
  <c r="N643" i="25" s="1"/>
  <c r="N651" i="25" a="1"/>
  <c r="N651" i="25" s="1"/>
  <c r="N638" i="25" a="1"/>
  <c r="N638" i="25" s="1"/>
  <c r="N203" i="25" a="1"/>
  <c r="N203" i="25" s="1"/>
  <c r="N124" i="25" a="1"/>
  <c r="N124" i="25" s="1"/>
  <c r="N650" i="25" a="1"/>
  <c r="N650" i="25" s="1"/>
  <c r="N206" i="25" a="1"/>
  <c r="N206" i="25" s="1"/>
  <c r="N120" i="25" a="1"/>
  <c r="N120" i="25" s="1"/>
  <c r="N202" i="25" a="1"/>
  <c r="N202" i="25" s="1"/>
  <c r="N655" i="25" a="1"/>
  <c r="N655" i="25" s="1"/>
  <c r="N121" i="25" a="1"/>
  <c r="N121" i="25" s="1"/>
  <c r="N654" i="25" a="1"/>
  <c r="N654" i="25" s="1"/>
  <c r="N123" i="25" a="1"/>
  <c r="N123" i="25" s="1"/>
  <c r="N642" i="25" a="1"/>
  <c r="N642" i="25" s="1"/>
  <c r="N205" i="25" a="1"/>
  <c r="N205" i="25" s="1"/>
  <c r="N641" i="25" a="1"/>
  <c r="N641" i="25" s="1"/>
  <c r="N204" i="25" a="1"/>
  <c r="N204" i="25" s="1"/>
  <c r="N653" i="25" a="1"/>
  <c r="N653" i="25" s="1"/>
  <c r="N122" i="25" a="1"/>
  <c r="N122" i="25" s="1"/>
  <c r="K305" i="25" a="1"/>
  <c r="K305" i="25" s="1"/>
  <c r="H119" i="25" a="1"/>
  <c r="H119" i="25" s="1"/>
  <c r="L447" i="25" a="1"/>
  <c r="L447" i="25" s="1"/>
  <c r="L641" i="25" a="1"/>
  <c r="L641" i="25" s="1"/>
  <c r="I640" i="25" a="1"/>
  <c r="I640" i="25" s="1"/>
  <c r="J641" i="25" a="1"/>
  <c r="J641" i="25" s="1"/>
  <c r="K399" i="25" a="1"/>
  <c r="K399" i="25" s="1"/>
  <c r="I205" i="25" a="1"/>
  <c r="I205" i="25" s="1"/>
  <c r="L123" i="25" a="1"/>
  <c r="L123" i="25" s="1"/>
  <c r="J121" i="25" a="1"/>
  <c r="J121" i="25" s="1"/>
  <c r="K640" i="25" a="1"/>
  <c r="K640" i="25" s="1"/>
  <c r="K495" i="25" a="1"/>
  <c r="K495" i="25" s="1"/>
  <c r="K121" i="25" a="1"/>
  <c r="K121" i="25" s="1"/>
  <c r="L201" i="25" a="1"/>
  <c r="L201" i="25" s="1"/>
  <c r="J201" i="25" a="1"/>
  <c r="J201" i="25" s="1"/>
  <c r="I120" i="25" a="1"/>
  <c r="I120" i="25" s="1"/>
  <c r="I122" i="25" a="1"/>
  <c r="I122" i="25" s="1"/>
  <c r="T17" i="10"/>
  <c r="T305" i="10" s="1"/>
  <c r="T52" i="10"/>
  <c r="T340" i="10" s="1"/>
  <c r="O18" i="10"/>
  <c r="O306" i="10" s="1"/>
  <c r="X744" i="16"/>
  <c r="E670" i="16"/>
  <c r="C218" i="20" s="1"/>
  <c r="E676" i="16"/>
  <c r="C224" i="20" s="1"/>
  <c r="E684" i="16"/>
  <c r="C232" i="20" s="1"/>
  <c r="E666" i="16"/>
  <c r="C214" i="20" s="1"/>
  <c r="E678" i="16"/>
  <c r="C226" i="20" s="1"/>
  <c r="E690" i="16"/>
  <c r="C238" i="20" s="1"/>
  <c r="E694" i="16"/>
  <c r="C242" i="20" s="1"/>
  <c r="E679" i="16"/>
  <c r="C227" i="20" s="1"/>
  <c r="E691" i="16"/>
  <c r="C239" i="20" s="1"/>
  <c r="E696" i="16"/>
  <c r="C244" i="20" s="1"/>
  <c r="E677" i="16"/>
  <c r="C225" i="20" s="1"/>
  <c r="E681" i="16"/>
  <c r="C229" i="20" s="1"/>
  <c r="E688" i="16"/>
  <c r="C236" i="20" s="1"/>
  <c r="E695" i="16"/>
  <c r="C243" i="20" s="1"/>
  <c r="E683" i="16"/>
  <c r="C231" i="20" s="1"/>
  <c r="E689" i="16"/>
  <c r="C237" i="20" s="1"/>
  <c r="E668" i="16"/>
  <c r="C216" i="20" s="1"/>
  <c r="E673" i="16"/>
  <c r="C221" i="20" s="1"/>
  <c r="E692" i="16"/>
  <c r="C240" i="20" s="1"/>
  <c r="E687" i="16"/>
  <c r="C235" i="20" s="1"/>
  <c r="E667" i="16"/>
  <c r="C215" i="20" s="1"/>
  <c r="E665" i="16"/>
  <c r="C213" i="20" s="1"/>
  <c r="E672" i="16"/>
  <c r="C220" i="20" s="1"/>
  <c r="E675" i="16"/>
  <c r="C223" i="20" s="1"/>
  <c r="E664" i="16"/>
  <c r="C212" i="20" s="1"/>
  <c r="E693" i="16"/>
  <c r="C241" i="20" s="1"/>
  <c r="E686" i="16"/>
  <c r="C234" i="20" s="1"/>
  <c r="E680" i="16"/>
  <c r="C228" i="20" s="1"/>
  <c r="E685" i="16"/>
  <c r="C233" i="20" s="1"/>
  <c r="E697" i="16"/>
  <c r="C245" i="20" s="1"/>
  <c r="E682" i="16"/>
  <c r="C230" i="20" s="1"/>
  <c r="E671" i="16"/>
  <c r="C219" i="20" s="1"/>
  <c r="E669" i="16"/>
  <c r="C217" i="20" s="1"/>
  <c r="E674" i="16"/>
  <c r="C222" i="20" s="1"/>
  <c r="J652" i="25" a="1"/>
  <c r="J652" i="25" s="1"/>
  <c r="L124" i="25" a="1"/>
  <c r="L124" i="25" s="1"/>
  <c r="L119" i="25" a="1"/>
  <c r="L119" i="25" s="1"/>
  <c r="J120" i="25" a="1"/>
  <c r="J120" i="25" s="1"/>
  <c r="M640" i="25" a="1"/>
  <c r="M640" i="25" s="1"/>
  <c r="K642" i="25" a="1"/>
  <c r="K642" i="25" s="1"/>
  <c r="L650" i="25" a="1"/>
  <c r="L650" i="25" s="1"/>
  <c r="K653" i="25" a="1"/>
  <c r="K653" i="25" s="1"/>
  <c r="L651" i="25" a="1"/>
  <c r="L651" i="25" s="1"/>
  <c r="J640" i="25" a="1"/>
  <c r="J640" i="25" s="1"/>
  <c r="I653" i="25" a="1"/>
  <c r="I653" i="25" s="1"/>
  <c r="L639" i="25" a="1"/>
  <c r="L639" i="25" s="1"/>
  <c r="J653" i="25" a="1"/>
  <c r="J653" i="25" s="1"/>
  <c r="L205" i="25" a="1"/>
  <c r="L205" i="25" s="1"/>
  <c r="I202" i="25" a="1"/>
  <c r="I202" i="25" s="1"/>
  <c r="K639" i="25" a="1"/>
  <c r="K639" i="25" s="1"/>
  <c r="K655" i="25" a="1"/>
  <c r="K655" i="25" s="1"/>
  <c r="L18" i="10"/>
  <c r="L306" i="10" s="1"/>
  <c r="O650" i="25" a="1"/>
  <c r="O650" i="25" s="1"/>
  <c r="O640" i="25" a="1"/>
  <c r="O640" i="25" s="1"/>
  <c r="O655" i="25" a="1"/>
  <c r="O655" i="25" s="1"/>
  <c r="O641" i="25" a="1"/>
  <c r="O641" i="25" s="1"/>
  <c r="O639" i="25" a="1"/>
  <c r="O639" i="25" s="1"/>
  <c r="O202" i="25" a="1"/>
  <c r="O202" i="25" s="1"/>
  <c r="O121" i="25" a="1"/>
  <c r="O121" i="25" s="1"/>
  <c r="O201" i="25" a="1"/>
  <c r="O201" i="25" s="1"/>
  <c r="O654" i="25" a="1"/>
  <c r="O654" i="25" s="1"/>
  <c r="O651" i="25" a="1"/>
  <c r="O651" i="25" s="1"/>
  <c r="O652" i="25" a="1"/>
  <c r="O652" i="25" s="1"/>
  <c r="O642" i="25" a="1"/>
  <c r="O642" i="25" s="1"/>
  <c r="O638" i="25" a="1"/>
  <c r="O638" i="25" s="1"/>
  <c r="O203" i="25" a="1"/>
  <c r="O203" i="25" s="1"/>
  <c r="O122" i="25" a="1"/>
  <c r="O122" i="25" s="1"/>
  <c r="O124" i="25" a="1"/>
  <c r="O124" i="25" s="1"/>
  <c r="O643" i="25" a="1"/>
  <c r="O643" i="25" s="1"/>
  <c r="O653" i="25" a="1"/>
  <c r="O653" i="25" s="1"/>
  <c r="O206" i="25" a="1"/>
  <c r="O206" i="25" s="1"/>
  <c r="O120" i="25" a="1"/>
  <c r="O120" i="25" s="1"/>
  <c r="O204" i="25" a="1"/>
  <c r="O204" i="25" s="1"/>
  <c r="O123" i="25" a="1"/>
  <c r="O123" i="25" s="1"/>
  <c r="O205" i="25" a="1"/>
  <c r="O205" i="25" s="1"/>
  <c r="J202" i="25" a="1"/>
  <c r="J202" i="25" s="1"/>
  <c r="L643" i="25" a="1"/>
  <c r="L643" i="25" s="1"/>
  <c r="J650" i="25" a="1"/>
  <c r="J650" i="25" s="1"/>
  <c r="M121" i="25" a="1"/>
  <c r="M121" i="25" s="1"/>
  <c r="J204" i="25" a="1"/>
  <c r="J204" i="25" s="1"/>
  <c r="L202" i="25" a="1"/>
  <c r="L202" i="25" s="1"/>
  <c r="K203" i="25" a="1"/>
  <c r="K203" i="25" s="1"/>
  <c r="L121" i="25" a="1"/>
  <c r="L121" i="25" s="1"/>
  <c r="I121" i="25" a="1"/>
  <c r="I121" i="25" s="1"/>
  <c r="M124" i="25" a="1"/>
  <c r="M124" i="25" s="1"/>
  <c r="J639" i="25" a="1"/>
  <c r="J639" i="25" s="1"/>
  <c r="L120" i="25" a="1"/>
  <c r="L120" i="25" s="1"/>
  <c r="K643" i="25" a="1"/>
  <c r="K643" i="25" s="1"/>
  <c r="I204" i="25" a="1"/>
  <c r="I204" i="25" s="1"/>
  <c r="L203" i="25" a="1"/>
  <c r="L203" i="25" s="1"/>
  <c r="M447" i="25" a="1"/>
  <c r="M447" i="25" s="1"/>
  <c r="V1150" i="16"/>
  <c r="V1136" i="16"/>
  <c r="X1169" i="16"/>
  <c r="X2118" i="16" s="1"/>
  <c r="W1170" i="16"/>
  <c r="N119" i="25" a="1"/>
  <c r="N119" i="25" s="1"/>
  <c r="O119" i="25" a="1"/>
  <c r="O119" i="25" s="1"/>
  <c r="W1157" i="16"/>
  <c r="W1163" i="16"/>
  <c r="X1162" i="16"/>
  <c r="X2117" i="16" s="1"/>
  <c r="W1149" i="16"/>
  <c r="W1142" i="16"/>
  <c r="X1141" i="16"/>
  <c r="X2114" i="16" s="1"/>
  <c r="X1148" i="16"/>
  <c r="X1134" i="16"/>
  <c r="X2113" i="16" s="1"/>
  <c r="W1135" i="16"/>
  <c r="R936" i="16"/>
  <c r="S936" i="16" s="1"/>
  <c r="W1171" i="16"/>
  <c r="Q1219" i="16"/>
  <c r="U1184" i="16"/>
  <c r="V1183" i="16"/>
  <c r="V2120" i="16" s="1"/>
  <c r="U1178" i="16"/>
  <c r="U1177" i="16"/>
  <c r="R1218" i="16"/>
  <c r="R2125" i="16" s="1"/>
  <c r="V1176" i="16"/>
  <c r="T1204" i="16"/>
  <c r="T2123" i="16" s="1"/>
  <c r="U1191" i="16"/>
  <c r="V1191" i="16" s="1"/>
  <c r="U2121" i="16"/>
  <c r="S1205" i="16"/>
  <c r="R1212" i="16"/>
  <c r="T1198" i="16"/>
  <c r="T2122" i="16"/>
  <c r="W1190" i="16"/>
  <c r="V2121" i="16"/>
  <c r="Q1213" i="16"/>
  <c r="L1263" i="16"/>
  <c r="L263" i="16" s="1"/>
  <c r="T1199" i="16"/>
  <c r="S1211" i="16"/>
  <c r="W876" i="16"/>
  <c r="N1249" i="16"/>
  <c r="N261" i="16" s="1"/>
  <c r="Q1225" i="16"/>
  <c r="Q2126" i="16" s="1"/>
  <c r="U1185" i="16"/>
  <c r="R1206" i="16"/>
  <c r="S1206" i="16" s="1"/>
  <c r="U1197" i="16"/>
  <c r="U2122" i="16" s="1"/>
  <c r="U1192" i="16"/>
  <c r="V1192" i="16" s="1"/>
  <c r="L1270" i="16"/>
  <c r="L264" i="16" s="1"/>
  <c r="L265" i="16" s="1"/>
  <c r="L53" i="20" s="1"/>
  <c r="L251" i="20" s="1"/>
  <c r="D73" i="25" s="1"/>
  <c r="L2132" i="16"/>
  <c r="O105" i="20"/>
  <c r="W107" i="20"/>
  <c r="N107" i="20"/>
  <c r="X2138" i="16"/>
  <c r="O107" i="20"/>
  <c r="U107" i="20"/>
  <c r="L107" i="20"/>
  <c r="T107" i="20"/>
  <c r="K107" i="20"/>
  <c r="V107" i="20"/>
  <c r="S107" i="20"/>
  <c r="M107" i="20"/>
  <c r="Q107" i="20"/>
  <c r="C707" i="20"/>
  <c r="C708" i="20" s="1"/>
  <c r="P107" i="20"/>
  <c r="X2074" i="16"/>
  <c r="X1235" i="20"/>
  <c r="X1248" i="20" s="1"/>
  <c r="U923" i="12"/>
  <c r="U931" i="12" s="1"/>
  <c r="N451" i="25" a="1"/>
  <c r="N451" i="25" s="1"/>
  <c r="N450" i="25" a="1"/>
  <c r="N450" i="25" s="1"/>
  <c r="I403" i="25" a="1"/>
  <c r="I403" i="25" s="1"/>
  <c r="N403" i="25" a="1"/>
  <c r="N403" i="25" s="1"/>
  <c r="I308" i="25" a="1"/>
  <c r="I308" i="25" s="1"/>
  <c r="M403" i="25" a="1"/>
  <c r="M403" i="25" s="1"/>
  <c r="I356" i="25" a="1"/>
  <c r="I356" i="25" s="1"/>
  <c r="L403" i="25" a="1"/>
  <c r="L403" i="25" s="1"/>
  <c r="N356" i="25" a="1"/>
  <c r="N356" i="25" s="1"/>
  <c r="M450" i="25" a="1"/>
  <c r="M450" i="25" s="1"/>
  <c r="J402" i="25" a="1"/>
  <c r="J402" i="25" s="1"/>
  <c r="I498" i="25" a="1"/>
  <c r="I498" i="25" s="1"/>
  <c r="M498" i="25" a="1"/>
  <c r="M498" i="25" s="1"/>
  <c r="M355" i="25" a="1"/>
  <c r="M355" i="25" s="1"/>
  <c r="L308" i="25" a="1"/>
  <c r="L308" i="25" s="1"/>
  <c r="J450" i="25" a="1"/>
  <c r="J450" i="25" s="1"/>
  <c r="N308" i="25" a="1"/>
  <c r="N308" i="25" s="1"/>
  <c r="N499" i="25" a="1"/>
  <c r="N499" i="25" s="1"/>
  <c r="K499" i="25" a="1"/>
  <c r="K499" i="25" s="1"/>
  <c r="I402" i="25" a="1"/>
  <c r="I402" i="25" s="1"/>
  <c r="M309" i="25" a="1"/>
  <c r="M309" i="25" s="1"/>
  <c r="J403" i="25" a="1"/>
  <c r="J403" i="25" s="1"/>
  <c r="J308" i="25" a="1"/>
  <c r="J308" i="25" s="1"/>
  <c r="I450" i="25" a="1"/>
  <c r="I450" i="25" s="1"/>
  <c r="C356" i="25" a="1"/>
  <c r="C356" i="25" s="1"/>
  <c r="C499" i="25" a="1"/>
  <c r="C499" i="25" s="1"/>
  <c r="C450" i="25" a="1"/>
  <c r="C450" i="25" s="1"/>
  <c r="C355" i="25" a="1"/>
  <c r="C355" i="25" s="1"/>
  <c r="C498" i="25" a="1"/>
  <c r="C498" i="25" s="1"/>
  <c r="C309" i="25" a="1"/>
  <c r="C309" i="25" s="1"/>
  <c r="C403" i="25" a="1"/>
  <c r="C403" i="25" s="1"/>
  <c r="C451" i="25" a="1"/>
  <c r="C451" i="25" s="1"/>
  <c r="E451" i="25" a="1"/>
  <c r="E451" i="25" s="1"/>
  <c r="D355" i="25" a="1"/>
  <c r="D355" i="25" s="1"/>
  <c r="C402" i="25" a="1"/>
  <c r="C402" i="25" s="1"/>
  <c r="D308" i="25" a="1"/>
  <c r="D308" i="25" s="1"/>
  <c r="D403" i="25" a="1"/>
  <c r="D403" i="25" s="1"/>
  <c r="D498" i="25" a="1"/>
  <c r="D498" i="25" s="1"/>
  <c r="D402" i="25" a="1"/>
  <c r="D402" i="25" s="1"/>
  <c r="D499" i="25" a="1"/>
  <c r="D499" i="25" s="1"/>
  <c r="C308" i="25" a="1"/>
  <c r="C308" i="25" s="1"/>
  <c r="D450" i="25" a="1"/>
  <c r="D450" i="25" s="1"/>
  <c r="E309" i="25" a="1"/>
  <c r="E309" i="25" s="1"/>
  <c r="E308" i="25" a="1"/>
  <c r="E308" i="25" s="1"/>
  <c r="E356" i="25" a="1"/>
  <c r="E356" i="25" s="1"/>
  <c r="E499" i="25" a="1"/>
  <c r="E499" i="25" s="1"/>
  <c r="D309" i="25" a="1"/>
  <c r="D309" i="25" s="1"/>
  <c r="D451" i="25" a="1"/>
  <c r="D451" i="25" s="1"/>
  <c r="E498" i="25" a="1"/>
  <c r="E498" i="25" s="1"/>
  <c r="D356" i="25" a="1"/>
  <c r="D356" i="25" s="1"/>
  <c r="E402" i="25" a="1"/>
  <c r="E402" i="25" s="1"/>
  <c r="E450" i="25" a="1"/>
  <c r="E450" i="25" s="1"/>
  <c r="H402" i="25" a="1"/>
  <c r="H402" i="25" s="1"/>
  <c r="F308" i="25" a="1"/>
  <c r="F308" i="25" s="1"/>
  <c r="E355" i="25" a="1"/>
  <c r="E355" i="25" s="1"/>
  <c r="F309" i="25" a="1"/>
  <c r="F309" i="25" s="1"/>
  <c r="F356" i="25" a="1"/>
  <c r="F356" i="25" s="1"/>
  <c r="E403" i="25" a="1"/>
  <c r="E403" i="25" s="1"/>
  <c r="F498" i="25" a="1"/>
  <c r="F498" i="25" s="1"/>
  <c r="F499" i="25" a="1"/>
  <c r="F499" i="25" s="1"/>
  <c r="F451" i="25" a="1"/>
  <c r="F451" i="25" s="1"/>
  <c r="G450" i="25" a="1"/>
  <c r="G450" i="25" s="1"/>
  <c r="G308" i="25" a="1"/>
  <c r="G308" i="25" s="1"/>
  <c r="G451" i="25" a="1"/>
  <c r="G451" i="25" s="1"/>
  <c r="G499" i="25" a="1"/>
  <c r="G499" i="25" s="1"/>
  <c r="F450" i="25" a="1"/>
  <c r="F450" i="25" s="1"/>
  <c r="F355" i="25" a="1"/>
  <c r="F355" i="25" s="1"/>
  <c r="G356" i="25" a="1"/>
  <c r="G356" i="25" s="1"/>
  <c r="G309" i="25" a="1"/>
  <c r="G309" i="25" s="1"/>
  <c r="G498" i="25" a="1"/>
  <c r="G498" i="25" s="1"/>
  <c r="G355" i="25" a="1"/>
  <c r="G355" i="25" s="1"/>
  <c r="G403" i="25" a="1"/>
  <c r="G403" i="25" s="1"/>
  <c r="F402" i="25" a="1"/>
  <c r="F402" i="25" s="1"/>
  <c r="G402" i="25" a="1"/>
  <c r="G402" i="25" s="1"/>
  <c r="H498" i="25" a="1"/>
  <c r="H498" i="25" s="1"/>
  <c r="H308" i="25" a="1"/>
  <c r="H308" i="25" s="1"/>
  <c r="H499" i="25" a="1"/>
  <c r="H499" i="25" s="1"/>
  <c r="H355" i="25" a="1"/>
  <c r="H355" i="25" s="1"/>
  <c r="H309" i="25" a="1"/>
  <c r="H309" i="25" s="1"/>
  <c r="F403" i="25" a="1"/>
  <c r="F403" i="25" s="1"/>
  <c r="H451" i="25" a="1"/>
  <c r="H451" i="25" s="1"/>
  <c r="H450" i="25" a="1"/>
  <c r="H450" i="25" s="1"/>
  <c r="H403" i="25" a="1"/>
  <c r="H403" i="25" s="1"/>
  <c r="N355" i="25" a="1"/>
  <c r="N355" i="25" s="1"/>
  <c r="L498" i="25" a="1"/>
  <c r="L498" i="25" s="1"/>
  <c r="K355" i="25" a="1"/>
  <c r="K355" i="25" s="1"/>
  <c r="L355" i="25" a="1"/>
  <c r="L355" i="25" s="1"/>
  <c r="K356" i="25" a="1"/>
  <c r="K356" i="25" s="1"/>
  <c r="L356" i="25" a="1"/>
  <c r="L356" i="25" s="1"/>
  <c r="L402" i="25" a="1"/>
  <c r="L402" i="25" s="1"/>
  <c r="K451" i="25" a="1"/>
  <c r="K451" i="25" s="1"/>
  <c r="N498" i="25" a="1"/>
  <c r="N498" i="25" s="1"/>
  <c r="J309" i="25" a="1"/>
  <c r="J309" i="25" s="1"/>
  <c r="K403" i="25" a="1"/>
  <c r="K403" i="25" s="1"/>
  <c r="I499" i="25" a="1"/>
  <c r="I499" i="25" s="1"/>
  <c r="J356" i="25" a="1"/>
  <c r="J356" i="25" s="1"/>
  <c r="L451" i="25" a="1"/>
  <c r="L451" i="25" s="1"/>
  <c r="L450" i="25" a="1"/>
  <c r="L450" i="25" s="1"/>
  <c r="N309" i="25" a="1"/>
  <c r="N309" i="25" s="1"/>
  <c r="L309" i="25" a="1"/>
  <c r="L309" i="25" s="1"/>
  <c r="K498" i="25" a="1"/>
  <c r="K498" i="25" s="1"/>
  <c r="M308" i="25" a="1"/>
  <c r="M308" i="25" s="1"/>
  <c r="I355" i="25" a="1"/>
  <c r="I355" i="25" s="1"/>
  <c r="K309" i="25" a="1"/>
  <c r="K309" i="25" s="1"/>
  <c r="K402" i="25" a="1"/>
  <c r="K402" i="25" s="1"/>
  <c r="I451" i="25" a="1"/>
  <c r="I451" i="25" s="1"/>
  <c r="N402" i="25" a="1"/>
  <c r="N402" i="25" s="1"/>
  <c r="J498" i="25" a="1"/>
  <c r="J498" i="25" s="1"/>
  <c r="H356" i="25" a="1"/>
  <c r="H356" i="25" s="1"/>
  <c r="J499" i="25" a="1"/>
  <c r="J499" i="25" s="1"/>
  <c r="K308" i="25" a="1"/>
  <c r="K308" i="25" s="1"/>
  <c r="L499" i="25" a="1"/>
  <c r="L499" i="25" s="1"/>
  <c r="M451" i="25" a="1"/>
  <c r="M451" i="25" s="1"/>
  <c r="M356" i="25" a="1"/>
  <c r="M356" i="25" s="1"/>
  <c r="I309" i="25" a="1"/>
  <c r="I309" i="25" s="1"/>
  <c r="M402" i="25" a="1"/>
  <c r="M402" i="25" s="1"/>
  <c r="J355" i="25" a="1"/>
  <c r="J355" i="25" s="1"/>
  <c r="K450" i="25" a="1"/>
  <c r="K450" i="25" s="1"/>
  <c r="M499" i="25" a="1"/>
  <c r="M499" i="25" s="1"/>
  <c r="J451" i="25" a="1"/>
  <c r="J451" i="25" s="1"/>
  <c r="W1556" i="16"/>
  <c r="M255" i="25"/>
  <c r="M228" i="25"/>
  <c r="M236" i="25" s="1"/>
  <c r="O127" i="25"/>
  <c r="O135" i="25" s="1"/>
  <c r="O403" i="25" a="1"/>
  <c r="O403" i="25" s="1"/>
  <c r="O499" i="25" a="1"/>
  <c r="O499" i="25" s="1"/>
  <c r="O451" i="25" a="1"/>
  <c r="O451" i="25" s="1"/>
  <c r="O356" i="25" a="1"/>
  <c r="O356" i="25" s="1"/>
  <c r="O402" i="25" a="1"/>
  <c r="O402" i="25" s="1"/>
  <c r="O450" i="25" a="1"/>
  <c r="O450" i="25" s="1"/>
  <c r="O309" i="25" a="1"/>
  <c r="O309" i="25" s="1"/>
  <c r="O498" i="25" a="1"/>
  <c r="O498" i="25" s="1"/>
  <c r="O355" i="25" a="1"/>
  <c r="O355" i="25" s="1"/>
  <c r="O308" i="25" a="1"/>
  <c r="O308" i="25" s="1"/>
  <c r="N255" i="25"/>
  <c r="N228" i="25"/>
  <c r="N236" i="25" s="1"/>
  <c r="W105" i="20"/>
  <c r="I568" i="16"/>
  <c r="I2040" i="16" s="1"/>
  <c r="I567" i="16"/>
  <c r="G2039" i="16" s="1"/>
  <c r="G2093" i="16" s="1"/>
  <c r="O2093" i="16" s="1"/>
  <c r="M2089" i="16"/>
  <c r="O2089" i="16"/>
  <c r="M2087" i="16"/>
  <c r="O2087" i="16"/>
  <c r="I365" i="16"/>
  <c r="M2088" i="16"/>
  <c r="O2088" i="16"/>
  <c r="H100" i="25" a="1"/>
  <c r="H100" i="25" s="1"/>
  <c r="I101" i="25" a="1"/>
  <c r="I101" i="25" s="1"/>
  <c r="K101" i="25" a="1"/>
  <c r="K101" i="25" s="1"/>
  <c r="H101" i="25" a="1"/>
  <c r="H101" i="25" s="1"/>
  <c r="J186" i="25" a="1"/>
  <c r="J186" i="25" s="1"/>
  <c r="E187" i="25" a="1"/>
  <c r="E187" i="25" s="1"/>
  <c r="E186" i="25" a="1"/>
  <c r="E186" i="25" s="1"/>
  <c r="I100" i="25" a="1"/>
  <c r="I100" i="25" s="1"/>
  <c r="D186" i="25" a="1"/>
  <c r="D186" i="25" s="1"/>
  <c r="C100" i="25" a="1"/>
  <c r="C100" i="25" s="1"/>
  <c r="J187" i="25" a="1"/>
  <c r="J187" i="25" s="1"/>
  <c r="F187" i="25" a="1"/>
  <c r="F187" i="25" s="1"/>
  <c r="F101" i="25" a="1"/>
  <c r="F101" i="25" s="1"/>
  <c r="K187" i="25" a="1"/>
  <c r="K187" i="25" s="1"/>
  <c r="F186" i="25" a="1"/>
  <c r="F186" i="25" s="1"/>
  <c r="J100" i="25" a="1"/>
  <c r="J100" i="25" s="1"/>
  <c r="G101" i="25" a="1"/>
  <c r="G101" i="25" s="1"/>
  <c r="C101" i="25" a="1"/>
  <c r="C101" i="25" s="1"/>
  <c r="K186" i="25" a="1"/>
  <c r="K186" i="25" s="1"/>
  <c r="E100" i="25" a="1"/>
  <c r="E100" i="25" s="1"/>
  <c r="M100" i="25" a="1"/>
  <c r="M100" i="25" s="1"/>
  <c r="O186" i="25" a="1"/>
  <c r="O186" i="25" s="1"/>
  <c r="N186" i="25" a="1"/>
  <c r="N186" i="25" s="1"/>
  <c r="N187" i="25" a="1"/>
  <c r="N187" i="25" s="1"/>
  <c r="C186" i="25" a="1"/>
  <c r="C186" i="25" s="1"/>
  <c r="H187" i="25" a="1"/>
  <c r="H187" i="25" s="1"/>
  <c r="H186" i="25" a="1"/>
  <c r="H186" i="25" s="1"/>
  <c r="L100" i="25" a="1"/>
  <c r="L100" i="25" s="1"/>
  <c r="G187" i="25" a="1"/>
  <c r="G187" i="25" s="1"/>
  <c r="D187" i="25" a="1"/>
  <c r="D187" i="25" s="1"/>
  <c r="N100" i="25" a="1"/>
  <c r="N100" i="25" s="1"/>
  <c r="O101" i="25" a="1"/>
  <c r="O101" i="25" s="1"/>
  <c r="I186" i="25" a="1"/>
  <c r="I186" i="25" s="1"/>
  <c r="I187" i="25" a="1"/>
  <c r="I187" i="25" s="1"/>
  <c r="D101" i="25" a="1"/>
  <c r="D101" i="25" s="1"/>
  <c r="O100" i="25" a="1"/>
  <c r="O100" i="25" s="1"/>
  <c r="O187" i="25" a="1"/>
  <c r="O187" i="25" s="1"/>
  <c r="G186" i="25" a="1"/>
  <c r="G186" i="25" s="1"/>
  <c r="K100" i="25" a="1"/>
  <c r="K100" i="25" s="1"/>
  <c r="L101" i="25" a="1"/>
  <c r="L101" i="25" s="1"/>
  <c r="F100" i="25" a="1"/>
  <c r="F100" i="25" s="1"/>
  <c r="M187" i="25" a="1"/>
  <c r="M187" i="25" s="1"/>
  <c r="L187" i="25" a="1"/>
  <c r="L187" i="25" s="1"/>
  <c r="J101" i="25" a="1"/>
  <c r="J101" i="25" s="1"/>
  <c r="E101" i="25" a="1"/>
  <c r="E101" i="25" s="1"/>
  <c r="N101" i="25" a="1"/>
  <c r="N101" i="25" s="1"/>
  <c r="C187" i="25" a="1"/>
  <c r="C187" i="25" s="1"/>
  <c r="G100" i="25" a="1"/>
  <c r="G100" i="25" s="1"/>
  <c r="M186" i="25" a="1"/>
  <c r="M186" i="25" s="1"/>
  <c r="L186" i="25" a="1"/>
  <c r="L186" i="25" s="1"/>
  <c r="D100" i="25" a="1"/>
  <c r="D100" i="25" s="1"/>
  <c r="M101" i="25" a="1"/>
  <c r="M101" i="25" s="1"/>
  <c r="I566" i="16"/>
  <c r="I2038" i="16" s="1"/>
  <c r="C157" i="20"/>
  <c r="F157" i="20" s="1"/>
  <c r="N157" i="20" s="1"/>
  <c r="D463" i="16"/>
  <c r="I460" i="16"/>
  <c r="K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K158" i="20"/>
  <c r="L158" i="20"/>
  <c r="M158" i="20"/>
  <c r="N158" i="20"/>
  <c r="O158" i="20"/>
  <c r="P158" i="20"/>
  <c r="Q158" i="20"/>
  <c r="R158" i="20"/>
  <c r="S158" i="20"/>
  <c r="T158" i="20"/>
  <c r="U158" i="20"/>
  <c r="V158" i="20"/>
  <c r="W158" i="20"/>
  <c r="X158" i="20"/>
  <c r="S106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J2045" i="16"/>
  <c r="W888" i="16"/>
  <c r="X2053" i="16"/>
  <c r="J2053" i="16" s="1"/>
  <c r="V1412" i="12"/>
  <c r="V257" i="20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W1164" i="16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26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V928" i="12"/>
  <c r="V929" i="12" s="1"/>
  <c r="V208" i="10" s="1"/>
  <c r="V352" i="10" s="1"/>
  <c r="T1902" i="16"/>
  <c r="U1901" i="16"/>
  <c r="Q2232" i="16"/>
  <c r="Q585" i="16"/>
  <c r="T1921" i="16"/>
  <c r="S2228" i="16"/>
  <c r="S1923" i="16"/>
  <c r="P585" i="16"/>
  <c r="P2232" i="16"/>
  <c r="L619" i="20"/>
  <c r="E660" i="16"/>
  <c r="C208" i="20" s="1"/>
  <c r="E663" i="16"/>
  <c r="C211" i="20" s="1"/>
  <c r="E662" i="16"/>
  <c r="C210" i="20" s="1"/>
  <c r="E661" i="16"/>
  <c r="C209" i="20" s="1"/>
  <c r="X761" i="16"/>
  <c r="X223" i="20" s="1"/>
  <c r="E658" i="16"/>
  <c r="E659" i="16"/>
  <c r="C207" i="20" s="1"/>
  <c r="W106" i="20"/>
  <c r="V106" i="20"/>
  <c r="M106" i="20"/>
  <c r="O106" i="20"/>
  <c r="U106" i="20"/>
  <c r="L106" i="20"/>
  <c r="X106" i="20"/>
  <c r="T106" i="20"/>
  <c r="K106" i="20"/>
  <c r="Q106" i="20"/>
  <c r="C700" i="20"/>
  <c r="C701" i="20" s="1"/>
  <c r="R107" i="20"/>
  <c r="P106" i="20"/>
  <c r="N106" i="20"/>
  <c r="X1233" i="12"/>
  <c r="X1237" i="12" s="1"/>
  <c r="X1394" i="12" s="1"/>
  <c r="W1401" i="12"/>
  <c r="W1411" i="12" s="1"/>
  <c r="X1281" i="16"/>
  <c r="X1228" i="12"/>
  <c r="X1393" i="12" s="1"/>
  <c r="V1406" i="12"/>
  <c r="X1327" i="12"/>
  <c r="X1396" i="12" s="1"/>
  <c r="X1282" i="12"/>
  <c r="X1395" i="12" s="1"/>
  <c r="X1361" i="12"/>
  <c r="X1397" i="12" s="1"/>
  <c r="X899" i="16"/>
  <c r="X1156" i="16"/>
  <c r="X930" i="12"/>
  <c r="X216" i="10" s="1"/>
  <c r="X360" i="10" s="1"/>
  <c r="J518" i="25" a="1"/>
  <c r="J518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4" i="25"/>
  <c r="X1542" i="12"/>
  <c r="X1443" i="12"/>
  <c r="X1428" i="12"/>
  <c r="N225" i="25"/>
  <c r="N73" i="25"/>
  <c r="X1204" i="12"/>
  <c r="X1392" i="12" s="1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P105" i="20"/>
  <c r="X386" i="20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V105" i="20"/>
  <c r="N105" i="20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U105" i="20"/>
  <c r="M105" i="20"/>
  <c r="X365" i="20"/>
  <c r="X1504" i="12"/>
  <c r="X1538" i="12"/>
  <c r="X1427" i="12"/>
  <c r="X1586" i="12"/>
  <c r="X1589" i="12"/>
  <c r="X1537" i="12"/>
  <c r="X1571" i="12"/>
  <c r="X1544" i="12"/>
  <c r="X1494" i="12"/>
  <c r="T105" i="20"/>
  <c r="L105" i="20"/>
  <c r="X1476" i="12"/>
  <c r="X1519" i="12"/>
  <c r="X1592" i="12"/>
  <c r="X1457" i="12"/>
  <c r="X1505" i="12"/>
  <c r="X1436" i="12"/>
  <c r="X1565" i="12"/>
  <c r="X1580" i="12"/>
  <c r="X1562" i="12"/>
  <c r="X1485" i="12"/>
  <c r="X1578" i="12"/>
  <c r="S105" i="20"/>
  <c r="K105" i="20"/>
  <c r="X372" i="20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R105" i="20"/>
  <c r="C693" i="20"/>
  <c r="C694" i="20" s="1"/>
  <c r="Q105" i="20"/>
  <c r="X379" i="20"/>
  <c r="N263" i="25"/>
  <c r="N143" i="25"/>
  <c r="X893" i="16"/>
  <c r="N226" i="25"/>
  <c r="N144" i="25"/>
  <c r="N72" i="25"/>
  <c r="L469" i="25" a="1"/>
  <c r="L469" i="25" s="1"/>
  <c r="V2082" i="16"/>
  <c r="V256" i="20" s="1"/>
  <c r="N470" i="25" a="1"/>
  <c r="N470" i="25" s="1"/>
  <c r="L324" i="25" a="1"/>
  <c r="L324" i="25" s="1"/>
  <c r="L514" i="25" a="1"/>
  <c r="L514" i="25" s="1"/>
  <c r="J373" i="25" a="1"/>
  <c r="J373" i="25" s="1"/>
  <c r="N418" i="25" a="1"/>
  <c r="N418" i="25" s="1"/>
  <c r="G469" i="25" a="1"/>
  <c r="G469" i="25" s="1"/>
  <c r="J370" i="25" a="1"/>
  <c r="J370" i="25" s="1"/>
  <c r="X156" i="11"/>
  <c r="L515" i="25" a="1"/>
  <c r="L515" i="25" s="1"/>
  <c r="D421" i="25" a="1"/>
  <c r="D421" i="25" s="1"/>
  <c r="I466" i="25" a="1"/>
  <c r="I466" i="25" s="1"/>
  <c r="X194" i="11"/>
  <c r="I467" i="25" a="1"/>
  <c r="I467" i="25" s="1"/>
  <c r="N517" i="25" a="1"/>
  <c r="N517" i="25" s="1"/>
  <c r="X157" i="11"/>
  <c r="X905" i="12"/>
  <c r="X917" i="12" s="1"/>
  <c r="X1933" i="12" s="1"/>
  <c r="H324" i="25" a="1"/>
  <c r="H324" i="25" s="1"/>
  <c r="L326" i="25" a="1"/>
  <c r="L326" i="25" s="1"/>
  <c r="L419" i="25" a="1"/>
  <c r="L419" i="25" s="1"/>
  <c r="N515" i="25" a="1"/>
  <c r="N515" i="25" s="1"/>
  <c r="H373" i="25" a="1"/>
  <c r="H373" i="25" s="1"/>
  <c r="J421" i="25" a="1"/>
  <c r="J421" i="25" s="1"/>
  <c r="I326" i="25" a="1"/>
  <c r="I326" i="25" s="1"/>
  <c r="J323" i="25" a="1"/>
  <c r="J323" i="25" s="1"/>
  <c r="K423" i="25" a="1"/>
  <c r="K423" i="25" s="1"/>
  <c r="N518" i="25" a="1"/>
  <c r="N518" i="25" s="1"/>
  <c r="J326" i="25" a="1"/>
  <c r="J326" i="25" s="1"/>
  <c r="J471" i="25" a="1"/>
  <c r="J471" i="25" s="1"/>
  <c r="J514" i="25" a="1"/>
  <c r="J514" i="25" s="1"/>
  <c r="K328" i="25" a="1"/>
  <c r="K328" i="25" s="1"/>
  <c r="D324" i="25" a="1"/>
  <c r="D324" i="25" s="1"/>
  <c r="X216" i="11"/>
  <c r="X195" i="11"/>
  <c r="X215" i="11"/>
  <c r="L471" i="25" a="1"/>
  <c r="L471" i="25" s="1"/>
  <c r="L323" i="25" a="1"/>
  <c r="L323" i="25" s="1"/>
  <c r="H372" i="25" a="1"/>
  <c r="H372" i="25" s="1"/>
  <c r="X197" i="11"/>
  <c r="X153" i="11"/>
  <c r="I518" i="25" a="1"/>
  <c r="I518" i="25" s="1"/>
  <c r="N327" i="25" a="1"/>
  <c r="N327" i="25" s="1"/>
  <c r="L370" i="25" a="1"/>
  <c r="L370" i="25" s="1"/>
  <c r="K471" i="25" a="1"/>
  <c r="K471" i="25" s="1"/>
  <c r="I324" i="25" a="1"/>
  <c r="I324" i="25" s="1"/>
  <c r="N323" i="25" a="1"/>
  <c r="N323" i="25" s="1"/>
  <c r="L468" i="25" a="1"/>
  <c r="L468" i="25" s="1"/>
  <c r="N469" i="25" a="1"/>
  <c r="N469" i="25" s="1"/>
  <c r="J423" i="25" a="1"/>
  <c r="J423" i="25" s="1"/>
  <c r="M515" i="25" a="1"/>
  <c r="M515" i="25" s="1"/>
  <c r="H375" i="25" a="1"/>
  <c r="H375" i="25" s="1"/>
  <c r="C420" i="25" a="1"/>
  <c r="C420" i="25" s="1"/>
  <c r="X150" i="11"/>
  <c r="X214" i="11"/>
  <c r="L375" i="25" a="1"/>
  <c r="L375" i="25" s="1"/>
  <c r="K327" i="25" a="1"/>
  <c r="K327" i="25" s="1"/>
  <c r="D418" i="25" a="1"/>
  <c r="D418" i="25" s="1"/>
  <c r="L420" i="25" a="1"/>
  <c r="L420" i="25" s="1"/>
  <c r="J372" i="25" a="1"/>
  <c r="J372" i="25" s="1"/>
  <c r="I325" i="25" a="1"/>
  <c r="I325" i="25" s="1"/>
  <c r="J422" i="25" a="1"/>
  <c r="J422" i="25" s="1"/>
  <c r="N422" i="25" a="1"/>
  <c r="N422" i="25" s="1"/>
  <c r="L325" i="25" a="1"/>
  <c r="L325" i="25" s="1"/>
  <c r="J325" i="25" a="1"/>
  <c r="J325" i="25" s="1"/>
  <c r="N423" i="25" a="1"/>
  <c r="N423" i="25" s="1"/>
  <c r="I371" i="25" a="1"/>
  <c r="I371" i="25" s="1"/>
  <c r="J374" i="25" a="1"/>
  <c r="J374" i="25" s="1"/>
  <c r="J467" i="25" a="1"/>
  <c r="J467" i="25" s="1"/>
  <c r="I516" i="25" a="1"/>
  <c r="I516" i="25" s="1"/>
  <c r="F420" i="25" a="1"/>
  <c r="F420" i="25" s="1"/>
  <c r="C324" i="25" a="1"/>
  <c r="C324" i="25" s="1"/>
  <c r="X217" i="11"/>
  <c r="X158" i="11"/>
  <c r="N467" i="25" a="1"/>
  <c r="N467" i="25" s="1"/>
  <c r="N324" i="25" a="1"/>
  <c r="N324" i="25" s="1"/>
  <c r="N375" i="25" a="1"/>
  <c r="N375" i="25" s="1"/>
  <c r="N328" i="25" a="1"/>
  <c r="N328" i="25" s="1"/>
  <c r="N373" i="25" a="1"/>
  <c r="N373" i="25" s="1"/>
  <c r="I517" i="25" a="1"/>
  <c r="I517" i="25" s="1"/>
  <c r="K371" i="25" a="1"/>
  <c r="K371" i="25" s="1"/>
  <c r="J324" i="25" a="1"/>
  <c r="J324" i="25" s="1"/>
  <c r="I423" i="25" a="1"/>
  <c r="I423" i="25" s="1"/>
  <c r="I422" i="25" a="1"/>
  <c r="I422" i="25" s="1"/>
  <c r="G419" i="25" a="1"/>
  <c r="G419" i="25" s="1"/>
  <c r="C518" i="25" a="1"/>
  <c r="C518" i="25" s="1"/>
  <c r="X196" i="11"/>
  <c r="X155" i="11"/>
  <c r="K375" i="25" a="1"/>
  <c r="K375" i="25" s="1"/>
  <c r="N420" i="25" a="1"/>
  <c r="N420" i="25" s="1"/>
  <c r="L466" i="25" a="1"/>
  <c r="L466" i="25" s="1"/>
  <c r="N466" i="25" a="1"/>
  <c r="N466" i="25" s="1"/>
  <c r="K374" i="25" a="1"/>
  <c r="K374" i="25" s="1"/>
  <c r="N371" i="25" a="1"/>
  <c r="N371" i="25" s="1"/>
  <c r="I421" i="25" a="1"/>
  <c r="I421" i="25" s="1"/>
  <c r="J468" i="25" a="1"/>
  <c r="J468" i="25" s="1"/>
  <c r="N370" i="25" a="1"/>
  <c r="N370" i="25" s="1"/>
  <c r="I513" i="25" a="1"/>
  <c r="I513" i="25" s="1"/>
  <c r="X1838" i="16"/>
  <c r="K420" i="25" a="1"/>
  <c r="K420" i="25" s="1"/>
  <c r="N372" i="25" a="1"/>
  <c r="N372" i="25" s="1"/>
  <c r="I328" i="25" a="1"/>
  <c r="I328" i="25" s="1"/>
  <c r="J466" i="25" a="1"/>
  <c r="J466" i="25" s="1"/>
  <c r="I515" i="25" a="1"/>
  <c r="I515" i="25" s="1"/>
  <c r="N421" i="25" a="1"/>
  <c r="N421" i="25" s="1"/>
  <c r="K325" i="25" a="1"/>
  <c r="K325" i="25" s="1"/>
  <c r="I470" i="25" a="1"/>
  <c r="I470" i="25" s="1"/>
  <c r="I370" i="25" a="1"/>
  <c r="I370" i="25" s="1"/>
  <c r="K518" i="25" a="1"/>
  <c r="K518" i="25" s="1"/>
  <c r="L371" i="25" a="1"/>
  <c r="L371" i="25" s="1"/>
  <c r="L328" i="25" a="1"/>
  <c r="L328" i="25" s="1"/>
  <c r="M516" i="25" a="1"/>
  <c r="M516" i="25" s="1"/>
  <c r="F466" i="25" a="1"/>
  <c r="F466" i="25" s="1"/>
  <c r="P77" i="25"/>
  <c r="X152" i="11"/>
  <c r="X193" i="11"/>
  <c r="X149" i="11"/>
  <c r="L374" i="25" a="1"/>
  <c r="L374" i="25" s="1"/>
  <c r="J328" i="25" a="1"/>
  <c r="J328" i="25" s="1"/>
  <c r="N419" i="25" a="1"/>
  <c r="N419" i="25" s="1"/>
  <c r="J375" i="25" a="1"/>
  <c r="J375" i="25" s="1"/>
  <c r="K515" i="25" a="1"/>
  <c r="K515" i="25" s="1"/>
  <c r="J513" i="25" a="1"/>
  <c r="J513" i="25" s="1"/>
  <c r="J419" i="25" a="1"/>
  <c r="J419" i="25" s="1"/>
  <c r="N514" i="25" a="1"/>
  <c r="N514" i="25" s="1"/>
  <c r="L470" i="25" a="1"/>
  <c r="L470" i="25" s="1"/>
  <c r="K323" i="25" a="1"/>
  <c r="K323" i="25" s="1"/>
  <c r="J517" i="25" a="1"/>
  <c r="J517" i="25" s="1"/>
  <c r="J515" i="25" a="1"/>
  <c r="J515" i="25" s="1"/>
  <c r="K468" i="25" a="1"/>
  <c r="K468" i="25" s="1"/>
  <c r="K418" i="25" a="1"/>
  <c r="K418" i="25" s="1"/>
  <c r="K466" i="25" a="1"/>
  <c r="K466" i="25" s="1"/>
  <c r="F370" i="25" a="1"/>
  <c r="F370" i="25" s="1"/>
  <c r="X151" i="11"/>
  <c r="X218" i="11"/>
  <c r="J469" i="25" a="1"/>
  <c r="J469" i="25" s="1"/>
  <c r="M324" i="25" a="1"/>
  <c r="M324" i="25" s="1"/>
  <c r="G421" i="25" a="1"/>
  <c r="G421" i="25" s="1"/>
  <c r="F324" i="25" a="1"/>
  <c r="F324" i="25" s="1"/>
  <c r="F515" i="25" a="1"/>
  <c r="F515" i="25" s="1"/>
  <c r="G326" i="25" a="1"/>
  <c r="G326" i="25" s="1"/>
  <c r="D372" i="25" a="1"/>
  <c r="D372" i="25" s="1"/>
  <c r="C468" i="25" a="1"/>
  <c r="C468" i="25" s="1"/>
  <c r="P13" i="25"/>
  <c r="P66" i="25" s="1"/>
  <c r="L372" i="25" a="1"/>
  <c r="L372" i="25" s="1"/>
  <c r="M423" i="25" a="1"/>
  <c r="M423" i="25" s="1"/>
  <c r="M468" i="25" a="1"/>
  <c r="M468" i="25" s="1"/>
  <c r="I471" i="25" a="1"/>
  <c r="I471" i="25" s="1"/>
  <c r="F518" i="25" a="1"/>
  <c r="F518" i="25" s="1"/>
  <c r="G420" i="25" a="1"/>
  <c r="G420" i="25" s="1"/>
  <c r="D470" i="25" a="1"/>
  <c r="D470" i="25" s="1"/>
  <c r="C326" i="25" a="1"/>
  <c r="C326" i="25" s="1"/>
  <c r="C514" i="25" a="1"/>
  <c r="C514" i="25" s="1"/>
  <c r="X264" i="12"/>
  <c r="M420" i="25" a="1"/>
  <c r="M420" i="25" s="1"/>
  <c r="I374" i="25" a="1"/>
  <c r="I374" i="25" s="1"/>
  <c r="G324" i="25" a="1"/>
  <c r="G324" i="25" s="1"/>
  <c r="F328" i="25" a="1"/>
  <c r="F328" i="25" s="1"/>
  <c r="D370" i="25" a="1"/>
  <c r="D370" i="25" s="1"/>
  <c r="D518" i="25" a="1"/>
  <c r="D518" i="25" s="1"/>
  <c r="C422" i="25" a="1"/>
  <c r="C422" i="25" s="1"/>
  <c r="X520" i="12"/>
  <c r="L418" i="25" a="1"/>
  <c r="L418" i="25" s="1"/>
  <c r="H421" i="25" a="1"/>
  <c r="H421" i="25" s="1"/>
  <c r="G375" i="25" a="1"/>
  <c r="G375" i="25" s="1"/>
  <c r="G515" i="25" a="1"/>
  <c r="G515" i="25" s="1"/>
  <c r="C374" i="25" a="1"/>
  <c r="C374" i="25" s="1"/>
  <c r="D420" i="25" a="1"/>
  <c r="D420" i="25" s="1"/>
  <c r="C421" i="25" a="1"/>
  <c r="C421" i="25" s="1"/>
  <c r="L517" i="25" a="1"/>
  <c r="L517" i="25" s="1"/>
  <c r="I469" i="25" a="1"/>
  <c r="I469" i="25" s="1"/>
  <c r="M470" i="25" a="1"/>
  <c r="M470" i="25" s="1"/>
  <c r="H514" i="25" a="1"/>
  <c r="H514" i="25" s="1"/>
  <c r="H468" i="25" a="1"/>
  <c r="H468" i="25" s="1"/>
  <c r="E423" i="25" a="1"/>
  <c r="E423" i="25" s="1"/>
  <c r="F423" i="25" a="1"/>
  <c r="F423" i="25" s="1"/>
  <c r="E466" i="25" a="1"/>
  <c r="E466" i="25" s="1"/>
  <c r="E515" i="25" a="1"/>
  <c r="E515" i="25" s="1"/>
  <c r="C323" i="25" a="1"/>
  <c r="C323" i="25" s="1"/>
  <c r="L513" i="25" a="1"/>
  <c r="L513" i="25" s="1"/>
  <c r="M375" i="25" a="1"/>
  <c r="M375" i="25" s="1"/>
  <c r="G373" i="25" a="1"/>
  <c r="G373" i="25" s="1"/>
  <c r="H325" i="25" a="1"/>
  <c r="H325" i="25" s="1"/>
  <c r="F325" i="25" a="1"/>
  <c r="F325" i="25" s="1"/>
  <c r="F323" i="25" a="1"/>
  <c r="F323" i="25" s="1"/>
  <c r="E467" i="25" a="1"/>
  <c r="E467" i="25" s="1"/>
  <c r="D422" i="25" a="1"/>
  <c r="D422" i="25" s="1"/>
  <c r="C516" i="25" a="1"/>
  <c r="C516" i="25" s="1"/>
  <c r="I195" i="25" a="1"/>
  <c r="I195" i="25" s="1"/>
  <c r="X2135" i="16"/>
  <c r="N194" i="25" a="1"/>
  <c r="N194" i="25" s="1"/>
  <c r="I411" i="25" a="1"/>
  <c r="I411" i="25" s="1"/>
  <c r="K506" i="25" a="1"/>
  <c r="K506" i="25" s="1"/>
  <c r="J507" i="25" a="1"/>
  <c r="J507" i="25" s="1"/>
  <c r="J364" i="25" a="1"/>
  <c r="J364" i="25" s="1"/>
  <c r="I459" i="25" a="1"/>
  <c r="I459" i="25" s="1"/>
  <c r="L410" i="25" a="1"/>
  <c r="L410" i="25" s="1"/>
  <c r="K459" i="25" a="1"/>
  <c r="K459" i="25" s="1"/>
  <c r="N109" i="25" a="1"/>
  <c r="N109" i="25" s="1"/>
  <c r="J316" i="25" a="1"/>
  <c r="J316" i="25" s="1"/>
  <c r="J458" i="25" a="1"/>
  <c r="J458" i="25" s="1"/>
  <c r="X1717" i="12"/>
  <c r="X1874" i="12" s="1"/>
  <c r="X1912" i="12" s="1"/>
  <c r="F364" i="25" a="1"/>
  <c r="F364" i="25" s="1"/>
  <c r="X385" i="20"/>
  <c r="N506" i="25" a="1"/>
  <c r="N506" i="25" s="1"/>
  <c r="K92" i="25" a="1"/>
  <c r="K92" i="25" s="1"/>
  <c r="J194" i="25" a="1"/>
  <c r="J194" i="25" s="1"/>
  <c r="H507" i="25" a="1"/>
  <c r="H507" i="25" s="1"/>
  <c r="O370" i="25" a="1"/>
  <c r="O370" i="25" s="1"/>
  <c r="K410" i="25" a="1"/>
  <c r="K410" i="25" s="1"/>
  <c r="O325" i="25" a="1"/>
  <c r="O325" i="25" s="1"/>
  <c r="N317" i="25" a="1"/>
  <c r="N317" i="25" s="1"/>
  <c r="N363" i="25" a="1"/>
  <c r="N363" i="25" s="1"/>
  <c r="K411" i="25" a="1"/>
  <c r="K411" i="25" s="1"/>
  <c r="L507" i="25" a="1"/>
  <c r="L507" i="25" s="1"/>
  <c r="K507" i="25" a="1"/>
  <c r="K507" i="25" s="1"/>
  <c r="X626" i="16"/>
  <c r="X810" i="16" s="1"/>
  <c r="O516" i="25" a="1"/>
  <c r="O516" i="25" s="1"/>
  <c r="M506" i="25" a="1"/>
  <c r="M506" i="25" s="1"/>
  <c r="O379" i="25"/>
  <c r="K109" i="25" a="1"/>
  <c r="K109" i="25" s="1"/>
  <c r="L411" i="25" a="1"/>
  <c r="L411" i="25" s="1"/>
  <c r="O285" i="25"/>
  <c r="E410" i="25" a="1"/>
  <c r="E410" i="25" s="1"/>
  <c r="X753" i="16"/>
  <c r="X215" i="20" s="1"/>
  <c r="D109" i="25" a="1"/>
  <c r="D109" i="25" s="1"/>
  <c r="C316" i="25" a="1"/>
  <c r="C316" i="25" s="1"/>
  <c r="O195" i="25" a="1"/>
  <c r="O195" i="25" s="1"/>
  <c r="M411" i="25" a="1"/>
  <c r="M411" i="25" s="1"/>
  <c r="I507" i="25" a="1"/>
  <c r="I507" i="25" s="1"/>
  <c r="D459" i="25" a="1"/>
  <c r="D459" i="25" s="1"/>
  <c r="K458" i="25" a="1"/>
  <c r="K458" i="25" s="1"/>
  <c r="H363" i="25" a="1"/>
  <c r="H363" i="25" s="1"/>
  <c r="C317" i="25" a="1"/>
  <c r="C317" i="25" s="1"/>
  <c r="L459" i="25" a="1"/>
  <c r="L459" i="25" s="1"/>
  <c r="M507" i="25" a="1"/>
  <c r="M507" i="25" s="1"/>
  <c r="X807" i="16"/>
  <c r="J490" i="25" a="1"/>
  <c r="J490" i="25" s="1"/>
  <c r="K104" i="25" a="1"/>
  <c r="K104" i="25" s="1"/>
  <c r="K178" i="25" a="1"/>
  <c r="K178" i="25" s="1"/>
  <c r="N347" i="25" a="1"/>
  <c r="N347" i="25" s="1"/>
  <c r="L300" i="25" a="1"/>
  <c r="L300" i="25" s="1"/>
  <c r="I658" i="16"/>
  <c r="G206" i="20" s="1"/>
  <c r="X749" i="16"/>
  <c r="X211" i="20" s="1"/>
  <c r="N442" i="25" a="1"/>
  <c r="N442" i="25" s="1"/>
  <c r="X746" i="16"/>
  <c r="X208" i="20" s="1"/>
  <c r="X759" i="16"/>
  <c r="X221" i="20" s="1"/>
  <c r="K297" i="25" a="1"/>
  <c r="K297" i="25" s="1"/>
  <c r="X1138" i="12"/>
  <c r="X1158" i="12" s="1"/>
  <c r="H93" i="25" a="1"/>
  <c r="H93" i="25" s="1"/>
  <c r="W1477" i="12"/>
  <c r="W1634" i="12" s="1"/>
  <c r="M502" i="25" a="1"/>
  <c r="M502" i="25" s="1"/>
  <c r="E363" i="25" a="1"/>
  <c r="E363" i="25" s="1"/>
  <c r="I105" i="25" a="1"/>
  <c r="I105" i="25" s="1"/>
  <c r="W805" i="16"/>
  <c r="H406" i="25" a="1"/>
  <c r="H406" i="25" s="1"/>
  <c r="J313" i="25" a="1"/>
  <c r="J313" i="25" s="1"/>
  <c r="J104" i="25" a="1"/>
  <c r="J104" i="25" s="1"/>
  <c r="J407" i="25" a="1"/>
  <c r="J407" i="25" s="1"/>
  <c r="D363" i="25" a="1"/>
  <c r="D363" i="25" s="1"/>
  <c r="N195" i="25" a="1"/>
  <c r="N195" i="25" s="1"/>
  <c r="O373" i="25" a="1"/>
  <c r="O373" i="25" s="1"/>
  <c r="O427" i="25"/>
  <c r="J317" i="25" a="1"/>
  <c r="J317" i="25" s="1"/>
  <c r="J108" i="25" a="1"/>
  <c r="J108" i="25" s="1"/>
  <c r="N316" i="25" a="1"/>
  <c r="N316" i="25" s="1"/>
  <c r="K363" i="25" a="1"/>
  <c r="K363" i="25" s="1"/>
  <c r="I410" i="25" a="1"/>
  <c r="I410" i="25" s="1"/>
  <c r="I109" i="25" a="1"/>
  <c r="I109" i="25" s="1"/>
  <c r="M108" i="25" a="1"/>
  <c r="M108" i="25" s="1"/>
  <c r="G459" i="25" a="1"/>
  <c r="G459" i="25" s="1"/>
  <c r="F359" i="25" a="1"/>
  <c r="F359" i="25" s="1"/>
  <c r="G506" i="25" a="1"/>
  <c r="G506" i="25" s="1"/>
  <c r="G364" i="25" a="1"/>
  <c r="G364" i="25" s="1"/>
  <c r="F108" i="25" a="1"/>
  <c r="F108" i="25" s="1"/>
  <c r="L109" i="25" a="1"/>
  <c r="L109" i="25" s="1"/>
  <c r="N458" i="25" a="1"/>
  <c r="N458" i="25" s="1"/>
  <c r="O109" i="25" a="1"/>
  <c r="O109" i="25" s="1"/>
  <c r="O475" i="25"/>
  <c r="O592" i="25" s="1"/>
  <c r="X493" i="20"/>
  <c r="X494" i="20" s="1"/>
  <c r="E406" i="25" a="1"/>
  <c r="E406" i="25" s="1"/>
  <c r="N443" i="25" a="1"/>
  <c r="N443" i="25" s="1"/>
  <c r="I194" i="25" a="1"/>
  <c r="I194" i="25" s="1"/>
  <c r="X331" i="16"/>
  <c r="X806" i="16" s="1"/>
  <c r="N348" i="25" a="1"/>
  <c r="N348" i="25" s="1"/>
  <c r="H459" i="25" a="1"/>
  <c r="H459" i="25" s="1"/>
  <c r="L363" i="25" a="1"/>
  <c r="L363" i="25" s="1"/>
  <c r="X228" i="10"/>
  <c r="L506" i="25" a="1"/>
  <c r="L506" i="25" s="1"/>
  <c r="J410" i="25" a="1"/>
  <c r="J410" i="25" s="1"/>
  <c r="L194" i="25" a="1"/>
  <c r="L194" i="25" s="1"/>
  <c r="K108" i="25" a="1"/>
  <c r="K108" i="25" s="1"/>
  <c r="M439" i="25" a="1"/>
  <c r="M439" i="25" s="1"/>
  <c r="M363" i="25" a="1"/>
  <c r="M363" i="25" s="1"/>
  <c r="I364" i="25" a="1"/>
  <c r="I364" i="25" s="1"/>
  <c r="O323" i="25" a="1"/>
  <c r="O323" i="25" s="1"/>
  <c r="O471" i="25" a="1"/>
  <c r="O471" i="25" s="1"/>
  <c r="O163" i="25"/>
  <c r="O217" i="25" s="1"/>
  <c r="N507" i="25" a="1"/>
  <c r="N507" i="25" s="1"/>
  <c r="N406" i="25" a="1"/>
  <c r="N406" i="25" s="1"/>
  <c r="K194" i="25" a="1"/>
  <c r="K194" i="25" s="1"/>
  <c r="N179" i="25" a="1"/>
  <c r="N179" i="25" s="1"/>
  <c r="L395" i="25" a="1"/>
  <c r="L395" i="25" s="1"/>
  <c r="J109" i="25" a="1"/>
  <c r="J109" i="25" s="1"/>
  <c r="L406" i="25" a="1"/>
  <c r="L406" i="25" s="1"/>
  <c r="N459" i="25" a="1"/>
  <c r="N459" i="25" s="1"/>
  <c r="J363" i="25" a="1"/>
  <c r="J363" i="25" s="1"/>
  <c r="H458" i="25" a="1"/>
  <c r="H458" i="25" s="1"/>
  <c r="D410" i="25" a="1"/>
  <c r="D410" i="25" s="1"/>
  <c r="D364" i="25" a="1"/>
  <c r="D364" i="25" s="1"/>
  <c r="O372" i="25" a="1"/>
  <c r="O372" i="25" s="1"/>
  <c r="O467" i="25" a="1"/>
  <c r="O467" i="25" s="1"/>
  <c r="W324" i="10"/>
  <c r="L93" i="25" a="1"/>
  <c r="L93" i="25" s="1"/>
  <c r="N360" i="25" a="1"/>
  <c r="N360" i="25" s="1"/>
  <c r="I108" i="25" a="1"/>
  <c r="I108" i="25" s="1"/>
  <c r="L407" i="25" a="1"/>
  <c r="L407" i="25" s="1"/>
  <c r="N108" i="25" a="1"/>
  <c r="N108" i="25" s="1"/>
  <c r="L195" i="25" a="1"/>
  <c r="L195" i="25" s="1"/>
  <c r="N364" i="25" a="1"/>
  <c r="N364" i="25" s="1"/>
  <c r="J411" i="25" a="1"/>
  <c r="J411" i="25" s="1"/>
  <c r="K316" i="25" a="1"/>
  <c r="K316" i="25" s="1"/>
  <c r="O507" i="25" a="1"/>
  <c r="O507" i="25" s="1"/>
  <c r="O332" i="25"/>
  <c r="X329" i="20"/>
  <c r="X330" i="20" s="1"/>
  <c r="W1444" i="12"/>
  <c r="W1632" i="12" s="1"/>
  <c r="X86" i="20"/>
  <c r="X1205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59" i="25" a="1"/>
  <c r="I359" i="25" s="1"/>
  <c r="H92" i="25" a="1"/>
  <c r="H92" i="25" s="1"/>
  <c r="H486" i="25" a="1"/>
  <c r="H486" i="25" s="1"/>
  <c r="L348" i="25" a="1"/>
  <c r="L348" i="25" s="1"/>
  <c r="J105" i="25" a="1"/>
  <c r="J105" i="25" s="1"/>
  <c r="H348" i="25" a="1"/>
  <c r="H348" i="25" s="1"/>
  <c r="L394" i="25" a="1"/>
  <c r="L394" i="25" s="1"/>
  <c r="K179" i="25" a="1"/>
  <c r="K179" i="25" s="1"/>
  <c r="J93" i="25" a="1"/>
  <c r="J93" i="25" s="1"/>
  <c r="I297" i="25" a="1"/>
  <c r="I297" i="25" s="1"/>
  <c r="K347" i="25" a="1"/>
  <c r="K347" i="25" s="1"/>
  <c r="N313" i="25" a="1"/>
  <c r="N313" i="25" s="1"/>
  <c r="L490" i="25" a="1"/>
  <c r="L490" i="25" s="1"/>
  <c r="L92" i="25" a="1"/>
  <c r="L92" i="25" s="1"/>
  <c r="J406" i="25" a="1"/>
  <c r="J406" i="25" s="1"/>
  <c r="J301" i="25" a="1"/>
  <c r="J301" i="25" s="1"/>
  <c r="I348" i="25" a="1"/>
  <c r="I348" i="25" s="1"/>
  <c r="W699" i="16"/>
  <c r="X765" i="16"/>
  <c r="X227" i="20" s="1"/>
  <c r="X767" i="16"/>
  <c r="X229" i="20" s="1"/>
  <c r="X772" i="16"/>
  <c r="X234" i="20" s="1"/>
  <c r="X773" i="16"/>
  <c r="X235" i="20" s="1"/>
  <c r="X776" i="16"/>
  <c r="X238" i="20" s="1"/>
  <c r="M359" i="25" a="1"/>
  <c r="M359" i="25" s="1"/>
  <c r="M178" i="25" a="1"/>
  <c r="M178" i="25" s="1"/>
  <c r="M438" i="25" a="1"/>
  <c r="M438" i="25" s="1"/>
  <c r="K313" i="25" a="1"/>
  <c r="K313" i="25" s="1"/>
  <c r="J2090" i="16"/>
  <c r="N359" i="25" a="1"/>
  <c r="N359" i="25" s="1"/>
  <c r="I301" i="25" a="1"/>
  <c r="I301" i="25" s="1"/>
  <c r="J394" i="25" a="1"/>
  <c r="J394" i="25" s="1"/>
  <c r="K502" i="25" a="1"/>
  <c r="K502" i="25" s="1"/>
  <c r="N105" i="25" a="1"/>
  <c r="N105" i="25" s="1"/>
  <c r="I406" i="25" a="1"/>
  <c r="I406" i="25" s="1"/>
  <c r="W246" i="20"/>
  <c r="W251" i="20" s="1"/>
  <c r="O73" i="25" s="1"/>
  <c r="N455" i="25" a="1"/>
  <c r="N455" i="25" s="1"/>
  <c r="X752" i="16"/>
  <c r="X214" i="20" s="1"/>
  <c r="X754" i="16"/>
  <c r="X216" i="20" s="1"/>
  <c r="X783" i="16"/>
  <c r="X245" i="20" s="1"/>
  <c r="X760" i="16"/>
  <c r="X222" i="20" s="1"/>
  <c r="X778" i="16"/>
  <c r="X240" i="20" s="1"/>
  <c r="M105" i="25" a="1"/>
  <c r="M105" i="25" s="1"/>
  <c r="M443" i="25" a="1"/>
  <c r="M443" i="25" s="1"/>
  <c r="H442" i="25" a="1"/>
  <c r="H442" i="25" s="1"/>
  <c r="H455" i="25" a="1"/>
  <c r="H455" i="25" s="1"/>
  <c r="I442" i="25" a="1"/>
  <c r="I442" i="25" s="1"/>
  <c r="J443" i="25" a="1"/>
  <c r="J443" i="25" s="1"/>
  <c r="J502" i="25" a="1"/>
  <c r="J502" i="25" s="1"/>
  <c r="L312" i="25" a="1"/>
  <c r="L312" i="25" s="1"/>
  <c r="J359" i="25" a="1"/>
  <c r="J359" i="25" s="1"/>
  <c r="N301" i="25" a="1"/>
  <c r="N301" i="25" s="1"/>
  <c r="J395" i="25" a="1"/>
  <c r="J395" i="25" s="1"/>
  <c r="N104" i="25" a="1"/>
  <c r="N104" i="25" s="1"/>
  <c r="N312" i="25" a="1"/>
  <c r="N312" i="25" s="1"/>
  <c r="L503" i="25" a="1"/>
  <c r="L503" i="25" s="1"/>
  <c r="N174" i="25" a="1"/>
  <c r="N174" i="25" s="1"/>
  <c r="J455" i="25" a="1"/>
  <c r="J455" i="25" s="1"/>
  <c r="N92" i="25" a="1"/>
  <c r="N92" i="25" s="1"/>
  <c r="L347" i="25" a="1"/>
  <c r="L347" i="25" s="1"/>
  <c r="X781" i="16"/>
  <c r="X243" i="20" s="1"/>
  <c r="X763" i="16"/>
  <c r="X225" i="20" s="1"/>
  <c r="X758" i="16"/>
  <c r="X220" i="20" s="1"/>
  <c r="X745" i="16"/>
  <c r="I659" i="16" s="1"/>
  <c r="G207" i="20" s="1"/>
  <c r="X762" i="16"/>
  <c r="X224" i="20" s="1"/>
  <c r="M93" i="25" a="1"/>
  <c r="M93" i="25" s="1"/>
  <c r="K442" i="25" a="1"/>
  <c r="K442" i="25" s="1"/>
  <c r="G191" i="25" a="1"/>
  <c r="G191" i="25" s="1"/>
  <c r="E300" i="25" a="1"/>
  <c r="E300" i="25" s="1"/>
  <c r="K491" i="25" a="1"/>
  <c r="K491" i="25" s="1"/>
  <c r="X119" i="11"/>
  <c r="X364" i="20"/>
  <c r="H503" i="25" a="1"/>
  <c r="H503" i="25" s="1"/>
  <c r="X1505" i="16"/>
  <c r="N93" i="25" a="1"/>
  <c r="N93" i="25" s="1"/>
  <c r="K301" i="25" a="1"/>
  <c r="K301" i="25" s="1"/>
  <c r="K190" i="25" a="1"/>
  <c r="K190" i="25" s="1"/>
  <c r="H300" i="25" a="1"/>
  <c r="H300" i="25" s="1"/>
  <c r="L104" i="25" a="1"/>
  <c r="L104" i="25" s="1"/>
  <c r="L359" i="25" a="1"/>
  <c r="L359" i="25" s="1"/>
  <c r="N190" i="25" a="1"/>
  <c r="N190" i="25" s="1"/>
  <c r="J190" i="25" a="1"/>
  <c r="J190" i="25" s="1"/>
  <c r="L313" i="25" a="1"/>
  <c r="L313" i="25" s="1"/>
  <c r="X751" i="16"/>
  <c r="X213" i="20" s="1"/>
  <c r="X756" i="16"/>
  <c r="X218" i="20" s="1"/>
  <c r="X769" i="16"/>
  <c r="X231" i="20" s="1"/>
  <c r="X764" i="16"/>
  <c r="X226" i="20" s="1"/>
  <c r="X768" i="16"/>
  <c r="X230" i="20" s="1"/>
  <c r="M503" i="25" a="1"/>
  <c r="M503" i="25" s="1"/>
  <c r="K191" i="25" a="1"/>
  <c r="K191" i="25" s="1"/>
  <c r="X923" i="16"/>
  <c r="I190" i="25" a="1"/>
  <c r="I190" i="25" s="1"/>
  <c r="J442" i="25" a="1"/>
  <c r="J442" i="25" s="1"/>
  <c r="J92" i="25" a="1"/>
  <c r="J92" i="25" s="1"/>
  <c r="N300" i="25" a="1"/>
  <c r="N300" i="25" s="1"/>
  <c r="L502" i="25" a="1"/>
  <c r="L502" i="25" s="1"/>
  <c r="K443" i="25" a="1"/>
  <c r="K443" i="25" s="1"/>
  <c r="H179" i="25" a="1"/>
  <c r="H179" i="25" s="1"/>
  <c r="I443" i="25" a="1"/>
  <c r="I443" i="25" s="1"/>
  <c r="J312" i="25" a="1"/>
  <c r="J312" i="25" s="1"/>
  <c r="L360" i="25" a="1"/>
  <c r="L360" i="25" s="1"/>
  <c r="K105" i="25" a="1"/>
  <c r="K105" i="25" s="1"/>
  <c r="J360" i="25" a="1"/>
  <c r="J360" i="25" s="1"/>
  <c r="X775" i="16"/>
  <c r="X237" i="20" s="1"/>
  <c r="X766" i="16"/>
  <c r="X228" i="20" s="1"/>
  <c r="X747" i="16"/>
  <c r="X209" i="20" s="1"/>
  <c r="X777" i="16"/>
  <c r="X771" i="16"/>
  <c r="X233" i="20" s="1"/>
  <c r="K503" i="25" a="1"/>
  <c r="K503" i="25" s="1"/>
  <c r="M454" i="25" a="1"/>
  <c r="M454" i="25" s="1"/>
  <c r="K360" i="25" a="1"/>
  <c r="K360" i="25" s="1"/>
  <c r="L442" i="25" a="1"/>
  <c r="L442" i="25" s="1"/>
  <c r="I300" i="25" a="1"/>
  <c r="I300" i="25" s="1"/>
  <c r="J454" i="25" a="1"/>
  <c r="J454" i="25" s="1"/>
  <c r="N502" i="25" a="1"/>
  <c r="N502" i="25" s="1"/>
  <c r="L443" i="25" a="1"/>
  <c r="L443" i="25" s="1"/>
  <c r="K93" i="25" a="1"/>
  <c r="K93" i="25" s="1"/>
  <c r="N394" i="25" a="1"/>
  <c r="N394" i="25" s="1"/>
  <c r="L178" i="25" a="1"/>
  <c r="L178" i="25" s="1"/>
  <c r="X782" i="16"/>
  <c r="X244" i="20" s="1"/>
  <c r="X774" i="16"/>
  <c r="X236" i="20" s="1"/>
  <c r="X780" i="16"/>
  <c r="X242" i="20" s="1"/>
  <c r="X779" i="16"/>
  <c r="X241" i="20" s="1"/>
  <c r="X755" i="16"/>
  <c r="X217" i="20" s="1"/>
  <c r="M406" i="25" a="1"/>
  <c r="M406" i="25" s="1"/>
  <c r="G301" i="25" a="1"/>
  <c r="G301" i="25" s="1"/>
  <c r="G105" i="25" a="1"/>
  <c r="G105" i="25" s="1"/>
  <c r="G178" i="25" a="1"/>
  <c r="G178" i="25" s="1"/>
  <c r="J178" i="25" a="1"/>
  <c r="J178" i="25" s="1"/>
  <c r="K454" i="25" a="1"/>
  <c r="K454" i="25" s="1"/>
  <c r="N178" i="25" a="1"/>
  <c r="N178" i="25" s="1"/>
  <c r="J348" i="25" a="1"/>
  <c r="J348" i="25" s="1"/>
  <c r="J491" i="25" a="1"/>
  <c r="J491" i="25" s="1"/>
  <c r="L491" i="25" a="1"/>
  <c r="L491" i="25" s="1"/>
  <c r="X750" i="16"/>
  <c r="X212" i="20" s="1"/>
  <c r="X757" i="16"/>
  <c r="X219" i="20" s="1"/>
  <c r="X770" i="16"/>
  <c r="X232" i="20" s="1"/>
  <c r="X748" i="16"/>
  <c r="X210" i="20" s="1"/>
  <c r="M394" i="25" a="1"/>
  <c r="M394" i="25" s="1"/>
  <c r="W1940" i="12"/>
  <c r="W1898" i="12" s="1"/>
  <c r="V245" i="11"/>
  <c r="X1708" i="12"/>
  <c r="X1873" i="12" s="1"/>
  <c r="X1911" i="12" s="1"/>
  <c r="W2068" i="16"/>
  <c r="W2069" i="16" s="1"/>
  <c r="N516" i="25" a="1"/>
  <c r="N516" i="25" s="1"/>
  <c r="L108" i="25" a="1"/>
  <c r="L108" i="25" s="1"/>
  <c r="I394" i="25" a="1"/>
  <c r="I394" i="25" s="1"/>
  <c r="I468" i="25" a="1"/>
  <c r="I468" i="25" s="1"/>
  <c r="M195" i="25" a="1"/>
  <c r="M195" i="25" s="1"/>
  <c r="I458" i="25" a="1"/>
  <c r="I458" i="25" s="1"/>
  <c r="M109" i="25" a="1"/>
  <c r="M109" i="25" s="1"/>
  <c r="M194" i="25" a="1"/>
  <c r="M194" i="25" s="1"/>
  <c r="M313" i="25" a="1"/>
  <c r="M313" i="25" s="1"/>
  <c r="M471" i="25" a="1"/>
  <c r="M471" i="25" s="1"/>
  <c r="M364" i="25" a="1"/>
  <c r="M364" i="25" s="1"/>
  <c r="M348" i="25" a="1"/>
  <c r="M348" i="25" s="1"/>
  <c r="M89" i="25" a="1"/>
  <c r="M89" i="25" s="1"/>
  <c r="M325" i="25" a="1"/>
  <c r="M325" i="25" s="1"/>
  <c r="K514" i="25" a="1"/>
  <c r="K514" i="25" s="1"/>
  <c r="M490" i="25" a="1"/>
  <c r="M490" i="25" s="1"/>
  <c r="M421" i="25" a="1"/>
  <c r="M421" i="25" s="1"/>
  <c r="K370" i="25" a="1"/>
  <c r="K370" i="25" s="1"/>
  <c r="H420" i="25" a="1"/>
  <c r="H420" i="25" s="1"/>
  <c r="I372" i="25" a="1"/>
  <c r="I372" i="25" s="1"/>
  <c r="H418" i="25" a="1"/>
  <c r="H418" i="25" s="1"/>
  <c r="H317" i="25" a="1"/>
  <c r="H317" i="25" s="1"/>
  <c r="H108" i="25" a="1"/>
  <c r="H108" i="25" s="1"/>
  <c r="I191" i="25" a="1"/>
  <c r="I191" i="25" s="1"/>
  <c r="F391" i="25" a="1"/>
  <c r="F391" i="25" s="1"/>
  <c r="H454" i="25" a="1"/>
  <c r="H454" i="25" s="1"/>
  <c r="H419" i="25" a="1"/>
  <c r="H419" i="25" s="1"/>
  <c r="H513" i="25" a="1"/>
  <c r="H513" i="25" s="1"/>
  <c r="H194" i="25" a="1"/>
  <c r="H194" i="25" s="1"/>
  <c r="H326" i="25" a="1"/>
  <c r="H326" i="25" s="1"/>
  <c r="G470" i="25" a="1"/>
  <c r="G470" i="25" s="1"/>
  <c r="G325" i="25" a="1"/>
  <c r="G325" i="25" s="1"/>
  <c r="F443" i="25" a="1"/>
  <c r="F443" i="25" s="1"/>
  <c r="F301" i="25" a="1"/>
  <c r="F301" i="25" s="1"/>
  <c r="F467" i="25" a="1"/>
  <c r="F467" i="25" s="1"/>
  <c r="E364" i="25" a="1"/>
  <c r="E364" i="25" s="1"/>
  <c r="F195" i="25" a="1"/>
  <c r="F195" i="25" s="1"/>
  <c r="D327" i="25" a="1"/>
  <c r="D327" i="25" s="1"/>
  <c r="G327" i="25" a="1"/>
  <c r="G327" i="25" s="1"/>
  <c r="G418" i="25" a="1"/>
  <c r="G418" i="25" s="1"/>
  <c r="F348" i="25" a="1"/>
  <c r="F348" i="25" s="1"/>
  <c r="E459" i="25" a="1"/>
  <c r="E459" i="25" s="1"/>
  <c r="E471" i="25" a="1"/>
  <c r="E471" i="25" s="1"/>
  <c r="E421" i="25" a="1"/>
  <c r="E421" i="25" s="1"/>
  <c r="D371" i="25" a="1"/>
  <c r="D371" i="25" s="1"/>
  <c r="E418" i="25" a="1"/>
  <c r="E418" i="25" s="1"/>
  <c r="D468" i="25" a="1"/>
  <c r="D468" i="25" s="1"/>
  <c r="D506" i="25" a="1"/>
  <c r="D506" i="25" s="1"/>
  <c r="D323" i="25" a="1"/>
  <c r="D323" i="25" s="1"/>
  <c r="D411" i="25" a="1"/>
  <c r="D411" i="25" s="1"/>
  <c r="E454" i="25" a="1"/>
  <c r="E454" i="25" s="1"/>
  <c r="C469" i="25" a="1"/>
  <c r="C469" i="25" s="1"/>
  <c r="C370" i="25" a="1"/>
  <c r="C370" i="25" s="1"/>
  <c r="C467" i="25" a="1"/>
  <c r="C467" i="25" s="1"/>
  <c r="E470" i="25" a="1"/>
  <c r="E470" i="25" s="1"/>
  <c r="C363" i="25" a="1"/>
  <c r="C363" i="25" s="1"/>
  <c r="C108" i="25" a="1"/>
  <c r="C108" i="25" s="1"/>
  <c r="C195" i="25" a="1"/>
  <c r="C195" i="25" s="1"/>
  <c r="X116" i="12"/>
  <c r="X434" i="12"/>
  <c r="J503" i="25" a="1"/>
  <c r="J503" i="25" s="1"/>
  <c r="J327" i="25" a="1"/>
  <c r="J327" i="25" s="1"/>
  <c r="L423" i="25" a="1"/>
  <c r="L423" i="25" s="1"/>
  <c r="O326" i="25" a="1"/>
  <c r="O326" i="25" s="1"/>
  <c r="O411" i="25" a="1"/>
  <c r="O411" i="25" s="1"/>
  <c r="O470" i="25" a="1"/>
  <c r="O470" i="25" s="1"/>
  <c r="O513" i="25" a="1"/>
  <c r="O513" i="25" s="1"/>
  <c r="O419" i="25" a="1"/>
  <c r="O419" i="25" s="1"/>
  <c r="O364" i="25" a="1"/>
  <c r="O364" i="25" s="1"/>
  <c r="L327" i="25" a="1"/>
  <c r="L327" i="25" s="1"/>
  <c r="J420" i="25" a="1"/>
  <c r="J420" i="25" s="1"/>
  <c r="I514" i="25" a="1"/>
  <c r="I514" i="25" s="1"/>
  <c r="L316" i="25" a="1"/>
  <c r="L316" i="25" s="1"/>
  <c r="M104" i="25" a="1"/>
  <c r="M104" i="25" s="1"/>
  <c r="M328" i="25" a="1"/>
  <c r="M328" i="25" s="1"/>
  <c r="M92" i="25" a="1"/>
  <c r="M92" i="25" s="1"/>
  <c r="M179" i="25" a="1"/>
  <c r="M179" i="25" s="1"/>
  <c r="M300" i="25" a="1"/>
  <c r="M300" i="25" s="1"/>
  <c r="M370" i="25" a="1"/>
  <c r="M370" i="25" s="1"/>
  <c r="M191" i="25" a="1"/>
  <c r="M191" i="25" s="1"/>
  <c r="M513" i="25" a="1"/>
  <c r="M513" i="25" s="1"/>
  <c r="K324" i="25" a="1"/>
  <c r="K324" i="25" s="1"/>
  <c r="M467" i="25" a="1"/>
  <c r="M467" i="25" s="1"/>
  <c r="I418" i="25" a="1"/>
  <c r="I418" i="25" s="1"/>
  <c r="M455" i="25" a="1"/>
  <c r="M455" i="25" s="1"/>
  <c r="M317" i="25" a="1"/>
  <c r="M317" i="25" s="1"/>
  <c r="H109" i="25" a="1"/>
  <c r="H109" i="25" s="1"/>
  <c r="H470" i="25" a="1"/>
  <c r="H470" i="25" s="1"/>
  <c r="H466" i="25" a="1"/>
  <c r="H466" i="25" s="1"/>
  <c r="I316" i="25" a="1"/>
  <c r="I316" i="25" s="1"/>
  <c r="H195" i="25" a="1"/>
  <c r="H195" i="25" s="1"/>
  <c r="F419" i="25" a="1"/>
  <c r="F419" i="25" s="1"/>
  <c r="I312" i="25" a="1"/>
  <c r="I312" i="25" s="1"/>
  <c r="I373" i="25" a="1"/>
  <c r="I373" i="25" s="1"/>
  <c r="F470" i="25" a="1"/>
  <c r="F470" i="25" s="1"/>
  <c r="I506" i="25" a="1"/>
  <c r="I506" i="25" s="1"/>
  <c r="H515" i="25" a="1"/>
  <c r="H515" i="25" s="1"/>
  <c r="H469" i="25" a="1"/>
  <c r="H469" i="25" s="1"/>
  <c r="F455" i="25" a="1"/>
  <c r="F455" i="25" s="1"/>
  <c r="F373" i="25" a="1"/>
  <c r="F373" i="25" s="1"/>
  <c r="F517" i="25" a="1"/>
  <c r="F517" i="25" s="1"/>
  <c r="F372" i="25" a="1"/>
  <c r="F372" i="25" s="1"/>
  <c r="F513" i="25" a="1"/>
  <c r="F513" i="25" s="1"/>
  <c r="G411" i="25" a="1"/>
  <c r="G411" i="25" s="1"/>
  <c r="D419" i="25" a="1"/>
  <c r="D419" i="25" s="1"/>
  <c r="G467" i="25" a="1"/>
  <c r="G467" i="25" s="1"/>
  <c r="G395" i="25" a="1"/>
  <c r="G395" i="25" s="1"/>
  <c r="G394" i="25" a="1"/>
  <c r="G394" i="25" s="1"/>
  <c r="G518" i="25" a="1"/>
  <c r="G518" i="25" s="1"/>
  <c r="F410" i="25" a="1"/>
  <c r="F410" i="25" s="1"/>
  <c r="G108" i="25" a="1"/>
  <c r="G108" i="25" s="1"/>
  <c r="D194" i="25" a="1"/>
  <c r="D194" i="25" s="1"/>
  <c r="D458" i="25" a="1"/>
  <c r="D458" i="25" s="1"/>
  <c r="D507" i="25" a="1"/>
  <c r="D507" i="25" s="1"/>
  <c r="E372" i="25" a="1"/>
  <c r="E372" i="25" s="1"/>
  <c r="D513" i="25" a="1"/>
  <c r="D513" i="25" s="1"/>
  <c r="E506" i="25" a="1"/>
  <c r="E506" i="25" s="1"/>
  <c r="E375" i="25" a="1"/>
  <c r="E375" i="25" s="1"/>
  <c r="D515" i="25" a="1"/>
  <c r="D515" i="25" s="1"/>
  <c r="E327" i="25" a="1"/>
  <c r="E327" i="25" s="1"/>
  <c r="E323" i="25" a="1"/>
  <c r="E323" i="25" s="1"/>
  <c r="C419" i="25" a="1"/>
  <c r="C419" i="25" s="1"/>
  <c r="C470" i="25" a="1"/>
  <c r="C470" i="25" s="1"/>
  <c r="C375" i="25" a="1"/>
  <c r="C375" i="25" s="1"/>
  <c r="C471" i="25" a="1"/>
  <c r="C471" i="25" s="1"/>
  <c r="E517" i="25" a="1"/>
  <c r="E517" i="25" s="1"/>
  <c r="C325" i="25" a="1"/>
  <c r="C325" i="25" s="1"/>
  <c r="X594" i="12"/>
  <c r="X221" i="12"/>
  <c r="J470" i="25" a="1"/>
  <c r="J470" i="25" s="1"/>
  <c r="I375" i="25" a="1"/>
  <c r="I375" i="25" s="1"/>
  <c r="K516" i="25" a="1"/>
  <c r="K516" i="25" s="1"/>
  <c r="O506" i="25" a="1"/>
  <c r="O506" i="25" s="1"/>
  <c r="O459" i="25" a="1"/>
  <c r="O459" i="25" s="1"/>
  <c r="O410" i="25" a="1"/>
  <c r="O410" i="25" s="1"/>
  <c r="O327" i="25" a="1"/>
  <c r="O327" i="25" s="1"/>
  <c r="O421" i="25" a="1"/>
  <c r="O421" i="25" s="1"/>
  <c r="O468" i="25" a="1"/>
  <c r="O468" i="25" s="1"/>
  <c r="L518" i="25" a="1"/>
  <c r="L518" i="25" s="1"/>
  <c r="I317" i="25" a="1"/>
  <c r="I317" i="25" s="1"/>
  <c r="J300" i="25" a="1"/>
  <c r="J300" i="25" s="1"/>
  <c r="M360" i="25" a="1"/>
  <c r="M360" i="25" s="1"/>
  <c r="M459" i="25" a="1"/>
  <c r="M459" i="25" s="1"/>
  <c r="K470" i="25" a="1"/>
  <c r="K470" i="25" s="1"/>
  <c r="M410" i="25" a="1"/>
  <c r="M410" i="25" s="1"/>
  <c r="K517" i="25" a="1"/>
  <c r="K517" i="25" s="1"/>
  <c r="M296" i="25" a="1"/>
  <c r="M296" i="25" s="1"/>
  <c r="K326" i="25" a="1"/>
  <c r="K326" i="25" s="1"/>
  <c r="M374" i="25" a="1"/>
  <c r="M374" i="25" s="1"/>
  <c r="K490" i="25" a="1"/>
  <c r="K490" i="25" s="1"/>
  <c r="M373" i="25" a="1"/>
  <c r="M373" i="25" s="1"/>
  <c r="K394" i="25" a="1"/>
  <c r="K394" i="25" s="1"/>
  <c r="M312" i="25" a="1"/>
  <c r="M312" i="25" s="1"/>
  <c r="M190" i="25" a="1"/>
  <c r="M190" i="25" s="1"/>
  <c r="I419" i="25" a="1"/>
  <c r="I419" i="25" s="1"/>
  <c r="H471" i="25" a="1"/>
  <c r="H471" i="25" s="1"/>
  <c r="H364" i="25" a="1"/>
  <c r="H364" i="25" s="1"/>
  <c r="F442" i="25" a="1"/>
  <c r="F442" i="25" s="1"/>
  <c r="H518" i="25" a="1"/>
  <c r="H518" i="25" s="1"/>
  <c r="H347" i="25" a="1"/>
  <c r="H347" i="25" s="1"/>
  <c r="H105" i="25" a="1"/>
  <c r="H105" i="25" s="1"/>
  <c r="G316" i="25" a="1"/>
  <c r="G316" i="25" s="1"/>
  <c r="G360" i="25" a="1"/>
  <c r="G360" i="25" s="1"/>
  <c r="G468" i="25" a="1"/>
  <c r="G468" i="25" s="1"/>
  <c r="H312" i="25" a="1"/>
  <c r="H312" i="25" s="1"/>
  <c r="H327" i="25" a="1"/>
  <c r="H327" i="25" s="1"/>
  <c r="H374" i="25" a="1"/>
  <c r="H374" i="25" s="1"/>
  <c r="G466" i="25" a="1"/>
  <c r="G466" i="25" s="1"/>
  <c r="E490" i="25" a="1"/>
  <c r="E490" i="25" s="1"/>
  <c r="G458" i="25" a="1"/>
  <c r="G458" i="25" s="1"/>
  <c r="E324" i="25" a="1"/>
  <c r="E324" i="25" s="1"/>
  <c r="G323" i="25" a="1"/>
  <c r="G323" i="25" s="1"/>
  <c r="G328" i="25" a="1"/>
  <c r="G328" i="25" s="1"/>
  <c r="G372" i="25" a="1"/>
  <c r="G372" i="25" s="1"/>
  <c r="F317" i="25" a="1"/>
  <c r="F317" i="25" s="1"/>
  <c r="E194" i="25" a="1"/>
  <c r="E194" i="25" s="1"/>
  <c r="G359" i="25" a="1"/>
  <c r="G359" i="25" s="1"/>
  <c r="F316" i="25" a="1"/>
  <c r="F316" i="25" s="1"/>
  <c r="F514" i="25" a="1"/>
  <c r="F514" i="25" s="1"/>
  <c r="E108" i="25" a="1"/>
  <c r="E108" i="25" s="1"/>
  <c r="E516" i="25" a="1"/>
  <c r="E516" i="25" s="1"/>
  <c r="E316" i="25" a="1"/>
  <c r="E316" i="25" s="1"/>
  <c r="D471" i="25" a="1"/>
  <c r="D471" i="25" s="1"/>
  <c r="E419" i="25" a="1"/>
  <c r="E419" i="25" s="1"/>
  <c r="E326" i="25" a="1"/>
  <c r="E326" i="25" s="1"/>
  <c r="E513" i="25" a="1"/>
  <c r="E513" i="25" s="1"/>
  <c r="D373" i="25" a="1"/>
  <c r="D373" i="25" s="1"/>
  <c r="C507" i="25" a="1"/>
  <c r="C507" i="25" s="1"/>
  <c r="E371" i="25" a="1"/>
  <c r="E371" i="25" s="1"/>
  <c r="C411" i="25" a="1"/>
  <c r="C411" i="25" s="1"/>
  <c r="C459" i="25" a="1"/>
  <c r="C459" i="25" s="1"/>
  <c r="C328" i="25" a="1"/>
  <c r="C328" i="25" s="1"/>
  <c r="C423" i="25" a="1"/>
  <c r="C423" i="25" s="1"/>
  <c r="C372" i="25" a="1"/>
  <c r="C372" i="25" s="1"/>
  <c r="C458" i="25" a="1"/>
  <c r="C458" i="25" s="1"/>
  <c r="X306" i="12"/>
  <c r="N468" i="25" a="1"/>
  <c r="N468" i="25" s="1"/>
  <c r="L467" i="25" a="1"/>
  <c r="L467" i="25" s="1"/>
  <c r="K421" i="25" a="1"/>
  <c r="K421" i="25" s="1"/>
  <c r="L373" i="25" a="1"/>
  <c r="L373" i="25" s="1"/>
  <c r="N410" i="25" a="1"/>
  <c r="N410" i="25" s="1"/>
  <c r="O363" i="25" a="1"/>
  <c r="O363" i="25" s="1"/>
  <c r="O316" i="25" a="1"/>
  <c r="O316" i="25" s="1"/>
  <c r="O374" i="25" a="1"/>
  <c r="O374" i="25" s="1"/>
  <c r="O108" i="25" a="1"/>
  <c r="O108" i="25" s="1"/>
  <c r="O517" i="25" a="1"/>
  <c r="O517" i="25" s="1"/>
  <c r="O514" i="25" a="1"/>
  <c r="O514" i="25" s="1"/>
  <c r="L364" i="25" a="1"/>
  <c r="L364" i="25" s="1"/>
  <c r="K513" i="25" a="1"/>
  <c r="K513" i="25" s="1"/>
  <c r="X1908" i="16"/>
  <c r="M316" i="25" a="1"/>
  <c r="M316" i="25" s="1"/>
  <c r="K312" i="25" a="1"/>
  <c r="K312" i="25" s="1"/>
  <c r="M458" i="25" a="1"/>
  <c r="M458" i="25" s="1"/>
  <c r="K364" i="25" a="1"/>
  <c r="K364" i="25" s="1"/>
  <c r="M301" i="25" a="1"/>
  <c r="M301" i="25" s="1"/>
  <c r="I455" i="25" a="1"/>
  <c r="I455" i="25" s="1"/>
  <c r="M347" i="25" a="1"/>
  <c r="M347" i="25" s="1"/>
  <c r="K395" i="25" a="1"/>
  <c r="K395" i="25" s="1"/>
  <c r="M442" i="25" a="1"/>
  <c r="M442" i="25" s="1"/>
  <c r="I503" i="25" a="1"/>
  <c r="I503" i="25" s="1"/>
  <c r="M327" i="25" a="1"/>
  <c r="M327" i="25" s="1"/>
  <c r="K195" i="25" a="1"/>
  <c r="K195" i="25" s="1"/>
  <c r="M297" i="25" a="1"/>
  <c r="M297" i="25" s="1"/>
  <c r="M422" i="25" a="1"/>
  <c r="M422" i="25" s="1"/>
  <c r="I502" i="25" a="1"/>
  <c r="I502" i="25" s="1"/>
  <c r="H88" i="25" a="1"/>
  <c r="H88" i="25" s="1"/>
  <c r="H370" i="25" a="1"/>
  <c r="H370" i="25" s="1"/>
  <c r="H313" i="25" a="1"/>
  <c r="H313" i="25" s="1"/>
  <c r="H407" i="25" a="1"/>
  <c r="H407" i="25" s="1"/>
  <c r="G370" i="25" a="1"/>
  <c r="G370" i="25" s="1"/>
  <c r="H506" i="25" a="1"/>
  <c r="H506" i="25" s="1"/>
  <c r="F418" i="25" a="1"/>
  <c r="F418" i="25" s="1"/>
  <c r="H491" i="25" a="1"/>
  <c r="H491" i="25" s="1"/>
  <c r="G195" i="25" a="1"/>
  <c r="G195" i="25" s="1"/>
  <c r="H359" i="25" a="1"/>
  <c r="H359" i="25" s="1"/>
  <c r="H410" i="25" a="1"/>
  <c r="H410" i="25" s="1"/>
  <c r="F468" i="25" a="1"/>
  <c r="F468" i="25" s="1"/>
  <c r="F471" i="25" a="1"/>
  <c r="F471" i="25" s="1"/>
  <c r="D195" i="25" a="1"/>
  <c r="D195" i="25" s="1"/>
  <c r="F312" i="25" a="1"/>
  <c r="F312" i="25" s="1"/>
  <c r="G344" i="25" a="1"/>
  <c r="G344" i="25" s="1"/>
  <c r="G347" i="25" a="1"/>
  <c r="G347" i="25" s="1"/>
  <c r="G371" i="25" a="1"/>
  <c r="G371" i="25" s="1"/>
  <c r="F194" i="25" a="1"/>
  <c r="F194" i="25" s="1"/>
  <c r="G517" i="25" a="1"/>
  <c r="G517" i="25" s="1"/>
  <c r="G194" i="25" a="1"/>
  <c r="G194" i="25" s="1"/>
  <c r="F469" i="25" a="1"/>
  <c r="F469" i="25" s="1"/>
  <c r="F109" i="25" a="1"/>
  <c r="F109" i="25" s="1"/>
  <c r="F407" i="25" a="1"/>
  <c r="F407" i="25" s="1"/>
  <c r="E518" i="25" a="1"/>
  <c r="E518" i="25" s="1"/>
  <c r="D375" i="25" a="1"/>
  <c r="D375" i="25" s="1"/>
  <c r="D423" i="25" a="1"/>
  <c r="D423" i="25" s="1"/>
  <c r="D514" i="25" a="1"/>
  <c r="D514" i="25" s="1"/>
  <c r="D108" i="25" a="1"/>
  <c r="D108" i="25" s="1"/>
  <c r="D469" i="25" a="1"/>
  <c r="D469" i="25" s="1"/>
  <c r="D517" i="25" a="1"/>
  <c r="D517" i="25" s="1"/>
  <c r="D467" i="25" a="1"/>
  <c r="D467" i="25" s="1"/>
  <c r="E374" i="25" a="1"/>
  <c r="E374" i="25" s="1"/>
  <c r="E411" i="25" a="1"/>
  <c r="E411" i="25" s="1"/>
  <c r="C109" i="25" a="1"/>
  <c r="C109" i="25" s="1"/>
  <c r="C442" i="25" a="1"/>
  <c r="C442" i="25" s="1"/>
  <c r="E370" i="25" a="1"/>
  <c r="E370" i="25" s="1"/>
  <c r="C364" i="25" a="1"/>
  <c r="C364" i="25" s="1"/>
  <c r="C194" i="25" a="1"/>
  <c r="C194" i="25" s="1"/>
  <c r="C418" i="25" a="1"/>
  <c r="C418" i="25" s="1"/>
  <c r="X585" i="12"/>
  <c r="N374" i="25" a="1"/>
  <c r="N374" i="25" s="1"/>
  <c r="J418" i="25" a="1"/>
  <c r="J418" i="25" s="1"/>
  <c r="J371" i="25" a="1"/>
  <c r="J371" i="25" s="1"/>
  <c r="N411" i="25" a="1"/>
  <c r="N411" i="25" s="1"/>
  <c r="O324" i="25" a="1"/>
  <c r="O324" i="25" s="1"/>
  <c r="O347" i="25" a="1"/>
  <c r="O347" i="25" s="1"/>
  <c r="O515" i="25" a="1"/>
  <c r="O515" i="25" s="1"/>
  <c r="O469" i="25" a="1"/>
  <c r="O469" i="25" s="1"/>
  <c r="O418" i="25" a="1"/>
  <c r="O418" i="25" s="1"/>
  <c r="O179" i="25" a="1"/>
  <c r="O179" i="25" s="1"/>
  <c r="I347" i="25" a="1"/>
  <c r="I347" i="25" s="1"/>
  <c r="L422" i="25" a="1"/>
  <c r="L422" i="25" s="1"/>
  <c r="M491" i="25" a="1"/>
  <c r="M491" i="25" s="1"/>
  <c r="K348" i="25" a="1"/>
  <c r="K348" i="25" s="1"/>
  <c r="M466" i="25" a="1"/>
  <c r="M466" i="25" s="1"/>
  <c r="K300" i="25" a="1"/>
  <c r="K300" i="25" s="1"/>
  <c r="M407" i="25" a="1"/>
  <c r="M407" i="25" s="1"/>
  <c r="K422" i="25" a="1"/>
  <c r="K422" i="25" s="1"/>
  <c r="M372" i="25" a="1"/>
  <c r="M372" i="25" s="1"/>
  <c r="K317" i="25" a="1"/>
  <c r="K317" i="25" s="1"/>
  <c r="M326" i="25" a="1"/>
  <c r="M326" i="25" s="1"/>
  <c r="K373" i="25" a="1"/>
  <c r="K373" i="25" s="1"/>
  <c r="M514" i="25" a="1"/>
  <c r="M514" i="25" s="1"/>
  <c r="M323" i="25" a="1"/>
  <c r="M323" i="25" s="1"/>
  <c r="K469" i="25" a="1"/>
  <c r="K469" i="25" s="1"/>
  <c r="M469" i="25" a="1"/>
  <c r="M469" i="25" s="1"/>
  <c r="G516" i="25" a="1"/>
  <c r="G516" i="25" s="1"/>
  <c r="H394" i="25" a="1"/>
  <c r="H394" i="25" s="1"/>
  <c r="H360" i="25" a="1"/>
  <c r="H360" i="25" s="1"/>
  <c r="G443" i="25" a="1"/>
  <c r="G443" i="25" s="1"/>
  <c r="H316" i="25" a="1"/>
  <c r="H316" i="25" s="1"/>
  <c r="I420" i="25" a="1"/>
  <c r="I420" i="25" s="1"/>
  <c r="H190" i="25" a="1"/>
  <c r="H190" i="25" s="1"/>
  <c r="H411" i="25" a="1"/>
  <c r="H411" i="25" s="1"/>
  <c r="H467" i="25" a="1"/>
  <c r="H467" i="25" s="1"/>
  <c r="H516" i="25" a="1"/>
  <c r="H516" i="25" s="1"/>
  <c r="H422" i="25" a="1"/>
  <c r="H422" i="25" s="1"/>
  <c r="H323" i="25" a="1"/>
  <c r="H323" i="25" s="1"/>
  <c r="F506" i="25" a="1"/>
  <c r="F506" i="25" s="1"/>
  <c r="G423" i="25" a="1"/>
  <c r="G423" i="25" s="1"/>
  <c r="D466" i="25" a="1"/>
  <c r="D466" i="25" s="1"/>
  <c r="F454" i="25" a="1"/>
  <c r="F454" i="25" s="1"/>
  <c r="G374" i="25" a="1"/>
  <c r="G374" i="25" s="1"/>
  <c r="F104" i="25" a="1"/>
  <c r="F104" i="25" s="1"/>
  <c r="G471" i="25" a="1"/>
  <c r="G471" i="25" s="1"/>
  <c r="G490" i="25" a="1"/>
  <c r="G490" i="25" s="1"/>
  <c r="F375" i="25" a="1"/>
  <c r="F375" i="25" s="1"/>
  <c r="F507" i="25" a="1"/>
  <c r="F507" i="25" s="1"/>
  <c r="G317" i="25" a="1"/>
  <c r="G317" i="25" s="1"/>
  <c r="F326" i="25" a="1"/>
  <c r="F326" i="25" s="1"/>
  <c r="F516" i="25" a="1"/>
  <c r="F516" i="25" s="1"/>
  <c r="E468" i="25" a="1"/>
  <c r="E468" i="25" s="1"/>
  <c r="E360" i="25" a="1"/>
  <c r="E360" i="25" s="1"/>
  <c r="E420" i="25" a="1"/>
  <c r="E420" i="25" s="1"/>
  <c r="D317" i="25" a="1"/>
  <c r="D317" i="25" s="1"/>
  <c r="E325" i="25" a="1"/>
  <c r="E325" i="25" s="1"/>
  <c r="E469" i="25" a="1"/>
  <c r="E469" i="25" s="1"/>
  <c r="D516" i="25" a="1"/>
  <c r="D516" i="25" s="1"/>
  <c r="E422" i="25" a="1"/>
  <c r="E422" i="25" s="1"/>
  <c r="D316" i="25" a="1"/>
  <c r="D316" i="25" s="1"/>
  <c r="E507" i="25" a="1"/>
  <c r="E507" i="25" s="1"/>
  <c r="C515" i="25" a="1"/>
  <c r="C515" i="25" s="1"/>
  <c r="C517" i="25" a="1"/>
  <c r="C517" i="25" s="1"/>
  <c r="C513" i="25" a="1"/>
  <c r="C513" i="25" s="1"/>
  <c r="C506" i="25" a="1"/>
  <c r="C506" i="25" s="1"/>
  <c r="C410" i="25" a="1"/>
  <c r="C410" i="25" s="1"/>
  <c r="C407" i="25" a="1"/>
  <c r="C407" i="25" s="1"/>
  <c r="X161" i="12"/>
  <c r="N513" i="25" a="1"/>
  <c r="N513" i="25" s="1"/>
  <c r="J506" i="25" a="1"/>
  <c r="J506" i="25" s="1"/>
  <c r="I323" i="25" a="1"/>
  <c r="I323" i="25" s="1"/>
  <c r="N471" i="25" a="1"/>
  <c r="N471" i="25" s="1"/>
  <c r="O371" i="25" a="1"/>
  <c r="O371" i="25" s="1"/>
  <c r="O466" i="25" a="1"/>
  <c r="O466" i="25" s="1"/>
  <c r="O194" i="25" a="1"/>
  <c r="O194" i="25" s="1"/>
  <c r="O422" i="25" a="1"/>
  <c r="O422" i="25" s="1"/>
  <c r="O420" i="25" a="1"/>
  <c r="O420" i="25" s="1"/>
  <c r="O458" i="25" a="1"/>
  <c r="O458" i="25" s="1"/>
  <c r="I363" i="25" a="1"/>
  <c r="I363" i="25" s="1"/>
  <c r="L458" i="25" a="1"/>
  <c r="L458" i="25" s="1"/>
  <c r="J459" i="25" a="1"/>
  <c r="J459" i="25" s="1"/>
  <c r="M395" i="25" a="1"/>
  <c r="M395" i="25" s="1"/>
  <c r="M418" i="25" a="1"/>
  <c r="M418" i="25" s="1"/>
  <c r="K467" i="25" a="1"/>
  <c r="K467" i="25" s="1"/>
  <c r="M419" i="25" a="1"/>
  <c r="M419" i="25" s="1"/>
  <c r="K372" i="25" a="1"/>
  <c r="K372" i="25" s="1"/>
  <c r="M371" i="25" a="1"/>
  <c r="M371" i="25" s="1"/>
  <c r="M517" i="25" a="1"/>
  <c r="M517" i="25" s="1"/>
  <c r="K455" i="25" a="1"/>
  <c r="K455" i="25" s="1"/>
  <c r="M518" i="25" a="1"/>
  <c r="M518" i="25" s="1"/>
  <c r="F459" i="25" a="1"/>
  <c r="F459" i="25" s="1"/>
  <c r="H490" i="25" a="1"/>
  <c r="H490" i="25" s="1"/>
  <c r="F411" i="25" a="1"/>
  <c r="F411" i="25" s="1"/>
  <c r="H502" i="25" a="1"/>
  <c r="H502" i="25" s="1"/>
  <c r="H517" i="25" a="1"/>
  <c r="H517" i="25" s="1"/>
  <c r="I327" i="25" a="1"/>
  <c r="I327" i="25" s="1"/>
  <c r="G190" i="25" a="1"/>
  <c r="G190" i="25" s="1"/>
  <c r="H423" i="25" a="1"/>
  <c r="H423" i="25" s="1"/>
  <c r="F327" i="25" a="1"/>
  <c r="F327" i="25" s="1"/>
  <c r="F371" i="25" a="1"/>
  <c r="F371" i="25" s="1"/>
  <c r="H371" i="25" a="1"/>
  <c r="H371" i="25" s="1"/>
  <c r="H328" i="25" a="1"/>
  <c r="H328" i="25" s="1"/>
  <c r="G363" i="25" a="1"/>
  <c r="G363" i="25" s="1"/>
  <c r="G514" i="25" a="1"/>
  <c r="G514" i="25" s="1"/>
  <c r="F458" i="25" a="1"/>
  <c r="F458" i="25" s="1"/>
  <c r="G513" i="25" a="1"/>
  <c r="G513" i="25" s="1"/>
  <c r="G422" i="25" a="1"/>
  <c r="G422" i="25" s="1"/>
  <c r="F363" i="25" a="1"/>
  <c r="F363" i="25" s="1"/>
  <c r="G410" i="25" a="1"/>
  <c r="G410" i="25" s="1"/>
  <c r="F422" i="25" a="1"/>
  <c r="F422" i="25" s="1"/>
  <c r="F374" i="25" a="1"/>
  <c r="F374" i="25" s="1"/>
  <c r="G507" i="25" a="1"/>
  <c r="G507" i="25" s="1"/>
  <c r="F421" i="25" a="1"/>
  <c r="F421" i="25" s="1"/>
  <c r="G109" i="25" a="1"/>
  <c r="G109" i="25" s="1"/>
  <c r="E317" i="25" a="1"/>
  <c r="E317" i="25" s="1"/>
  <c r="E373" i="25" a="1"/>
  <c r="E373" i="25" s="1"/>
  <c r="E195" i="25" a="1"/>
  <c r="E195" i="25" s="1"/>
  <c r="D328" i="25" a="1"/>
  <c r="D328" i="25" s="1"/>
  <c r="E514" i="25" a="1"/>
  <c r="E514" i="25" s="1"/>
  <c r="E109" i="25" a="1"/>
  <c r="E109" i="25" s="1"/>
  <c r="D374" i="25" a="1"/>
  <c r="D374" i="25" s="1"/>
  <c r="D325" i="25" a="1"/>
  <c r="D325" i="25" s="1"/>
  <c r="E343" i="25" a="1"/>
  <c r="E343" i="25" s="1"/>
  <c r="D326" i="25" a="1"/>
  <c r="D326" i="25" s="1"/>
  <c r="E491" i="25" a="1"/>
  <c r="E491" i="25" s="1"/>
  <c r="C327" i="25" a="1"/>
  <c r="C327" i="25" s="1"/>
  <c r="E328" i="25" a="1"/>
  <c r="E328" i="25" s="1"/>
  <c r="C466" i="25" a="1"/>
  <c r="C466" i="25" s="1"/>
  <c r="E458" i="25" a="1"/>
  <c r="E458" i="25" s="1"/>
  <c r="C373" i="25" a="1"/>
  <c r="C373" i="25" s="1"/>
  <c r="C371" i="25" a="1"/>
  <c r="C371" i="25" s="1"/>
  <c r="X206" i="12"/>
  <c r="N326" i="25" a="1"/>
  <c r="N326" i="25" s="1"/>
  <c r="L317" i="25" a="1"/>
  <c r="L317" i="25" s="1"/>
  <c r="L421" i="25" a="1"/>
  <c r="L421" i="25" s="1"/>
  <c r="N325" i="25" a="1"/>
  <c r="N325" i="25" s="1"/>
  <c r="O93" i="25" a="1"/>
  <c r="O93" i="25" s="1"/>
  <c r="O423" i="25" a="1"/>
  <c r="O423" i="25" s="1"/>
  <c r="O317" i="25" a="1"/>
  <c r="O317" i="25" s="1"/>
  <c r="O375" i="25" a="1"/>
  <c r="O375" i="25" s="1"/>
  <c r="O328" i="25" a="1"/>
  <c r="O328" i="25" s="1"/>
  <c r="O518" i="25" a="1"/>
  <c r="O518" i="25" s="1"/>
  <c r="J195" i="25" a="1"/>
  <c r="J195" i="25" s="1"/>
  <c r="L516" i="25" a="1"/>
  <c r="L516" i="25" s="1"/>
  <c r="J516" i="25" a="1"/>
  <c r="J516" i="25" s="1"/>
  <c r="X463" i="16"/>
  <c r="X987" i="12"/>
  <c r="X1152" i="12" s="1"/>
  <c r="K419" i="25" a="1"/>
  <c r="K419" i="25" s="1"/>
  <c r="X905" i="16"/>
  <c r="D344" i="25" a="1"/>
  <c r="D344" i="25" s="1"/>
  <c r="L339" i="25" a="1"/>
  <c r="L339" i="25" s="1"/>
  <c r="O394" i="25" a="1"/>
  <c r="O394" i="25" s="1"/>
  <c r="X887" i="16"/>
  <c r="X198" i="20"/>
  <c r="X1209" i="20" s="1"/>
  <c r="X896" i="12"/>
  <c r="X916" i="12" s="1"/>
  <c r="X1932" i="12" s="1"/>
  <c r="X1946" i="12" s="1"/>
  <c r="X1904" i="12" s="1"/>
  <c r="X1147" i="12"/>
  <c r="X1159" i="12" s="1"/>
  <c r="X284" i="16"/>
  <c r="X804" i="16" s="1"/>
  <c r="J343" i="25" a="1"/>
  <c r="J343" i="25" s="1"/>
  <c r="K482" i="25" a="1"/>
  <c r="K482" i="25" s="1"/>
  <c r="I438" i="25" a="1"/>
  <c r="I438" i="25" s="1"/>
  <c r="J487" i="25" a="1"/>
  <c r="J487" i="25" s="1"/>
  <c r="M175" i="25" a="1"/>
  <c r="M175" i="25" s="1"/>
  <c r="I174" i="25" a="1"/>
  <c r="I174" i="25" s="1"/>
  <c r="G438" i="25" a="1"/>
  <c r="G438" i="25" s="1"/>
  <c r="F386" i="25" a="1"/>
  <c r="F386" i="25" s="1"/>
  <c r="C296" i="25" a="1"/>
  <c r="C296" i="25" s="1"/>
  <c r="I89" i="25" a="1"/>
  <c r="I89" i="25" s="1"/>
  <c r="N88" i="25" a="1"/>
  <c r="N88" i="25" s="1"/>
  <c r="I391" i="25" a="1"/>
  <c r="I391" i="25" s="1"/>
  <c r="N344" i="25" a="1"/>
  <c r="N344" i="25" s="1"/>
  <c r="K390" i="25" a="1"/>
  <c r="K390" i="25" s="1"/>
  <c r="N487" i="25" a="1"/>
  <c r="N487" i="25" s="1"/>
  <c r="J175" i="25" a="1"/>
  <c r="J175" i="25" s="1"/>
  <c r="J174" i="25" a="1"/>
  <c r="J174" i="25" s="1"/>
  <c r="K486" i="25" a="1"/>
  <c r="K486" i="25" s="1"/>
  <c r="K438" i="25" a="1"/>
  <c r="K438" i="25" s="1"/>
  <c r="M88" i="25" a="1"/>
  <c r="M88" i="25" s="1"/>
  <c r="K439" i="25" a="1"/>
  <c r="K439" i="25" s="1"/>
  <c r="F390" i="25" a="1"/>
  <c r="F390" i="25" s="1"/>
  <c r="H439" i="25" a="1"/>
  <c r="H439" i="25" s="1"/>
  <c r="H175" i="25" a="1"/>
  <c r="H175" i="25" s="1"/>
  <c r="X808" i="16"/>
  <c r="W1917" i="12"/>
  <c r="W1920" i="12" s="1"/>
  <c r="X1807" i="12"/>
  <c r="X1876" i="12" s="1"/>
  <c r="X1914" i="12" s="1"/>
  <c r="X1684" i="12"/>
  <c r="X1872" i="12" s="1"/>
  <c r="X1910" i="12" s="1"/>
  <c r="X799" i="12"/>
  <c r="X912" i="12" s="1"/>
  <c r="X1927" i="12" s="1"/>
  <c r="X1086" i="12"/>
  <c r="X1155" i="12" s="1"/>
  <c r="E84" i="25" a="1"/>
  <c r="E84" i="25" s="1"/>
  <c r="X1841" i="12"/>
  <c r="X1877" i="12" s="1"/>
  <c r="X1915" i="12" s="1"/>
  <c r="X963" i="12"/>
  <c r="X1151" i="12" s="1"/>
  <c r="X1120" i="12"/>
  <c r="X1156" i="12" s="1"/>
  <c r="X745" i="12"/>
  <c r="X910" i="12" s="1"/>
  <c r="X1041" i="12"/>
  <c r="X1154" i="12" s="1"/>
  <c r="X844" i="12"/>
  <c r="X913" i="12" s="1"/>
  <c r="X1928" i="12" s="1"/>
  <c r="V1641" i="12"/>
  <c r="V1651" i="12" s="1"/>
  <c r="V250" i="20" s="1"/>
  <c r="V1215" i="20" s="1"/>
  <c r="N391" i="25" a="1"/>
  <c r="N391" i="25" s="1"/>
  <c r="J344" i="25" a="1"/>
  <c r="J344" i="25" s="1"/>
  <c r="K85" i="25" a="1"/>
  <c r="K85" i="25" s="1"/>
  <c r="L88" i="25" a="1"/>
  <c r="L88" i="25" s="1"/>
  <c r="N175" i="25" a="1"/>
  <c r="N175" i="25" s="1"/>
  <c r="N85" i="25" a="1"/>
  <c r="N85" i="25" s="1"/>
  <c r="J390" i="25" a="1"/>
  <c r="J390" i="25" s="1"/>
  <c r="H438" i="25" a="1"/>
  <c r="H438" i="25" s="1"/>
  <c r="J88" i="25" a="1"/>
  <c r="J88" i="25" s="1"/>
  <c r="K344" i="25" a="1"/>
  <c r="K344" i="25" s="1"/>
  <c r="M391" i="25" a="1"/>
  <c r="M391" i="25" s="1"/>
  <c r="I343" i="25" a="1"/>
  <c r="I343" i="25" s="1"/>
  <c r="H343" i="25" a="1"/>
  <c r="H343" i="25" s="1"/>
  <c r="K296" i="25" a="1"/>
  <c r="K296" i="25" s="1"/>
  <c r="L487" i="25" a="1"/>
  <c r="L487" i="25" s="1"/>
  <c r="K339" i="25" a="1"/>
  <c r="K339" i="25" s="1"/>
  <c r="I175" i="25" a="1"/>
  <c r="I175" i="25" s="1"/>
  <c r="G486" i="25" a="1"/>
  <c r="G486" i="25" s="1"/>
  <c r="I487" i="25" a="1"/>
  <c r="I487" i="25" s="1"/>
  <c r="L391" i="25" a="1"/>
  <c r="L391" i="25" s="1"/>
  <c r="N438" i="25" a="1"/>
  <c r="N438" i="25" s="1"/>
  <c r="J439" i="25" a="1"/>
  <c r="J439" i="25" s="1"/>
  <c r="L438" i="25" a="1"/>
  <c r="L438" i="25" s="1"/>
  <c r="M174" i="25" a="1"/>
  <c r="M174" i="25" s="1"/>
  <c r="K88" i="25" a="1"/>
  <c r="K88" i="25" s="1"/>
  <c r="M390" i="25" a="1"/>
  <c r="M390" i="25" s="1"/>
  <c r="M292" i="25" a="1"/>
  <c r="M292" i="25" s="1"/>
  <c r="H297" i="25" a="1"/>
  <c r="H297" i="25" s="1"/>
  <c r="G296" i="25" a="1"/>
  <c r="G296" i="25" s="1"/>
  <c r="F439" i="25" a="1"/>
  <c r="F439" i="25" s="1"/>
  <c r="E390" i="25" a="1"/>
  <c r="E390" i="25" s="1"/>
  <c r="J391" i="25" a="1"/>
  <c r="J391" i="25" s="1"/>
  <c r="L390" i="25" a="1"/>
  <c r="L390" i="25" s="1"/>
  <c r="N390" i="25" a="1"/>
  <c r="N390" i="25" s="1"/>
  <c r="L293" i="25" a="1"/>
  <c r="L293" i="25" s="1"/>
  <c r="I296" i="25" a="1"/>
  <c r="I296" i="25" s="1"/>
  <c r="K174" i="25" a="1"/>
  <c r="K174" i="25" s="1"/>
  <c r="J296" i="25" a="1"/>
  <c r="J296" i="25" s="1"/>
  <c r="L486" i="25" a="1"/>
  <c r="L486" i="25" s="1"/>
  <c r="I344" i="25" a="1"/>
  <c r="I344" i="25" s="1"/>
  <c r="I486" i="25" a="1"/>
  <c r="I486" i="25" s="1"/>
  <c r="I390" i="25" a="1"/>
  <c r="I390" i="25" s="1"/>
  <c r="L439" i="25" a="1"/>
  <c r="L439" i="25" s="1"/>
  <c r="J340" i="25" a="1"/>
  <c r="J340" i="25" s="1"/>
  <c r="K175" i="25" a="1"/>
  <c r="K175" i="25" s="1"/>
  <c r="M344" i="25" a="1"/>
  <c r="M344" i="25" s="1"/>
  <c r="M486" i="25" a="1"/>
  <c r="M486" i="25" s="1"/>
  <c r="K343" i="25" a="1"/>
  <c r="K343" i="25" s="1"/>
  <c r="M343" i="25" a="1"/>
  <c r="M343" i="25" s="1"/>
  <c r="G390" i="25" a="1"/>
  <c r="G390" i="25" s="1"/>
  <c r="K89" i="25" a="1"/>
  <c r="K89" i="25" s="1"/>
  <c r="L343" i="25" a="1"/>
  <c r="L343" i="25" s="1"/>
  <c r="J486" i="25" a="1"/>
  <c r="J486" i="25" s="1"/>
  <c r="L297" i="25" a="1"/>
  <c r="L297" i="25" s="1"/>
  <c r="J89" i="25" a="1"/>
  <c r="J89" i="25" s="1"/>
  <c r="L296" i="25" a="1"/>
  <c r="L296" i="25" s="1"/>
  <c r="K487" i="25" a="1"/>
  <c r="K487" i="25" s="1"/>
  <c r="I439" i="25" a="1"/>
  <c r="I439" i="25" s="1"/>
  <c r="M487" i="25" a="1"/>
  <c r="M487" i="25" s="1"/>
  <c r="D296" i="25" a="1"/>
  <c r="D296" i="25" s="1"/>
  <c r="J293" i="25" a="1"/>
  <c r="J293" i="25" s="1"/>
  <c r="J292" i="25" a="1"/>
  <c r="J292" i="25" s="1"/>
  <c r="L483" i="25" a="1"/>
  <c r="L483" i="25" s="1"/>
  <c r="N292" i="25" a="1"/>
  <c r="N292" i="25" s="1"/>
  <c r="J170" i="25" a="1"/>
  <c r="J170" i="25" s="1"/>
  <c r="H435" i="25" a="1"/>
  <c r="H435" i="25" s="1"/>
  <c r="K340" i="25" a="1"/>
  <c r="K340" i="25" s="1"/>
  <c r="X2137" i="16"/>
  <c r="M340" i="25" a="1"/>
  <c r="M340" i="25" s="1"/>
  <c r="M435" i="25" a="1"/>
  <c r="M435" i="25" s="1"/>
  <c r="I435" i="25" a="1"/>
  <c r="I435" i="25" s="1"/>
  <c r="I293" i="25" a="1"/>
  <c r="I293" i="25" s="1"/>
  <c r="H84" i="25" a="1"/>
  <c r="H84" i="25" s="1"/>
  <c r="D84" i="25" a="1"/>
  <c r="D84" i="25" s="1"/>
  <c r="X1295" i="16"/>
  <c r="I171" i="25" a="1"/>
  <c r="I171" i="25" s="1"/>
  <c r="N435" i="25" a="1"/>
  <c r="N435" i="25" s="1"/>
  <c r="K435" i="25" a="1"/>
  <c r="K435" i="25" s="1"/>
  <c r="K292" i="25" a="1"/>
  <c r="K292" i="25" s="1"/>
  <c r="I340" i="25" a="1"/>
  <c r="I340" i="25" s="1"/>
  <c r="E387" i="25" a="1"/>
  <c r="E387" i="25" s="1"/>
  <c r="N482" i="25" a="1"/>
  <c r="N482" i="25" s="1"/>
  <c r="O52" i="25"/>
  <c r="I482" i="25" a="1"/>
  <c r="I482" i="25" s="1"/>
  <c r="J386" i="25" a="1"/>
  <c r="J386" i="25" s="1"/>
  <c r="N170" i="25" a="1"/>
  <c r="N170" i="25" s="1"/>
  <c r="L170" i="25" a="1"/>
  <c r="L170" i="25" s="1"/>
  <c r="M483" i="25" a="1"/>
  <c r="M483" i="25" s="1"/>
  <c r="M482" i="25" a="1"/>
  <c r="M482" i="25" s="1"/>
  <c r="G386" i="25" a="1"/>
  <c r="G386" i="25" s="1"/>
  <c r="H387" i="25" a="1"/>
  <c r="H387" i="25" s="1"/>
  <c r="G482" i="25" a="1"/>
  <c r="G482" i="25" s="1"/>
  <c r="N293" i="25" a="1"/>
  <c r="N293" i="25" s="1"/>
  <c r="I434" i="25" a="1"/>
  <c r="I434" i="25" s="1"/>
  <c r="I483" i="25" a="1"/>
  <c r="I483" i="25" s="1"/>
  <c r="N387" i="25" a="1"/>
  <c r="N387" i="25" s="1"/>
  <c r="J85" i="25" a="1"/>
  <c r="J85" i="25" s="1"/>
  <c r="M170" i="25" a="1"/>
  <c r="M170" i="25" s="1"/>
  <c r="M339" i="25" a="1"/>
  <c r="M339" i="25" s="1"/>
  <c r="M85" i="25" a="1"/>
  <c r="M85" i="25" s="1"/>
  <c r="E435" i="25" a="1"/>
  <c r="E435" i="25" s="1"/>
  <c r="H483" i="25" a="1"/>
  <c r="H483" i="25" s="1"/>
  <c r="X357" i="20"/>
  <c r="X358" i="20" s="1"/>
  <c r="L85" i="25" a="1"/>
  <c r="L85" i="25" s="1"/>
  <c r="J483" i="25" a="1"/>
  <c r="J483" i="25" s="1"/>
  <c r="N340" i="25" a="1"/>
  <c r="N340" i="25" s="1"/>
  <c r="L84" i="25" a="1"/>
  <c r="L84" i="25" s="1"/>
  <c r="K170" i="25" a="1"/>
  <c r="K170" i="25" s="1"/>
  <c r="X2042" i="16"/>
  <c r="X811" i="16" s="1"/>
  <c r="N171" i="25" a="1"/>
  <c r="N171" i="25" s="1"/>
  <c r="N84" i="25" a="1"/>
  <c r="N84" i="25" s="1"/>
  <c r="J434" i="25" a="1"/>
  <c r="J434" i="25" s="1"/>
  <c r="K293" i="25" a="1"/>
  <c r="K293" i="25" s="1"/>
  <c r="M293" i="25" a="1"/>
  <c r="M293" i="25" s="1"/>
  <c r="M386" i="25" a="1"/>
  <c r="M386" i="25" s="1"/>
  <c r="H293" i="25" a="1"/>
  <c r="H293" i="25" s="1"/>
  <c r="F482" i="25" a="1"/>
  <c r="F482" i="25" s="1"/>
  <c r="W1942" i="12"/>
  <c r="W1900" i="12" s="1"/>
  <c r="L340" i="25" a="1"/>
  <c r="L340" i="25" s="1"/>
  <c r="V160" i="10"/>
  <c r="V159" i="10" s="1"/>
  <c r="V78" i="18" s="1"/>
  <c r="H386" i="25" a="1"/>
  <c r="H386" i="25" s="1"/>
  <c r="J339" i="25" a="1"/>
  <c r="J339" i="25" s="1"/>
  <c r="K171" i="25" a="1"/>
  <c r="K171" i="25" s="1"/>
  <c r="N483" i="25" a="1"/>
  <c r="N483" i="25" s="1"/>
  <c r="K386" i="25" a="1"/>
  <c r="K386" i="25" s="1"/>
  <c r="K434" i="25" a="1"/>
  <c r="K434" i="25" s="1"/>
  <c r="M387" i="25" a="1"/>
  <c r="M387" i="25" s="1"/>
  <c r="H292" i="25" a="1"/>
  <c r="H292" i="25" s="1"/>
  <c r="F434" i="25" a="1"/>
  <c r="F434" i="25" s="1"/>
  <c r="X875" i="16"/>
  <c r="L292" i="25" a="1"/>
  <c r="L292" i="25" s="1"/>
  <c r="L386" i="25" a="1"/>
  <c r="L386" i="25" s="1"/>
  <c r="N386" i="25" a="1"/>
  <c r="N386" i="25" s="1"/>
  <c r="L434" i="25" a="1"/>
  <c r="L434" i="25" s="1"/>
  <c r="M171" i="25" a="1"/>
  <c r="M171" i="25" s="1"/>
  <c r="I386" i="25" a="1"/>
  <c r="I386" i="25" s="1"/>
  <c r="K387" i="25" a="1"/>
  <c r="K387" i="25" s="1"/>
  <c r="M84" i="25" a="1"/>
  <c r="M84" i="25" s="1"/>
  <c r="M434" i="25" a="1"/>
  <c r="M434" i="25" s="1"/>
  <c r="H170" i="25" a="1"/>
  <c r="H170" i="25" s="1"/>
  <c r="H482" i="25" a="1"/>
  <c r="H482" i="25" s="1"/>
  <c r="F340" i="25" a="1"/>
  <c r="F340" i="25" s="1"/>
  <c r="O296" i="25" a="1"/>
  <c r="O296" i="25" s="1"/>
  <c r="J435" i="25" a="1"/>
  <c r="J435" i="25" s="1"/>
  <c r="X180" i="20"/>
  <c r="X1208" i="20" s="1"/>
  <c r="K359" i="25" a="1"/>
  <c r="K359" i="25" s="1"/>
  <c r="F292" i="25" a="1"/>
  <c r="F292" i="25" s="1"/>
  <c r="G297" i="25" a="1"/>
  <c r="G297" i="25" s="1"/>
  <c r="E175" i="25" a="1"/>
  <c r="E175" i="25" s="1"/>
  <c r="E191" i="25" a="1"/>
  <c r="E191" i="25" s="1"/>
  <c r="D174" i="25" a="1"/>
  <c r="D174" i="25" s="1"/>
  <c r="D502" i="25" a="1"/>
  <c r="D502" i="25" s="1"/>
  <c r="E407" i="25" a="1"/>
  <c r="E407" i="25" s="1"/>
  <c r="E487" i="25" a="1"/>
  <c r="E487" i="25" s="1"/>
  <c r="E339" i="25" a="1"/>
  <c r="E339" i="25" s="1"/>
  <c r="D175" i="25" a="1"/>
  <c r="D175" i="25" s="1"/>
  <c r="E105" i="25" a="1"/>
  <c r="E105" i="25" s="1"/>
  <c r="E503" i="25" a="1"/>
  <c r="E503" i="25" s="1"/>
  <c r="D406" i="25" a="1"/>
  <c r="D406" i="25" s="1"/>
  <c r="D347" i="25" a="1"/>
  <c r="D347" i="25" s="1"/>
  <c r="E313" i="25" a="1"/>
  <c r="E313" i="25" s="1"/>
  <c r="D292" i="25" a="1"/>
  <c r="D292" i="25" s="1"/>
  <c r="C301" i="25" a="1"/>
  <c r="C301" i="25" s="1"/>
  <c r="C313" i="25" a="1"/>
  <c r="C313" i="25" s="1"/>
  <c r="C300" i="25" a="1"/>
  <c r="C300" i="25" s="1"/>
  <c r="C93" i="25" a="1"/>
  <c r="C93" i="25" s="1"/>
  <c r="C104" i="25" a="1"/>
  <c r="C104" i="25" s="1"/>
  <c r="N395" i="25" a="1"/>
  <c r="N395" i="25" s="1"/>
  <c r="I491" i="25" a="1"/>
  <c r="I491" i="25" s="1"/>
  <c r="O312" i="25" a="1"/>
  <c r="O312" i="25" s="1"/>
  <c r="O386" i="25" a="1"/>
  <c r="O386" i="25" s="1"/>
  <c r="O104" i="25" a="1"/>
  <c r="O104" i="25" s="1"/>
  <c r="O300" i="25" a="1"/>
  <c r="O300" i="25" s="1"/>
  <c r="L301" i="25" a="1"/>
  <c r="L301" i="25" s="1"/>
  <c r="X584" i="16"/>
  <c r="X809" i="16" s="1"/>
  <c r="I395" i="25" a="1"/>
  <c r="I395" i="25" s="1"/>
  <c r="H487" i="25" a="1"/>
  <c r="H487" i="25" s="1"/>
  <c r="H301" i="25" a="1"/>
  <c r="H301" i="25" s="1"/>
  <c r="F171" i="25" a="1"/>
  <c r="F171" i="25" s="1"/>
  <c r="F296" i="25" a="1"/>
  <c r="F296" i="25" s="1"/>
  <c r="F85" i="25" a="1"/>
  <c r="F85" i="25" s="1"/>
  <c r="F179" i="25" a="1"/>
  <c r="F179" i="25" s="1"/>
  <c r="F486" i="25" a="1"/>
  <c r="F486" i="25" s="1"/>
  <c r="F502" i="25" a="1"/>
  <c r="F502" i="25" s="1"/>
  <c r="F435" i="25" a="1"/>
  <c r="F435" i="25" s="1"/>
  <c r="G313" i="25" a="1"/>
  <c r="G313" i="25" s="1"/>
  <c r="G407" i="25" a="1"/>
  <c r="G407" i="25" s="1"/>
  <c r="F293" i="25" a="1"/>
  <c r="F293" i="25" s="1"/>
  <c r="D391" i="25" a="1"/>
  <c r="D391" i="25" s="1"/>
  <c r="D487" i="25" a="1"/>
  <c r="D487" i="25" s="1"/>
  <c r="D301" i="25" a="1"/>
  <c r="D301" i="25" s="1"/>
  <c r="D407" i="25" a="1"/>
  <c r="D407" i="25" s="1"/>
  <c r="D348" i="25" a="1"/>
  <c r="D348" i="25" s="1"/>
  <c r="D439" i="25" a="1"/>
  <c r="D439" i="25" s="1"/>
  <c r="C85" i="25" a="1"/>
  <c r="C85" i="25" s="1"/>
  <c r="C178" i="25" a="1"/>
  <c r="C178" i="25" s="1"/>
  <c r="C190" i="25" a="1"/>
  <c r="C190" i="25" s="1"/>
  <c r="C179" i="25" a="1"/>
  <c r="C179" i="25" s="1"/>
  <c r="C105" i="25" a="1"/>
  <c r="C105" i="25" s="1"/>
  <c r="C88" i="25" a="1"/>
  <c r="C88" i="25" s="1"/>
  <c r="L190" i="25" a="1"/>
  <c r="L190" i="25" s="1"/>
  <c r="N491" i="25" a="1"/>
  <c r="N491" i="25" s="1"/>
  <c r="O339" i="25" a="1"/>
  <c r="O339" i="25" s="1"/>
  <c r="O439" i="25" a="1"/>
  <c r="O439" i="25" s="1"/>
  <c r="O301" i="25" a="1"/>
  <c r="O301" i="25" s="1"/>
  <c r="O190" i="25" a="1"/>
  <c r="O190" i="25" s="1"/>
  <c r="O395" i="25" a="1"/>
  <c r="O395" i="25" s="1"/>
  <c r="I88" i="25" a="1"/>
  <c r="I88" i="25" s="1"/>
  <c r="G487" i="25" a="1"/>
  <c r="G487" i="25" s="1"/>
  <c r="H339" i="25" a="1"/>
  <c r="H339" i="25" s="1"/>
  <c r="H85" i="25" a="1"/>
  <c r="H85" i="25" s="1"/>
  <c r="H104" i="25" a="1"/>
  <c r="H104" i="25" s="1"/>
  <c r="H174" i="25" a="1"/>
  <c r="H174" i="25" s="1"/>
  <c r="G179" i="25" a="1"/>
  <c r="G179" i="25" s="1"/>
  <c r="F360" i="25" a="1"/>
  <c r="F360" i="25" s="1"/>
  <c r="G348" i="25" a="1"/>
  <c r="G348" i="25" s="1"/>
  <c r="F438" i="25" a="1"/>
  <c r="F438" i="25" s="1"/>
  <c r="F395" i="25" a="1"/>
  <c r="F395" i="25" s="1"/>
  <c r="G442" i="25" a="1"/>
  <c r="G442" i="25" s="1"/>
  <c r="F191" i="25" a="1"/>
  <c r="F191" i="25" s="1"/>
  <c r="F105" i="25" a="1"/>
  <c r="F105" i="25" s="1"/>
  <c r="F178" i="25" a="1"/>
  <c r="F178" i="25" s="1"/>
  <c r="D343" i="25" a="1"/>
  <c r="D343" i="25" s="1"/>
  <c r="E92" i="25" a="1"/>
  <c r="E92" i="25" s="1"/>
  <c r="C339" i="25" a="1"/>
  <c r="C339" i="25" s="1"/>
  <c r="E438" i="25" a="1"/>
  <c r="E438" i="25" s="1"/>
  <c r="D454" i="25" a="1"/>
  <c r="D454" i="25" s="1"/>
  <c r="D105" i="25" a="1"/>
  <c r="D105" i="25" s="1"/>
  <c r="E179" i="25" a="1"/>
  <c r="E179" i="25" s="1"/>
  <c r="D104" i="25" a="1"/>
  <c r="D104" i="25" s="1"/>
  <c r="D293" i="25" a="1"/>
  <c r="D293" i="25" s="1"/>
  <c r="D89" i="25" a="1"/>
  <c r="D89" i="25" s="1"/>
  <c r="C454" i="25" a="1"/>
  <c r="C454" i="25" s="1"/>
  <c r="C455" i="25" a="1"/>
  <c r="C455" i="25" s="1"/>
  <c r="C292" i="25" a="1"/>
  <c r="C292" i="25" s="1"/>
  <c r="C343" i="25" a="1"/>
  <c r="C343" i="25" s="1"/>
  <c r="C491" i="25" a="1"/>
  <c r="C491" i="25" s="1"/>
  <c r="C395" i="25" a="1"/>
  <c r="C395" i="25" s="1"/>
  <c r="N490" i="25" a="1"/>
  <c r="N490" i="25" s="1"/>
  <c r="I85" i="25" a="1"/>
  <c r="I85" i="25" s="1"/>
  <c r="I93" i="25" a="1"/>
  <c r="I93" i="25" s="1"/>
  <c r="N503" i="25" a="1"/>
  <c r="N503" i="25" s="1"/>
  <c r="O348" i="25" a="1"/>
  <c r="O348" i="25" s="1"/>
  <c r="O434" i="25" a="1"/>
  <c r="O434" i="25" s="1"/>
  <c r="J347" i="25" a="1"/>
  <c r="J347" i="25" s="1"/>
  <c r="X535" i="20"/>
  <c r="G92" i="25" a="1"/>
  <c r="G92" i="25" s="1"/>
  <c r="G88" i="25" a="1"/>
  <c r="G88" i="25" s="1"/>
  <c r="E443" i="25" a="1"/>
  <c r="E443" i="25" s="1"/>
  <c r="F84" i="25" a="1"/>
  <c r="F84" i="25" s="1"/>
  <c r="G93" i="25" a="1"/>
  <c r="G93" i="25" s="1"/>
  <c r="E93" i="25" a="1"/>
  <c r="E93" i="25" s="1"/>
  <c r="F406" i="25" a="1"/>
  <c r="F406" i="25" s="1"/>
  <c r="F92" i="25" a="1"/>
  <c r="F92" i="25" s="1"/>
  <c r="D387" i="25" a="1"/>
  <c r="D387" i="25" s="1"/>
  <c r="G483" i="25" a="1"/>
  <c r="G483" i="25" s="1"/>
  <c r="F175" i="25" a="1"/>
  <c r="F175" i="25" s="1"/>
  <c r="F483" i="25" a="1"/>
  <c r="F483" i="25" s="1"/>
  <c r="G300" i="25" a="1"/>
  <c r="G300" i="25" s="1"/>
  <c r="G104" i="25" a="1"/>
  <c r="G104" i="25" s="1"/>
  <c r="G340" i="25" a="1"/>
  <c r="G340" i="25" s="1"/>
  <c r="E174" i="25" a="1"/>
  <c r="E174" i="25" s="1"/>
  <c r="D313" i="25" a="1"/>
  <c r="D313" i="25" s="1"/>
  <c r="D443" i="25" a="1"/>
  <c r="D443" i="25" s="1"/>
  <c r="E482" i="25" a="1"/>
  <c r="E482" i="25" s="1"/>
  <c r="D340" i="25" a="1"/>
  <c r="D340" i="25" s="1"/>
  <c r="D179" i="25" a="1"/>
  <c r="D179" i="25" s="1"/>
  <c r="E178" i="25" a="1"/>
  <c r="E178" i="25" s="1"/>
  <c r="E395" i="25" a="1"/>
  <c r="E395" i="25" s="1"/>
  <c r="D190" i="25" a="1"/>
  <c r="D190" i="25" s="1"/>
  <c r="E190" i="25" a="1"/>
  <c r="E190" i="25" s="1"/>
  <c r="E486" i="25" a="1"/>
  <c r="E486" i="25" s="1"/>
  <c r="D482" i="25" a="1"/>
  <c r="D482" i="25" s="1"/>
  <c r="D434" i="25" a="1"/>
  <c r="D434" i="25" s="1"/>
  <c r="D85" i="25" a="1"/>
  <c r="D85" i="25" s="1"/>
  <c r="D394" i="25" a="1"/>
  <c r="D394" i="25" s="1"/>
  <c r="C171" i="25" a="1"/>
  <c r="C171" i="25" s="1"/>
  <c r="C340" i="25" a="1"/>
  <c r="C340" i="25" s="1"/>
  <c r="C191" i="25" a="1"/>
  <c r="C191" i="25" s="1"/>
  <c r="H296" i="25" a="1"/>
  <c r="H296" i="25" s="1"/>
  <c r="N454" i="25" a="1"/>
  <c r="N454" i="25" s="1"/>
  <c r="O92" i="25" a="1"/>
  <c r="O92" i="25" s="1"/>
  <c r="O443" i="25" a="1"/>
  <c r="O443" i="25" s="1"/>
  <c r="O435" i="25" a="1"/>
  <c r="O435" i="25" s="1"/>
  <c r="W1881" i="12"/>
  <c r="W1891" i="12" s="1"/>
  <c r="V307" i="10"/>
  <c r="V1886" i="12"/>
  <c r="X507" i="20"/>
  <c r="L191" i="25" a="1"/>
  <c r="L191" i="25" s="1"/>
  <c r="G343" i="25" a="1"/>
  <c r="G343" i="25" s="1"/>
  <c r="G84" i="25" a="1"/>
  <c r="G84" i="25" s="1"/>
  <c r="G89" i="25" a="1"/>
  <c r="G89" i="25" s="1"/>
  <c r="G171" i="25" a="1"/>
  <c r="G171" i="25" s="1"/>
  <c r="G292" i="25" a="1"/>
  <c r="G292" i="25" s="1"/>
  <c r="I84" i="25" a="1"/>
  <c r="I84" i="25" s="1"/>
  <c r="I407" i="25" a="1"/>
  <c r="I407" i="25" s="1"/>
  <c r="G439" i="25" a="1"/>
  <c r="G439" i="25" s="1"/>
  <c r="H395" i="25" a="1"/>
  <c r="H395" i="25" s="1"/>
  <c r="G434" i="25" a="1"/>
  <c r="G434" i="25" s="1"/>
  <c r="H178" i="25" a="1"/>
  <c r="H178" i="25" s="1"/>
  <c r="F313" i="25" a="1"/>
  <c r="F313" i="25" s="1"/>
  <c r="G503" i="25" a="1"/>
  <c r="G503" i="25" s="1"/>
  <c r="F343" i="25" a="1"/>
  <c r="F343" i="25" s="1"/>
  <c r="F339" i="25" a="1"/>
  <c r="F339" i="25" s="1"/>
  <c r="F300" i="25" a="1"/>
  <c r="F300" i="25" s="1"/>
  <c r="F394" i="25" a="1"/>
  <c r="F394" i="25" s="1"/>
  <c r="G293" i="25" a="1"/>
  <c r="G293" i="25" s="1"/>
  <c r="F93" i="25" a="1"/>
  <c r="F93" i="25" s="1"/>
  <c r="E455" i="25" a="1"/>
  <c r="E455" i="25" s="1"/>
  <c r="D171" i="25" a="1"/>
  <c r="D171" i="25" s="1"/>
  <c r="E483" i="25" a="1"/>
  <c r="E483" i="25" s="1"/>
  <c r="E394" i="25" a="1"/>
  <c r="E394" i="25" s="1"/>
  <c r="E170" i="25" a="1"/>
  <c r="E170" i="25" s="1"/>
  <c r="E85" i="25" a="1"/>
  <c r="E85" i="25" s="1"/>
  <c r="C434" i="25" a="1"/>
  <c r="C434" i="25" s="1"/>
  <c r="D486" i="25" a="1"/>
  <c r="D486" i="25" s="1"/>
  <c r="D191" i="25" a="1"/>
  <c r="D191" i="25" s="1"/>
  <c r="E88" i="25" a="1"/>
  <c r="E88" i="25" s="1"/>
  <c r="C360" i="25" a="1"/>
  <c r="C360" i="25" s="1"/>
  <c r="D170" i="25" a="1"/>
  <c r="D170" i="25" s="1"/>
  <c r="C394" i="25" a="1"/>
  <c r="C394" i="25" s="1"/>
  <c r="E439" i="25" a="1"/>
  <c r="E439" i="25" s="1"/>
  <c r="C347" i="25" a="1"/>
  <c r="C347" i="25" s="1"/>
  <c r="C359" i="25" a="1"/>
  <c r="C359" i="25" s="1"/>
  <c r="C175" i="25" a="1"/>
  <c r="C175" i="25" s="1"/>
  <c r="N434" i="25" a="1"/>
  <c r="N434" i="25" s="1"/>
  <c r="L179" i="25" a="1"/>
  <c r="L179" i="25" s="1"/>
  <c r="L454" i="25" a="1"/>
  <c r="L454" i="25" s="1"/>
  <c r="L105" i="25" a="1"/>
  <c r="L105" i="25" s="1"/>
  <c r="O89" i="25" a="1"/>
  <c r="O89" i="25" s="1"/>
  <c r="O490" i="25" a="1"/>
  <c r="O490" i="25" s="1"/>
  <c r="O491" i="25" a="1"/>
  <c r="O491" i="25" s="1"/>
  <c r="O442" i="25" a="1"/>
  <c r="O442" i="25" s="1"/>
  <c r="X1432" i="16"/>
  <c r="W1943" i="12"/>
  <c r="W1901" i="12" s="1"/>
  <c r="D88" i="25" a="1"/>
  <c r="D88" i="25" s="1"/>
  <c r="C482" i="25" a="1"/>
  <c r="C482" i="25" s="1"/>
  <c r="X1762" i="12"/>
  <c r="X1875" i="12" s="1"/>
  <c r="X1913" i="12" s="1"/>
  <c r="X73" i="20"/>
  <c r="X1203" i="20" s="1"/>
  <c r="H344" i="25" a="1"/>
  <c r="H344" i="25" s="1"/>
  <c r="H340" i="25" a="1"/>
  <c r="H340" i="25" s="1"/>
  <c r="H390" i="25" a="1"/>
  <c r="H390" i="25" s="1"/>
  <c r="I170" i="25" a="1"/>
  <c r="I170" i="25" s="1"/>
  <c r="G391" i="25" a="1"/>
  <c r="G391" i="25" s="1"/>
  <c r="I360" i="25" a="1"/>
  <c r="I360" i="25" s="1"/>
  <c r="G455" i="25" a="1"/>
  <c r="G455" i="25" s="1"/>
  <c r="G387" i="25" a="1"/>
  <c r="G387" i="25" s="1"/>
  <c r="H443" i="25" a="1"/>
  <c r="H443" i="25" s="1"/>
  <c r="F88" i="25" a="1"/>
  <c r="F88" i="25" s="1"/>
  <c r="I179" i="25" a="1"/>
  <c r="I179" i="25" s="1"/>
  <c r="F297" i="25" a="1"/>
  <c r="F297" i="25" s="1"/>
  <c r="I454" i="25" a="1"/>
  <c r="I454" i="25" s="1"/>
  <c r="H391" i="25" a="1"/>
  <c r="H391" i="25" s="1"/>
  <c r="H191" i="25" a="1"/>
  <c r="H191" i="25" s="1"/>
  <c r="G435" i="25" a="1"/>
  <c r="G435" i="25" s="1"/>
  <c r="F347" i="25" a="1"/>
  <c r="F347" i="25" s="1"/>
  <c r="F174" i="25" a="1"/>
  <c r="F174" i="25" s="1"/>
  <c r="F490" i="25" a="1"/>
  <c r="F490" i="25" s="1"/>
  <c r="G502" i="25" a="1"/>
  <c r="G502" i="25" s="1"/>
  <c r="F387" i="25" a="1"/>
  <c r="F387" i="25" s="1"/>
  <c r="G406" i="25" a="1"/>
  <c r="G406" i="25" s="1"/>
  <c r="F491" i="25" a="1"/>
  <c r="F491" i="25" s="1"/>
  <c r="E348" i="25" a="1"/>
  <c r="E348" i="25" s="1"/>
  <c r="F190" i="25" a="1"/>
  <c r="F190" i="25" s="1"/>
  <c r="D297" i="25" a="1"/>
  <c r="D297" i="25" s="1"/>
  <c r="F487" i="25" a="1"/>
  <c r="F487" i="25" s="1"/>
  <c r="D339" i="25" a="1"/>
  <c r="D339" i="25" s="1"/>
  <c r="F170" i="25" a="1"/>
  <c r="F170" i="25" s="1"/>
  <c r="D178" i="25" a="1"/>
  <c r="D178" i="25" s="1"/>
  <c r="D92" i="25" a="1"/>
  <c r="D92" i="25" s="1"/>
  <c r="D491" i="25" a="1"/>
  <c r="D491" i="25" s="1"/>
  <c r="E292" i="25" a="1"/>
  <c r="E292" i="25" s="1"/>
  <c r="D300" i="25" a="1"/>
  <c r="D300" i="25" s="1"/>
  <c r="D359" i="25" a="1"/>
  <c r="D359" i="25" s="1"/>
  <c r="D442" i="25" a="1"/>
  <c r="D442" i="25" s="1"/>
  <c r="D395" i="25" a="1"/>
  <c r="D395" i="25" s="1"/>
  <c r="E312" i="25" a="1"/>
  <c r="E312" i="25" s="1"/>
  <c r="E347" i="25" a="1"/>
  <c r="E347" i="25" s="1"/>
  <c r="D435" i="25" a="1"/>
  <c r="D435" i="25" s="1"/>
  <c r="D93" i="25" a="1"/>
  <c r="D93" i="25" s="1"/>
  <c r="D360" i="25" a="1"/>
  <c r="D360" i="25" s="1"/>
  <c r="D312" i="25" a="1"/>
  <c r="D312" i="25" s="1"/>
  <c r="C391" i="25" a="1"/>
  <c r="C391" i="25" s="1"/>
  <c r="C84" i="25" a="1"/>
  <c r="C84" i="25" s="1"/>
  <c r="C503" i="25" a="1"/>
  <c r="C503" i="25" s="1"/>
  <c r="C443" i="25" a="1"/>
  <c r="C443" i="25" s="1"/>
  <c r="C490" i="25" a="1"/>
  <c r="C490" i="25" s="1"/>
  <c r="N89" i="25" a="1"/>
  <c r="N89" i="25" s="1"/>
  <c r="L482" i="25" a="1"/>
  <c r="L482" i="25" s="1"/>
  <c r="J179" i="25" a="1"/>
  <c r="J179" i="25" s="1"/>
  <c r="N191" i="25" a="1"/>
  <c r="N191" i="25" s="1"/>
  <c r="O313" i="25" a="1"/>
  <c r="O313" i="25" s="1"/>
  <c r="O340" i="25" a="1"/>
  <c r="O340" i="25" s="1"/>
  <c r="O178" i="25" a="1"/>
  <c r="O178" i="25" s="1"/>
  <c r="O407" i="25" a="1"/>
  <c r="O407" i="25" s="1"/>
  <c r="I490" i="25" a="1"/>
  <c r="I490" i="25" s="1"/>
  <c r="I178" i="25" a="1"/>
  <c r="I178" i="25" s="1"/>
  <c r="K483" i="25" a="1"/>
  <c r="K483" i="25" s="1"/>
  <c r="H434" i="25" a="1"/>
  <c r="H434" i="25" s="1"/>
  <c r="I92" i="25" a="1"/>
  <c r="I92" i="25" s="1"/>
  <c r="G339" i="25" a="1"/>
  <c r="G339" i="25" s="1"/>
  <c r="H171" i="25" a="1"/>
  <c r="H171" i="25" s="1"/>
  <c r="H89" i="25" a="1"/>
  <c r="H89" i="25" s="1"/>
  <c r="G312" i="25" a="1"/>
  <c r="G312" i="25" s="1"/>
  <c r="G454" i="25" a="1"/>
  <c r="G454" i="25" s="1"/>
  <c r="F89" i="25" a="1"/>
  <c r="F89" i="25" s="1"/>
  <c r="G175" i="25" a="1"/>
  <c r="G175" i="25" s="1"/>
  <c r="G170" i="25" a="1"/>
  <c r="G170" i="25" s="1"/>
  <c r="G174" i="25" a="1"/>
  <c r="G174" i="25" s="1"/>
  <c r="F503" i="25" a="1"/>
  <c r="F503" i="25" s="1"/>
  <c r="F344" i="25" a="1"/>
  <c r="F344" i="25" s="1"/>
  <c r="G491" i="25" a="1"/>
  <c r="G491" i="25" s="1"/>
  <c r="D483" i="25" a="1"/>
  <c r="D483" i="25" s="1"/>
  <c r="G85" i="25" a="1"/>
  <c r="G85" i="25" s="1"/>
  <c r="D455" i="25" a="1"/>
  <c r="D455" i="25" s="1"/>
  <c r="E89" i="25" a="1"/>
  <c r="E89" i="25" s="1"/>
  <c r="E442" i="25" a="1"/>
  <c r="E442" i="25" s="1"/>
  <c r="C92" i="25" a="1"/>
  <c r="C92" i="25" s="1"/>
  <c r="E301" i="25" a="1"/>
  <c r="E301" i="25" s="1"/>
  <c r="E502" i="25" a="1"/>
  <c r="E502" i="25" s="1"/>
  <c r="D490" i="25" a="1"/>
  <c r="D490" i="25" s="1"/>
  <c r="E104" i="25" a="1"/>
  <c r="E104" i="25" s="1"/>
  <c r="D386" i="25" a="1"/>
  <c r="D386" i="25" s="1"/>
  <c r="D438" i="25" a="1"/>
  <c r="D438" i="25" s="1"/>
  <c r="E359" i="25" a="1"/>
  <c r="E359" i="25" s="1"/>
  <c r="D503" i="25" a="1"/>
  <c r="D503" i="25" s="1"/>
  <c r="E434" i="25" a="1"/>
  <c r="E434" i="25" s="1"/>
  <c r="C406" i="25" a="1"/>
  <c r="C406" i="25" s="1"/>
  <c r="C502" i="25" a="1"/>
  <c r="C502" i="25" s="1"/>
  <c r="C174" i="25" a="1"/>
  <c r="C174" i="25" s="1"/>
  <c r="C312" i="25" a="1"/>
  <c r="C312" i="25" s="1"/>
  <c r="C348" i="25" a="1"/>
  <c r="C348" i="25" s="1"/>
  <c r="C438" i="25" a="1"/>
  <c r="C438" i="25" s="1"/>
  <c r="L387" i="25" a="1"/>
  <c r="L387" i="25" s="1"/>
  <c r="O454" i="25" a="1"/>
  <c r="O454" i="25" s="1"/>
  <c r="O360" i="25" a="1"/>
  <c r="O360" i="25" s="1"/>
  <c r="X1302" i="16"/>
  <c r="X996" i="12"/>
  <c r="X1153" i="12" s="1"/>
  <c r="X136" i="16"/>
  <c r="W1160" i="12"/>
  <c r="W1170" i="12" s="1"/>
  <c r="W1171" i="12" s="1"/>
  <c r="L171" i="25" a="1"/>
  <c r="L171" i="25" s="1"/>
  <c r="X878" i="12"/>
  <c r="X914" i="12" s="1"/>
  <c r="X1929" i="12" s="1"/>
  <c r="J438" i="25" a="1"/>
  <c r="J438" i="25" s="1"/>
  <c r="E293" i="25" a="1"/>
  <c r="E293" i="25" s="1"/>
  <c r="C344" i="25" a="1"/>
  <c r="C344" i="25" s="1"/>
  <c r="C170" i="25" a="1"/>
  <c r="C170" i="25" s="1"/>
  <c r="N486" i="25" a="1"/>
  <c r="N486" i="25" s="1"/>
  <c r="N439" i="25" a="1"/>
  <c r="N439" i="25" s="1"/>
  <c r="L175" i="25" a="1"/>
  <c r="L175" i="25" s="1"/>
  <c r="J171" i="25" a="1"/>
  <c r="J171" i="25" s="1"/>
  <c r="O171" i="25" a="1"/>
  <c r="O171" i="25" s="1"/>
  <c r="O387" i="25" a="1"/>
  <c r="O387" i="25" s="1"/>
  <c r="O88" i="25" a="1"/>
  <c r="O88" i="25" s="1"/>
  <c r="O191" i="25" a="1"/>
  <c r="O191" i="25" s="1"/>
  <c r="J191" i="25" a="1"/>
  <c r="J191" i="25" s="1"/>
  <c r="X2061" i="16"/>
  <c r="W1939" i="12"/>
  <c r="W1897" i="12" s="1"/>
  <c r="E297" i="25" a="1"/>
  <c r="E297" i="25" s="1"/>
  <c r="D390" i="25" a="1"/>
  <c r="D390" i="25" s="1"/>
  <c r="E296" i="25" a="1"/>
  <c r="E296" i="25" s="1"/>
  <c r="E171" i="25" a="1"/>
  <c r="E171" i="25" s="1"/>
  <c r="C483" i="25" a="1"/>
  <c r="C483" i="25" s="1"/>
  <c r="C487" i="25" a="1"/>
  <c r="C487" i="25" s="1"/>
  <c r="N339" i="25" a="1"/>
  <c r="N339" i="25" s="1"/>
  <c r="J84" i="25" a="1"/>
  <c r="J84" i="25" s="1"/>
  <c r="L344" i="25" a="1"/>
  <c r="L344" i="25" s="1"/>
  <c r="L89" i="25" a="1"/>
  <c r="L89" i="25" s="1"/>
  <c r="N297" i="25" a="1"/>
  <c r="N297" i="25" s="1"/>
  <c r="O406" i="25" a="1"/>
  <c r="O406" i="25" s="1"/>
  <c r="O175" i="25" a="1"/>
  <c r="O175" i="25" s="1"/>
  <c r="O174" i="25" a="1"/>
  <c r="O174" i="25" s="1"/>
  <c r="O438" i="25" a="1"/>
  <c r="O438" i="25" s="1"/>
  <c r="X636" i="12"/>
  <c r="X371" i="20"/>
  <c r="C390" i="25" a="1"/>
  <c r="C390" i="25" s="1"/>
  <c r="E391" i="25" a="1"/>
  <c r="E391" i="25" s="1"/>
  <c r="E386" i="25" a="1"/>
  <c r="E386" i="25" s="1"/>
  <c r="C435" i="25" a="1"/>
  <c r="C435" i="25" s="1"/>
  <c r="N296" i="25" a="1"/>
  <c r="N296" i="25" s="1"/>
  <c r="J482" i="25" a="1"/>
  <c r="J482" i="25" s="1"/>
  <c r="N407" i="25" a="1"/>
  <c r="N407" i="25" s="1"/>
  <c r="X1481" i="16"/>
  <c r="O85" i="25" a="1"/>
  <c r="O85" i="25" s="1"/>
  <c r="O502" i="25" a="1"/>
  <c r="O502" i="25" s="1"/>
  <c r="O359" i="25" a="1"/>
  <c r="O359" i="25" s="1"/>
  <c r="K406" i="25" a="1"/>
  <c r="K406" i="25" s="1"/>
  <c r="K84" i="25" a="1"/>
  <c r="K84" i="25" s="1"/>
  <c r="L435" i="25" a="1"/>
  <c r="L435" i="25" s="1"/>
  <c r="E340" i="25" a="1"/>
  <c r="E340" i="25" s="1"/>
  <c r="C439" i="25" a="1"/>
  <c r="C439" i="25" s="1"/>
  <c r="C297" i="25" a="1"/>
  <c r="C297" i="25" s="1"/>
  <c r="C386" i="25" a="1"/>
  <c r="C386" i="25" s="1"/>
  <c r="C293" i="25" a="1"/>
  <c r="C293" i="25" s="1"/>
  <c r="E344" i="25" a="1"/>
  <c r="E344" i="25" s="1"/>
  <c r="I387" i="25" a="1"/>
  <c r="I387" i="25" s="1"/>
  <c r="I104" i="25" a="1"/>
  <c r="I104" i="25" s="1"/>
  <c r="O503" i="25" a="1"/>
  <c r="O503" i="25" s="1"/>
  <c r="O344" i="25" a="1"/>
  <c r="O344" i="25" s="1"/>
  <c r="O455" i="25" a="1"/>
  <c r="O455" i="25" s="1"/>
  <c r="O170" i="25" a="1"/>
  <c r="O170" i="25" s="1"/>
  <c r="O390" i="25" a="1"/>
  <c r="O390" i="25" s="1"/>
  <c r="O487" i="25" a="1"/>
  <c r="O487" i="25" s="1"/>
  <c r="O486" i="25" a="1"/>
  <c r="O486" i="25" s="1"/>
  <c r="O391" i="25" a="1"/>
  <c r="O391" i="25" s="1"/>
  <c r="J387" i="25" a="1"/>
  <c r="J387" i="25" s="1"/>
  <c r="L174" i="25" a="1"/>
  <c r="L174" i="25" s="1"/>
  <c r="J297" i="25" a="1"/>
  <c r="J297" i="25" s="1"/>
  <c r="I313" i="25" a="1"/>
  <c r="I313" i="25" s="1"/>
  <c r="C486" i="25" a="1"/>
  <c r="C486" i="25" s="1"/>
  <c r="I339" i="25" a="1"/>
  <c r="I339" i="25" s="1"/>
  <c r="I292" i="25" a="1"/>
  <c r="I292" i="25" s="1"/>
  <c r="X721" i="12"/>
  <c r="X909" i="12" s="1"/>
  <c r="X1924" i="12" s="1"/>
  <c r="N343" i="25" a="1"/>
  <c r="N343" i="25" s="1"/>
  <c r="O482" i="25" a="1"/>
  <c r="O482" i="25" s="1"/>
  <c r="O483" i="25" a="1"/>
  <c r="O483" i="25" s="1"/>
  <c r="O292" i="25" a="1"/>
  <c r="O292" i="25" s="1"/>
  <c r="O105" i="25" a="1"/>
  <c r="O105" i="25" s="1"/>
  <c r="K407" i="25" a="1"/>
  <c r="K407" i="25" s="1"/>
  <c r="C89" i="25" a="1"/>
  <c r="C89" i="25" s="1"/>
  <c r="C387" i="25" a="1"/>
  <c r="C387" i="25" s="1"/>
  <c r="K391" i="25" a="1"/>
  <c r="K391" i="25" s="1"/>
  <c r="O84" i="25" a="1"/>
  <c r="O84" i="25" s="1"/>
  <c r="O343" i="25" a="1"/>
  <c r="O343" i="25" s="1"/>
  <c r="O293" i="25" a="1"/>
  <c r="O293" i="25" s="1"/>
  <c r="O297" i="25" a="1"/>
  <c r="O297" i="25" s="1"/>
  <c r="L455" i="25" a="1"/>
  <c r="L455" i="25" s="1"/>
  <c r="X916" i="20"/>
  <c r="N209" i="25"/>
  <c r="N247" i="25" s="1"/>
  <c r="N266" i="25" s="1"/>
  <c r="N274" i="25" s="1"/>
  <c r="X1576" i="16"/>
  <c r="X1460" i="16"/>
  <c r="X1413" i="16"/>
  <c r="X514" i="20"/>
  <c r="X1915" i="16"/>
  <c r="X1887" i="16"/>
  <c r="X1392" i="16"/>
  <c r="X1330" i="16"/>
  <c r="X486" i="20"/>
  <c r="X487" i="20" s="1"/>
  <c r="D693" i="20"/>
  <c r="X1583" i="16"/>
  <c r="X479" i="20"/>
  <c r="X1316" i="16"/>
  <c r="X1446" i="16"/>
  <c r="X1447" i="16" s="1"/>
  <c r="X350" i="20"/>
  <c r="X351" i="20" s="1"/>
  <c r="X1399" i="16"/>
  <c r="X1288" i="16"/>
  <c r="X2136" i="16"/>
  <c r="D707" i="20"/>
  <c r="X462" i="20"/>
  <c r="X463" i="20" s="1"/>
  <c r="X2139" i="16"/>
  <c r="X1309" i="16"/>
  <c r="X1310" i="16" s="1"/>
  <c r="D368" i="16"/>
  <c r="X1439" i="16"/>
  <c r="X1555" i="16"/>
  <c r="X1420" i="16"/>
  <c r="M71" i="25"/>
  <c r="U1646" i="12"/>
  <c r="W333" i="16"/>
  <c r="X378" i="20"/>
  <c r="X846" i="20"/>
  <c r="V1165" i="12"/>
  <c r="V1172" i="12" s="1"/>
  <c r="X1467" i="16"/>
  <c r="X1569" i="16"/>
  <c r="O264" i="25"/>
  <c r="O263" i="25"/>
  <c r="O144" i="25"/>
  <c r="O226" i="25"/>
  <c r="O143" i="25"/>
  <c r="O225" i="25"/>
  <c r="K265" i="16"/>
  <c r="K53" i="20" s="1"/>
  <c r="K251" i="20" s="1"/>
  <c r="C73" i="25" s="1"/>
  <c r="H1690" i="16"/>
  <c r="I1683" i="16" a="1"/>
  <c r="I1683" i="16" s="1"/>
  <c r="H1270" i="16"/>
  <c r="I1270" i="16" s="1" a="1"/>
  <c r="I1270" i="16" s="1"/>
  <c r="I1263" i="16" a="1"/>
  <c r="I1263" i="16" s="1"/>
  <c r="X332" i="16"/>
  <c r="J971" i="20" a="1"/>
  <c r="J971" i="20" s="1"/>
  <c r="D975" i="20"/>
  <c r="X1406" i="16"/>
  <c r="X1888" i="16"/>
  <c r="X1453" i="16"/>
  <c r="X1454" i="16" s="1"/>
  <c r="M620" i="12"/>
  <c r="M168" i="10" s="1"/>
  <c r="M312" i="10" s="1"/>
  <c r="K945" i="20"/>
  <c r="K924" i="20"/>
  <c r="R312" i="10"/>
  <c r="W118" i="11"/>
  <c r="T315" i="10"/>
  <c r="R315" i="10"/>
  <c r="R118" i="11"/>
  <c r="S310" i="10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U310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X1894" i="16"/>
  <c r="X1895" i="16" s="1"/>
  <c r="N311" i="10"/>
  <c r="M305" i="10"/>
  <c r="Q306" i="10"/>
  <c r="T307" i="10"/>
  <c r="N118" i="11"/>
  <c r="T310" i="10"/>
  <c r="O314" i="10"/>
  <c r="N315" i="10"/>
  <c r="N320" i="10"/>
  <c r="K109" i="12"/>
  <c r="P109" i="12"/>
  <c r="U314" i="10"/>
  <c r="K307" i="10"/>
  <c r="Q315" i="10"/>
  <c r="P306" i="10"/>
  <c r="R305" i="10"/>
  <c r="P311" i="10"/>
  <c r="L311" i="10"/>
  <c r="M314" i="10"/>
  <c r="R310" i="10"/>
  <c r="S320" i="10"/>
  <c r="N307" i="10"/>
  <c r="P314" i="10"/>
  <c r="V118" i="11"/>
  <c r="V310" i="10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S84" i="16"/>
  <c r="N959" i="16"/>
  <c r="N960" i="16" s="1"/>
  <c r="Q946" i="16"/>
  <c r="T912" i="16"/>
  <c r="R918" i="16"/>
  <c r="U916" i="16"/>
  <c r="T85" i="16"/>
  <c r="T86" i="16"/>
  <c r="T83" i="16"/>
  <c r="Q2146" i="16"/>
  <c r="O680" i="20"/>
  <c r="O682" i="20" s="1"/>
  <c r="S2146" i="16"/>
  <c r="T2143" i="16"/>
  <c r="Q1358" i="16"/>
  <c r="R1358" i="16" s="1"/>
  <c r="S1358" i="16" s="1"/>
  <c r="X1414" i="16"/>
  <c r="T1337" i="16"/>
  <c r="U1337" i="16" s="1"/>
  <c r="V1475" i="16"/>
  <c r="U1930" i="16"/>
  <c r="X1584" i="16"/>
  <c r="X1468" i="16"/>
  <c r="R579" i="20"/>
  <c r="S579" i="20" s="1"/>
  <c r="S581" i="20" s="1"/>
  <c r="O666" i="20"/>
  <c r="O668" i="20" s="1"/>
  <c r="M681" i="20"/>
  <c r="N681" i="20" s="1"/>
  <c r="V1598" i="16"/>
  <c r="M632" i="20"/>
  <c r="M633" i="20" s="1"/>
  <c r="X1400" i="16"/>
  <c r="M674" i="20"/>
  <c r="M675" i="20" s="1"/>
  <c r="M639" i="20"/>
  <c r="M640" i="20" s="1"/>
  <c r="N667" i="20"/>
  <c r="X1393" i="16"/>
  <c r="N625" i="20"/>
  <c r="O625" i="20" s="1"/>
  <c r="P625" i="20" s="1"/>
  <c r="P626" i="20" s="1"/>
  <c r="X1407" i="16"/>
  <c r="M653" i="20"/>
  <c r="M654" i="20" s="1"/>
  <c r="X1916" i="16"/>
  <c r="W1591" i="16"/>
  <c r="V1324" i="16"/>
  <c r="S1612" i="16"/>
  <c r="X1570" i="16"/>
  <c r="W334" i="16"/>
  <c r="W791" i="16" s="1"/>
  <c r="W199" i="10" s="1"/>
  <c r="X1577" i="16"/>
  <c r="U1944" i="16"/>
  <c r="T1605" i="16"/>
  <c r="V1937" i="16"/>
  <c r="X1482" i="16"/>
  <c r="I2037" i="16"/>
  <c r="T1338" i="16"/>
  <c r="O954" i="16"/>
  <c r="X1317" i="16"/>
  <c r="X1909" i="16"/>
  <c r="U1496" i="16"/>
  <c r="O1640" i="16"/>
  <c r="R1633" i="16"/>
  <c r="I679" i="16"/>
  <c r="G227" i="20" s="1"/>
  <c r="I681" i="16"/>
  <c r="G229" i="20" s="1"/>
  <c r="I686" i="16"/>
  <c r="G234" i="20" s="1"/>
  <c r="I690" i="16"/>
  <c r="G238" i="20" s="1"/>
  <c r="I666" i="16"/>
  <c r="G214" i="20" s="1"/>
  <c r="I668" i="16"/>
  <c r="G216" i="20" s="1"/>
  <c r="I695" i="16"/>
  <c r="G243" i="20" s="1"/>
  <c r="I672" i="16"/>
  <c r="G220" i="20" s="1"/>
  <c r="I665" i="16"/>
  <c r="G213" i="20" s="1"/>
  <c r="I670" i="16"/>
  <c r="G218" i="20" s="1"/>
  <c r="I678" i="16"/>
  <c r="G226" i="20" s="1"/>
  <c r="I680" i="16"/>
  <c r="G228" i="20" s="1"/>
  <c r="I685" i="16"/>
  <c r="G233" i="20" s="1"/>
  <c r="I669" i="16"/>
  <c r="G217" i="20" s="1"/>
  <c r="I675" i="16"/>
  <c r="G223" i="20" s="1"/>
  <c r="X1331" i="16"/>
  <c r="P1366" i="16"/>
  <c r="U1345" i="16"/>
  <c r="M1654" i="16"/>
  <c r="N1647" i="16"/>
  <c r="O1647" i="16" s="1"/>
  <c r="P1647" i="16" s="1"/>
  <c r="V1489" i="16"/>
  <c r="T1626" i="16"/>
  <c r="U1626" i="16" s="1"/>
  <c r="M682" i="20"/>
  <c r="M952" i="20"/>
  <c r="X1421" i="16"/>
  <c r="Q1619" i="16"/>
  <c r="R1619" i="16" s="1"/>
  <c r="I367" i="16"/>
  <c r="C714" i="20"/>
  <c r="C715" i="20" s="1"/>
  <c r="K108" i="20"/>
  <c r="L108" i="20"/>
  <c r="M108" i="20"/>
  <c r="N108" i="20"/>
  <c r="O108" i="20"/>
  <c r="P108" i="20"/>
  <c r="Q108" i="20"/>
  <c r="R108" i="20"/>
  <c r="S108" i="20"/>
  <c r="T108" i="20"/>
  <c r="U108" i="20"/>
  <c r="V108" i="20"/>
  <c r="W108" i="20"/>
  <c r="X108" i="20"/>
  <c r="X1289" i="16"/>
  <c r="S1352" i="16"/>
  <c r="Q1359" i="16"/>
  <c r="Q1220" i="16"/>
  <c r="F1658" i="16"/>
  <c r="C686" i="20"/>
  <c r="C687" i="20" s="1"/>
  <c r="F109" i="20"/>
  <c r="K104" i="20"/>
  <c r="L104" i="20"/>
  <c r="M104" i="20"/>
  <c r="O104" i="20"/>
  <c r="N104" i="20"/>
  <c r="P104" i="20"/>
  <c r="Q104" i="20"/>
  <c r="R104" i="20"/>
  <c r="S104" i="20"/>
  <c r="T104" i="20"/>
  <c r="U104" i="20"/>
  <c r="V104" i="20"/>
  <c r="W104" i="20"/>
  <c r="X104" i="20"/>
  <c r="F1967" i="16"/>
  <c r="K1968" i="16" s="1"/>
  <c r="L1968" i="16" s="1"/>
  <c r="L2236" i="16" s="1"/>
  <c r="F1665" i="16"/>
  <c r="K1666" i="16" s="1"/>
  <c r="K2192" i="16" s="1"/>
  <c r="F2016" i="16"/>
  <c r="K2017" i="16" s="1"/>
  <c r="O2020" i="16"/>
  <c r="M2020" i="16"/>
  <c r="N2020" i="16"/>
  <c r="P2020" i="16"/>
  <c r="K2020" i="16"/>
  <c r="L2020" i="16"/>
  <c r="Q2020" i="16"/>
  <c r="R2020" i="16"/>
  <c r="S2020" i="16"/>
  <c r="T2020" i="16"/>
  <c r="U2020" i="16"/>
  <c r="V2020" i="16"/>
  <c r="W2020" i="16"/>
  <c r="X2020" i="16"/>
  <c r="P2027" i="16"/>
  <c r="K2027" i="16"/>
  <c r="L2027" i="16"/>
  <c r="M2027" i="16"/>
  <c r="N2027" i="16"/>
  <c r="O2027" i="16"/>
  <c r="Q2027" i="16"/>
  <c r="R2027" i="16"/>
  <c r="S2027" i="16"/>
  <c r="T2027" i="16"/>
  <c r="U2027" i="16"/>
  <c r="V2027" i="16"/>
  <c r="W2027" i="16"/>
  <c r="X2027" i="16"/>
  <c r="F1671" i="16"/>
  <c r="E1980" i="16"/>
  <c r="F1980" i="16" s="1"/>
  <c r="D1980" i="16"/>
  <c r="D1982" i="16"/>
  <c r="D1672" i="16"/>
  <c r="D1987" i="16"/>
  <c r="E1987" i="16"/>
  <c r="F1987" i="16" s="1"/>
  <c r="D2023" i="16"/>
  <c r="D1974" i="16"/>
  <c r="T399" i="20"/>
  <c r="T400" i="20" s="1"/>
  <c r="X472" i="20"/>
  <c r="X473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P2269" i="16"/>
  <c r="U59" i="16"/>
  <c r="V57" i="16" s="1"/>
  <c r="V2254" i="16" s="1"/>
  <c r="V2266" i="16" s="1"/>
  <c r="U2278" i="16"/>
  <c r="U60" i="16" s="1"/>
  <c r="U87" i="16" s="1"/>
  <c r="U35" i="16"/>
  <c r="V33" i="16" s="1"/>
  <c r="V2251" i="16" s="1"/>
  <c r="V2263" i="16" s="1"/>
  <c r="U2275" i="16"/>
  <c r="U36" i="16" s="1"/>
  <c r="Q941" i="16"/>
  <c r="Q942" i="16" s="1"/>
  <c r="P947" i="16"/>
  <c r="L1268" i="16"/>
  <c r="L1269" i="16" s="1"/>
  <c r="P1226" i="16"/>
  <c r="M1267" i="16"/>
  <c r="M2132" i="16" s="1"/>
  <c r="O440" i="20"/>
  <c r="P440" i="20" s="1"/>
  <c r="Q440" i="20" s="1"/>
  <c r="N441" i="20"/>
  <c r="O958" i="16"/>
  <c r="P434" i="20"/>
  <c r="P435" i="20" s="1"/>
  <c r="L456" i="20"/>
  <c r="M456" i="20"/>
  <c r="O1233" i="16"/>
  <c r="O1234" i="16" s="1"/>
  <c r="L1262" i="16"/>
  <c r="S433" i="20"/>
  <c r="T433" i="20" s="1"/>
  <c r="L455" i="20"/>
  <c r="M455" i="20" s="1"/>
  <c r="N455" i="20" s="1"/>
  <c r="L1261" i="16"/>
  <c r="N1247" i="16"/>
  <c r="N1248" i="16" s="1"/>
  <c r="T393" i="20"/>
  <c r="U392" i="20"/>
  <c r="O454" i="20"/>
  <c r="P454" i="20" s="1"/>
  <c r="P428" i="20"/>
  <c r="P1232" i="16"/>
  <c r="P2127" i="16" s="1"/>
  <c r="O1246" i="16"/>
  <c r="O2129" i="16" s="1"/>
  <c r="L976" i="16"/>
  <c r="M448" i="20"/>
  <c r="P427" i="20"/>
  <c r="Q427" i="20" s="1"/>
  <c r="R427" i="20" s="1"/>
  <c r="N1242" i="16"/>
  <c r="N260" i="16" s="1"/>
  <c r="O1239" i="16"/>
  <c r="O2128" i="16" s="1"/>
  <c r="M1254" i="16"/>
  <c r="M1255" i="16" s="1"/>
  <c r="S414" i="20"/>
  <c r="T413" i="20"/>
  <c r="N1240" i="16"/>
  <c r="N1241" i="16" s="1"/>
  <c r="N1253" i="16"/>
  <c r="N2130" i="16" s="1"/>
  <c r="M1260" i="16"/>
  <c r="M2131" i="16" s="1"/>
  <c r="M449" i="20"/>
  <c r="N447" i="20"/>
  <c r="R421" i="20"/>
  <c r="S420" i="20"/>
  <c r="S407" i="20"/>
  <c r="T406" i="20"/>
  <c r="Q428" i="20"/>
  <c r="U419" i="20"/>
  <c r="V419" i="20" s="1"/>
  <c r="M1256" i="16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/>
  <c r="D992" i="16"/>
  <c r="S940" i="16"/>
  <c r="Q435" i="20"/>
  <c r="W412" i="20"/>
  <c r="X412" i="20" s="1"/>
  <c r="O1263" i="16"/>
  <c r="N818" i="20"/>
  <c r="E872" i="20"/>
  <c r="K873" i="20" s="1"/>
  <c r="K874" i="20" s="1"/>
  <c r="K875" i="20" s="1"/>
  <c r="N943" i="20"/>
  <c r="O817" i="20"/>
  <c r="O819" i="20" s="1"/>
  <c r="D700" i="20"/>
  <c r="D851" i="20"/>
  <c r="W398" i="20"/>
  <c r="X398" i="20" s="1"/>
  <c r="X400" i="20" s="1"/>
  <c r="E858" i="20"/>
  <c r="K859" i="20" s="1"/>
  <c r="K860" i="20" s="1"/>
  <c r="K861" i="20" s="1"/>
  <c r="E865" i="20"/>
  <c r="K866" i="20" s="1"/>
  <c r="K867" i="20" s="1"/>
  <c r="K868" i="20" s="1"/>
  <c r="E585" i="20"/>
  <c r="K586" i="20" s="1"/>
  <c r="M944" i="20"/>
  <c r="M945" i="20" s="1"/>
  <c r="D1157" i="20"/>
  <c r="E1157" i="20" s="1"/>
  <c r="C1157" i="20"/>
  <c r="U426" i="20"/>
  <c r="W405" i="20"/>
  <c r="M923" i="20"/>
  <c r="M924" i="20" s="1"/>
  <c r="N922" i="20"/>
  <c r="X391" i="20"/>
  <c r="X393" i="20" s="1"/>
  <c r="D927" i="20"/>
  <c r="E927" i="20" s="1"/>
  <c r="C927" i="20"/>
  <c r="D878" i="20"/>
  <c r="E878" i="20" s="1"/>
  <c r="C878" i="20"/>
  <c r="O617" i="20"/>
  <c r="D780" i="20"/>
  <c r="E780" i="20" s="1"/>
  <c r="C780" i="20"/>
  <c r="D802" i="20"/>
  <c r="D809" i="20"/>
  <c r="C801" i="20"/>
  <c r="D801" i="20"/>
  <c r="E801" i="20" s="1"/>
  <c r="N618" i="20"/>
  <c r="N619" i="20" s="1"/>
  <c r="D794" i="20"/>
  <c r="E794" i="20" s="1"/>
  <c r="C794" i="20"/>
  <c r="D781" i="20"/>
  <c r="D795" i="20"/>
  <c r="D787" i="20"/>
  <c r="E787" i="20" s="1"/>
  <c r="C787" i="20"/>
  <c r="O673" i="20"/>
  <c r="O675" i="20" s="1"/>
  <c r="N654" i="20"/>
  <c r="O652" i="20"/>
  <c r="C773" i="20"/>
  <c r="D773" i="20"/>
  <c r="E773" i="20" s="1"/>
  <c r="D767" i="20"/>
  <c r="D774" i="20"/>
  <c r="D766" i="20"/>
  <c r="E766" i="20" s="1"/>
  <c r="C766" i="20"/>
  <c r="Q624" i="20"/>
  <c r="N661" i="20"/>
  <c r="O659" i="20"/>
  <c r="O661" i="20" s="1"/>
  <c r="D759" i="20"/>
  <c r="E759" i="20" s="1"/>
  <c r="C759" i="20"/>
  <c r="N660" i="20"/>
  <c r="P638" i="20"/>
  <c r="D753" i="20"/>
  <c r="D760" i="20"/>
  <c r="C752" i="20"/>
  <c r="D752" i="20"/>
  <c r="E752" i="20" s="1"/>
  <c r="P631" i="20"/>
  <c r="P633" i="20" s="1"/>
  <c r="D745" i="20"/>
  <c r="E745" i="20" s="1"/>
  <c r="C745" i="20"/>
  <c r="D739" i="20"/>
  <c r="D746" i="20"/>
  <c r="D738" i="20"/>
  <c r="E738" i="20" s="1"/>
  <c r="C738" i="20"/>
  <c r="X336" i="20"/>
  <c r="X337" i="20" s="1"/>
  <c r="D731" i="20"/>
  <c r="E731" i="20" s="1"/>
  <c r="C731" i="20"/>
  <c r="D725" i="20"/>
  <c r="D732" i="20"/>
  <c r="D724" i="20"/>
  <c r="E724" i="20" s="1"/>
  <c r="C724" i="20"/>
  <c r="P580" i="20"/>
  <c r="G30" i="20"/>
  <c r="T2279" i="16"/>
  <c r="T68" i="16" s="1"/>
  <c r="T88" i="16" s="1"/>
  <c r="S28" i="16"/>
  <c r="S82" i="16" s="1"/>
  <c r="T2250" i="16"/>
  <c r="X500" i="20"/>
  <c r="X501" i="20" s="1"/>
  <c r="X1562" i="16"/>
  <c r="X1563" i="16" s="1"/>
  <c r="W634" i="12"/>
  <c r="W622" i="12" s="1"/>
  <c r="W170" i="10" s="1"/>
  <c r="W314" i="10" s="1"/>
  <c r="V1931" i="12"/>
  <c r="V1934" i="12" s="1"/>
  <c r="W632" i="12"/>
  <c r="W620" i="12" s="1"/>
  <c r="W168" i="10" s="1"/>
  <c r="W312" i="10" s="1"/>
  <c r="W1924" i="12"/>
  <c r="W1938" i="12" s="1"/>
  <c r="W1896" i="12" s="1"/>
  <c r="W637" i="12"/>
  <c r="W625" i="12" s="1"/>
  <c r="W176" i="10" s="1"/>
  <c r="W320" i="10" s="1"/>
  <c r="W635" i="12"/>
  <c r="W623" i="12" s="1"/>
  <c r="W171" i="10" s="1"/>
  <c r="W315" i="10" s="1"/>
  <c r="W918" i="12"/>
  <c r="W1927" i="12"/>
  <c r="W1941" i="12" s="1"/>
  <c r="W1899" i="12" s="1"/>
  <c r="V152" i="16"/>
  <c r="R929" i="16"/>
  <c r="Q930" i="16"/>
  <c r="U928" i="16"/>
  <c r="T917" i="16"/>
  <c r="Q1638" i="16"/>
  <c r="R1638" i="16" s="1"/>
  <c r="R2188" i="16" s="1"/>
  <c r="P1639" i="16"/>
  <c r="V906" i="16"/>
  <c r="O957" i="20"/>
  <c r="P957" i="20" s="1"/>
  <c r="T909" i="20"/>
  <c r="M958" i="20"/>
  <c r="N958" i="20" s="1"/>
  <c r="W882" i="16"/>
  <c r="W521" i="20"/>
  <c r="X520" i="20"/>
  <c r="X522" i="20" s="1"/>
  <c r="W522" i="20"/>
  <c r="V146" i="16"/>
  <c r="V162" i="16" s="1"/>
  <c r="O571" i="20"/>
  <c r="S1632" i="16"/>
  <c r="Q563" i="20"/>
  <c r="T1611" i="16"/>
  <c r="V1943" i="16"/>
  <c r="N2190" i="16"/>
  <c r="O2149" i="16"/>
  <c r="P1378" i="16"/>
  <c r="Q1378" i="16" s="1"/>
  <c r="R1378" i="16" s="1"/>
  <c r="O951" i="20"/>
  <c r="L971" i="20"/>
  <c r="M971" i="20" s="1"/>
  <c r="N971" i="20" s="1"/>
  <c r="P950" i="20"/>
  <c r="Q950" i="20" s="1"/>
  <c r="Q564" i="20"/>
  <c r="R562" i="20"/>
  <c r="P569" i="20"/>
  <c r="P571" i="20" s="1"/>
  <c r="U908" i="20"/>
  <c r="T910" i="20"/>
  <c r="O952" i="20"/>
  <c r="O570" i="20"/>
  <c r="T1631" i="16"/>
  <c r="U1631" i="16" s="1"/>
  <c r="S2187" i="16"/>
  <c r="C989" i="20"/>
  <c r="C984" i="20"/>
  <c r="C985" i="20" s="1"/>
  <c r="D984" i="20"/>
  <c r="C983" i="20"/>
  <c r="D983" i="20"/>
  <c r="E983" i="20" s="1"/>
  <c r="X1928" i="16"/>
  <c r="X2229" i="16" s="1"/>
  <c r="W2229" i="16"/>
  <c r="K973" i="20"/>
  <c r="W903" i="20"/>
  <c r="W529" i="20"/>
  <c r="X529" i="20"/>
  <c r="W528" i="20"/>
  <c r="X542" i="20"/>
  <c r="X896" i="20"/>
  <c r="W896" i="20"/>
  <c r="O1372" i="16"/>
  <c r="O1373" i="16" s="1"/>
  <c r="N2149" i="16"/>
  <c r="N285" i="16"/>
  <c r="U1645" i="16"/>
  <c r="V1645" i="16" s="1"/>
  <c r="W1645" i="16" s="1"/>
  <c r="X1645" i="16" s="1"/>
  <c r="O2148" i="16"/>
  <c r="O285" i="16"/>
  <c r="P1371" i="16"/>
  <c r="P2148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Q1365" i="16"/>
  <c r="V1495" i="16"/>
  <c r="W1495" i="16" s="1"/>
  <c r="X1495" i="16" s="1"/>
  <c r="V2168" i="16"/>
  <c r="R2146" i="16"/>
  <c r="V1344" i="16"/>
  <c r="V1625" i="16"/>
  <c r="U2183" i="16"/>
  <c r="U1604" i="16"/>
  <c r="S2185" i="16"/>
  <c r="T1351" i="16"/>
  <c r="U1351" i="16" s="1"/>
  <c r="S1618" i="16"/>
  <c r="T2145" i="16"/>
  <c r="T2146" i="16"/>
  <c r="N1653" i="16"/>
  <c r="V1929" i="16"/>
  <c r="W2182" i="16"/>
  <c r="W2230" i="16"/>
  <c r="W1936" i="16"/>
  <c r="W1597" i="16"/>
  <c r="Q1646" i="16"/>
  <c r="W1683" i="16"/>
  <c r="D1678" i="16"/>
  <c r="O1683" i="16"/>
  <c r="X1683" i="16"/>
  <c r="P1683" i="16"/>
  <c r="D1684" i="16"/>
  <c r="E1988" i="16" s="1"/>
  <c r="Q1683" i="16"/>
  <c r="B1677" i="16"/>
  <c r="B2021" i="16" s="1"/>
  <c r="R1683" i="16"/>
  <c r="V1683" i="16"/>
  <c r="K1683" i="16"/>
  <c r="S1683" i="16"/>
  <c r="L1683" i="16"/>
  <c r="T1683" i="16"/>
  <c r="N1683" i="16"/>
  <c r="E1679" i="16"/>
  <c r="D1679" i="16" s="1"/>
  <c r="M1683" i="16"/>
  <c r="U1683" i="16"/>
  <c r="E1678" i="16"/>
  <c r="F1678" i="16" s="1"/>
  <c r="W2144" i="16"/>
  <c r="Q2189" i="16"/>
  <c r="W2165" i="16"/>
  <c r="W2168" i="16"/>
  <c r="M286" i="16"/>
  <c r="N1379" i="16"/>
  <c r="N1380" i="16" s="1"/>
  <c r="W1474" i="16"/>
  <c r="W1488" i="16"/>
  <c r="W2167" i="16"/>
  <c r="V2144" i="16"/>
  <c r="W2141" i="16"/>
  <c r="W1323" i="16"/>
  <c r="Q2147" i="16"/>
  <c r="S245" i="11"/>
  <c r="P626" i="12"/>
  <c r="P179" i="10" s="1"/>
  <c r="P323" i="10" s="1"/>
  <c r="N316" i="10"/>
  <c r="N1944" i="12"/>
  <c r="N1902" i="12" s="1"/>
  <c r="N1903" i="12" s="1"/>
  <c r="N1906" i="12" s="1"/>
  <c r="O626" i="12"/>
  <c r="O179" i="10" s="1"/>
  <c r="O323" i="10" s="1"/>
  <c r="T626" i="12"/>
  <c r="T179" i="10" s="1"/>
  <c r="T323" i="10" s="1"/>
  <c r="K1944" i="12"/>
  <c r="K1902" i="12" s="1"/>
  <c r="K1903" i="12" s="1"/>
  <c r="K1906" i="12" s="1"/>
  <c r="K316" i="10"/>
  <c r="P1944" i="12"/>
  <c r="P1902" i="12" s="1"/>
  <c r="P1903" i="12" s="1"/>
  <c r="P1906" i="12" s="1"/>
  <c r="P316" i="10"/>
  <c r="M245" i="11"/>
  <c r="O1944" i="12"/>
  <c r="O1902" i="12" s="1"/>
  <c r="O1903" i="12" s="1"/>
  <c r="O1906" i="12" s="1"/>
  <c r="Q245" i="11"/>
  <c r="Q1944" i="12"/>
  <c r="Q1902" i="12" s="1"/>
  <c r="Q1903" i="12" s="1"/>
  <c r="Q1906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M1903" i="12" s="1"/>
  <c r="M1906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L1903" i="12" s="1"/>
  <c r="L1906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T1903" i="12" s="1"/>
  <c r="T1906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K310" i="10"/>
  <c r="L310" i="10"/>
  <c r="T304" i="10"/>
  <c r="P304" i="10"/>
  <c r="O310" i="10"/>
  <c r="O304" i="10"/>
  <c r="M304" i="10"/>
  <c r="M159" i="10"/>
  <c r="M78" i="18" s="1"/>
  <c r="R304" i="10"/>
  <c r="L304" i="10"/>
  <c r="N310" i="10"/>
  <c r="Q310" i="10"/>
  <c r="M310" i="10"/>
  <c r="S1896" i="12"/>
  <c r="S1903" i="12" s="1"/>
  <c r="S1945" i="12"/>
  <c r="N304" i="10"/>
  <c r="N159" i="10"/>
  <c r="P310" i="10"/>
  <c r="D1527" i="16"/>
  <c r="F1526" i="16" s="1"/>
  <c r="K1527" i="16" s="1"/>
  <c r="F1540" i="16"/>
  <c r="K1541" i="16" s="1"/>
  <c r="V1902" i="12"/>
  <c r="V1903" i="12" s="1"/>
  <c r="V1945" i="12"/>
  <c r="X2072" i="16"/>
  <c r="C109" i="20"/>
  <c r="G615" i="20" s="1"/>
  <c r="I615" i="20" s="1"/>
  <c r="D686" i="20"/>
  <c r="D1520" i="16"/>
  <c r="F1512" i="16"/>
  <c r="K1513" i="16" s="1"/>
  <c r="D1534" i="16"/>
  <c r="F1533" i="16" s="1"/>
  <c r="K1534" i="16" s="1"/>
  <c r="J2091" i="16" l="1"/>
  <c r="N15" i="10"/>
  <c r="N34" i="18" s="1"/>
  <c r="S15" i="10"/>
  <c r="S34" i="18" s="1"/>
  <c r="X372" i="10"/>
  <c r="X371" i="10" s="1"/>
  <c r="X376" i="10"/>
  <c r="L346" i="25"/>
  <c r="C646" i="25"/>
  <c r="C112" i="25" s="1"/>
  <c r="C49" i="25" s="1"/>
  <c r="G2038" i="16"/>
  <c r="G2092" i="16" s="1"/>
  <c r="O2092" i="16" s="1"/>
  <c r="O2096" i="16" s="1"/>
  <c r="N2092" i="16"/>
  <c r="N2096" i="16" s="1"/>
  <c r="M346" i="25"/>
  <c r="N358" i="25"/>
  <c r="X79" i="10"/>
  <c r="X366" i="10" s="1"/>
  <c r="O15" i="10"/>
  <c r="O34" i="18" s="1"/>
  <c r="G189" i="20"/>
  <c r="G198" i="20" s="1"/>
  <c r="I626" i="16"/>
  <c r="W1143" i="16"/>
  <c r="I693" i="16"/>
  <c r="G241" i="20" s="1"/>
  <c r="X15" i="10"/>
  <c r="X34" i="18" s="1"/>
  <c r="X31" i="18" s="1"/>
  <c r="X41" i="18" s="1"/>
  <c r="X68" i="10" s="1"/>
  <c r="X67" i="10" s="1"/>
  <c r="W112" i="10"/>
  <c r="K646" i="25"/>
  <c r="K112" i="25" s="1"/>
  <c r="K49" i="25" s="1"/>
  <c r="M646" i="25"/>
  <c r="M112" i="25" s="1"/>
  <c r="M49" i="25" s="1"/>
  <c r="I658" i="25"/>
  <c r="I113" i="25" s="1"/>
  <c r="I50" i="25" s="1"/>
  <c r="M658" i="25"/>
  <c r="M113" i="25" s="1"/>
  <c r="M50" i="25" s="1"/>
  <c r="N658" i="25"/>
  <c r="N113" i="25" s="1"/>
  <c r="N50" i="25" s="1"/>
  <c r="H658" i="25"/>
  <c r="H113" i="25" s="1"/>
  <c r="H50" i="25" s="1"/>
  <c r="L646" i="25"/>
  <c r="L112" i="25" s="1"/>
  <c r="N646" i="25"/>
  <c r="N112" i="25" s="1"/>
  <c r="G646" i="25"/>
  <c r="G112" i="25" s="1"/>
  <c r="G49" i="25" s="1"/>
  <c r="I646" i="25"/>
  <c r="I112" i="25" s="1"/>
  <c r="I49" i="25" s="1"/>
  <c r="L658" i="25"/>
  <c r="L113" i="25" s="1"/>
  <c r="L50" i="25" s="1"/>
  <c r="G658" i="25"/>
  <c r="G113" i="25" s="1"/>
  <c r="G50" i="25" s="1"/>
  <c r="K658" i="25"/>
  <c r="K113" i="25" s="1"/>
  <c r="K50" i="25" s="1"/>
  <c r="J646" i="25"/>
  <c r="J112" i="25" s="1"/>
  <c r="H646" i="25"/>
  <c r="H112" i="25" s="1"/>
  <c r="H49" i="25" s="1"/>
  <c r="J658" i="25"/>
  <c r="J113" i="25" s="1"/>
  <c r="J50" i="25" s="1"/>
  <c r="X2115" i="16"/>
  <c r="X1151" i="16"/>
  <c r="I199" i="16" s="1"/>
  <c r="G32" i="20" s="1"/>
  <c r="I684" i="16"/>
  <c r="G232" i="20" s="1"/>
  <c r="U15" i="10"/>
  <c r="U34" i="18" s="1"/>
  <c r="U31" i="18" s="1"/>
  <c r="U41" i="18" s="1"/>
  <c r="U68" i="10" s="1"/>
  <c r="U67" i="10" s="1"/>
  <c r="I673" i="16"/>
  <c r="G221" i="20" s="1"/>
  <c r="I667" i="16"/>
  <c r="G215" i="20" s="1"/>
  <c r="I362" i="25"/>
  <c r="I676" i="16"/>
  <c r="G224" i="20" s="1"/>
  <c r="I694" i="16"/>
  <c r="G242" i="20" s="1"/>
  <c r="G409" i="25"/>
  <c r="I696" i="16"/>
  <c r="G244" i="20" s="1"/>
  <c r="I664" i="16"/>
  <c r="G212" i="20" s="1"/>
  <c r="I689" i="16"/>
  <c r="G237" i="20" s="1"/>
  <c r="I682" i="16"/>
  <c r="G230" i="20" s="1"/>
  <c r="I697" i="16"/>
  <c r="G245" i="20" s="1"/>
  <c r="X114" i="10"/>
  <c r="X401" i="10" s="1"/>
  <c r="D125" i="25" a="1"/>
  <c r="D125" i="25" s="1"/>
  <c r="D137" i="25" s="1"/>
  <c r="X405" i="10"/>
  <c r="U52" i="10"/>
  <c r="U340" i="10" s="1"/>
  <c r="O646" i="25"/>
  <c r="O112" i="25" s="1"/>
  <c r="O658" i="25"/>
  <c r="O113" i="25" s="1"/>
  <c r="O50" i="25" s="1"/>
  <c r="G207" i="25" a="1"/>
  <c r="G207" i="25" s="1"/>
  <c r="G219" i="25" s="1"/>
  <c r="H207" i="25" a="1"/>
  <c r="H207" i="25" s="1"/>
  <c r="E207" i="25" a="1"/>
  <c r="E207" i="25" s="1"/>
  <c r="K207" i="25" a="1"/>
  <c r="K207" i="25" s="1"/>
  <c r="K219" i="25" s="1"/>
  <c r="C125" i="25" a="1"/>
  <c r="C125" i="25" s="1"/>
  <c r="F646" i="25"/>
  <c r="F112" i="25" s="1"/>
  <c r="C658" i="25"/>
  <c r="C113" i="25" s="1"/>
  <c r="C50" i="25" s="1"/>
  <c r="E125" i="25" a="1"/>
  <c r="E125" i="25" s="1"/>
  <c r="E137" i="25" s="1"/>
  <c r="I207" i="25" a="1"/>
  <c r="I207" i="25" s="1"/>
  <c r="I219" i="25" s="1"/>
  <c r="P650" i="25" a="1"/>
  <c r="P650" i="25" s="1"/>
  <c r="P125" i="25" a="1"/>
  <c r="P125" i="25" s="1"/>
  <c r="P652" i="25" a="1"/>
  <c r="P652" i="25" s="1"/>
  <c r="P205" i="25" a="1"/>
  <c r="P205" i="25" s="1"/>
  <c r="P655" i="25" a="1"/>
  <c r="P655" i="25" s="1"/>
  <c r="P123" i="25" a="1"/>
  <c r="P123" i="25" s="1"/>
  <c r="P639" i="25" a="1"/>
  <c r="P639" i="25" s="1"/>
  <c r="P640" i="25" a="1"/>
  <c r="P640" i="25" s="1"/>
  <c r="P643" i="25" a="1"/>
  <c r="P643" i="25" s="1"/>
  <c r="P202" i="25" a="1"/>
  <c r="P202" i="25" s="1"/>
  <c r="P207" i="25" a="1"/>
  <c r="P207" i="25" s="1"/>
  <c r="P641" i="25" a="1"/>
  <c r="P641" i="25" s="1"/>
  <c r="P201" i="25" a="1"/>
  <c r="P201" i="25" s="1"/>
  <c r="P121" i="25" a="1"/>
  <c r="P121" i="25" s="1"/>
  <c r="P204" i="25" a="1"/>
  <c r="P204" i="25" s="1"/>
  <c r="P651" i="25" a="1"/>
  <c r="P651" i="25" s="1"/>
  <c r="P638" i="25" a="1"/>
  <c r="P638" i="25" s="1"/>
  <c r="P203" i="25" a="1"/>
  <c r="P203" i="25" s="1"/>
  <c r="P122" i="25" a="1"/>
  <c r="P122" i="25" s="1"/>
  <c r="P124" i="25" a="1"/>
  <c r="P124" i="25" s="1"/>
  <c r="P653" i="25" a="1"/>
  <c r="P653" i="25" s="1"/>
  <c r="P642" i="25" a="1"/>
  <c r="P642" i="25" s="1"/>
  <c r="P206" i="25" a="1"/>
  <c r="P206" i="25" s="1"/>
  <c r="P120" i="25" a="1"/>
  <c r="P120" i="25" s="1"/>
  <c r="P654" i="25" a="1"/>
  <c r="P654" i="25" s="1"/>
  <c r="I687" i="16"/>
  <c r="G235" i="20" s="1"/>
  <c r="T60" i="10"/>
  <c r="T348" i="10" s="1"/>
  <c r="L315" i="25"/>
  <c r="G125" i="25" a="1"/>
  <c r="G125" i="25" s="1"/>
  <c r="G137" i="25" s="1"/>
  <c r="N207" i="25" a="1"/>
  <c r="N207" i="25" s="1"/>
  <c r="N219" i="25" s="1"/>
  <c r="F658" i="25"/>
  <c r="F113" i="25" s="1"/>
  <c r="F50" i="25" s="1"/>
  <c r="E646" i="25"/>
  <c r="E112" i="25" s="1"/>
  <c r="D658" i="25"/>
  <c r="D113" i="25" s="1"/>
  <c r="D50" i="25" s="1"/>
  <c r="D207" i="25" a="1"/>
  <c r="D207" i="25" s="1"/>
  <c r="D219" i="25" s="1"/>
  <c r="I125" i="25" a="1"/>
  <c r="I125" i="25" s="1"/>
  <c r="I137" i="25" s="1"/>
  <c r="I677" i="16"/>
  <c r="G225" i="20" s="1"/>
  <c r="K125" i="25" a="1"/>
  <c r="K125" i="25" s="1"/>
  <c r="K137" i="25" s="1"/>
  <c r="H125" i="25" a="1"/>
  <c r="H125" i="25" s="1"/>
  <c r="H137" i="25" s="1"/>
  <c r="F207" i="25" a="1"/>
  <c r="F207" i="25" s="1"/>
  <c r="F219" i="25" s="1"/>
  <c r="J125" i="25" a="1"/>
  <c r="J125" i="25" s="1"/>
  <c r="J137" i="25" s="1"/>
  <c r="I688" i="16"/>
  <c r="G236" i="20" s="1"/>
  <c r="I683" i="16"/>
  <c r="G231" i="20" s="1"/>
  <c r="I674" i="16"/>
  <c r="G222" i="20" s="1"/>
  <c r="M207" i="25" a="1"/>
  <c r="M207" i="25" s="1"/>
  <c r="M219" i="25" s="1"/>
  <c r="N125" i="25" a="1"/>
  <c r="N125" i="25" s="1"/>
  <c r="N137" i="25" s="1"/>
  <c r="E658" i="25"/>
  <c r="E113" i="25" s="1"/>
  <c r="E50" i="25" s="1"/>
  <c r="D646" i="25"/>
  <c r="D112" i="25" s="1"/>
  <c r="F125" i="25" a="1"/>
  <c r="F125" i="25" s="1"/>
  <c r="F137" i="25" s="1"/>
  <c r="N485" i="25"/>
  <c r="M91" i="25"/>
  <c r="O125" i="25" a="1"/>
  <c r="O125" i="25" s="1"/>
  <c r="O137" i="25" s="1"/>
  <c r="M125" i="25" a="1"/>
  <c r="M125" i="25" s="1"/>
  <c r="L207" i="25" a="1"/>
  <c r="L207" i="25" s="1"/>
  <c r="L219" i="25" s="1"/>
  <c r="L125" i="25" a="1"/>
  <c r="L125" i="25" s="1"/>
  <c r="L137" i="25" s="1"/>
  <c r="J207" i="25" a="1"/>
  <c r="J207" i="25" s="1"/>
  <c r="J219" i="25" s="1"/>
  <c r="I671" i="16"/>
  <c r="G219" i="20" s="1"/>
  <c r="E457" i="25"/>
  <c r="X239" i="20"/>
  <c r="I691" i="16"/>
  <c r="G239" i="20" s="1"/>
  <c r="P186" i="25" a="1"/>
  <c r="P186" i="25" s="1"/>
  <c r="P447" i="25" a="1"/>
  <c r="P447" i="25" s="1"/>
  <c r="P399" i="25" a="1"/>
  <c r="P399" i="25" s="1"/>
  <c r="P495" i="25" a="1"/>
  <c r="P495" i="25" s="1"/>
  <c r="P305" i="25" a="1"/>
  <c r="P305" i="25" s="1"/>
  <c r="P352" i="25" a="1"/>
  <c r="P352" i="25" s="1"/>
  <c r="C207" i="25" a="1"/>
  <c r="C207" i="25" s="1"/>
  <c r="C219" i="25" s="1"/>
  <c r="O207" i="25" a="1"/>
  <c r="O207" i="25" s="1"/>
  <c r="O219" i="25" s="1"/>
  <c r="W1150" i="16"/>
  <c r="W1136" i="16"/>
  <c r="I692" i="16"/>
  <c r="G240" i="20" s="1"/>
  <c r="X1170" i="16"/>
  <c r="X1163" i="16"/>
  <c r="L291" i="25"/>
  <c r="L481" i="25"/>
  <c r="D299" i="25"/>
  <c r="L342" i="25"/>
  <c r="P119" i="25" a="1"/>
  <c r="P119" i="25" s="1"/>
  <c r="X1157" i="16"/>
  <c r="E501" i="25"/>
  <c r="D389" i="25"/>
  <c r="C489" i="25"/>
  <c r="D177" i="25"/>
  <c r="G405" i="25"/>
  <c r="E433" i="25"/>
  <c r="I83" i="25"/>
  <c r="X1142" i="16"/>
  <c r="V923" i="12"/>
  <c r="V931" i="12" s="1"/>
  <c r="X1149" i="16"/>
  <c r="D342" i="25"/>
  <c r="X1947" i="12"/>
  <c r="X1905" i="12" s="1"/>
  <c r="X1135" i="16"/>
  <c r="X1171" i="16"/>
  <c r="T936" i="16"/>
  <c r="U936" i="16" s="1"/>
  <c r="S1218" i="16"/>
  <c r="S2125" i="16" s="1"/>
  <c r="R1219" i="16"/>
  <c r="V1184" i="16"/>
  <c r="S918" i="16"/>
  <c r="V1177" i="16"/>
  <c r="V1185" i="16"/>
  <c r="W1183" i="16"/>
  <c r="W2120" i="16" s="1"/>
  <c r="W1176" i="16"/>
  <c r="X1176" i="16" s="1"/>
  <c r="X2119" i="16" s="1"/>
  <c r="V1178" i="16"/>
  <c r="T1205" i="16"/>
  <c r="V2119" i="16"/>
  <c r="U1204" i="16"/>
  <c r="U2123" i="16" s="1"/>
  <c r="T1206" i="16"/>
  <c r="X876" i="16"/>
  <c r="Q1226" i="16"/>
  <c r="O83" i="25"/>
  <c r="R1213" i="16"/>
  <c r="W2121" i="16"/>
  <c r="X1190" i="16"/>
  <c r="X2121" i="16" s="1"/>
  <c r="W1191" i="16"/>
  <c r="W1192" i="16" s="1"/>
  <c r="S1212" i="16"/>
  <c r="S2124" i="16"/>
  <c r="R1220" i="16"/>
  <c r="T1211" i="16"/>
  <c r="T2124" i="16" s="1"/>
  <c r="N1256" i="16"/>
  <c r="N262" i="16" s="1"/>
  <c r="V1197" i="16"/>
  <c r="V2122" i="16" s="1"/>
  <c r="R1225" i="16"/>
  <c r="P1246" i="16"/>
  <c r="P2129" i="16" s="1"/>
  <c r="U1198" i="16"/>
  <c r="X2068" i="16"/>
  <c r="X2069" i="16" s="1"/>
  <c r="X1282" i="16"/>
  <c r="F358" i="25"/>
  <c r="N173" i="25"/>
  <c r="X1556" i="16"/>
  <c r="O146" i="25"/>
  <c r="O154" i="25" s="1"/>
  <c r="P187" i="25" a="1"/>
  <c r="P187" i="25" s="1"/>
  <c r="P127" i="25"/>
  <c r="P135" i="25" s="1"/>
  <c r="P403" i="25" a="1"/>
  <c r="P403" i="25" s="1"/>
  <c r="P499" i="25" a="1"/>
  <c r="P499" i="25" s="1"/>
  <c r="P451" i="25" a="1"/>
  <c r="P451" i="25" s="1"/>
  <c r="P356" i="25" a="1"/>
  <c r="P356" i="25" s="1"/>
  <c r="P402" i="25" a="1"/>
  <c r="P402" i="25" s="1"/>
  <c r="P450" i="25" a="1"/>
  <c r="P450" i="25" s="1"/>
  <c r="P309" i="25" a="1"/>
  <c r="P309" i="25" s="1"/>
  <c r="P498" i="25" a="1"/>
  <c r="P498" i="25" s="1"/>
  <c r="P355" i="25" a="1"/>
  <c r="P355" i="25" s="1"/>
  <c r="P308" i="25" a="1"/>
  <c r="P308" i="25" s="1"/>
  <c r="O255" i="25"/>
  <c r="O228" i="25"/>
  <c r="O236" i="25" s="1"/>
  <c r="P100" i="25" a="1"/>
  <c r="P100" i="25" s="1"/>
  <c r="P101" i="25" a="1"/>
  <c r="P101" i="25" s="1"/>
  <c r="H494" i="25" a="1"/>
  <c r="H494" i="25" s="1"/>
  <c r="I494" i="25" a="1"/>
  <c r="I494" i="25" s="1"/>
  <c r="M494" i="25" a="1"/>
  <c r="M494" i="25" s="1"/>
  <c r="E494" i="25" a="1"/>
  <c r="E494" i="25" s="1"/>
  <c r="D479" i="25"/>
  <c r="F494" i="25" a="1"/>
  <c r="F494" i="25" s="1"/>
  <c r="N494" i="25" a="1"/>
  <c r="N494" i="25" s="1"/>
  <c r="J494" i="25" a="1"/>
  <c r="J494" i="25" s="1"/>
  <c r="I479" i="25"/>
  <c r="G494" i="25" a="1"/>
  <c r="G494" i="25" s="1"/>
  <c r="K494" i="25" a="1"/>
  <c r="K494" i="25" s="1"/>
  <c r="O494" i="25" a="1"/>
  <c r="O494" i="25" s="1"/>
  <c r="D494" i="25" a="1"/>
  <c r="D494" i="25" s="1"/>
  <c r="L494" i="25" a="1"/>
  <c r="L494" i="25" s="1"/>
  <c r="P494" i="25" a="1"/>
  <c r="P494" i="25" s="1"/>
  <c r="K479" i="25"/>
  <c r="C494" i="25" a="1"/>
  <c r="C494" i="25" s="1"/>
  <c r="C478" i="25" s="1"/>
  <c r="D446" i="25" a="1"/>
  <c r="D446" i="25" s="1"/>
  <c r="H446" i="25" a="1"/>
  <c r="H446" i="25" s="1"/>
  <c r="L446" i="25" a="1"/>
  <c r="L446" i="25" s="1"/>
  <c r="P446" i="25" a="1"/>
  <c r="P446" i="25" s="1"/>
  <c r="G431" i="25"/>
  <c r="M446" i="25" a="1"/>
  <c r="M446" i="25" s="1"/>
  <c r="E446" i="25" a="1"/>
  <c r="E446" i="25" s="1"/>
  <c r="I446" i="25" a="1"/>
  <c r="I446" i="25" s="1"/>
  <c r="J446" i="25" a="1"/>
  <c r="J446" i="25" s="1"/>
  <c r="N446" i="25" a="1"/>
  <c r="N446" i="25" s="1"/>
  <c r="N430" i="25" s="1"/>
  <c r="O446" i="25" a="1"/>
  <c r="O446" i="25" s="1"/>
  <c r="F446" i="25" a="1"/>
  <c r="F446" i="25" s="1"/>
  <c r="K446" i="25" a="1"/>
  <c r="K446" i="25" s="1"/>
  <c r="G446" i="25" a="1"/>
  <c r="G446" i="25" s="1"/>
  <c r="C446" i="25" a="1"/>
  <c r="C446" i="25" s="1"/>
  <c r="C430" i="25" s="1"/>
  <c r="D398" i="25" a="1"/>
  <c r="D398" i="25" s="1"/>
  <c r="L398" i="25" a="1"/>
  <c r="L398" i="25" s="1"/>
  <c r="E398" i="25" a="1"/>
  <c r="E398" i="25" s="1"/>
  <c r="I398" i="25" a="1"/>
  <c r="I398" i="25" s="1"/>
  <c r="M398" i="25" a="1"/>
  <c r="M398" i="25" s="1"/>
  <c r="F398" i="25" a="1"/>
  <c r="F398" i="25" s="1"/>
  <c r="J398" i="25" a="1"/>
  <c r="J398" i="25" s="1"/>
  <c r="N398" i="25" a="1"/>
  <c r="N398" i="25" s="1"/>
  <c r="G398" i="25" a="1"/>
  <c r="G398" i="25" s="1"/>
  <c r="K398" i="25" a="1"/>
  <c r="K398" i="25" s="1"/>
  <c r="K382" i="25" s="1"/>
  <c r="O398" i="25" a="1"/>
  <c r="O398" i="25" s="1"/>
  <c r="H398" i="25" a="1"/>
  <c r="H398" i="25" s="1"/>
  <c r="P398" i="25" a="1"/>
  <c r="P398" i="25" s="1"/>
  <c r="C398" i="25" a="1"/>
  <c r="C398" i="25" s="1"/>
  <c r="H351" i="25" a="1"/>
  <c r="H351" i="25" s="1"/>
  <c r="P351" i="25" a="1"/>
  <c r="P351" i="25" s="1"/>
  <c r="J336" i="25"/>
  <c r="I351" i="25" a="1"/>
  <c r="I351" i="25" s="1"/>
  <c r="K351" i="25" a="1"/>
  <c r="K351" i="25" s="1"/>
  <c r="E351" i="25" a="1"/>
  <c r="E351" i="25" s="1"/>
  <c r="M351" i="25" a="1"/>
  <c r="M351" i="25" s="1"/>
  <c r="H336" i="25"/>
  <c r="J351" i="25" a="1"/>
  <c r="J351" i="25" s="1"/>
  <c r="O351" i="25" a="1"/>
  <c r="O351" i="25" s="1"/>
  <c r="O335" i="25" s="1"/>
  <c r="F351" i="25" a="1"/>
  <c r="F351" i="25" s="1"/>
  <c r="N351" i="25" a="1"/>
  <c r="N351" i="25" s="1"/>
  <c r="G351" i="25" a="1"/>
  <c r="G351" i="25" s="1"/>
  <c r="D351" i="25" a="1"/>
  <c r="D351" i="25" s="1"/>
  <c r="L351" i="25" a="1"/>
  <c r="L351" i="25" s="1"/>
  <c r="C351" i="25" a="1"/>
  <c r="C351" i="25" s="1"/>
  <c r="D304" i="25" a="1"/>
  <c r="D304" i="25" s="1"/>
  <c r="P304" i="25" a="1"/>
  <c r="P304" i="25" s="1"/>
  <c r="K289" i="25"/>
  <c r="O289" i="25"/>
  <c r="I304" i="25" a="1"/>
  <c r="I304" i="25" s="1"/>
  <c r="M304" i="25" a="1"/>
  <c r="M304" i="25" s="1"/>
  <c r="E304" i="25" a="1"/>
  <c r="E304" i="25" s="1"/>
  <c r="J304" i="25" a="1"/>
  <c r="J304" i="25" s="1"/>
  <c r="N304" i="25" a="1"/>
  <c r="N304" i="25" s="1"/>
  <c r="F304" i="25" a="1"/>
  <c r="F304" i="25" s="1"/>
  <c r="G304" i="25" a="1"/>
  <c r="G304" i="25" s="1"/>
  <c r="G288" i="25" s="1"/>
  <c r="K304" i="25" a="1"/>
  <c r="K304" i="25" s="1"/>
  <c r="O304" i="25" a="1"/>
  <c r="O304" i="25" s="1"/>
  <c r="H304" i="25" a="1"/>
  <c r="H304" i="25" s="1"/>
  <c r="L304" i="25" a="1"/>
  <c r="L304" i="25" s="1"/>
  <c r="C304" i="25" a="1"/>
  <c r="C304" i="25" s="1"/>
  <c r="C97" i="25" a="1"/>
  <c r="C97" i="25" s="1"/>
  <c r="D97" i="25" a="1"/>
  <c r="D97" i="25" s="1"/>
  <c r="I97" i="25" a="1"/>
  <c r="I97" i="25" s="1"/>
  <c r="N97" i="25" a="1"/>
  <c r="N97" i="25" s="1"/>
  <c r="E97" i="25" a="1"/>
  <c r="E97" i="25" s="1"/>
  <c r="M97" i="25" a="1"/>
  <c r="M97" i="25" s="1"/>
  <c r="F97" i="25" a="1"/>
  <c r="F97" i="25" s="1"/>
  <c r="L97" i="25" a="1"/>
  <c r="L97" i="25" s="1"/>
  <c r="J97" i="25" a="1"/>
  <c r="J97" i="25" s="1"/>
  <c r="K97" i="25" a="1"/>
  <c r="K97" i="25" s="1"/>
  <c r="H97" i="25" a="1"/>
  <c r="H97" i="25" s="1"/>
  <c r="G97" i="25" a="1"/>
  <c r="G97" i="25" s="1"/>
  <c r="O97" i="25" a="1"/>
  <c r="O97" i="25" s="1"/>
  <c r="P97" i="25" a="1"/>
  <c r="P97" i="25" s="1"/>
  <c r="C96" i="25" a="1"/>
  <c r="C96" i="25" s="1"/>
  <c r="D96" i="25" a="1"/>
  <c r="D96" i="25" s="1"/>
  <c r="H96" i="25" a="1"/>
  <c r="H96" i="25" s="1"/>
  <c r="P96" i="25" a="1"/>
  <c r="P96" i="25" s="1"/>
  <c r="I96" i="25" a="1"/>
  <c r="I96" i="25" s="1"/>
  <c r="I80" i="25" s="1"/>
  <c r="M96" i="25" a="1"/>
  <c r="M96" i="25" s="1"/>
  <c r="O96" i="25" a="1"/>
  <c r="O96" i="25" s="1"/>
  <c r="E96" i="25" a="1"/>
  <c r="E96" i="25" s="1"/>
  <c r="J96" i="25" a="1"/>
  <c r="J96" i="25" s="1"/>
  <c r="L96" i="25" a="1"/>
  <c r="L96" i="25" s="1"/>
  <c r="F96" i="25" a="1"/>
  <c r="F96" i="25" s="1"/>
  <c r="N96" i="25" a="1"/>
  <c r="N96" i="25" s="1"/>
  <c r="G96" i="25" a="1"/>
  <c r="G96" i="25" s="1"/>
  <c r="K96" i="25" a="1"/>
  <c r="K96" i="25" s="1"/>
  <c r="C183" i="25" a="1"/>
  <c r="C183" i="25" s="1"/>
  <c r="C167" i="25" s="1"/>
  <c r="H183" i="25" a="1"/>
  <c r="H183" i="25" s="1"/>
  <c r="H167" i="25" s="1"/>
  <c r="I183" i="25" a="1"/>
  <c r="I183" i="25" s="1"/>
  <c r="E183" i="25" a="1"/>
  <c r="E183" i="25" s="1"/>
  <c r="M183" i="25" a="1"/>
  <c r="M183" i="25" s="1"/>
  <c r="M167" i="25" s="1"/>
  <c r="J183" i="25" a="1"/>
  <c r="J183" i="25" s="1"/>
  <c r="J167" i="25" s="1"/>
  <c r="P183" i="25" a="1"/>
  <c r="P183" i="25" s="1"/>
  <c r="F183" i="25" a="1"/>
  <c r="F183" i="25" s="1"/>
  <c r="F167" i="25" s="1"/>
  <c r="N183" i="25" a="1"/>
  <c r="N183" i="25" s="1"/>
  <c r="N167" i="25" s="1"/>
  <c r="G183" i="25" a="1"/>
  <c r="G183" i="25" s="1"/>
  <c r="G167" i="25" s="1"/>
  <c r="K183" i="25" a="1"/>
  <c r="K183" i="25" s="1"/>
  <c r="O183" i="25" a="1"/>
  <c r="O183" i="25" s="1"/>
  <c r="O167" i="25" s="1"/>
  <c r="D183" i="25" a="1"/>
  <c r="D183" i="25" s="1"/>
  <c r="D167" i="25" s="1"/>
  <c r="L183" i="25" a="1"/>
  <c r="L183" i="25" s="1"/>
  <c r="D182" i="25" a="1"/>
  <c r="D182" i="25" s="1"/>
  <c r="M182" i="25" a="1"/>
  <c r="M182" i="25" s="1"/>
  <c r="E182" i="25" a="1"/>
  <c r="E182" i="25" s="1"/>
  <c r="E166" i="25" s="1"/>
  <c r="I182" i="25" a="1"/>
  <c r="I182" i="25" s="1"/>
  <c r="N182" i="25" a="1"/>
  <c r="N182" i="25" s="1"/>
  <c r="N166" i="25" s="1"/>
  <c r="F182" i="25" a="1"/>
  <c r="F182" i="25" s="1"/>
  <c r="J182" i="25" a="1"/>
  <c r="J182" i="25" s="1"/>
  <c r="K182" i="25" a="1"/>
  <c r="K182" i="25" s="1"/>
  <c r="K166" i="25" s="1"/>
  <c r="O182" i="25" a="1"/>
  <c r="O182" i="25" s="1"/>
  <c r="O166" i="25" s="1"/>
  <c r="L182" i="25" a="1"/>
  <c r="L182" i="25" s="1"/>
  <c r="L166" i="25" s="1"/>
  <c r="G182" i="25" a="1"/>
  <c r="G182" i="25" s="1"/>
  <c r="G166" i="25" s="1"/>
  <c r="H182" i="25" a="1"/>
  <c r="H182" i="25" s="1"/>
  <c r="P182" i="25" a="1"/>
  <c r="P182" i="25" s="1"/>
  <c r="O368" i="16"/>
  <c r="C182" i="25" a="1"/>
  <c r="C182" i="25" s="1"/>
  <c r="C166" i="25" s="1"/>
  <c r="X1433" i="16"/>
  <c r="I368" i="16"/>
  <c r="I2039" i="16"/>
  <c r="E707" i="20"/>
  <c r="K708" i="20" s="1"/>
  <c r="K709" i="20" s="1"/>
  <c r="J2087" i="16"/>
  <c r="J2088" i="16"/>
  <c r="M2096" i="16"/>
  <c r="C162" i="20"/>
  <c r="G724" i="20" s="1"/>
  <c r="I724" i="20" s="1"/>
  <c r="I570" i="16"/>
  <c r="R157" i="20"/>
  <c r="R162" i="20" s="1"/>
  <c r="R1207" i="20" s="1"/>
  <c r="F162" i="20"/>
  <c r="N405" i="25"/>
  <c r="K157" i="20"/>
  <c r="K162" i="20" s="1"/>
  <c r="K1207" i="20" s="1"/>
  <c r="L157" i="20"/>
  <c r="L162" i="20" s="1"/>
  <c r="L1207" i="20" s="1"/>
  <c r="U157" i="20"/>
  <c r="U162" i="20" s="1"/>
  <c r="U1207" i="20" s="1"/>
  <c r="T157" i="20"/>
  <c r="T162" i="20" s="1"/>
  <c r="T1207" i="20" s="1"/>
  <c r="S157" i="20"/>
  <c r="S162" i="20" s="1"/>
  <c r="S1207" i="20" s="1"/>
  <c r="M157" i="20"/>
  <c r="M162" i="20" s="1"/>
  <c r="M1207" i="20" s="1"/>
  <c r="J2093" i="16"/>
  <c r="Q157" i="20"/>
  <c r="Q162" i="20" s="1"/>
  <c r="Q1207" i="20" s="1"/>
  <c r="I458" i="16"/>
  <c r="I463" i="16" s="1"/>
  <c r="P157" i="20"/>
  <c r="P162" i="20" s="1"/>
  <c r="P1207" i="20" s="1"/>
  <c r="X157" i="20"/>
  <c r="X162" i="20" s="1"/>
  <c r="X1207" i="20" s="1"/>
  <c r="W157" i="20"/>
  <c r="W162" i="20" s="1"/>
  <c r="W1207" i="20" s="1"/>
  <c r="O157" i="20"/>
  <c r="O162" i="20" s="1"/>
  <c r="O1207" i="20" s="1"/>
  <c r="V157" i="20"/>
  <c r="V162" i="20" s="1"/>
  <c r="V1207" i="20" s="1"/>
  <c r="N162" i="20"/>
  <c r="N1207" i="20" s="1"/>
  <c r="E99" i="25"/>
  <c r="I354" i="25"/>
  <c r="F185" i="25"/>
  <c r="F401" i="25"/>
  <c r="E401" i="25"/>
  <c r="K307" i="25"/>
  <c r="M497" i="25"/>
  <c r="L99" i="25"/>
  <c r="K497" i="25"/>
  <c r="O307" i="25"/>
  <c r="J354" i="25"/>
  <c r="N99" i="25"/>
  <c r="K401" i="25"/>
  <c r="M185" i="25"/>
  <c r="F99" i="25"/>
  <c r="G449" i="25"/>
  <c r="O354" i="25"/>
  <c r="N354" i="25"/>
  <c r="L449" i="25"/>
  <c r="L185" i="25"/>
  <c r="J2086" i="16"/>
  <c r="X888" i="16"/>
  <c r="M262" i="16"/>
  <c r="W1412" i="12"/>
  <c r="W257" i="20" s="1"/>
  <c r="W624" i="12"/>
  <c r="W172" i="10" s="1"/>
  <c r="W316" i="10" s="1"/>
  <c r="X2055" i="16"/>
  <c r="X796" i="16" s="1"/>
  <c r="X204" i="10" s="1"/>
  <c r="X630" i="12"/>
  <c r="X618" i="12" s="1"/>
  <c r="X166" i="10" s="1"/>
  <c r="X310" i="10" s="1"/>
  <c r="X1303" i="16"/>
  <c r="X1440" i="16"/>
  <c r="X219" i="11"/>
  <c r="X246" i="11" s="1"/>
  <c r="X611" i="12" s="1"/>
  <c r="X1944" i="12" s="1"/>
  <c r="X2075" i="16"/>
  <c r="X2082" i="16" s="1"/>
  <c r="X256" i="20" s="1"/>
  <c r="X2092" i="16"/>
  <c r="X2089" i="16"/>
  <c r="J2089" i="16" s="1"/>
  <c r="W952" i="16"/>
  <c r="X952" i="16" s="1"/>
  <c r="W245" i="11"/>
  <c r="X1164" i="16"/>
  <c r="W160" i="10"/>
  <c r="W304" i="10" s="1"/>
  <c r="W303" i="10" s="1"/>
  <c r="X1461" i="16"/>
  <c r="J453" i="25"/>
  <c r="O72" i="25"/>
  <c r="X638" i="12"/>
  <c r="X626" i="12" s="1"/>
  <c r="X179" i="10" s="1"/>
  <c r="N213" i="25" a="1"/>
  <c r="N213" i="25" s="1"/>
  <c r="N131" i="25" a="1"/>
  <c r="N131" i="25" s="1"/>
  <c r="O131" i="25" a="1"/>
  <c r="O131" i="25" s="1"/>
  <c r="O213" i="25" a="1"/>
  <c r="O213" i="25" s="1"/>
  <c r="O115" i="25" a="1"/>
  <c r="O115" i="25" s="1"/>
  <c r="O136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197" i="25" a="1"/>
  <c r="O197" i="25" s="1"/>
  <c r="O218" i="25" s="1"/>
  <c r="N115" i="25" a="1"/>
  <c r="N115" i="25" s="1"/>
  <c r="N136" i="25" s="1"/>
  <c r="N197" i="25" a="1"/>
  <c r="N197" i="25" s="1"/>
  <c r="N218" i="25" s="1"/>
  <c r="N62" i="25"/>
  <c r="N59" i="25"/>
  <c r="N61" i="25"/>
  <c r="N58" i="25"/>
  <c r="X894" i="16"/>
  <c r="V935" i="16"/>
  <c r="W935" i="16" s="1"/>
  <c r="O970" i="16"/>
  <c r="P970" i="16" s="1"/>
  <c r="M971" i="16"/>
  <c r="N971" i="16" s="1"/>
  <c r="N71" i="25"/>
  <c r="V2225" i="16"/>
  <c r="W1900" i="16"/>
  <c r="R585" i="16"/>
  <c r="K984" i="16"/>
  <c r="R2232" i="16"/>
  <c r="L1666" i="16"/>
  <c r="K1667" i="16"/>
  <c r="K1668" i="16" s="1"/>
  <c r="T2228" i="16"/>
  <c r="U1921" i="16"/>
  <c r="V1921" i="16" s="1"/>
  <c r="P1951" i="16"/>
  <c r="P587" i="16" s="1"/>
  <c r="P794" i="16" s="1"/>
  <c r="P202" i="10" s="1"/>
  <c r="Q1950" i="16"/>
  <c r="P586" i="16"/>
  <c r="W928" i="12"/>
  <c r="W929" i="12" s="1"/>
  <c r="W208" i="10" s="1"/>
  <c r="W352" i="10" s="1"/>
  <c r="K1659" i="16"/>
  <c r="T1922" i="16"/>
  <c r="T1923" i="16"/>
  <c r="U1902" i="16"/>
  <c r="V1901" i="16"/>
  <c r="K1969" i="16"/>
  <c r="K1970" i="16" s="1"/>
  <c r="L1970" i="16" s="1"/>
  <c r="T1949" i="16"/>
  <c r="S2232" i="16"/>
  <c r="K2236" i="16"/>
  <c r="N626" i="20"/>
  <c r="O626" i="20"/>
  <c r="I662" i="16"/>
  <c r="G210" i="20" s="1"/>
  <c r="I661" i="16"/>
  <c r="G209" i="20" s="1"/>
  <c r="I663" i="16"/>
  <c r="G211" i="20" s="1"/>
  <c r="I660" i="16"/>
  <c r="G208" i="20" s="1"/>
  <c r="C206" i="20"/>
  <c r="E698" i="16"/>
  <c r="P175" i="25" a="1"/>
  <c r="P175" i="25" s="1"/>
  <c r="W1406" i="12"/>
  <c r="X1401" i="12"/>
  <c r="X1411" i="12" s="1"/>
  <c r="P72" i="25" s="1"/>
  <c r="L485" i="25"/>
  <c r="P421" i="25" a="1"/>
  <c r="P421" i="25" s="1"/>
  <c r="P179" i="25" a="1"/>
  <c r="P179" i="25" s="1"/>
  <c r="P364" i="25" a="1"/>
  <c r="P364" i="25" s="1"/>
  <c r="P387" i="25" a="1"/>
  <c r="P387" i="25" s="1"/>
  <c r="P374" i="25" a="1"/>
  <c r="P374" i="25" s="1"/>
  <c r="P410" i="25" a="1"/>
  <c r="P410" i="25" s="1"/>
  <c r="P482" i="25" a="1"/>
  <c r="P482" i="25" s="1"/>
  <c r="P178" i="25" a="1"/>
  <c r="P178" i="25" s="1"/>
  <c r="P347" i="25" a="1"/>
  <c r="P347" i="25" s="1"/>
  <c r="P285" i="25"/>
  <c r="P85" i="25" a="1"/>
  <c r="P85" i="25" s="1"/>
  <c r="P109" i="25" a="1"/>
  <c r="P109" i="25" s="1"/>
  <c r="F177" i="25"/>
  <c r="J213" i="25" a="1"/>
  <c r="J213" i="25" s="1"/>
  <c r="D437" i="25"/>
  <c r="P88" i="25" a="1"/>
  <c r="P88" i="25" s="1"/>
  <c r="P443" i="25" a="1"/>
  <c r="P443" i="25" s="1"/>
  <c r="P297" i="25" a="1"/>
  <c r="P297" i="25" s="1"/>
  <c r="P515" i="25" a="1"/>
  <c r="P515" i="25" s="1"/>
  <c r="P467" i="25" a="1"/>
  <c r="P467" i="25" s="1"/>
  <c r="P339" i="25" a="1"/>
  <c r="P339" i="25" s="1"/>
  <c r="P518" i="25" a="1"/>
  <c r="P518" i="25" s="1"/>
  <c r="P105" i="25" a="1"/>
  <c r="P105" i="25" s="1"/>
  <c r="P348" i="25" a="1"/>
  <c r="P348" i="25" s="1"/>
  <c r="P296" i="25" a="1"/>
  <c r="P296" i="25" s="1"/>
  <c r="P434" i="25" a="1"/>
  <c r="P434" i="25" s="1"/>
  <c r="P195" i="25" a="1"/>
  <c r="P195" i="25" s="1"/>
  <c r="P439" i="25" a="1"/>
  <c r="P439" i="25" s="1"/>
  <c r="P340" i="25" a="1"/>
  <c r="P340" i="25" s="1"/>
  <c r="P427" i="25"/>
  <c r="P469" i="25" a="1"/>
  <c r="P469" i="25" s="1"/>
  <c r="P372" i="25" a="1"/>
  <c r="P372" i="25" s="1"/>
  <c r="P323" i="25" a="1"/>
  <c r="P323" i="25" s="1"/>
  <c r="P104" i="25" a="1"/>
  <c r="P104" i="25" s="1"/>
  <c r="P468" i="25" a="1"/>
  <c r="P468" i="25" s="1"/>
  <c r="P419" i="25" a="1"/>
  <c r="P419" i="25" s="1"/>
  <c r="P411" i="25" a="1"/>
  <c r="P411" i="25" s="1"/>
  <c r="P486" i="25" a="1"/>
  <c r="P486" i="25" s="1"/>
  <c r="P513" i="25" a="1"/>
  <c r="P513" i="25" s="1"/>
  <c r="P375" i="25" a="1"/>
  <c r="P375" i="25" s="1"/>
  <c r="P371" i="25" a="1"/>
  <c r="P371" i="25" s="1"/>
  <c r="P487" i="25" a="1"/>
  <c r="P487" i="25" s="1"/>
  <c r="P438" i="25" a="1"/>
  <c r="P438" i="25" s="1"/>
  <c r="P503" i="25" a="1"/>
  <c r="P503" i="25" s="1"/>
  <c r="P442" i="25" a="1"/>
  <c r="P442" i="25" s="1"/>
  <c r="P422" i="25" a="1"/>
  <c r="P422" i="25" s="1"/>
  <c r="P84" i="25" a="1"/>
  <c r="P84" i="25" s="1"/>
  <c r="P517" i="25" a="1"/>
  <c r="P517" i="25" s="1"/>
  <c r="P359" i="25" a="1"/>
  <c r="P359" i="25" s="1"/>
  <c r="P514" i="25" a="1"/>
  <c r="P514" i="25" s="1"/>
  <c r="P292" i="25" a="1"/>
  <c r="P292" i="25" s="1"/>
  <c r="P328" i="25" a="1"/>
  <c r="P328" i="25" s="1"/>
  <c r="P293" i="25" a="1"/>
  <c r="P293" i="25" s="1"/>
  <c r="P108" i="25" a="1"/>
  <c r="P108" i="25" s="1"/>
  <c r="P491" i="25" a="1"/>
  <c r="P491" i="25" s="1"/>
  <c r="P343" i="25" a="1"/>
  <c r="P343" i="25" s="1"/>
  <c r="P194" i="25" a="1"/>
  <c r="P194" i="25" s="1"/>
  <c r="P325" i="25" a="1"/>
  <c r="P325" i="25" s="1"/>
  <c r="P370" i="25" a="1"/>
  <c r="P370" i="25" s="1"/>
  <c r="P174" i="25" a="1"/>
  <c r="P174" i="25" s="1"/>
  <c r="P420" i="25" a="1"/>
  <c r="P420" i="25" s="1"/>
  <c r="P435" i="25" a="1"/>
  <c r="P435" i="25" s="1"/>
  <c r="P391" i="25" a="1"/>
  <c r="P391" i="25" s="1"/>
  <c r="P466" i="25" a="1"/>
  <c r="P466" i="25" s="1"/>
  <c r="P470" i="25" a="1"/>
  <c r="P470" i="25" s="1"/>
  <c r="P454" i="25" a="1"/>
  <c r="P454" i="25" s="1"/>
  <c r="P326" i="25" a="1"/>
  <c r="P326" i="25" s="1"/>
  <c r="P89" i="25" a="1"/>
  <c r="P89" i="25" s="1"/>
  <c r="P490" i="25" a="1"/>
  <c r="P490" i="25" s="1"/>
  <c r="P506" i="25" a="1"/>
  <c r="P506" i="25" s="1"/>
  <c r="P483" i="25" a="1"/>
  <c r="P483" i="25" s="1"/>
  <c r="P423" i="25" a="1"/>
  <c r="P423" i="25" s="1"/>
  <c r="P418" i="25" a="1"/>
  <c r="P418" i="25" s="1"/>
  <c r="P300" i="25" a="1"/>
  <c r="P300" i="25" s="1"/>
  <c r="P317" i="25" a="1"/>
  <c r="P317" i="25" s="1"/>
  <c r="P406" i="25" a="1"/>
  <c r="P406" i="25" s="1"/>
  <c r="P332" i="25"/>
  <c r="P407" i="25" a="1"/>
  <c r="P407" i="25" s="1"/>
  <c r="P475" i="25"/>
  <c r="P592" i="25" s="1"/>
  <c r="P93" i="25" a="1"/>
  <c r="P93" i="25" s="1"/>
  <c r="P395" i="25" a="1"/>
  <c r="P395" i="25" s="1"/>
  <c r="P390" i="25" a="1"/>
  <c r="P390" i="25" s="1"/>
  <c r="P373" i="25" a="1"/>
  <c r="P373" i="25" s="1"/>
  <c r="P394" i="25" a="1"/>
  <c r="P394" i="25" s="1"/>
  <c r="P327" i="25" a="1"/>
  <c r="P327" i="25" s="1"/>
  <c r="P324" i="25" a="1"/>
  <c r="P324" i="25" s="1"/>
  <c r="P502" i="25" a="1"/>
  <c r="P502" i="25" s="1"/>
  <c r="P459" i="25" a="1"/>
  <c r="P459" i="25" s="1"/>
  <c r="P191" i="25" a="1"/>
  <c r="P191" i="25" s="1"/>
  <c r="P344" i="25" a="1"/>
  <c r="P344" i="25" s="1"/>
  <c r="P312" i="25" a="1"/>
  <c r="P312" i="25" s="1"/>
  <c r="P507" i="25" a="1"/>
  <c r="P507" i="25" s="1"/>
  <c r="P379" i="25"/>
  <c r="P471" i="25" a="1"/>
  <c r="P471" i="25" s="1"/>
  <c r="P386" i="25" a="1"/>
  <c r="P386" i="25" s="1"/>
  <c r="P170" i="25" a="1"/>
  <c r="P170" i="25" s="1"/>
  <c r="P313" i="25" a="1"/>
  <c r="P313" i="25" s="1"/>
  <c r="P92" i="25" a="1"/>
  <c r="P92" i="25" s="1"/>
  <c r="P458" i="25" a="1"/>
  <c r="P458" i="25" s="1"/>
  <c r="P301" i="25" a="1"/>
  <c r="P301" i="25" s="1"/>
  <c r="P360" i="25" a="1"/>
  <c r="P360" i="25" s="1"/>
  <c r="P316" i="25" a="1"/>
  <c r="P316" i="25" s="1"/>
  <c r="P516" i="25" a="1"/>
  <c r="P516" i="25" s="1"/>
  <c r="P455" i="25" a="1"/>
  <c r="P455" i="25" s="1"/>
  <c r="P363" i="25" a="1"/>
  <c r="P363" i="25" s="1"/>
  <c r="P190" i="25" a="1"/>
  <c r="P190" i="25" s="1"/>
  <c r="P171" i="25" a="1"/>
  <c r="P171" i="25" s="1"/>
  <c r="P163" i="25"/>
  <c r="P217" i="25" s="1"/>
  <c r="L501" i="25"/>
  <c r="K107" i="25"/>
  <c r="N193" i="25"/>
  <c r="O209" i="25"/>
  <c r="O247" i="25" s="1"/>
  <c r="O266" i="25" s="1"/>
  <c r="O274" i="25" s="1"/>
  <c r="L213" i="25" a="1"/>
  <c r="L213" i="25" s="1"/>
  <c r="C131" i="25" a="1"/>
  <c r="C131" i="25" s="1"/>
  <c r="I299" i="25"/>
  <c r="H457" i="25"/>
  <c r="M107" i="25"/>
  <c r="I358" i="25"/>
  <c r="H501" i="25"/>
  <c r="E693" i="20"/>
  <c r="K694" i="20" s="1"/>
  <c r="K695" i="20" s="1"/>
  <c r="J358" i="25"/>
  <c r="D457" i="25"/>
  <c r="O299" i="25"/>
  <c r="C107" i="25"/>
  <c r="K441" i="25"/>
  <c r="J362" i="25"/>
  <c r="G424" i="25" a="1"/>
  <c r="G424" i="25" s="1"/>
  <c r="J107" i="25"/>
  <c r="V304" i="10"/>
  <c r="V303" i="10" s="1"/>
  <c r="I393" i="25"/>
  <c r="D107" i="25"/>
  <c r="C329" i="25" a="1"/>
  <c r="C329" i="25" s="1"/>
  <c r="L329" i="25" a="1"/>
  <c r="L329" i="25" s="1"/>
  <c r="X1940" i="12"/>
  <c r="X1898" i="12" s="1"/>
  <c r="C472" i="25" a="1"/>
  <c r="C472" i="25" s="1"/>
  <c r="O291" i="25"/>
  <c r="K433" i="25"/>
  <c r="I457" i="25"/>
  <c r="N91" i="25"/>
  <c r="E453" i="25"/>
  <c r="F311" i="25"/>
  <c r="K295" i="25"/>
  <c r="K453" i="25"/>
  <c r="E315" i="25"/>
  <c r="L169" i="25"/>
  <c r="K393" i="25"/>
  <c r="J103" i="25"/>
  <c r="N107" i="25"/>
  <c r="M424" i="25" a="1"/>
  <c r="M424" i="25" s="1"/>
  <c r="H213" i="25" a="1"/>
  <c r="H213" i="25" s="1"/>
  <c r="I131" i="25" a="1"/>
  <c r="I131" i="25" s="1"/>
  <c r="G131" i="25" a="1"/>
  <c r="G131" i="25" s="1"/>
  <c r="J131" i="25" a="1"/>
  <c r="J131" i="25" s="1"/>
  <c r="F131" i="25" a="1"/>
  <c r="F131" i="25" s="1"/>
  <c r="M131" i="25" a="1"/>
  <c r="M131" i="25" s="1"/>
  <c r="K131" i="25" a="1"/>
  <c r="K131" i="25" s="1"/>
  <c r="N376" i="25" a="1"/>
  <c r="N376" i="25" s="1"/>
  <c r="C213" i="25" a="1"/>
  <c r="C213" i="25" s="1"/>
  <c r="D213" i="25" a="1"/>
  <c r="D213" i="25" s="1"/>
  <c r="E131" i="25" a="1"/>
  <c r="E131" i="25" s="1"/>
  <c r="H131" i="25" a="1"/>
  <c r="H131" i="25" s="1"/>
  <c r="P424" i="25" a="1"/>
  <c r="P424" i="25" s="1"/>
  <c r="G213" i="25" a="1"/>
  <c r="G213" i="25" s="1"/>
  <c r="D131" i="25" a="1"/>
  <c r="D131" i="25" s="1"/>
  <c r="L299" i="25"/>
  <c r="M87" i="25"/>
  <c r="J519" i="25" a="1"/>
  <c r="J519" i="25" s="1"/>
  <c r="E213" i="25" a="1"/>
  <c r="E213" i="25" s="1"/>
  <c r="K213" i="25" a="1"/>
  <c r="K213" i="25" s="1"/>
  <c r="L131" i="25" a="1"/>
  <c r="L131" i="25" s="1"/>
  <c r="M213" i="25" a="1"/>
  <c r="M213" i="25" s="1"/>
  <c r="F213" i="25" a="1"/>
  <c r="F213" i="25" s="1"/>
  <c r="I213" i="25" a="1"/>
  <c r="I213" i="25" s="1"/>
  <c r="F193" i="25"/>
  <c r="O362" i="25"/>
  <c r="J91" i="25"/>
  <c r="N177" i="25"/>
  <c r="I409" i="25"/>
  <c r="P52" i="25"/>
  <c r="E338" i="25"/>
  <c r="K505" i="25"/>
  <c r="F315" i="25"/>
  <c r="I107" i="25"/>
  <c r="J505" i="25"/>
  <c r="L437" i="25"/>
  <c r="O338" i="25"/>
  <c r="F103" i="25"/>
  <c r="H393" i="25"/>
  <c r="E409" i="25"/>
  <c r="I505" i="25"/>
  <c r="E362" i="25"/>
  <c r="H505" i="25"/>
  <c r="G103" i="25"/>
  <c r="L103" i="25"/>
  <c r="L177" i="25"/>
  <c r="J389" i="25"/>
  <c r="O177" i="25"/>
  <c r="M409" i="25"/>
  <c r="K83" i="25"/>
  <c r="C481" i="25"/>
  <c r="L83" i="25"/>
  <c r="J457" i="25"/>
  <c r="G315" i="25"/>
  <c r="L505" i="25"/>
  <c r="P329" i="25" a="1"/>
  <c r="P329" i="25" s="1"/>
  <c r="C295" i="25"/>
  <c r="E103" i="25"/>
  <c r="I177" i="25"/>
  <c r="H389" i="25"/>
  <c r="N291" i="25"/>
  <c r="K338" i="25"/>
  <c r="C505" i="25"/>
  <c r="G342" i="25"/>
  <c r="I501" i="25"/>
  <c r="N299" i="25"/>
  <c r="N311" i="25"/>
  <c r="N315" i="25"/>
  <c r="J58" i="25"/>
  <c r="X1477" i="12"/>
  <c r="X1634" i="12" s="1"/>
  <c r="J424" i="25" a="1"/>
  <c r="J424" i="25" s="1"/>
  <c r="D366" i="25" a="1"/>
  <c r="D366" i="25" s="1"/>
  <c r="X1567" i="12"/>
  <c r="X1636" i="12" s="1"/>
  <c r="X1444" i="12"/>
  <c r="X1632" i="12" s="1"/>
  <c r="I60" i="25"/>
  <c r="E472" i="25" a="1"/>
  <c r="E472" i="25" s="1"/>
  <c r="H329" i="25" a="1"/>
  <c r="H329" i="25" s="1"/>
  <c r="J376" i="25" a="1"/>
  <c r="J376" i="25" s="1"/>
  <c r="E342" i="25"/>
  <c r="F519" i="25" a="1"/>
  <c r="F519" i="25" s="1"/>
  <c r="K519" i="25" a="1"/>
  <c r="K519" i="25" s="1"/>
  <c r="D424" i="25" a="1"/>
  <c r="D424" i="25" s="1"/>
  <c r="I376" i="25" a="1"/>
  <c r="I376" i="25" s="1"/>
  <c r="I366" i="25" a="1"/>
  <c r="I366" i="25" s="1"/>
  <c r="O472" i="25" a="1"/>
  <c r="O472" i="25" s="1"/>
  <c r="O424" i="25" a="1"/>
  <c r="O424" i="25" s="1"/>
  <c r="D376" i="25" a="1"/>
  <c r="D376" i="25" s="1"/>
  <c r="O329" i="25" a="1"/>
  <c r="O329" i="25" s="1"/>
  <c r="F329" i="25" a="1"/>
  <c r="F329" i="25" s="1"/>
  <c r="I472" i="25" a="1"/>
  <c r="I472" i="25" s="1"/>
  <c r="D472" i="25" a="1"/>
  <c r="D472" i="25" s="1"/>
  <c r="J472" i="25" a="1"/>
  <c r="J472" i="25" s="1"/>
  <c r="J433" i="25"/>
  <c r="O519" i="25" a="1"/>
  <c r="O519" i="25" s="1"/>
  <c r="C424" i="25" a="1"/>
  <c r="C424" i="25" s="1"/>
  <c r="E519" i="25" a="1"/>
  <c r="E519" i="25" s="1"/>
  <c r="F472" i="25" a="1"/>
  <c r="F472" i="25" s="1"/>
  <c r="K329" i="25" a="1"/>
  <c r="K329" i="25" s="1"/>
  <c r="G519" i="25" a="1"/>
  <c r="G519" i="25" s="1"/>
  <c r="N519" i="25" a="1"/>
  <c r="N519" i="25" s="1"/>
  <c r="H519" i="25" a="1"/>
  <c r="H519" i="25" s="1"/>
  <c r="N329" i="25" a="1"/>
  <c r="N329" i="25" s="1"/>
  <c r="E424" i="25" a="1"/>
  <c r="E424" i="25" s="1"/>
  <c r="J329" i="25" a="1"/>
  <c r="J329" i="25" s="1"/>
  <c r="H376" i="25" a="1"/>
  <c r="H376" i="25" s="1"/>
  <c r="G329" i="25" a="1"/>
  <c r="G329" i="25" s="1"/>
  <c r="I519" i="25" a="1"/>
  <c r="I519" i="25" s="1"/>
  <c r="I329" i="25" a="1"/>
  <c r="I329" i="25" s="1"/>
  <c r="L472" i="25" a="1"/>
  <c r="L472" i="25" s="1"/>
  <c r="F376" i="25" a="1"/>
  <c r="F376" i="25" s="1"/>
  <c r="P519" i="25" a="1"/>
  <c r="P519" i="25" s="1"/>
  <c r="N472" i="25" a="1"/>
  <c r="N472" i="25" s="1"/>
  <c r="M472" i="25" a="1"/>
  <c r="M472" i="25" s="1"/>
  <c r="H472" i="25" a="1"/>
  <c r="H472" i="25" s="1"/>
  <c r="O376" i="25" a="1"/>
  <c r="O376" i="25" s="1"/>
  <c r="P472" i="25" a="1"/>
  <c r="P472" i="25" s="1"/>
  <c r="E376" i="25" a="1"/>
  <c r="E376" i="25" s="1"/>
  <c r="M376" i="25" a="1"/>
  <c r="M376" i="25" s="1"/>
  <c r="E329" i="25" a="1"/>
  <c r="E329" i="25" s="1"/>
  <c r="L424" i="25" a="1"/>
  <c r="L424" i="25" s="1"/>
  <c r="H424" i="25" a="1"/>
  <c r="H424" i="25" s="1"/>
  <c r="F424" i="25" a="1"/>
  <c r="F424" i="25" s="1"/>
  <c r="K472" i="25" a="1"/>
  <c r="K472" i="25" s="1"/>
  <c r="P376" i="25" a="1"/>
  <c r="P376" i="25" s="1"/>
  <c r="D329" i="25" a="1"/>
  <c r="D329" i="25" s="1"/>
  <c r="C376" i="25" a="1"/>
  <c r="C376" i="25" s="1"/>
  <c r="C519" i="25" a="1"/>
  <c r="C519" i="25" s="1"/>
  <c r="M329" i="25" a="1"/>
  <c r="M329" i="25" s="1"/>
  <c r="L519" i="25" a="1"/>
  <c r="L519" i="25" s="1"/>
  <c r="G472" i="25" a="1"/>
  <c r="G472" i="25" s="1"/>
  <c r="L376" i="25" a="1"/>
  <c r="L376" i="25" s="1"/>
  <c r="N424" i="25" a="1"/>
  <c r="N424" i="25" s="1"/>
  <c r="I338" i="25"/>
  <c r="I385" i="25"/>
  <c r="E405" i="25"/>
  <c r="D519" i="25" a="1"/>
  <c r="D519" i="25" s="1"/>
  <c r="M519" i="25" a="1"/>
  <c r="M519" i="25" s="1"/>
  <c r="G376" i="25" a="1"/>
  <c r="G376" i="25" s="1"/>
  <c r="I424" i="25" a="1"/>
  <c r="I424" i="25" s="1"/>
  <c r="K376" i="25" a="1"/>
  <c r="K376" i="25" s="1"/>
  <c r="K424" i="25" a="1"/>
  <c r="K424" i="25" s="1"/>
  <c r="C291" i="25"/>
  <c r="O87" i="25"/>
  <c r="L338" i="25"/>
  <c r="M393" i="25"/>
  <c r="K299" i="25"/>
  <c r="C315" i="25"/>
  <c r="O385" i="25"/>
  <c r="G189" i="25"/>
  <c r="M299" i="25"/>
  <c r="L107" i="25"/>
  <c r="H91" i="25"/>
  <c r="F342" i="25"/>
  <c r="G87" i="25"/>
  <c r="F405" i="25"/>
  <c r="N385" i="25"/>
  <c r="G505" i="25"/>
  <c r="O457" i="25"/>
  <c r="K389" i="25"/>
  <c r="D501" i="25"/>
  <c r="F501" i="25"/>
  <c r="H189" i="25"/>
  <c r="V1646" i="12"/>
  <c r="C87" i="25"/>
  <c r="I291" i="25"/>
  <c r="F409" i="25"/>
  <c r="M441" i="25"/>
  <c r="M509" i="25" a="1"/>
  <c r="M509" i="25" s="1"/>
  <c r="X1601" i="12"/>
  <c r="X1637" i="12" s="1"/>
  <c r="X1468" i="12"/>
  <c r="X1633" i="12" s="1"/>
  <c r="X1522" i="12"/>
  <c r="X1635" i="12" s="1"/>
  <c r="P366" i="25" a="1"/>
  <c r="P366" i="25" s="1"/>
  <c r="X206" i="20"/>
  <c r="P509" i="25" a="1"/>
  <c r="P509" i="25" s="1"/>
  <c r="J315" i="25"/>
  <c r="L414" i="25" a="1"/>
  <c r="L414" i="25" s="1"/>
  <c r="E414" i="25" a="1"/>
  <c r="E414" i="25" s="1"/>
  <c r="O501" i="25"/>
  <c r="I433" i="25"/>
  <c r="M433" i="25"/>
  <c r="L295" i="25"/>
  <c r="F457" i="25"/>
  <c r="D315" i="25"/>
  <c r="D193" i="25"/>
  <c r="L193" i="25"/>
  <c r="G457" i="25"/>
  <c r="O453" i="25"/>
  <c r="C358" i="25"/>
  <c r="C169" i="25"/>
  <c r="G338" i="25"/>
  <c r="H25" i="25"/>
  <c r="C299" i="25"/>
  <c r="J385" i="25"/>
  <c r="M338" i="25"/>
  <c r="K173" i="25"/>
  <c r="J60" i="25"/>
  <c r="G489" i="25"/>
  <c r="G441" i="25"/>
  <c r="E107" i="25"/>
  <c r="F441" i="25"/>
  <c r="F389" i="25"/>
  <c r="H414" i="25" a="1"/>
  <c r="H414" i="25" s="1"/>
  <c r="L462" i="25" a="1"/>
  <c r="L462" i="25" s="1"/>
  <c r="M291" i="25"/>
  <c r="M389" i="25"/>
  <c r="J342" i="25"/>
  <c r="M137" i="25"/>
  <c r="M115" i="25" a="1"/>
  <c r="M115" i="25" s="1"/>
  <c r="M136" i="25" s="1"/>
  <c r="H346" i="25"/>
  <c r="X1942" i="12"/>
  <c r="X1900" i="12" s="1"/>
  <c r="C137" i="25"/>
  <c r="N29" i="25"/>
  <c r="F107" i="25"/>
  <c r="K63" i="25"/>
  <c r="I103" i="25"/>
  <c r="L60" i="25"/>
  <c r="L311" i="25"/>
  <c r="O481" i="25"/>
  <c r="C385" i="25"/>
  <c r="N87" i="25"/>
  <c r="E291" i="25"/>
  <c r="F346" i="25"/>
  <c r="H342" i="25"/>
  <c r="C173" i="25"/>
  <c r="D189" i="25"/>
  <c r="E173" i="25"/>
  <c r="F91" i="25"/>
  <c r="O189" i="25"/>
  <c r="D485" i="25"/>
  <c r="E189" i="25"/>
  <c r="H481" i="25"/>
  <c r="N169" i="25"/>
  <c r="J291" i="25"/>
  <c r="J295" i="25"/>
  <c r="J437" i="25"/>
  <c r="N83" i="25"/>
  <c r="J485" i="25"/>
  <c r="O107" i="25"/>
  <c r="H311" i="25"/>
  <c r="D58" i="25"/>
  <c r="G393" i="25"/>
  <c r="I58" i="25"/>
  <c r="C46" i="25"/>
  <c r="J177" i="25"/>
  <c r="H177" i="25"/>
  <c r="L393" i="25"/>
  <c r="F197" i="25" a="1"/>
  <c r="F197" i="25" s="1"/>
  <c r="F218" i="25" s="1"/>
  <c r="G295" i="25"/>
  <c r="I346" i="25"/>
  <c r="N437" i="25"/>
  <c r="I437" i="25"/>
  <c r="M311" i="25"/>
  <c r="N189" i="25"/>
  <c r="F453" i="25"/>
  <c r="J501" i="25"/>
  <c r="M177" i="25"/>
  <c r="M362" i="25"/>
  <c r="O366" i="25" a="1"/>
  <c r="O366" i="25" s="1"/>
  <c r="J414" i="25" a="1"/>
  <c r="J414" i="25" s="1"/>
  <c r="G366" i="25" a="1"/>
  <c r="G366" i="25" s="1"/>
  <c r="F366" i="25" a="1"/>
  <c r="F366" i="25" s="1"/>
  <c r="G509" i="25" a="1"/>
  <c r="G509" i="25" s="1"/>
  <c r="J509" i="25" a="1"/>
  <c r="J509" i="25" s="1"/>
  <c r="N509" i="25" a="1"/>
  <c r="N509" i="25" s="1"/>
  <c r="D414" i="25" a="1"/>
  <c r="D414" i="25" s="1"/>
  <c r="I462" i="25" a="1"/>
  <c r="I462" i="25" s="1"/>
  <c r="P319" i="25" a="1"/>
  <c r="P319" i="25" s="1"/>
  <c r="F509" i="25" a="1"/>
  <c r="F509" i="25" s="1"/>
  <c r="D509" i="25" a="1"/>
  <c r="D509" i="25" s="1"/>
  <c r="I115" i="25" a="1"/>
  <c r="I115" i="25" s="1"/>
  <c r="I136" i="25" s="1"/>
  <c r="J197" i="25" a="1"/>
  <c r="J197" i="25" s="1"/>
  <c r="J218" i="25" s="1"/>
  <c r="L45" i="25"/>
  <c r="C193" i="25"/>
  <c r="O462" i="25" a="1"/>
  <c r="O462" i="25" s="1"/>
  <c r="K319" i="25" a="1"/>
  <c r="K319" i="25" s="1"/>
  <c r="H509" i="25" a="1"/>
  <c r="H509" i="25" s="1"/>
  <c r="L366" i="25" a="1"/>
  <c r="L366" i="25" s="1"/>
  <c r="C414" i="25" a="1"/>
  <c r="C414" i="25" s="1"/>
  <c r="I414" i="25" a="1"/>
  <c r="I414" i="25" s="1"/>
  <c r="P414" i="25" a="1"/>
  <c r="P414" i="25" s="1"/>
  <c r="P462" i="25" a="1"/>
  <c r="P462" i="25" s="1"/>
  <c r="K462" i="25" a="1"/>
  <c r="K462" i="25" s="1"/>
  <c r="L319" i="25" a="1"/>
  <c r="L319" i="25" s="1"/>
  <c r="O319" i="25" a="1"/>
  <c r="O319" i="25" s="1"/>
  <c r="O414" i="25" a="1"/>
  <c r="O414" i="25" s="1"/>
  <c r="C197" i="25" a="1"/>
  <c r="C197" i="25" s="1"/>
  <c r="C218" i="25" s="1"/>
  <c r="D197" i="25" a="1"/>
  <c r="D197" i="25" s="1"/>
  <c r="D218" i="25" s="1"/>
  <c r="E115" i="25" a="1"/>
  <c r="E115" i="25" s="1"/>
  <c r="E136" i="25" s="1"/>
  <c r="M197" i="25" a="1"/>
  <c r="M197" i="25" s="1"/>
  <c r="M218" i="25" s="1"/>
  <c r="I295" i="25"/>
  <c r="H405" i="25"/>
  <c r="G462" i="25" a="1"/>
  <c r="G462" i="25" s="1"/>
  <c r="N462" i="25" a="1"/>
  <c r="N462" i="25" s="1"/>
  <c r="E462" i="25" a="1"/>
  <c r="E462" i="25" s="1"/>
  <c r="C462" i="25" a="1"/>
  <c r="C462" i="25" s="1"/>
  <c r="J115" i="25" a="1"/>
  <c r="J115" i="25" s="1"/>
  <c r="J136" i="25" s="1"/>
  <c r="G115" i="25" a="1"/>
  <c r="G115" i="25" s="1"/>
  <c r="G136" i="25" s="1"/>
  <c r="C115" i="25" a="1"/>
  <c r="C115" i="25" s="1"/>
  <c r="C136" i="25" s="1"/>
  <c r="G197" i="25" a="1"/>
  <c r="G197" i="25" s="1"/>
  <c r="G218" i="25" s="1"/>
  <c r="D115" i="25" a="1"/>
  <c r="D115" i="25" s="1"/>
  <c r="D136" i="25" s="1"/>
  <c r="I197" i="25" a="1"/>
  <c r="I197" i="25" s="1"/>
  <c r="I218" i="25" s="1"/>
  <c r="H366" i="25" a="1"/>
  <c r="H366" i="25" s="1"/>
  <c r="M462" i="25" a="1"/>
  <c r="M462" i="25" s="1"/>
  <c r="I319" i="25" a="1"/>
  <c r="I319" i="25" s="1"/>
  <c r="E509" i="25" a="1"/>
  <c r="E509" i="25" s="1"/>
  <c r="J462" i="25" a="1"/>
  <c r="J462" i="25" s="1"/>
  <c r="M319" i="25" a="1"/>
  <c r="M319" i="25" s="1"/>
  <c r="C366" i="25" a="1"/>
  <c r="C366" i="25" s="1"/>
  <c r="K197" i="25" a="1"/>
  <c r="K197" i="25" s="1"/>
  <c r="K218" i="25" s="1"/>
  <c r="H197" i="25" a="1"/>
  <c r="H197" i="25" s="1"/>
  <c r="H218" i="25" s="1"/>
  <c r="L197" i="25" a="1"/>
  <c r="L197" i="25" s="1"/>
  <c r="L218" i="25" s="1"/>
  <c r="H115" i="25" a="1"/>
  <c r="H115" i="25" s="1"/>
  <c r="H136" i="25" s="1"/>
  <c r="L433" i="25"/>
  <c r="F299" i="25"/>
  <c r="O91" i="25"/>
  <c r="M366" i="25" a="1"/>
  <c r="M366" i="25" s="1"/>
  <c r="E319" i="25" a="1"/>
  <c r="E319" i="25" s="1"/>
  <c r="J366" i="25" a="1"/>
  <c r="J366" i="25" s="1"/>
  <c r="N414" i="25" a="1"/>
  <c r="N414" i="25" s="1"/>
  <c r="F319" i="25" a="1"/>
  <c r="F319" i="25" s="1"/>
  <c r="C319" i="25" a="1"/>
  <c r="C319" i="25" s="1"/>
  <c r="C509" i="25" a="1"/>
  <c r="C509" i="25" s="1"/>
  <c r="N319" i="25" a="1"/>
  <c r="N319" i="25" s="1"/>
  <c r="K509" i="25" a="1"/>
  <c r="K509" i="25" s="1"/>
  <c r="E366" i="25" a="1"/>
  <c r="E366" i="25" s="1"/>
  <c r="L509" i="25" a="1"/>
  <c r="L509" i="25" s="1"/>
  <c r="F462" i="25" a="1"/>
  <c r="F462" i="25" s="1"/>
  <c r="I509" i="25" a="1"/>
  <c r="I509" i="25" s="1"/>
  <c r="G319" i="25" a="1"/>
  <c r="G319" i="25" s="1"/>
  <c r="D462" i="25" a="1"/>
  <c r="D462" i="25" s="1"/>
  <c r="K414" i="25" a="1"/>
  <c r="K414" i="25" s="1"/>
  <c r="O509" i="25" a="1"/>
  <c r="O509" i="25" s="1"/>
  <c r="M414" i="25" a="1"/>
  <c r="M414" i="25" s="1"/>
  <c r="D319" i="25" a="1"/>
  <c r="D319" i="25" s="1"/>
  <c r="H319" i="25" a="1"/>
  <c r="H319" i="25" s="1"/>
  <c r="H462" i="25" a="1"/>
  <c r="H462" i="25" s="1"/>
  <c r="J319" i="25" a="1"/>
  <c r="J319" i="25" s="1"/>
  <c r="K115" i="25" a="1"/>
  <c r="K115" i="25" s="1"/>
  <c r="K136" i="25" s="1"/>
  <c r="L115" i="25" a="1"/>
  <c r="L115" i="25" s="1"/>
  <c r="L136" i="25" s="1"/>
  <c r="J189" i="25"/>
  <c r="H409" i="25"/>
  <c r="H107" i="25"/>
  <c r="K366" i="25" a="1"/>
  <c r="K366" i="25" s="1"/>
  <c r="N366" i="25" a="1"/>
  <c r="N366" i="25" s="1"/>
  <c r="G414" i="25" a="1"/>
  <c r="G414" i="25" s="1"/>
  <c r="F414" i="25" a="1"/>
  <c r="F414" i="25" s="1"/>
  <c r="E197" i="25" a="1"/>
  <c r="E197" i="25" s="1"/>
  <c r="E218" i="25" s="1"/>
  <c r="F115" i="25" a="1"/>
  <c r="F115" i="25" s="1"/>
  <c r="F136" i="25" s="1"/>
  <c r="I193" i="25"/>
  <c r="L409" i="25"/>
  <c r="N362" i="25"/>
  <c r="D358" i="25"/>
  <c r="I441" i="25"/>
  <c r="O405" i="25"/>
  <c r="C501" i="25"/>
  <c r="D489" i="25"/>
  <c r="N433" i="25"/>
  <c r="W1886" i="12"/>
  <c r="C189" i="25"/>
  <c r="X805" i="16"/>
  <c r="M385" i="25"/>
  <c r="K103" i="25"/>
  <c r="K437" i="25"/>
  <c r="F87" i="25"/>
  <c r="E41" i="25"/>
  <c r="D311" i="25"/>
  <c r="G91" i="25"/>
  <c r="O30" i="25"/>
  <c r="F485" i="25"/>
  <c r="C103" i="25"/>
  <c r="D405" i="25"/>
  <c r="O295" i="25"/>
  <c r="M485" i="25"/>
  <c r="M173" i="25"/>
  <c r="M63" i="25"/>
  <c r="E60" i="25"/>
  <c r="F505" i="25"/>
  <c r="O346" i="25"/>
  <c r="L59" i="25"/>
  <c r="I311" i="25"/>
  <c r="J41" i="25"/>
  <c r="K311" i="25"/>
  <c r="K346" i="25"/>
  <c r="J311" i="25"/>
  <c r="H362" i="25"/>
  <c r="K457" i="25"/>
  <c r="L457" i="25"/>
  <c r="D41" i="25"/>
  <c r="E389" i="25"/>
  <c r="K46" i="25"/>
  <c r="N342" i="25"/>
  <c r="C61" i="25"/>
  <c r="B585" i="25" s="1"/>
  <c r="N346" i="25"/>
  <c r="O389" i="25"/>
  <c r="N21" i="25"/>
  <c r="E87" i="25"/>
  <c r="I453" i="25"/>
  <c r="N501" i="25"/>
  <c r="N489" i="25"/>
  <c r="M169" i="25"/>
  <c r="O193" i="25"/>
  <c r="D385" i="25"/>
  <c r="I405" i="25"/>
  <c r="H485" i="25"/>
  <c r="K291" i="25"/>
  <c r="C409" i="25"/>
  <c r="O409" i="25"/>
  <c r="K501" i="25"/>
  <c r="K409" i="25"/>
  <c r="D87" i="25"/>
  <c r="D291" i="25"/>
  <c r="M60" i="25"/>
  <c r="M315" i="25"/>
  <c r="H489" i="25"/>
  <c r="M457" i="25"/>
  <c r="I189" i="25"/>
  <c r="K342" i="25"/>
  <c r="N505" i="25"/>
  <c r="O485" i="25"/>
  <c r="O173" i="25"/>
  <c r="E346" i="25"/>
  <c r="O489" i="25"/>
  <c r="G433" i="25"/>
  <c r="E177" i="25"/>
  <c r="F45" i="25"/>
  <c r="K189" i="25"/>
  <c r="J409" i="25"/>
  <c r="D22" i="25"/>
  <c r="F393" i="25"/>
  <c r="J63" i="25"/>
  <c r="E311" i="25"/>
  <c r="J83" i="25"/>
  <c r="J25" i="25"/>
  <c r="G346" i="25"/>
  <c r="G193" i="25"/>
  <c r="H87" i="25"/>
  <c r="L46" i="25"/>
  <c r="E45" i="25"/>
  <c r="G107" i="25"/>
  <c r="H45" i="25"/>
  <c r="J346" i="25"/>
  <c r="M405" i="25"/>
  <c r="L358" i="25"/>
  <c r="E299" i="25"/>
  <c r="L489" i="25"/>
  <c r="J42" i="25"/>
  <c r="K315" i="25"/>
  <c r="L30" i="25"/>
  <c r="N46" i="25"/>
  <c r="N441" i="25"/>
  <c r="K362" i="25"/>
  <c r="J405" i="25"/>
  <c r="K91" i="25"/>
  <c r="E193" i="25"/>
  <c r="F46" i="25"/>
  <c r="K61" i="25"/>
  <c r="L91" i="25"/>
  <c r="W1641" i="12"/>
  <c r="W1651" i="12" s="1"/>
  <c r="W250" i="20" s="1"/>
  <c r="K22" i="25"/>
  <c r="F362" i="25"/>
  <c r="H193" i="25"/>
  <c r="K29" i="25"/>
  <c r="L362" i="25"/>
  <c r="L405" i="25"/>
  <c r="N457" i="25"/>
  <c r="E25" i="25"/>
  <c r="F385" i="25"/>
  <c r="H29" i="25"/>
  <c r="J193" i="25"/>
  <c r="C437" i="25"/>
  <c r="F291" i="25"/>
  <c r="J99" i="25"/>
  <c r="C83" i="25"/>
  <c r="F169" i="25"/>
  <c r="D433" i="25"/>
  <c r="F481" i="25"/>
  <c r="F83" i="25"/>
  <c r="E437" i="25"/>
  <c r="K169" i="25"/>
  <c r="G169" i="25"/>
  <c r="O42" i="25"/>
  <c r="C393" i="25"/>
  <c r="E169" i="25"/>
  <c r="H338" i="25"/>
  <c r="G311" i="25"/>
  <c r="H30" i="25"/>
  <c r="E485" i="25"/>
  <c r="K41" i="25"/>
  <c r="G385" i="25"/>
  <c r="D83" i="25"/>
  <c r="I389" i="25"/>
  <c r="H173" i="25"/>
  <c r="C62" i="25"/>
  <c r="B586" i="25" s="1"/>
  <c r="L63" i="25"/>
  <c r="K58" i="25"/>
  <c r="N409" i="25"/>
  <c r="G46" i="25"/>
  <c r="M189" i="25"/>
  <c r="H46" i="25"/>
  <c r="M453" i="25"/>
  <c r="K489" i="25"/>
  <c r="N103" i="25"/>
  <c r="H453" i="25"/>
  <c r="O505" i="25"/>
  <c r="J45" i="25"/>
  <c r="D362" i="25"/>
  <c r="M501" i="25"/>
  <c r="M505" i="25"/>
  <c r="F437" i="25"/>
  <c r="F489" i="25"/>
  <c r="G453" i="25"/>
  <c r="E91" i="25"/>
  <c r="D173" i="25"/>
  <c r="H291" i="25"/>
  <c r="K60" i="25"/>
  <c r="C457" i="25"/>
  <c r="O311" i="25"/>
  <c r="J21" i="25"/>
  <c r="G389" i="25"/>
  <c r="J26" i="25"/>
  <c r="C405" i="25"/>
  <c r="H59" i="25"/>
  <c r="E489" i="25"/>
  <c r="G30" i="25"/>
  <c r="N393" i="25"/>
  <c r="H299" i="25"/>
  <c r="M46" i="25"/>
  <c r="C41" i="25"/>
  <c r="F338" i="25"/>
  <c r="D91" i="25"/>
  <c r="D103" i="25"/>
  <c r="H315" i="25"/>
  <c r="O46" i="25"/>
  <c r="N338" i="25"/>
  <c r="K42" i="25"/>
  <c r="H433" i="25"/>
  <c r="C389" i="25"/>
  <c r="N41" i="25"/>
  <c r="G485" i="25"/>
  <c r="I62" i="25"/>
  <c r="E58" i="25"/>
  <c r="X1943" i="12"/>
  <c r="X1901" i="12" s="1"/>
  <c r="K358" i="25"/>
  <c r="G299" i="25"/>
  <c r="M42" i="25"/>
  <c r="I41" i="25"/>
  <c r="D21" i="25"/>
  <c r="J173" i="25"/>
  <c r="C29" i="25"/>
  <c r="C433" i="25"/>
  <c r="G22" i="25"/>
  <c r="G83" i="25"/>
  <c r="H103" i="25"/>
  <c r="N481" i="25"/>
  <c r="G481" i="25"/>
  <c r="I342" i="25"/>
  <c r="L62" i="25"/>
  <c r="G45" i="25"/>
  <c r="H62" i="25"/>
  <c r="H358" i="25"/>
  <c r="N45" i="25"/>
  <c r="J489" i="25"/>
  <c r="D481" i="25"/>
  <c r="I91" i="25"/>
  <c r="J87" i="25"/>
  <c r="E83" i="25"/>
  <c r="F63" i="25"/>
  <c r="O393" i="25"/>
  <c r="G61" i="25"/>
  <c r="E62" i="25"/>
  <c r="C60" i="25"/>
  <c r="B584" i="25" s="1"/>
  <c r="D60" i="25"/>
  <c r="F58" i="25"/>
  <c r="M58" i="25"/>
  <c r="H60" i="25"/>
  <c r="C58" i="25"/>
  <c r="B582" i="25" s="1"/>
  <c r="H58" i="25"/>
  <c r="I497" i="25"/>
  <c r="I30" i="25"/>
  <c r="H441" i="25"/>
  <c r="L173" i="25"/>
  <c r="O342" i="25"/>
  <c r="C177" i="25"/>
  <c r="H63" i="25"/>
  <c r="C63" i="25"/>
  <c r="B587" i="25" s="1"/>
  <c r="L22" i="25"/>
  <c r="C30" i="25"/>
  <c r="C346" i="25"/>
  <c r="D393" i="25"/>
  <c r="C342" i="25"/>
  <c r="F189" i="25"/>
  <c r="O437" i="25"/>
  <c r="F295" i="25"/>
  <c r="O41" i="25"/>
  <c r="C42" i="25"/>
  <c r="L21" i="25"/>
  <c r="M83" i="25"/>
  <c r="I21" i="25"/>
  <c r="D295" i="25"/>
  <c r="J338" i="25"/>
  <c r="H295" i="25"/>
  <c r="L87" i="25"/>
  <c r="X1160" i="12"/>
  <c r="X1170" i="12" s="1"/>
  <c r="X1171" i="12" s="1"/>
  <c r="K485" i="25"/>
  <c r="I87" i="25"/>
  <c r="K481" i="25"/>
  <c r="D63" i="25"/>
  <c r="G60" i="25"/>
  <c r="K62" i="25"/>
  <c r="E59" i="25"/>
  <c r="G362" i="25"/>
  <c r="E46" i="25"/>
  <c r="E42" i="25"/>
  <c r="M30" i="25"/>
  <c r="D59" i="25"/>
  <c r="O315" i="25"/>
  <c r="G358" i="25"/>
  <c r="M295" i="25"/>
  <c r="D46" i="25"/>
  <c r="I315" i="25"/>
  <c r="M41" i="25"/>
  <c r="C362" i="25"/>
  <c r="M193" i="25"/>
  <c r="L29" i="25"/>
  <c r="J441" i="25"/>
  <c r="J393" i="25"/>
  <c r="M358" i="25"/>
  <c r="K30" i="25"/>
  <c r="K193" i="25"/>
  <c r="M437" i="25"/>
  <c r="I46" i="25"/>
  <c r="D505" i="25"/>
  <c r="G177" i="25"/>
  <c r="D169" i="25"/>
  <c r="J29" i="25"/>
  <c r="E393" i="25"/>
  <c r="K385" i="25"/>
  <c r="I173" i="25"/>
  <c r="M26" i="25"/>
  <c r="K177" i="25"/>
  <c r="N30" i="25"/>
  <c r="G29" i="25"/>
  <c r="O169" i="25"/>
  <c r="F41" i="25"/>
  <c r="O441" i="25"/>
  <c r="I63" i="25"/>
  <c r="X1941" i="12"/>
  <c r="X1899" i="12" s="1"/>
  <c r="O103" i="25"/>
  <c r="G291" i="25"/>
  <c r="D26" i="25"/>
  <c r="O433" i="25"/>
  <c r="H169" i="25"/>
  <c r="L385" i="25"/>
  <c r="C441" i="25"/>
  <c r="G59" i="25"/>
  <c r="M489" i="25"/>
  <c r="M45" i="25"/>
  <c r="X699" i="16"/>
  <c r="J30" i="25"/>
  <c r="D45" i="25"/>
  <c r="D25" i="25"/>
  <c r="M103" i="25"/>
  <c r="C91" i="25"/>
  <c r="E30" i="25"/>
  <c r="J299" i="25"/>
  <c r="I45" i="25"/>
  <c r="E358" i="25"/>
  <c r="M22" i="25"/>
  <c r="K45" i="25"/>
  <c r="I26" i="25"/>
  <c r="O45" i="25"/>
  <c r="D409" i="25"/>
  <c r="I481" i="25"/>
  <c r="C45" i="25"/>
  <c r="G21" i="25"/>
  <c r="H41" i="25"/>
  <c r="J46" i="25"/>
  <c r="L26" i="25"/>
  <c r="G42" i="25"/>
  <c r="I25" i="25"/>
  <c r="O29" i="25"/>
  <c r="L441" i="25"/>
  <c r="F42" i="25"/>
  <c r="E505" i="25"/>
  <c r="X207" i="20"/>
  <c r="N22" i="25"/>
  <c r="X1881" i="12"/>
  <c r="X1891" i="12" s="1"/>
  <c r="L42" i="25"/>
  <c r="X1917" i="12"/>
  <c r="X1920" i="12" s="1"/>
  <c r="C25" i="25"/>
  <c r="H42" i="25"/>
  <c r="F30" i="25"/>
  <c r="D29" i="25"/>
  <c r="M29" i="25"/>
  <c r="E295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83" i="25" s="1"/>
  <c r="H61" i="25"/>
  <c r="K59" i="25"/>
  <c r="I59" i="25"/>
  <c r="G58" i="25"/>
  <c r="N25" i="25"/>
  <c r="E26" i="25"/>
  <c r="C311" i="25"/>
  <c r="I169" i="25"/>
  <c r="L389" i="25"/>
  <c r="D62" i="25"/>
  <c r="D61" i="25"/>
  <c r="F59" i="25"/>
  <c r="M62" i="25"/>
  <c r="O25" i="25"/>
  <c r="O22" i="25"/>
  <c r="O358" i="25"/>
  <c r="I29" i="25"/>
  <c r="F29" i="25"/>
  <c r="C22" i="25"/>
  <c r="H22" i="25"/>
  <c r="I61" i="25"/>
  <c r="F61" i="25"/>
  <c r="L58" i="25"/>
  <c r="N295" i="25"/>
  <c r="D42" i="25"/>
  <c r="G26" i="25"/>
  <c r="D441" i="25"/>
  <c r="D338" i="25"/>
  <c r="C453" i="25"/>
  <c r="H385" i="25"/>
  <c r="M25" i="25"/>
  <c r="I485" i="25"/>
  <c r="O21" i="25"/>
  <c r="C485" i="25"/>
  <c r="C26" i="25"/>
  <c r="G41" i="25"/>
  <c r="L453" i="25"/>
  <c r="F21" i="25"/>
  <c r="E481" i="25"/>
  <c r="F173" i="25"/>
  <c r="E441" i="25"/>
  <c r="C21" i="25"/>
  <c r="F25" i="25"/>
  <c r="L189" i="25"/>
  <c r="D30" i="25"/>
  <c r="F22" i="25"/>
  <c r="I489" i="25"/>
  <c r="F433" i="25"/>
  <c r="J481" i="25"/>
  <c r="M21" i="25"/>
  <c r="E385" i="25"/>
  <c r="H21" i="25"/>
  <c r="J169" i="25"/>
  <c r="K26" i="25"/>
  <c r="K25" i="25"/>
  <c r="N389" i="25"/>
  <c r="E21" i="25"/>
  <c r="H437" i="25"/>
  <c r="G437" i="25"/>
  <c r="G501" i="25"/>
  <c r="N26" i="25"/>
  <c r="F26" i="25"/>
  <c r="M342" i="25"/>
  <c r="M481" i="25"/>
  <c r="L25" i="25"/>
  <c r="K405" i="25"/>
  <c r="I22" i="25"/>
  <c r="L41" i="25"/>
  <c r="H83" i="25"/>
  <c r="K87" i="25"/>
  <c r="D346" i="25"/>
  <c r="N453" i="25"/>
  <c r="G25" i="25"/>
  <c r="N42" i="25"/>
  <c r="D453" i="25"/>
  <c r="K21" i="25"/>
  <c r="C338" i="25"/>
  <c r="H26" i="25"/>
  <c r="I42" i="25"/>
  <c r="E22" i="25"/>
  <c r="E29" i="25"/>
  <c r="G173" i="25"/>
  <c r="X333" i="16"/>
  <c r="W1165" i="12"/>
  <c r="W1172" i="12" s="1"/>
  <c r="Q15" i="10"/>
  <c r="Q34" i="18" s="1"/>
  <c r="P264" i="25"/>
  <c r="P263" i="25"/>
  <c r="P15" i="10"/>
  <c r="P34" i="18" s="1"/>
  <c r="O303" i="10"/>
  <c r="P144" i="25"/>
  <c r="P226" i="25"/>
  <c r="P143" i="25"/>
  <c r="P225" i="25"/>
  <c r="O60" i="25"/>
  <c r="H1697" i="16"/>
  <c r="I1690" i="16" a="1"/>
  <c r="I1690" i="16" s="1"/>
  <c r="O63" i="25"/>
  <c r="O62" i="25"/>
  <c r="O58" i="25"/>
  <c r="O59" i="25"/>
  <c r="O61" i="25"/>
  <c r="P213" i="25" a="1"/>
  <c r="P213" i="25" s="1"/>
  <c r="P197" i="25" a="1"/>
  <c r="P197" i="25" s="1"/>
  <c r="P218" i="25" s="1"/>
  <c r="P131" i="25" a="1"/>
  <c r="P131" i="25" s="1"/>
  <c r="P115" i="25" a="1"/>
  <c r="P115" i="25" s="1"/>
  <c r="P136" i="25" s="1"/>
  <c r="N1267" i="16"/>
  <c r="M1270" i="16"/>
  <c r="D982" i="20"/>
  <c r="J978" i="20" a="1"/>
  <c r="J978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R581" i="20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680" i="20"/>
  <c r="Q680" i="20" s="1"/>
  <c r="Q682" i="20" s="1"/>
  <c r="O681" i="20"/>
  <c r="R946" i="16"/>
  <c r="U912" i="16"/>
  <c r="M976" i="16"/>
  <c r="O959" i="16"/>
  <c r="O960" i="16" s="1"/>
  <c r="V916" i="16"/>
  <c r="U83" i="16"/>
  <c r="T84" i="16"/>
  <c r="U86" i="16"/>
  <c r="U85" i="16"/>
  <c r="W1475" i="16"/>
  <c r="V1930" i="16"/>
  <c r="T579" i="20"/>
  <c r="U579" i="20" s="1"/>
  <c r="U581" i="20" s="1"/>
  <c r="P666" i="20"/>
  <c r="Q666" i="20" s="1"/>
  <c r="Q668" i="20" s="1"/>
  <c r="O667" i="20"/>
  <c r="N639" i="20"/>
  <c r="W1598" i="16"/>
  <c r="S1633" i="16"/>
  <c r="N653" i="20"/>
  <c r="O653" i="20" s="1"/>
  <c r="N632" i="20"/>
  <c r="N674" i="20"/>
  <c r="O674" i="20" s="1"/>
  <c r="T1612" i="16"/>
  <c r="X334" i="16"/>
  <c r="X791" i="16" s="1"/>
  <c r="X199" i="10" s="1"/>
  <c r="X1591" i="16"/>
  <c r="W1324" i="16"/>
  <c r="L873" i="20"/>
  <c r="L875" i="20" s="1"/>
  <c r="L866" i="20"/>
  <c r="L867" i="20" s="1"/>
  <c r="L859" i="20"/>
  <c r="M859" i="20" s="1"/>
  <c r="U1605" i="16"/>
  <c r="V1944" i="16"/>
  <c r="W1937" i="16"/>
  <c r="V1345" i="16"/>
  <c r="U1338" i="16"/>
  <c r="F1519" i="16"/>
  <c r="K1520" i="16" s="1"/>
  <c r="K1506" i="16" s="1"/>
  <c r="K369" i="16" s="1"/>
  <c r="P1640" i="16"/>
  <c r="Q109" i="20"/>
  <c r="Q1206" i="20" s="1"/>
  <c r="P948" i="16"/>
  <c r="Q1366" i="16"/>
  <c r="N1654" i="16"/>
  <c r="U109" i="20"/>
  <c r="U1206" i="20" s="1"/>
  <c r="M109" i="20"/>
  <c r="M1206" i="20" s="1"/>
  <c r="X109" i="20"/>
  <c r="X1206" i="20" s="1"/>
  <c r="P109" i="20"/>
  <c r="P1206" i="20" s="1"/>
  <c r="V1626" i="16"/>
  <c r="I99" i="25"/>
  <c r="E714" i="20"/>
  <c r="K715" i="20" s="1"/>
  <c r="K716" i="20" s="1"/>
  <c r="Q1647" i="16"/>
  <c r="S109" i="20"/>
  <c r="S1206" i="20" s="1"/>
  <c r="K109" i="20"/>
  <c r="K1206" i="20" s="1"/>
  <c r="T109" i="20"/>
  <c r="T1206" i="20" s="1"/>
  <c r="L109" i="20"/>
  <c r="L1206" i="20" s="1"/>
  <c r="W1489" i="16"/>
  <c r="R109" i="20"/>
  <c r="R1206" i="20" s="1"/>
  <c r="G99" i="25"/>
  <c r="M959" i="20"/>
  <c r="S1619" i="16"/>
  <c r="W109" i="20"/>
  <c r="W1206" i="20" s="1"/>
  <c r="N109" i="20"/>
  <c r="N1206" i="20" s="1"/>
  <c r="V109" i="20"/>
  <c r="V1206" i="20" s="1"/>
  <c r="O109" i="20"/>
  <c r="O1206" i="20" s="1"/>
  <c r="P1227" i="16"/>
  <c r="Q1227" i="16" s="1"/>
  <c r="V1496" i="16"/>
  <c r="W1496" i="16" s="1"/>
  <c r="X1496" i="16" s="1"/>
  <c r="T1352" i="16"/>
  <c r="U1352" i="16" s="1"/>
  <c r="R1359" i="16"/>
  <c r="S1359" i="16" s="1"/>
  <c r="K99" i="25"/>
  <c r="N185" i="25"/>
  <c r="O185" i="25"/>
  <c r="M99" i="25"/>
  <c r="H354" i="25"/>
  <c r="C99" i="25"/>
  <c r="D99" i="25"/>
  <c r="I185" i="25"/>
  <c r="O99" i="25"/>
  <c r="C449" i="25"/>
  <c r="C497" i="25"/>
  <c r="D185" i="25"/>
  <c r="L307" i="25"/>
  <c r="E185" i="25"/>
  <c r="D497" i="25"/>
  <c r="M1968" i="16"/>
  <c r="M2236" i="16" s="1"/>
  <c r="L2017" i="16"/>
  <c r="L2243" i="16" s="1"/>
  <c r="F1981" i="16"/>
  <c r="D1680" i="16"/>
  <c r="E1960" i="16" s="1"/>
  <c r="D1960" i="16" s="1"/>
  <c r="D1673" i="16"/>
  <c r="K2243" i="16"/>
  <c r="K2018" i="16"/>
  <c r="K2019" i="16" s="1"/>
  <c r="D1975" i="16"/>
  <c r="D2024" i="16"/>
  <c r="K1992" i="16"/>
  <c r="L1992" i="16"/>
  <c r="M1992" i="16"/>
  <c r="O1992" i="16"/>
  <c r="N1992" i="16"/>
  <c r="P1992" i="16"/>
  <c r="Q1992" i="16"/>
  <c r="R1992" i="16"/>
  <c r="S1992" i="16"/>
  <c r="T1992" i="16"/>
  <c r="U1992" i="16"/>
  <c r="V1992" i="16"/>
  <c r="W1992" i="16"/>
  <c r="X1992" i="16"/>
  <c r="K1982" i="16"/>
  <c r="L1982" i="16" s="1"/>
  <c r="L2238" i="16" s="1"/>
  <c r="K1985" i="16"/>
  <c r="L1985" i="16"/>
  <c r="M1985" i="16"/>
  <c r="N1985" i="16"/>
  <c r="O1985" i="16"/>
  <c r="P1985" i="16"/>
  <c r="Q1985" i="16"/>
  <c r="R1985" i="16"/>
  <c r="S1985" i="16"/>
  <c r="T1985" i="16"/>
  <c r="U1985" i="16"/>
  <c r="V1985" i="16"/>
  <c r="W1985" i="16"/>
  <c r="X1985" i="16"/>
  <c r="D1988" i="16"/>
  <c r="D1989" i="16" s="1"/>
  <c r="V2276" i="16"/>
  <c r="V44" i="16" s="1"/>
  <c r="W2264" i="16"/>
  <c r="W43" i="16" s="1"/>
  <c r="X41" i="16" s="1"/>
  <c r="X2252" i="16" s="1"/>
  <c r="U399" i="20"/>
  <c r="U400" i="20" s="1"/>
  <c r="X635" i="12"/>
  <c r="X623" i="12" s="1"/>
  <c r="X171" i="10" s="1"/>
  <c r="X315" i="10" s="1"/>
  <c r="R941" i="16"/>
  <c r="S941" i="16" s="1"/>
  <c r="V2278" i="16"/>
  <c r="V60" i="16" s="1"/>
  <c r="V87" i="16" s="1"/>
  <c r="V59" i="16"/>
  <c r="W57" i="16" s="1"/>
  <c r="W2254" i="16" s="1"/>
  <c r="W2266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P2281" i="16"/>
  <c r="Q2261" i="16"/>
  <c r="Q2257" i="16"/>
  <c r="Q91" i="16" s="1"/>
  <c r="Q101" i="12" s="1"/>
  <c r="Q109" i="12" s="1"/>
  <c r="M1268" i="16"/>
  <c r="O441" i="20"/>
  <c r="P441" i="20" s="1"/>
  <c r="R440" i="20"/>
  <c r="S440" i="20" s="1"/>
  <c r="P958" i="16"/>
  <c r="L977" i="16"/>
  <c r="Q454" i="20"/>
  <c r="R454" i="20" s="1"/>
  <c r="U433" i="20"/>
  <c r="V433" i="20" s="1"/>
  <c r="Q434" i="20"/>
  <c r="R434" i="20" s="1"/>
  <c r="U393" i="20"/>
  <c r="V392" i="20"/>
  <c r="O1249" i="16"/>
  <c r="O261" i="16" s="1"/>
  <c r="O1247" i="16"/>
  <c r="O455" i="20"/>
  <c r="P455" i="20" s="1"/>
  <c r="P456" i="20" s="1"/>
  <c r="L982" i="16"/>
  <c r="M982" i="16" s="1"/>
  <c r="Q1232" i="16"/>
  <c r="Q2127" i="16" s="1"/>
  <c r="P1233" i="16"/>
  <c r="P1234" i="16" s="1"/>
  <c r="O1253" i="16"/>
  <c r="O2130" i="16" s="1"/>
  <c r="N1254" i="16"/>
  <c r="N1255" i="16" s="1"/>
  <c r="M1263" i="16"/>
  <c r="M263" i="16" s="1"/>
  <c r="N1260" i="16"/>
  <c r="N2131" i="16" s="1"/>
  <c r="O1242" i="16"/>
  <c r="O260" i="16" s="1"/>
  <c r="M1261" i="16"/>
  <c r="M1262" i="16" s="1"/>
  <c r="O1240" i="16"/>
  <c r="O1241" i="16" s="1"/>
  <c r="P1239" i="16"/>
  <c r="P2128" i="16" s="1"/>
  <c r="T414" i="20"/>
  <c r="U413" i="20"/>
  <c r="R428" i="20"/>
  <c r="S427" i="20"/>
  <c r="O442" i="20"/>
  <c r="S421" i="20"/>
  <c r="T420" i="20"/>
  <c r="T407" i="20"/>
  <c r="U406" i="20"/>
  <c r="N449" i="20"/>
  <c r="N448" i="20"/>
  <c r="O447" i="20"/>
  <c r="P447" i="20" s="1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/>
  <c r="D998" i="16"/>
  <c r="C1000" i="16"/>
  <c r="B997" i="16"/>
  <c r="D1003" i="16"/>
  <c r="J1002" i="16"/>
  <c r="E999" i="16"/>
  <c r="Q964" i="16"/>
  <c r="X934" i="16"/>
  <c r="T940" i="16"/>
  <c r="O456" i="20"/>
  <c r="S435" i="20"/>
  <c r="I215" i="16"/>
  <c r="G48" i="20" s="1"/>
  <c r="O263" i="16"/>
  <c r="E879" i="20"/>
  <c r="K880" i="20" s="1"/>
  <c r="K881" i="20" s="1"/>
  <c r="K882" i="20" s="1"/>
  <c r="E753" i="20"/>
  <c r="K754" i="20" s="1"/>
  <c r="N944" i="20"/>
  <c r="N945" i="20"/>
  <c r="O943" i="20"/>
  <c r="E700" i="20"/>
  <c r="K701" i="20" s="1"/>
  <c r="K702" i="20" s="1"/>
  <c r="W419" i="20"/>
  <c r="O818" i="20"/>
  <c r="E802" i="20"/>
  <c r="K803" i="20" s="1"/>
  <c r="E928" i="20"/>
  <c r="K929" i="20" s="1"/>
  <c r="L929" i="20" s="1"/>
  <c r="M929" i="20" s="1"/>
  <c r="P817" i="20"/>
  <c r="E851" i="20"/>
  <c r="K852" i="20" s="1"/>
  <c r="K853" i="20" s="1"/>
  <c r="K854" i="20" s="1"/>
  <c r="E781" i="20"/>
  <c r="K782" i="20" s="1"/>
  <c r="D886" i="20"/>
  <c r="V426" i="20"/>
  <c r="K587" i="20"/>
  <c r="K588" i="20" s="1"/>
  <c r="X405" i="20"/>
  <c r="L586" i="20"/>
  <c r="N924" i="20"/>
  <c r="O922" i="20"/>
  <c r="N923" i="20"/>
  <c r="C829" i="20"/>
  <c r="D976" i="20"/>
  <c r="E976" i="20" s="1"/>
  <c r="C976" i="20"/>
  <c r="D788" i="20"/>
  <c r="E788" i="20" s="1"/>
  <c r="K789" i="20" s="1"/>
  <c r="K790" i="20" s="1"/>
  <c r="D935" i="20"/>
  <c r="D829" i="20"/>
  <c r="E829" i="20" s="1"/>
  <c r="E767" i="20"/>
  <c r="K768" i="20" s="1"/>
  <c r="P617" i="20"/>
  <c r="O618" i="20"/>
  <c r="O619" i="20" s="1"/>
  <c r="E809" i="20"/>
  <c r="K810" i="20" s="1"/>
  <c r="K811" i="20" s="1"/>
  <c r="K812" i="20" s="1"/>
  <c r="P673" i="20"/>
  <c r="P675" i="20" s="1"/>
  <c r="E739" i="20"/>
  <c r="K740" i="20" s="1"/>
  <c r="E795" i="20"/>
  <c r="K796" i="20" s="1"/>
  <c r="O660" i="20"/>
  <c r="E725" i="20"/>
  <c r="K726" i="20" s="1"/>
  <c r="K727" i="20" s="1"/>
  <c r="P652" i="20"/>
  <c r="P654" i="20" s="1"/>
  <c r="O654" i="20"/>
  <c r="Q625" i="20"/>
  <c r="Q626" i="20" s="1"/>
  <c r="R624" i="20"/>
  <c r="E774" i="20"/>
  <c r="K775" i="20" s="1"/>
  <c r="Q638" i="20"/>
  <c r="P640" i="20"/>
  <c r="P659" i="20"/>
  <c r="E760" i="20"/>
  <c r="K761" i="20" s="1"/>
  <c r="Q631" i="20"/>
  <c r="E746" i="20"/>
  <c r="K747" i="20" s="1"/>
  <c r="K748" i="20" s="1"/>
  <c r="E732" i="20"/>
  <c r="K733" i="20" s="1"/>
  <c r="Q580" i="20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W1931" i="12"/>
  <c r="W1934" i="12" s="1"/>
  <c r="X918" i="12"/>
  <c r="X928" i="12" s="1"/>
  <c r="X929" i="12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P1945" i="12"/>
  <c r="P1948" i="12" s="1"/>
  <c r="U917" i="16"/>
  <c r="V928" i="16"/>
  <c r="S1638" i="16"/>
  <c r="S2188" i="16" s="1"/>
  <c r="Q1639" i="16"/>
  <c r="R1639" i="16" s="1"/>
  <c r="Q2188" i="16"/>
  <c r="W906" i="16"/>
  <c r="U909" i="20"/>
  <c r="X882" i="16"/>
  <c r="P951" i="20"/>
  <c r="Q951" i="20" s="1"/>
  <c r="O959" i="20"/>
  <c r="N287" i="16"/>
  <c r="N789" i="16" s="1"/>
  <c r="N195" i="10" s="1"/>
  <c r="W146" i="16"/>
  <c r="W162" i="16" s="1"/>
  <c r="X521" i="20"/>
  <c r="P285" i="16"/>
  <c r="P2149" i="16"/>
  <c r="Q957" i="20"/>
  <c r="R957" i="20" s="1"/>
  <c r="V1337" i="16"/>
  <c r="R950" i="20"/>
  <c r="S950" i="20" s="1"/>
  <c r="T950" i="20" s="1"/>
  <c r="U950" i="20" s="1"/>
  <c r="V950" i="20" s="1"/>
  <c r="W950" i="20" s="1"/>
  <c r="X950" i="20" s="1"/>
  <c r="V908" i="20"/>
  <c r="U910" i="20"/>
  <c r="O971" i="20"/>
  <c r="T1632" i="16"/>
  <c r="U1632" i="16" s="1"/>
  <c r="T2187" i="16"/>
  <c r="Q569" i="20"/>
  <c r="R564" i="20"/>
  <c r="S562" i="20"/>
  <c r="P952" i="20"/>
  <c r="R563" i="20"/>
  <c r="E984" i="20"/>
  <c r="K985" i="20" s="1"/>
  <c r="K986" i="20" s="1"/>
  <c r="P570" i="20"/>
  <c r="C996" i="20"/>
  <c r="C990" i="20"/>
  <c r="D990" i="20"/>
  <c r="E990" i="20" s="1"/>
  <c r="D991" i="20"/>
  <c r="C991" i="20"/>
  <c r="C992" i="20" s="1"/>
  <c r="S1378" i="16"/>
  <c r="T1378" i="16" s="1"/>
  <c r="U1378" i="16" s="1"/>
  <c r="Q2149" i="16"/>
  <c r="L972" i="20"/>
  <c r="L973" i="20"/>
  <c r="O958" i="20"/>
  <c r="P958" i="20" s="1"/>
  <c r="V1631" i="16"/>
  <c r="U2187" i="16"/>
  <c r="X528" i="20"/>
  <c r="X902" i="20"/>
  <c r="X903" i="20"/>
  <c r="X895" i="20"/>
  <c r="Q952" i="20"/>
  <c r="L1527" i="16"/>
  <c r="Q1371" i="16"/>
  <c r="L1541" i="16"/>
  <c r="X1942" i="16"/>
  <c r="W2231" i="16"/>
  <c r="W1943" i="16"/>
  <c r="V1610" i="16"/>
  <c r="U2184" i="16"/>
  <c r="R1652" i="16"/>
  <c r="U1611" i="16"/>
  <c r="P1372" i="16"/>
  <c r="P1373" i="16" s="1"/>
  <c r="L1513" i="16"/>
  <c r="L2169" i="16" s="1"/>
  <c r="L1534" i="16"/>
  <c r="M1534" i="16" s="1"/>
  <c r="W1336" i="16"/>
  <c r="V2143" i="16"/>
  <c r="X900" i="16"/>
  <c r="T924" i="16"/>
  <c r="V1948" i="12"/>
  <c r="X1938" i="12"/>
  <c r="X1896" i="12" s="1"/>
  <c r="W2186" i="16"/>
  <c r="R1365" i="16"/>
  <c r="V2145" i="16"/>
  <c r="V1351" i="16"/>
  <c r="W1351" i="16" s="1"/>
  <c r="X1351" i="16" s="1"/>
  <c r="W1625" i="16"/>
  <c r="X1625" i="16" s="1"/>
  <c r="W1344" i="16"/>
  <c r="V1604" i="16"/>
  <c r="W1604" i="16" s="1"/>
  <c r="V2183" i="16"/>
  <c r="W2183" i="16"/>
  <c r="X1474" i="16"/>
  <c r="U2185" i="16"/>
  <c r="T2185" i="16"/>
  <c r="T1618" i="16"/>
  <c r="X1936" i="16"/>
  <c r="X2182" i="16"/>
  <c r="O2190" i="16"/>
  <c r="X1690" i="16"/>
  <c r="E1685" i="16"/>
  <c r="M1690" i="16"/>
  <c r="U1690" i="16"/>
  <c r="N1690" i="16"/>
  <c r="V1690" i="16"/>
  <c r="D1685" i="16"/>
  <c r="E1995" i="16" s="1"/>
  <c r="D1995" i="16" s="1"/>
  <c r="O1690" i="16"/>
  <c r="W1690" i="16"/>
  <c r="D1691" i="16"/>
  <c r="P1690" i="16"/>
  <c r="B1684" i="16"/>
  <c r="B1986" i="16" s="1"/>
  <c r="Q1690" i="16"/>
  <c r="E1686" i="16"/>
  <c r="R1690" i="16"/>
  <c r="K1690" i="16"/>
  <c r="S1690" i="16"/>
  <c r="L1690" i="16"/>
  <c r="T1690" i="16"/>
  <c r="X2230" i="16"/>
  <c r="X1597" i="16"/>
  <c r="O1653" i="16"/>
  <c r="T1358" i="16"/>
  <c r="W1929" i="16"/>
  <c r="X2186" i="16"/>
  <c r="X1488" i="16"/>
  <c r="X2145" i="16"/>
  <c r="R2149" i="16"/>
  <c r="R1646" i="16"/>
  <c r="N286" i="16"/>
  <c r="O1379" i="16"/>
  <c r="O1380" i="16" s="1"/>
  <c r="X2141" i="16"/>
  <c r="R2189" i="16"/>
  <c r="X1323" i="16"/>
  <c r="X2167" i="16"/>
  <c r="X2165" i="16"/>
  <c r="W2145" i="16"/>
  <c r="R2147" i="16"/>
  <c r="V1906" i="12"/>
  <c r="N1945" i="12"/>
  <c r="N1948" i="12" s="1"/>
  <c r="K1945" i="12"/>
  <c r="K1948" i="12" s="1"/>
  <c r="Q1945" i="12"/>
  <c r="Q1948" i="12" s="1"/>
  <c r="O1945" i="12"/>
  <c r="O1948" i="12" s="1"/>
  <c r="O111" i="18"/>
  <c r="S304" i="10"/>
  <c r="S303" i="10" s="1"/>
  <c r="S111" i="18"/>
  <c r="M1945" i="12"/>
  <c r="M1948" i="12" s="1"/>
  <c r="Q304" i="10"/>
  <c r="Q303" i="10" s="1"/>
  <c r="S290" i="10"/>
  <c r="L1945" i="12"/>
  <c r="L1948" i="12" s="1"/>
  <c r="S1906" i="12"/>
  <c r="T1945" i="12"/>
  <c r="T1948" i="12" s="1"/>
  <c r="K304" i="10"/>
  <c r="K303" i="10" s="1"/>
  <c r="R1902" i="12"/>
  <c r="R1903" i="12" s="1"/>
  <c r="R1906" i="12" s="1"/>
  <c r="R1945" i="12"/>
  <c r="R1948" i="12" s="1"/>
  <c r="S1948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U1903" i="12" s="1"/>
  <c r="U1906" i="12" s="1"/>
  <c r="U1945" i="12"/>
  <c r="U1948" i="12" s="1"/>
  <c r="P290" i="10"/>
  <c r="P211" i="10"/>
  <c r="P247" i="10" s="1"/>
  <c r="N78" i="18"/>
  <c r="M75" i="18"/>
  <c r="M80" i="18" s="1"/>
  <c r="N39" i="18"/>
  <c r="N31" i="18"/>
  <c r="N41" i="18" s="1"/>
  <c r="N68" i="10" s="1"/>
  <c r="N67" i="10" s="1"/>
  <c r="K212" i="10"/>
  <c r="Q290" i="10"/>
  <c r="Q211" i="10"/>
  <c r="O39" i="18"/>
  <c r="O31" i="18"/>
  <c r="O41" i="18" s="1"/>
  <c r="O68" i="10" s="1"/>
  <c r="O67" i="10" s="1"/>
  <c r="S31" i="18"/>
  <c r="S41" i="18" s="1"/>
  <c r="S68" i="10" s="1"/>
  <c r="S67" i="10" s="1"/>
  <c r="S39" i="18"/>
  <c r="T290" i="10"/>
  <c r="T211" i="10"/>
  <c r="T247" i="10" s="1"/>
  <c r="W39" i="18"/>
  <c r="W31" i="18"/>
  <c r="W41" i="18" s="1"/>
  <c r="W68" i="10" s="1"/>
  <c r="V75" i="18"/>
  <c r="V80" i="18" s="1"/>
  <c r="K2169" i="16"/>
  <c r="K1514" i="16"/>
  <c r="K1515" i="16" s="1"/>
  <c r="W1902" i="12"/>
  <c r="W1903" i="12" s="1"/>
  <c r="W1906" i="12" s="1"/>
  <c r="W1945" i="12"/>
  <c r="W1948" i="12" s="1"/>
  <c r="K1528" i="16"/>
  <c r="K2171" i="16"/>
  <c r="K1542" i="16"/>
  <c r="K2173" i="16"/>
  <c r="K1535" i="16"/>
  <c r="K1536" i="16" s="1"/>
  <c r="K2172" i="16"/>
  <c r="E686" i="20"/>
  <c r="K687" i="20" s="1"/>
  <c r="C80" i="25" l="1"/>
  <c r="X39" i="18"/>
  <c r="D81" i="25"/>
  <c r="U39" i="18"/>
  <c r="I81" i="25"/>
  <c r="F80" i="25"/>
  <c r="L80" i="25"/>
  <c r="J2092" i="16"/>
  <c r="N81" i="25"/>
  <c r="K81" i="25"/>
  <c r="J81" i="25"/>
  <c r="K80" i="25"/>
  <c r="G80" i="25"/>
  <c r="M80" i="25"/>
  <c r="U146" i="10"/>
  <c r="U32" i="18" s="1"/>
  <c r="X1143" i="16"/>
  <c r="M81" i="25"/>
  <c r="J111" i="25"/>
  <c r="N80" i="25"/>
  <c r="M111" i="25"/>
  <c r="H80" i="25"/>
  <c r="O80" i="25"/>
  <c r="C81" i="25"/>
  <c r="K111" i="25"/>
  <c r="I111" i="25"/>
  <c r="J49" i="25"/>
  <c r="J80" i="25"/>
  <c r="J79" i="25" s="1"/>
  <c r="H81" i="25"/>
  <c r="G81" i="25"/>
  <c r="G79" i="25" s="1"/>
  <c r="G111" i="25"/>
  <c r="X1412" i="12"/>
  <c r="X257" i="20" s="1"/>
  <c r="D80" i="25"/>
  <c r="L81" i="25"/>
  <c r="L111" i="25"/>
  <c r="L49" i="25"/>
  <c r="F81" i="25"/>
  <c r="H111" i="25"/>
  <c r="C111" i="25"/>
  <c r="E80" i="25"/>
  <c r="O81" i="25"/>
  <c r="E81" i="25"/>
  <c r="X1136" i="16"/>
  <c r="X112" i="10"/>
  <c r="P646" i="25"/>
  <c r="P112" i="25" s="1"/>
  <c r="P80" i="25" s="1"/>
  <c r="P658" i="25"/>
  <c r="P113" i="25" s="1"/>
  <c r="P50" i="25" s="1"/>
  <c r="U60" i="10"/>
  <c r="U348" i="10" s="1"/>
  <c r="V52" i="10"/>
  <c r="V340" i="10" s="1"/>
  <c r="F49" i="25"/>
  <c r="F111" i="25"/>
  <c r="E111" i="25"/>
  <c r="E49" i="25"/>
  <c r="D111" i="25"/>
  <c r="D49" i="25"/>
  <c r="X1150" i="16"/>
  <c r="O103" i="10"/>
  <c r="N111" i="25"/>
  <c r="N49" i="25"/>
  <c r="O111" i="25"/>
  <c r="O49" i="25"/>
  <c r="W923" i="12"/>
  <c r="W931" i="12" s="1"/>
  <c r="V936" i="16"/>
  <c r="W936" i="16" s="1"/>
  <c r="T1218" i="16"/>
  <c r="T2125" i="16" s="1"/>
  <c r="S1219" i="16"/>
  <c r="N972" i="16"/>
  <c r="W2119" i="16"/>
  <c r="W1185" i="16"/>
  <c r="T918" i="16"/>
  <c r="U918" i="16" s="1"/>
  <c r="W1177" i="16"/>
  <c r="X1177" i="16" s="1"/>
  <c r="W1184" i="16"/>
  <c r="X1183" i="16"/>
  <c r="X2120" i="16" s="1"/>
  <c r="U1205" i="16"/>
  <c r="V1204" i="16"/>
  <c r="V2123" i="16" s="1"/>
  <c r="W1178" i="16"/>
  <c r="S1213" i="16"/>
  <c r="S1220" i="16"/>
  <c r="R1226" i="16"/>
  <c r="R2126" i="16"/>
  <c r="X1191" i="16"/>
  <c r="X1192" i="16" s="1"/>
  <c r="P1247" i="16"/>
  <c r="U1211" i="16"/>
  <c r="U2124" i="16" s="1"/>
  <c r="W1197" i="16"/>
  <c r="W2122" i="16" s="1"/>
  <c r="R1227" i="16"/>
  <c r="Q1246" i="16"/>
  <c r="T1212" i="16"/>
  <c r="S1225" i="16"/>
  <c r="S2126" i="16" s="1"/>
  <c r="U1206" i="16"/>
  <c r="P1253" i="16"/>
  <c r="P2130" i="16" s="1"/>
  <c r="V1198" i="16"/>
  <c r="U1199" i="16"/>
  <c r="N1270" i="16"/>
  <c r="N264" i="16" s="1"/>
  <c r="N2132" i="16"/>
  <c r="X624" i="12"/>
  <c r="X172" i="10" s="1"/>
  <c r="X316" i="10" s="1"/>
  <c r="W1240" i="20" a="1"/>
  <c r="W1240" i="20" s="1"/>
  <c r="X1242" i="20" a="1"/>
  <c r="X1242" i="20" s="1"/>
  <c r="W1238" i="20" a="1"/>
  <c r="W1238" i="20" s="1"/>
  <c r="X1238" i="20" a="1"/>
  <c r="X1238" i="20" s="1"/>
  <c r="W1236" i="20" a="1"/>
  <c r="W1236" i="20" s="1"/>
  <c r="W1242" i="20" a="1"/>
  <c r="W1242" i="20" s="1"/>
  <c r="X1237" i="20" a="1"/>
  <c r="X1237" i="20" s="1"/>
  <c r="W1241" i="20" a="1"/>
  <c r="W1241" i="20" s="1"/>
  <c r="X1240" i="20" a="1"/>
  <c r="X1240" i="20" s="1"/>
  <c r="X323" i="10"/>
  <c r="W1237" i="20" a="1"/>
  <c r="W1237" i="20" s="1"/>
  <c r="X1241" i="20" a="1"/>
  <c r="X1241" i="20" s="1"/>
  <c r="X1236" i="20" a="1"/>
  <c r="X1236" i="20" s="1"/>
  <c r="X1239" i="20" a="1"/>
  <c r="X1239" i="20" s="1"/>
  <c r="W1239" i="20" a="1"/>
  <c r="W1239" i="20" s="1"/>
  <c r="P146" i="25"/>
  <c r="P154" i="25" s="1"/>
  <c r="P255" i="25"/>
  <c r="P228" i="25"/>
  <c r="P236" i="25" s="1"/>
  <c r="E430" i="25"/>
  <c r="E445" i="25"/>
  <c r="M431" i="25"/>
  <c r="E336" i="25"/>
  <c r="O303" i="25"/>
  <c r="L708" i="20"/>
  <c r="M708" i="20" s="1"/>
  <c r="E354" i="25"/>
  <c r="J497" i="25"/>
  <c r="D307" i="25"/>
  <c r="H449" i="25"/>
  <c r="E449" i="25"/>
  <c r="N497" i="25"/>
  <c r="J38" i="25"/>
  <c r="I478" i="25"/>
  <c r="I477" i="25" s="1"/>
  <c r="N307" i="25"/>
  <c r="N288" i="25"/>
  <c r="M335" i="25"/>
  <c r="M382" i="25"/>
  <c r="E383" i="25"/>
  <c r="H382" i="25"/>
  <c r="N401" i="25"/>
  <c r="O497" i="25"/>
  <c r="G335" i="25"/>
  <c r="O401" i="25"/>
  <c r="E37" i="25"/>
  <c r="H430" i="25"/>
  <c r="O382" i="25"/>
  <c r="C289" i="25"/>
  <c r="E335" i="25"/>
  <c r="N1239" i="20" a="1"/>
  <c r="N1239" i="20" s="1"/>
  <c r="V1241" i="20" a="1"/>
  <c r="V1241" i="20" s="1"/>
  <c r="O1238" i="20" a="1"/>
  <c r="O1238" i="20" s="1"/>
  <c r="N1242" i="20" a="1"/>
  <c r="N1242" i="20" s="1"/>
  <c r="T1237" i="20" a="1"/>
  <c r="T1237" i="20" s="1"/>
  <c r="S1240" i="20" a="1"/>
  <c r="S1240" i="20" s="1"/>
  <c r="O431" i="25"/>
  <c r="M445" i="25"/>
  <c r="U1242" i="20" a="1"/>
  <c r="U1242" i="20" s="1"/>
  <c r="T1239" i="20" a="1"/>
  <c r="T1239" i="20" s="1"/>
  <c r="K710" i="20"/>
  <c r="T1242" i="20" a="1"/>
  <c r="T1242" i="20" s="1"/>
  <c r="O1239" i="20" a="1"/>
  <c r="O1239" i="20" s="1"/>
  <c r="T1240" i="20" a="1"/>
  <c r="T1240" i="20" s="1"/>
  <c r="P1241" i="20" a="1"/>
  <c r="P1241" i="20" s="1"/>
  <c r="L1242" i="20" a="1"/>
  <c r="L1242" i="20" s="1"/>
  <c r="P1238" i="20" a="1"/>
  <c r="P1238" i="20" s="1"/>
  <c r="O1242" i="20" a="1"/>
  <c r="O1242" i="20" s="1"/>
  <c r="Q1237" i="20" a="1"/>
  <c r="Q1237" i="20" s="1"/>
  <c r="Q1239" i="20" a="1"/>
  <c r="Q1239" i="20" s="1"/>
  <c r="L1241" i="20" a="1"/>
  <c r="L1241" i="20" s="1"/>
  <c r="O1241" i="20" a="1"/>
  <c r="O1241" i="20" s="1"/>
  <c r="P1237" i="20" a="1"/>
  <c r="P1237" i="20" s="1"/>
  <c r="U1238" i="20" a="1"/>
  <c r="U1238" i="20" s="1"/>
  <c r="L1237" i="20" a="1"/>
  <c r="L1237" i="20" s="1"/>
  <c r="N1241" i="20" a="1"/>
  <c r="N1241" i="20" s="1"/>
  <c r="L1238" i="20" a="1"/>
  <c r="L1238" i="20" s="1"/>
  <c r="U1241" i="20" a="1"/>
  <c r="U1241" i="20" s="1"/>
  <c r="M1242" i="20" a="1"/>
  <c r="M1242" i="20" s="1"/>
  <c r="S1238" i="20" a="1"/>
  <c r="S1238" i="20" s="1"/>
  <c r="R1240" i="20" a="1"/>
  <c r="R1240" i="20" s="1"/>
  <c r="P1242" i="20" a="1"/>
  <c r="P1242" i="20" s="1"/>
  <c r="K1241" i="20" a="1"/>
  <c r="K1241" i="20" s="1"/>
  <c r="Q1238" i="20" a="1"/>
  <c r="Q1238" i="20" s="1"/>
  <c r="U1237" i="20" a="1"/>
  <c r="U1237" i="20" s="1"/>
  <c r="L1239" i="20" a="1"/>
  <c r="L1239" i="20" s="1"/>
  <c r="P1240" i="20" a="1"/>
  <c r="P1240" i="20" s="1"/>
  <c r="V1237" i="20" a="1"/>
  <c r="V1237" i="20" s="1"/>
  <c r="M1241" i="20" a="1"/>
  <c r="M1241" i="20" s="1"/>
  <c r="R1241" i="20" a="1"/>
  <c r="R1241" i="20" s="1"/>
  <c r="K1238" i="20" a="1"/>
  <c r="K1238" i="20" s="1"/>
  <c r="P1239" i="20" a="1"/>
  <c r="P1239" i="20" s="1"/>
  <c r="R1242" i="20" a="1"/>
  <c r="R1242" i="20" s="1"/>
  <c r="U1240" i="20" a="1"/>
  <c r="U1240" i="20" s="1"/>
  <c r="M1238" i="20" a="1"/>
  <c r="M1238" i="20" s="1"/>
  <c r="T1238" i="20" a="1"/>
  <c r="T1238" i="20" s="1"/>
  <c r="K1240" i="20" a="1"/>
  <c r="K1240" i="20" s="1"/>
  <c r="K1239" i="20" a="1"/>
  <c r="K1239" i="20" s="1"/>
  <c r="L1240" i="20" a="1"/>
  <c r="L1240" i="20" s="1"/>
  <c r="R1237" i="20" a="1"/>
  <c r="R1237" i="20" s="1"/>
  <c r="O1240" i="20" a="1"/>
  <c r="O1240" i="20" s="1"/>
  <c r="S1242" i="20" a="1"/>
  <c r="S1242" i="20" s="1"/>
  <c r="M1237" i="20" a="1"/>
  <c r="M1237" i="20" s="1"/>
  <c r="V1238" i="20" a="1"/>
  <c r="V1238" i="20" s="1"/>
  <c r="T1241" i="20" a="1"/>
  <c r="T1241" i="20" s="1"/>
  <c r="Q1240" i="20" a="1"/>
  <c r="Q1240" i="20" s="1"/>
  <c r="S1237" i="20" a="1"/>
  <c r="S1237" i="20" s="1"/>
  <c r="V1239" i="20" a="1"/>
  <c r="V1239" i="20" s="1"/>
  <c r="N1237" i="20" a="1"/>
  <c r="N1237" i="20" s="1"/>
  <c r="U1239" i="20" a="1"/>
  <c r="U1239" i="20" s="1"/>
  <c r="K1242" i="20" a="1"/>
  <c r="K1242" i="20" s="1"/>
  <c r="Q1242" i="20" a="1"/>
  <c r="Q1242" i="20" s="1"/>
  <c r="R1238" i="20" a="1"/>
  <c r="R1238" i="20" s="1"/>
  <c r="V1240" i="20" a="1"/>
  <c r="V1240" i="20" s="1"/>
  <c r="M1240" i="20" a="1"/>
  <c r="M1240" i="20" s="1"/>
  <c r="O1237" i="20" a="1"/>
  <c r="O1237" i="20" s="1"/>
  <c r="R1239" i="20" a="1"/>
  <c r="R1239" i="20" s="1"/>
  <c r="S1241" i="20" a="1"/>
  <c r="S1241" i="20" s="1"/>
  <c r="M1239" i="20" a="1"/>
  <c r="M1239" i="20" s="1"/>
  <c r="Q1241" i="20" a="1"/>
  <c r="Q1241" i="20" s="1"/>
  <c r="V1242" i="20" a="1"/>
  <c r="V1242" i="20" s="1"/>
  <c r="N1238" i="20" a="1"/>
  <c r="N1238" i="20" s="1"/>
  <c r="N1240" i="20" a="1"/>
  <c r="N1240" i="20" s="1"/>
  <c r="S1239" i="20" a="1"/>
  <c r="S1239" i="20" s="1"/>
  <c r="K1237" i="20" a="1"/>
  <c r="K1237" i="20" s="1"/>
  <c r="N1236" i="20" a="1"/>
  <c r="N1236" i="20" s="1"/>
  <c r="R1236" i="20" a="1"/>
  <c r="R1236" i="20" s="1"/>
  <c r="U1236" i="20" a="1"/>
  <c r="U1236" i="20" s="1"/>
  <c r="Q1236" i="20" a="1"/>
  <c r="Q1236" i="20" s="1"/>
  <c r="M1236" i="20" a="1"/>
  <c r="M1236" i="20" s="1"/>
  <c r="S1236" i="20" a="1"/>
  <c r="S1236" i="20" s="1"/>
  <c r="T1236" i="20" a="1"/>
  <c r="T1236" i="20" s="1"/>
  <c r="O1236" i="20" a="1"/>
  <c r="O1236" i="20" s="1"/>
  <c r="P1236" i="20" a="1"/>
  <c r="P1236" i="20" s="1"/>
  <c r="V1236" i="20" a="1"/>
  <c r="V1236" i="20" s="1"/>
  <c r="L1236" i="20" a="1"/>
  <c r="L1236" i="20" s="1"/>
  <c r="K1236" i="20" a="1"/>
  <c r="K1236" i="20" s="1"/>
  <c r="G303" i="25"/>
  <c r="K430" i="25"/>
  <c r="K1204" i="20"/>
  <c r="K1214" i="20" s="1"/>
  <c r="Q1204" i="20"/>
  <c r="Q1214" i="20" s="1"/>
  <c r="J181" i="25"/>
  <c r="N1204" i="20"/>
  <c r="N1214" i="20" s="1"/>
  <c r="H479" i="25"/>
  <c r="G354" i="25"/>
  <c r="O449" i="25"/>
  <c r="J479" i="25"/>
  <c r="L431" i="25"/>
  <c r="H445" i="25"/>
  <c r="M307" i="25"/>
  <c r="H493" i="25"/>
  <c r="E307" i="25"/>
  <c r="F449" i="25"/>
  <c r="H335" i="25"/>
  <c r="H334" i="25" s="1"/>
  <c r="C336" i="25"/>
  <c r="M449" i="25"/>
  <c r="D354" i="25"/>
  <c r="D38" i="25"/>
  <c r="I401" i="25"/>
  <c r="C383" i="25"/>
  <c r="L289" i="25"/>
  <c r="O479" i="25"/>
  <c r="L288" i="25"/>
  <c r="K383" i="25"/>
  <c r="K381" i="25" s="1"/>
  <c r="D288" i="25"/>
  <c r="F430" i="25"/>
  <c r="F431" i="25"/>
  <c r="M430" i="25"/>
  <c r="C401" i="25"/>
  <c r="C307" i="25"/>
  <c r="C431" i="25"/>
  <c r="C429" i="25" s="1"/>
  <c r="N478" i="25"/>
  <c r="N382" i="25"/>
  <c r="L382" i="25"/>
  <c r="J289" i="25"/>
  <c r="E288" i="25"/>
  <c r="J383" i="25"/>
  <c r="D335" i="25"/>
  <c r="M478" i="25"/>
  <c r="N335" i="25"/>
  <c r="K478" i="25"/>
  <c r="K477" i="25" s="1"/>
  <c r="I289" i="25"/>
  <c r="K431" i="25"/>
  <c r="G382" i="25"/>
  <c r="K288" i="25"/>
  <c r="K287" i="25" s="1"/>
  <c r="D449" i="25"/>
  <c r="I382" i="25"/>
  <c r="I431" i="25"/>
  <c r="G336" i="25"/>
  <c r="F382" i="25"/>
  <c r="J478" i="25"/>
  <c r="F478" i="25"/>
  <c r="D431" i="25"/>
  <c r="L497" i="25"/>
  <c r="J401" i="25"/>
  <c r="H289" i="25"/>
  <c r="M397" i="25"/>
  <c r="N289" i="25"/>
  <c r="D478" i="25"/>
  <c r="D477" i="25" s="1"/>
  <c r="D383" i="25"/>
  <c r="J382" i="25"/>
  <c r="G430" i="25"/>
  <c r="G429" i="25" s="1"/>
  <c r="F289" i="25"/>
  <c r="L478" i="25"/>
  <c r="H383" i="25"/>
  <c r="T1204" i="20"/>
  <c r="T1214" i="20" s="1"/>
  <c r="S1204" i="20"/>
  <c r="S1214" i="20" s="1"/>
  <c r="D401" i="25"/>
  <c r="G401" i="25"/>
  <c r="K336" i="25"/>
  <c r="K95" i="25"/>
  <c r="N479" i="25"/>
  <c r="F335" i="25"/>
  <c r="E431" i="25"/>
  <c r="P1204" i="20"/>
  <c r="P1214" i="20" s="1"/>
  <c r="E95" i="25"/>
  <c r="J350" i="25"/>
  <c r="N397" i="25"/>
  <c r="L397" i="25"/>
  <c r="H431" i="25"/>
  <c r="K303" i="25"/>
  <c r="E479" i="25"/>
  <c r="O1204" i="20"/>
  <c r="O1214" i="20" s="1"/>
  <c r="D350" i="25"/>
  <c r="D445" i="25"/>
  <c r="K445" i="25"/>
  <c r="N445" i="25"/>
  <c r="N431" i="25"/>
  <c r="N429" i="25" s="1"/>
  <c r="X1204" i="20"/>
  <c r="X1214" i="20" s="1"/>
  <c r="V1204" i="20"/>
  <c r="V1214" i="20" s="1"/>
  <c r="L1204" i="20"/>
  <c r="L1214" i="20" s="1"/>
  <c r="C397" i="25"/>
  <c r="F350" i="25"/>
  <c r="C181" i="25"/>
  <c r="E303" i="25"/>
  <c r="E493" i="25"/>
  <c r="E350" i="25"/>
  <c r="G95" i="25"/>
  <c r="E397" i="25"/>
  <c r="M303" i="25"/>
  <c r="G289" i="25"/>
  <c r="G287" i="25" s="1"/>
  <c r="L181" i="25"/>
  <c r="M181" i="25"/>
  <c r="O181" i="25"/>
  <c r="O95" i="25"/>
  <c r="J95" i="25"/>
  <c r="I445" i="25"/>
  <c r="I303" i="25"/>
  <c r="K350" i="25"/>
  <c r="H181" i="25"/>
  <c r="C445" i="25"/>
  <c r="G350" i="25"/>
  <c r="J303" i="25"/>
  <c r="C382" i="25"/>
  <c r="R1204" i="20"/>
  <c r="R1214" i="20" s="1"/>
  <c r="U1204" i="20"/>
  <c r="U1214" i="20" s="1"/>
  <c r="C350" i="25"/>
  <c r="J397" i="25"/>
  <c r="F479" i="25"/>
  <c r="G493" i="25"/>
  <c r="F493" i="25"/>
  <c r="K335" i="25"/>
  <c r="I383" i="25"/>
  <c r="I34" i="25"/>
  <c r="F181" i="25"/>
  <c r="I181" i="25"/>
  <c r="N383" i="25"/>
  <c r="N33" i="25"/>
  <c r="I166" i="25"/>
  <c r="M1204" i="20"/>
  <c r="M1214" i="20" s="1"/>
  <c r="N350" i="25"/>
  <c r="W1204" i="20"/>
  <c r="W1214" i="20" s="1"/>
  <c r="J34" i="25"/>
  <c r="J493" i="25"/>
  <c r="K181" i="25"/>
  <c r="K493" i="25"/>
  <c r="I167" i="25"/>
  <c r="O288" i="25"/>
  <c r="O287" i="25" s="1"/>
  <c r="F288" i="25"/>
  <c r="I350" i="25"/>
  <c r="G34" i="25"/>
  <c r="I493" i="25"/>
  <c r="M493" i="25"/>
  <c r="O34" i="25"/>
  <c r="M479" i="25"/>
  <c r="K397" i="25"/>
  <c r="L303" i="25"/>
  <c r="J445" i="25"/>
  <c r="K34" i="25"/>
  <c r="O397" i="25"/>
  <c r="H397" i="25"/>
  <c r="J430" i="25"/>
  <c r="H34" i="25"/>
  <c r="L335" i="25"/>
  <c r="G397" i="25"/>
  <c r="I336" i="25"/>
  <c r="F445" i="25"/>
  <c r="N34" i="25"/>
  <c r="D303" i="25"/>
  <c r="I33" i="25"/>
  <c r="F303" i="25"/>
  <c r="I397" i="25"/>
  <c r="E34" i="25"/>
  <c r="D289" i="25"/>
  <c r="L493" i="25"/>
  <c r="H478" i="25"/>
  <c r="D336" i="25"/>
  <c r="C303" i="25"/>
  <c r="H33" i="25"/>
  <c r="C493" i="25"/>
  <c r="L33" i="25"/>
  <c r="H95" i="25"/>
  <c r="H350" i="25"/>
  <c r="F397" i="25"/>
  <c r="O33" i="25"/>
  <c r="N181" i="25"/>
  <c r="E289" i="25"/>
  <c r="D95" i="25"/>
  <c r="N95" i="25"/>
  <c r="C34" i="25"/>
  <c r="M34" i="25"/>
  <c r="D33" i="25"/>
  <c r="L350" i="25"/>
  <c r="O350" i="25"/>
  <c r="K33" i="25"/>
  <c r="F33" i="25"/>
  <c r="O493" i="25"/>
  <c r="J431" i="25"/>
  <c r="L34" i="25"/>
  <c r="D166" i="25"/>
  <c r="D165" i="25" s="1"/>
  <c r="D600" i="25" s="1"/>
  <c r="C33" i="25"/>
  <c r="G445" i="25"/>
  <c r="O336" i="25"/>
  <c r="O334" i="25" s="1"/>
  <c r="H303" i="25"/>
  <c r="J33" i="25"/>
  <c r="C479" i="25"/>
  <c r="C477" i="25" s="1"/>
  <c r="M350" i="25"/>
  <c r="M288" i="25"/>
  <c r="I430" i="25"/>
  <c r="C95" i="25"/>
  <c r="F34" i="25"/>
  <c r="O445" i="25"/>
  <c r="I95" i="25"/>
  <c r="M95" i="25"/>
  <c r="N493" i="25"/>
  <c r="J166" i="25"/>
  <c r="J165" i="25" s="1"/>
  <c r="J600" i="25" s="1"/>
  <c r="E478" i="25"/>
  <c r="L336" i="25"/>
  <c r="F383" i="25"/>
  <c r="D181" i="25"/>
  <c r="L95" i="25"/>
  <c r="D34" i="25"/>
  <c r="D493" i="25"/>
  <c r="O478" i="25"/>
  <c r="E33" i="25"/>
  <c r="G181" i="25"/>
  <c r="N303" i="25"/>
  <c r="L430" i="25"/>
  <c r="M336" i="25"/>
  <c r="M383" i="25"/>
  <c r="E167" i="25"/>
  <c r="E165" i="25" s="1"/>
  <c r="E600" i="25" s="1"/>
  <c r="L445" i="25"/>
  <c r="M33" i="25"/>
  <c r="F95" i="25"/>
  <c r="G33" i="25"/>
  <c r="O430" i="25"/>
  <c r="H166" i="25"/>
  <c r="H165" i="25" s="1"/>
  <c r="H600" i="25" s="1"/>
  <c r="E181" i="25"/>
  <c r="D397" i="25"/>
  <c r="L383" i="25"/>
  <c r="C354" i="25"/>
  <c r="C335" i="25"/>
  <c r="H185" i="25"/>
  <c r="G497" i="25"/>
  <c r="H497" i="25"/>
  <c r="M354" i="25"/>
  <c r="F497" i="25"/>
  <c r="L401" i="25"/>
  <c r="F307" i="25"/>
  <c r="L167" i="25"/>
  <c r="L165" i="25" s="1"/>
  <c r="L600" i="25" s="1"/>
  <c r="N38" i="25"/>
  <c r="J185" i="25"/>
  <c r="E38" i="25"/>
  <c r="E497" i="25"/>
  <c r="N449" i="25"/>
  <c r="F38" i="25"/>
  <c r="I38" i="25"/>
  <c r="J449" i="25"/>
  <c r="C37" i="25"/>
  <c r="E382" i="25"/>
  <c r="N37" i="25"/>
  <c r="N336" i="25"/>
  <c r="L38" i="25"/>
  <c r="H401" i="25"/>
  <c r="G383" i="25"/>
  <c r="J335" i="25"/>
  <c r="J334" i="25" s="1"/>
  <c r="G185" i="25"/>
  <c r="G307" i="25"/>
  <c r="M37" i="25"/>
  <c r="M289" i="25"/>
  <c r="I449" i="25"/>
  <c r="F354" i="25"/>
  <c r="F336" i="25"/>
  <c r="G38" i="25"/>
  <c r="I37" i="25"/>
  <c r="K38" i="25"/>
  <c r="H37" i="25"/>
  <c r="K37" i="25"/>
  <c r="M401" i="25"/>
  <c r="G37" i="25"/>
  <c r="J37" i="25"/>
  <c r="O38" i="25"/>
  <c r="D382" i="25"/>
  <c r="O37" i="25"/>
  <c r="L354" i="25"/>
  <c r="J307" i="25"/>
  <c r="H288" i="25"/>
  <c r="D430" i="25"/>
  <c r="D37" i="25"/>
  <c r="L37" i="25"/>
  <c r="J288" i="25"/>
  <c r="H307" i="25"/>
  <c r="K185" i="25"/>
  <c r="C38" i="25"/>
  <c r="G479" i="25"/>
  <c r="H99" i="25"/>
  <c r="O383" i="25"/>
  <c r="M166" i="25"/>
  <c r="M165" i="25" s="1"/>
  <c r="M600" i="25" s="1"/>
  <c r="F166" i="25"/>
  <c r="F165" i="25" s="1"/>
  <c r="F600" i="25" s="1"/>
  <c r="G478" i="25"/>
  <c r="I335" i="25"/>
  <c r="H38" i="25"/>
  <c r="K167" i="25"/>
  <c r="K165" i="25" s="1"/>
  <c r="K600" i="25" s="1"/>
  <c r="F37" i="25"/>
  <c r="I288" i="25"/>
  <c r="L479" i="25"/>
  <c r="C288" i="25"/>
  <c r="I307" i="25"/>
  <c r="C185" i="25"/>
  <c r="K354" i="25"/>
  <c r="M38" i="25"/>
  <c r="K449" i="25"/>
  <c r="O1256" i="16"/>
  <c r="O262" i="16" s="1"/>
  <c r="I212" i="16"/>
  <c r="G45" i="20" s="1"/>
  <c r="P83" i="25"/>
  <c r="W159" i="10"/>
  <c r="W78" i="18" s="1"/>
  <c r="W75" i="18" s="1"/>
  <c r="W80" i="18" s="1"/>
  <c r="W212" i="10" s="1"/>
  <c r="X2096" i="16"/>
  <c r="N256" i="25"/>
  <c r="N251" i="25"/>
  <c r="O251" i="25"/>
  <c r="X245" i="11"/>
  <c r="O256" i="25"/>
  <c r="O130" i="25" a="1"/>
  <c r="O130" i="25" s="1"/>
  <c r="O64" i="25"/>
  <c r="P130" i="25" a="1"/>
  <c r="P130" i="25" s="1"/>
  <c r="O212" i="25" a="1"/>
  <c r="O212" i="25" s="1"/>
  <c r="O54" i="25"/>
  <c r="P212" i="25" a="1"/>
  <c r="P212" i="25" s="1"/>
  <c r="N130" i="25" a="1"/>
  <c r="N130" i="25" s="1"/>
  <c r="O971" i="16"/>
  <c r="P971" i="16" s="1"/>
  <c r="Q970" i="16"/>
  <c r="R970" i="16" s="1"/>
  <c r="L1969" i="16"/>
  <c r="M1969" i="16" s="1"/>
  <c r="M1970" i="16" s="1"/>
  <c r="L1667" i="16"/>
  <c r="L1668" i="16"/>
  <c r="M1666" i="16"/>
  <c r="N1666" i="16" s="1"/>
  <c r="O1666" i="16" s="1"/>
  <c r="P1666" i="16" s="1"/>
  <c r="L2192" i="16"/>
  <c r="N64" i="25"/>
  <c r="K990" i="16"/>
  <c r="W2225" i="16"/>
  <c r="X1900" i="16"/>
  <c r="X2225" i="16" s="1"/>
  <c r="N212" i="25" a="1"/>
  <c r="N212" i="25" s="1"/>
  <c r="N54" i="25"/>
  <c r="O639" i="20"/>
  <c r="P639" i="20" s="1"/>
  <c r="Q639" i="20" s="1"/>
  <c r="N640" i="20"/>
  <c r="O632" i="20"/>
  <c r="P632" i="20" s="1"/>
  <c r="Q632" i="20" s="1"/>
  <c r="N633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7" i="25"/>
  <c r="P449" i="25"/>
  <c r="P505" i="25"/>
  <c r="P177" i="25"/>
  <c r="L694" i="20"/>
  <c r="M694" i="20" s="1"/>
  <c r="G246" i="20"/>
  <c r="I698" i="16"/>
  <c r="P401" i="25"/>
  <c r="P481" i="25"/>
  <c r="P307" i="25"/>
  <c r="P346" i="25"/>
  <c r="P173" i="25"/>
  <c r="X1406" i="12"/>
  <c r="F28" i="20" s="1"/>
  <c r="C313" i="20" s="1"/>
  <c r="P497" i="25"/>
  <c r="K696" i="20"/>
  <c r="P350" i="25"/>
  <c r="J251" i="25"/>
  <c r="P409" i="25"/>
  <c r="P385" i="25"/>
  <c r="P362" i="25"/>
  <c r="P405" i="25"/>
  <c r="P441" i="25"/>
  <c r="P457" i="25"/>
  <c r="P453" i="25"/>
  <c r="P299" i="25"/>
  <c r="P485" i="25"/>
  <c r="P209" i="25"/>
  <c r="P247" i="25" s="1"/>
  <c r="P266" i="25" s="1"/>
  <c r="P274" i="25" s="1"/>
  <c r="P315" i="25"/>
  <c r="P291" i="25"/>
  <c r="P445" i="25"/>
  <c r="P169" i="25"/>
  <c r="P189" i="25"/>
  <c r="P295" i="25"/>
  <c r="P493" i="25"/>
  <c r="P30" i="25"/>
  <c r="P46" i="25"/>
  <c r="P193" i="25"/>
  <c r="P167" i="25"/>
  <c r="P303" i="25"/>
  <c r="P479" i="25"/>
  <c r="P185" i="25"/>
  <c r="P489" i="25"/>
  <c r="P393" i="25"/>
  <c r="P181" i="25"/>
  <c r="P103" i="25"/>
  <c r="P354" i="25"/>
  <c r="P33" i="25"/>
  <c r="P311" i="25"/>
  <c r="P42" i="25"/>
  <c r="P45" i="25"/>
  <c r="P389" i="25"/>
  <c r="P95" i="25"/>
  <c r="P501" i="25"/>
  <c r="P336" i="25"/>
  <c r="P397" i="25"/>
  <c r="P91" i="25"/>
  <c r="P383" i="25"/>
  <c r="P38" i="25"/>
  <c r="P430" i="25"/>
  <c r="P21" i="25"/>
  <c r="P289" i="25"/>
  <c r="P382" i="25"/>
  <c r="P37" i="25"/>
  <c r="P166" i="25"/>
  <c r="P26" i="25"/>
  <c r="P22" i="25"/>
  <c r="P25" i="25"/>
  <c r="P358" i="25"/>
  <c r="P41" i="25"/>
  <c r="P478" i="25"/>
  <c r="P99" i="25"/>
  <c r="P338" i="25"/>
  <c r="P288" i="25"/>
  <c r="P437" i="25"/>
  <c r="P335" i="25"/>
  <c r="P34" i="25"/>
  <c r="P87" i="25"/>
  <c r="P29" i="25"/>
  <c r="P431" i="25"/>
  <c r="P342" i="25"/>
  <c r="P433" i="25"/>
  <c r="C251" i="25"/>
  <c r="K251" i="25"/>
  <c r="J28" i="25"/>
  <c r="L251" i="25"/>
  <c r="G251" i="25"/>
  <c r="H251" i="25"/>
  <c r="M251" i="25"/>
  <c r="I251" i="25"/>
  <c r="E251" i="25"/>
  <c r="D251" i="25"/>
  <c r="F251" i="25"/>
  <c r="F40" i="25"/>
  <c r="X246" i="20"/>
  <c r="X251" i="20" s="1"/>
  <c r="P73" i="25" s="1"/>
  <c r="E40" i="25"/>
  <c r="M256" i="25"/>
  <c r="K256" i="25"/>
  <c r="K24" i="25"/>
  <c r="F64" i="25"/>
  <c r="G20" i="25"/>
  <c r="K40" i="25"/>
  <c r="J24" i="25"/>
  <c r="W1646" i="12"/>
  <c r="G256" i="25"/>
  <c r="D212" i="25" a="1"/>
  <c r="D212" i="25" s="1"/>
  <c r="C212" i="25" a="1"/>
  <c r="C212" i="25" s="1"/>
  <c r="I130" i="25" a="1"/>
  <c r="I130" i="25" s="1"/>
  <c r="I212" i="25" a="1"/>
  <c r="I212" i="25" s="1"/>
  <c r="H130" i="25" a="1"/>
  <c r="H130" i="25" s="1"/>
  <c r="J130" i="25" a="1"/>
  <c r="J130" i="25" s="1"/>
  <c r="J212" i="25" a="1"/>
  <c r="J212" i="25" s="1"/>
  <c r="L130" i="25" a="1"/>
  <c r="L130" i="25" s="1"/>
  <c r="L212" i="25" a="1"/>
  <c r="L212" i="25" s="1"/>
  <c r="X1641" i="12"/>
  <c r="X1651" i="12" s="1"/>
  <c r="X250" i="20" s="1"/>
  <c r="X1215" i="20" s="1"/>
  <c r="E212" i="25" a="1"/>
  <c r="E212" i="25" s="1"/>
  <c r="K212" i="25" a="1"/>
  <c r="K212" i="25" s="1"/>
  <c r="M130" i="25" a="1"/>
  <c r="M130" i="25" s="1"/>
  <c r="C44" i="25"/>
  <c r="F212" i="25" a="1"/>
  <c r="F212" i="25" s="1"/>
  <c r="E130" i="25" a="1"/>
  <c r="E130" i="25" s="1"/>
  <c r="M212" i="25" a="1"/>
  <c r="M212" i="25" s="1"/>
  <c r="C130" i="25" a="1"/>
  <c r="C130" i="25" s="1"/>
  <c r="G130" i="25" a="1"/>
  <c r="G130" i="25" s="1"/>
  <c r="K130" i="25" a="1"/>
  <c r="K130" i="25" s="1"/>
  <c r="N28" i="25"/>
  <c r="G212" i="25" a="1"/>
  <c r="G212" i="25" s="1"/>
  <c r="H212" i="25" a="1"/>
  <c r="H212" i="25" s="1"/>
  <c r="F130" i="25" a="1"/>
  <c r="F130" i="25" s="1"/>
  <c r="D130" i="25" a="1"/>
  <c r="D130" i="25" s="1"/>
  <c r="E44" i="25"/>
  <c r="I256" i="25"/>
  <c r="H24" i="25"/>
  <c r="N257" i="25"/>
  <c r="H44" i="25"/>
  <c r="G54" i="25"/>
  <c r="D64" i="25"/>
  <c r="M64" i="25"/>
  <c r="K64" i="25"/>
  <c r="D28" i="25"/>
  <c r="H20" i="25"/>
  <c r="E28" i="25"/>
  <c r="N44" i="25"/>
  <c r="E64" i="25"/>
  <c r="G64" i="25"/>
  <c r="E256" i="25"/>
  <c r="H64" i="25"/>
  <c r="C64" i="25"/>
  <c r="B588" i="25" s="1"/>
  <c r="H219" i="25"/>
  <c r="H257" i="25" s="1"/>
  <c r="J44" i="25"/>
  <c r="M40" i="25"/>
  <c r="O24" i="25"/>
  <c r="I40" i="25"/>
  <c r="I28" i="25"/>
  <c r="J257" i="25"/>
  <c r="E219" i="25"/>
  <c r="E257" i="25" s="1"/>
  <c r="E54" i="25"/>
  <c r="F256" i="25"/>
  <c r="J64" i="25"/>
  <c r="I64" i="25"/>
  <c r="L64" i="25"/>
  <c r="J54" i="25"/>
  <c r="K54" i="25"/>
  <c r="K44" i="25"/>
  <c r="H54" i="25"/>
  <c r="F54" i="25"/>
  <c r="L256" i="25"/>
  <c r="M54" i="25"/>
  <c r="D256" i="25"/>
  <c r="H256" i="25"/>
  <c r="C256" i="25"/>
  <c r="I54" i="25"/>
  <c r="J256" i="25"/>
  <c r="L54" i="25"/>
  <c r="L44" i="25"/>
  <c r="D54" i="25"/>
  <c r="C54" i="25"/>
  <c r="C40" i="25"/>
  <c r="K257" i="25"/>
  <c r="D40" i="25"/>
  <c r="H40" i="25"/>
  <c r="F20" i="25"/>
  <c r="N20" i="25"/>
  <c r="M28" i="25"/>
  <c r="E24" i="25"/>
  <c r="M257" i="25"/>
  <c r="G44" i="25"/>
  <c r="O40" i="25"/>
  <c r="N40" i="25"/>
  <c r="J40" i="25"/>
  <c r="O20" i="25"/>
  <c r="X1886" i="12"/>
  <c r="I20" i="25"/>
  <c r="O28" i="25"/>
  <c r="G24" i="25"/>
  <c r="I44" i="25"/>
  <c r="D44" i="25"/>
  <c r="C24" i="25"/>
  <c r="M44" i="25"/>
  <c r="X1165" i="12"/>
  <c r="F24" i="25"/>
  <c r="D24" i="25"/>
  <c r="L20" i="25"/>
  <c r="C28" i="25"/>
  <c r="J20" i="25"/>
  <c r="H28" i="25"/>
  <c r="F44" i="25"/>
  <c r="N24" i="25"/>
  <c r="K28" i="25"/>
  <c r="D20" i="25"/>
  <c r="K20" i="25"/>
  <c r="L28" i="25"/>
  <c r="D257" i="25"/>
  <c r="C20" i="25"/>
  <c r="M20" i="25"/>
  <c r="F28" i="25"/>
  <c r="O44" i="25"/>
  <c r="G28" i="25"/>
  <c r="L40" i="25"/>
  <c r="F257" i="25"/>
  <c r="G40" i="25"/>
  <c r="I24" i="25"/>
  <c r="L24" i="25"/>
  <c r="M24" i="25"/>
  <c r="G257" i="25"/>
  <c r="E20" i="25"/>
  <c r="C257" i="25"/>
  <c r="L257" i="25"/>
  <c r="I257" i="25"/>
  <c r="P256" i="25"/>
  <c r="P251" i="25"/>
  <c r="O257" i="25"/>
  <c r="T111" i="18"/>
  <c r="P64" i="25"/>
  <c r="H1704" i="16"/>
  <c r="I1697" i="16" a="1"/>
  <c r="I1697" i="16" s="1"/>
  <c r="P61" i="25"/>
  <c r="P60" i="25"/>
  <c r="P54" i="25"/>
  <c r="P137" i="25"/>
  <c r="P59" i="25"/>
  <c r="P62" i="25"/>
  <c r="T31" i="18"/>
  <c r="T41" i="18" s="1"/>
  <c r="T68" i="10" s="1"/>
  <c r="T67" i="10" s="1"/>
  <c r="U103" i="10" s="1"/>
  <c r="P63" i="25"/>
  <c r="P58" i="25"/>
  <c r="P219" i="25"/>
  <c r="N1268" i="16"/>
  <c r="O1267" i="16"/>
  <c r="O2132" i="16" s="1"/>
  <c r="M264" i="16"/>
  <c r="M265" i="16" s="1"/>
  <c r="M53" i="20" s="1"/>
  <c r="M251" i="20" s="1"/>
  <c r="E73" i="25" s="1"/>
  <c r="D989" i="20"/>
  <c r="J985" i="20" a="1"/>
  <c r="J985" i="20" s="1"/>
  <c r="M31" i="18"/>
  <c r="M41" i="18" s="1"/>
  <c r="M39" i="18"/>
  <c r="P682" i="20"/>
  <c r="R947" i="16"/>
  <c r="R680" i="20"/>
  <c r="R682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681" i="20"/>
  <c r="Q681" i="20" s="1"/>
  <c r="P80" i="16"/>
  <c r="W1930" i="16"/>
  <c r="V917" i="16"/>
  <c r="M977" i="16"/>
  <c r="N976" i="16"/>
  <c r="P959" i="16"/>
  <c r="P960" i="16" s="1"/>
  <c r="Q948" i="16"/>
  <c r="S946" i="16"/>
  <c r="T581" i="20"/>
  <c r="R666" i="20"/>
  <c r="R668" i="20" s="1"/>
  <c r="X1475" i="16"/>
  <c r="V579" i="20"/>
  <c r="V581" i="20" s="1"/>
  <c r="P668" i="20"/>
  <c r="P667" i="20"/>
  <c r="Q667" i="20" s="1"/>
  <c r="X1324" i="16"/>
  <c r="X1598" i="16"/>
  <c r="L874" i="20"/>
  <c r="M866" i="20"/>
  <c r="M867" i="20" s="1"/>
  <c r="M868" i="20" s="1"/>
  <c r="U1612" i="16"/>
  <c r="M873" i="20"/>
  <c r="N873" i="20" s="1"/>
  <c r="N875" i="20" s="1"/>
  <c r="L868" i="20"/>
  <c r="N859" i="20"/>
  <c r="N861" i="20" s="1"/>
  <c r="L860" i="20"/>
  <c r="M860" i="20" s="1"/>
  <c r="M861" i="20" s="1"/>
  <c r="L861" i="20"/>
  <c r="K776" i="20"/>
  <c r="K777" i="20" s="1"/>
  <c r="L775" i="20"/>
  <c r="L777" i="20" s="1"/>
  <c r="K755" i="20"/>
  <c r="K756" i="20" s="1"/>
  <c r="L754" i="20"/>
  <c r="L756" i="20" s="1"/>
  <c r="K762" i="20"/>
  <c r="K763" i="20" s="1"/>
  <c r="L761" i="20"/>
  <c r="M761" i="20" s="1"/>
  <c r="K797" i="20"/>
  <c r="K798" i="20" s="1"/>
  <c r="L796" i="20"/>
  <c r="K783" i="20"/>
  <c r="K784" i="20" s="1"/>
  <c r="L782" i="20"/>
  <c r="M782" i="20" s="1"/>
  <c r="N782" i="20" s="1"/>
  <c r="N784" i="20" s="1"/>
  <c r="K734" i="20"/>
  <c r="K735" i="20" s="1"/>
  <c r="L733" i="20"/>
  <c r="M733" i="20" s="1"/>
  <c r="K741" i="20"/>
  <c r="K742" i="20" s="1"/>
  <c r="L740" i="20"/>
  <c r="M740" i="20" s="1"/>
  <c r="N740" i="20" s="1"/>
  <c r="O740" i="20" s="1"/>
  <c r="K769" i="20"/>
  <c r="K770" i="20" s="1"/>
  <c r="L768" i="20"/>
  <c r="L770" i="20" s="1"/>
  <c r="L810" i="20"/>
  <c r="M810" i="20" s="1"/>
  <c r="L852" i="20"/>
  <c r="M852" i="20" s="1"/>
  <c r="W1944" i="16"/>
  <c r="X1937" i="16"/>
  <c r="L715" i="20"/>
  <c r="L717" i="20" s="1"/>
  <c r="W1345" i="16"/>
  <c r="V1338" i="16"/>
  <c r="L1520" i="16"/>
  <c r="L1506" i="16" s="1"/>
  <c r="L369" i="16" s="1"/>
  <c r="O1654" i="16"/>
  <c r="R1366" i="16"/>
  <c r="K1521" i="16"/>
  <c r="K1522" i="16" s="1"/>
  <c r="K2170" i="16"/>
  <c r="L978" i="16"/>
  <c r="R942" i="16"/>
  <c r="S942" i="16" s="1"/>
  <c r="K717" i="20"/>
  <c r="X1489" i="16"/>
  <c r="R1647" i="16"/>
  <c r="T1619" i="16"/>
  <c r="W1626" i="16"/>
  <c r="X1626" i="16" s="1"/>
  <c r="Q1640" i="16"/>
  <c r="R1640" i="16" s="1"/>
  <c r="V1605" i="16"/>
  <c r="W1605" i="16" s="1"/>
  <c r="T1633" i="16"/>
  <c r="U1633" i="16" s="1"/>
  <c r="M1269" i="16"/>
  <c r="O1248" i="16"/>
  <c r="P1248" i="16" s="1"/>
  <c r="T1359" i="16"/>
  <c r="O287" i="16"/>
  <c r="O789" i="16" s="1"/>
  <c r="O195" i="10" s="1"/>
  <c r="V1352" i="16"/>
  <c r="W1352" i="16" s="1"/>
  <c r="X1352" i="16" s="1"/>
  <c r="C165" i="25"/>
  <c r="N165" i="25"/>
  <c r="N600" i="25" s="1"/>
  <c r="O165" i="25"/>
  <c r="O600" i="25" s="1"/>
  <c r="I79" i="25"/>
  <c r="G165" i="25"/>
  <c r="G600" i="25" s="1"/>
  <c r="F2023" i="16"/>
  <c r="F1974" i="16"/>
  <c r="N1968" i="16"/>
  <c r="O1968" i="16" s="1"/>
  <c r="O2236" i="16" s="1"/>
  <c r="F1672" i="16"/>
  <c r="F1679" i="16"/>
  <c r="K1680" i="16" s="1"/>
  <c r="K1681" i="16" s="1"/>
  <c r="K1682" i="16" s="1"/>
  <c r="L2018" i="16"/>
  <c r="L2019" i="16"/>
  <c r="M2017" i="16"/>
  <c r="D1961" i="16"/>
  <c r="F1960" i="16" s="1"/>
  <c r="K1961" i="16" s="1"/>
  <c r="M1982" i="16"/>
  <c r="M2238" i="16" s="1"/>
  <c r="K2238" i="16"/>
  <c r="K1983" i="16"/>
  <c r="L1983" i="16" s="1"/>
  <c r="F1988" i="16"/>
  <c r="K1989" i="16" s="1"/>
  <c r="K2239" i="16" s="1"/>
  <c r="F1685" i="16"/>
  <c r="D1996" i="16"/>
  <c r="D1994" i="16"/>
  <c r="E1994" i="16"/>
  <c r="F1994" i="16" s="1"/>
  <c r="W2276" i="16"/>
  <c r="W44" i="16" s="1"/>
  <c r="D1686" i="16"/>
  <c r="D1687" i="16" s="1"/>
  <c r="E2009" i="16" s="1"/>
  <c r="E2001" i="16"/>
  <c r="F2001" i="16" s="1"/>
  <c r="D2001" i="16"/>
  <c r="X2264" i="16"/>
  <c r="X2276" i="16" s="1"/>
  <c r="X44" i="16" s="1"/>
  <c r="V399" i="20"/>
  <c r="V400" i="20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W2278" i="16"/>
  <c r="W60" i="16" s="1"/>
  <c r="W87" i="16" s="1"/>
  <c r="W59" i="16"/>
  <c r="X57" i="16" s="1"/>
  <c r="X2254" i="16" s="1"/>
  <c r="X2266" i="16" s="1"/>
  <c r="Q19" i="16"/>
  <c r="R17" i="16" s="1"/>
  <c r="R2249" i="16" s="1"/>
  <c r="R2257" i="16" s="1"/>
  <c r="R91" i="16" s="1"/>
  <c r="R101" i="12" s="1"/>
  <c r="R109" i="12" s="1"/>
  <c r="Q2273" i="16"/>
  <c r="Q2269" i="16"/>
  <c r="W911" i="16"/>
  <c r="Q958" i="16"/>
  <c r="Q455" i="20"/>
  <c r="Q456" i="20" s="1"/>
  <c r="L983" i="16"/>
  <c r="M983" i="16" s="1"/>
  <c r="O1254" i="16"/>
  <c r="O1255" i="16" s="1"/>
  <c r="R435" i="20"/>
  <c r="S434" i="20"/>
  <c r="T434" i="20" s="1"/>
  <c r="Q1233" i="16"/>
  <c r="Q1234" i="16" s="1"/>
  <c r="R1232" i="16"/>
  <c r="R2127" i="16" s="1"/>
  <c r="V393" i="20"/>
  <c r="W392" i="20"/>
  <c r="U414" i="20"/>
  <c r="V413" i="20"/>
  <c r="O448" i="20"/>
  <c r="P448" i="20" s="1"/>
  <c r="N1263" i="16"/>
  <c r="N263" i="16" s="1"/>
  <c r="N265" i="16" s="1"/>
  <c r="N53" i="20" s="1"/>
  <c r="N251" i="20" s="1"/>
  <c r="F73" i="25" s="1"/>
  <c r="Q1239" i="16"/>
  <c r="Q2128" i="16" s="1"/>
  <c r="O1260" i="16"/>
  <c r="O2131" i="16" s="1"/>
  <c r="P1240" i="16"/>
  <c r="P1241" i="16" s="1"/>
  <c r="N1261" i="16"/>
  <c r="N1262" i="16" s="1"/>
  <c r="O449" i="20"/>
  <c r="U407" i="20"/>
  <c r="V406" i="20"/>
  <c r="T421" i="20"/>
  <c r="U420" i="20"/>
  <c r="P442" i="20"/>
  <c r="Q441" i="20"/>
  <c r="S428" i="20"/>
  <c r="T427" i="20"/>
  <c r="Q447" i="20"/>
  <c r="R447" i="20" s="1"/>
  <c r="S447" i="20" s="1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/>
  <c r="D1004" i="16"/>
  <c r="C1006" i="16"/>
  <c r="B1003" i="16"/>
  <c r="F993" i="16"/>
  <c r="K994" i="16" s="1"/>
  <c r="K995" i="16" s="1"/>
  <c r="T941" i="16"/>
  <c r="N982" i="16"/>
  <c r="U940" i="16"/>
  <c r="W400" i="20"/>
  <c r="K703" i="20"/>
  <c r="L701" i="20"/>
  <c r="M701" i="20" s="1"/>
  <c r="O945" i="20"/>
  <c r="P943" i="20"/>
  <c r="O944" i="20"/>
  <c r="S454" i="20"/>
  <c r="T440" i="20"/>
  <c r="X419" i="20"/>
  <c r="P818" i="20"/>
  <c r="P819" i="20"/>
  <c r="Q817" i="20"/>
  <c r="E830" i="20"/>
  <c r="K831" i="20" s="1"/>
  <c r="E886" i="20"/>
  <c r="K887" i="20" s="1"/>
  <c r="K888" i="20" s="1"/>
  <c r="K889" i="20" s="1"/>
  <c r="W426" i="20"/>
  <c r="M586" i="20"/>
  <c r="L588" i="20"/>
  <c r="E977" i="20"/>
  <c r="K978" i="20" s="1"/>
  <c r="W433" i="20"/>
  <c r="L587" i="20"/>
  <c r="L931" i="20"/>
  <c r="O923" i="20"/>
  <c r="O924" i="20"/>
  <c r="P922" i="20"/>
  <c r="N929" i="20"/>
  <c r="N931" i="20" s="1"/>
  <c r="E935" i="20"/>
  <c r="K936" i="20" s="1"/>
  <c r="K937" i="20" s="1"/>
  <c r="K938" i="20" s="1"/>
  <c r="K930" i="20"/>
  <c r="L930" i="20" s="1"/>
  <c r="M930" i="20" s="1"/>
  <c r="M931" i="20" s="1"/>
  <c r="Q673" i="20"/>
  <c r="Q675" i="20" s="1"/>
  <c r="Q617" i="20"/>
  <c r="R617" i="20" s="1"/>
  <c r="P618" i="20"/>
  <c r="P619" i="20" s="1"/>
  <c r="L880" i="20"/>
  <c r="K804" i="20"/>
  <c r="K805" i="20" s="1"/>
  <c r="L803" i="20"/>
  <c r="P674" i="20"/>
  <c r="P660" i="20"/>
  <c r="Q652" i="20"/>
  <c r="Q654" i="20" s="1"/>
  <c r="L789" i="20"/>
  <c r="M789" i="20" s="1"/>
  <c r="K791" i="20"/>
  <c r="P653" i="20"/>
  <c r="S624" i="20"/>
  <c r="R625" i="20"/>
  <c r="R626" i="20" s="1"/>
  <c r="P661" i="20"/>
  <c r="Q659" i="20"/>
  <c r="Q661" i="20" s="1"/>
  <c r="R638" i="20"/>
  <c r="R640" i="20" s="1"/>
  <c r="Q640" i="20"/>
  <c r="L747" i="20"/>
  <c r="L749" i="20" s="1"/>
  <c r="Q633" i="20"/>
  <c r="R631" i="20"/>
  <c r="K749" i="20"/>
  <c r="K728" i="20"/>
  <c r="L726" i="20"/>
  <c r="R58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X1931" i="12"/>
  <c r="X1934" i="12" s="1"/>
  <c r="S930" i="16"/>
  <c r="X208" i="10"/>
  <c r="X352" i="10" s="1"/>
  <c r="W928" i="16"/>
  <c r="S1639" i="16"/>
  <c r="T1638" i="16"/>
  <c r="U1638" i="16" s="1"/>
  <c r="X906" i="16"/>
  <c r="L1515" i="16"/>
  <c r="X146" i="16"/>
  <c r="S563" i="20"/>
  <c r="X1943" i="16"/>
  <c r="V1632" i="16"/>
  <c r="S957" i="20"/>
  <c r="T957" i="20" s="1"/>
  <c r="L985" i="20"/>
  <c r="T562" i="20"/>
  <c r="S564" i="20"/>
  <c r="P971" i="20"/>
  <c r="Q971" i="20" s="1"/>
  <c r="Q1372" i="16"/>
  <c r="Q1373" i="16" s="1"/>
  <c r="Q571" i="20"/>
  <c r="R569" i="20"/>
  <c r="L687" i="20"/>
  <c r="M687" i="20" s="1"/>
  <c r="W908" i="20"/>
  <c r="V910" i="20"/>
  <c r="V909" i="20"/>
  <c r="C1003" i="20"/>
  <c r="C998" i="20"/>
  <c r="C999" i="20" s="1"/>
  <c r="D997" i="20"/>
  <c r="C997" i="20"/>
  <c r="D1165" i="20" s="1"/>
  <c r="D998" i="20"/>
  <c r="R952" i="20"/>
  <c r="V1611" i="16"/>
  <c r="M972" i="20"/>
  <c r="M973" i="20" s="1"/>
  <c r="Q570" i="20"/>
  <c r="V1378" i="16"/>
  <c r="W1378" i="16" s="1"/>
  <c r="X1378" i="16" s="1"/>
  <c r="P959" i="20"/>
  <c r="W1631" i="16"/>
  <c r="V2187" i="16"/>
  <c r="K987" i="20"/>
  <c r="R951" i="20"/>
  <c r="S951" i="20" s="1"/>
  <c r="E991" i="20"/>
  <c r="K992" i="20" s="1"/>
  <c r="K993" i="20" s="1"/>
  <c r="X1336" i="16"/>
  <c r="W2143" i="16"/>
  <c r="M1527" i="16"/>
  <c r="N1527" i="16" s="1"/>
  <c r="M1513" i="16"/>
  <c r="Q2148" i="16"/>
  <c r="R1371" i="16"/>
  <c r="Q285" i="16"/>
  <c r="N1534" i="16"/>
  <c r="N2172" i="16" s="1"/>
  <c r="X2231" i="16"/>
  <c r="M1541" i="16"/>
  <c r="W1337" i="16"/>
  <c r="S1652" i="16"/>
  <c r="T1652" i="16" s="1"/>
  <c r="W1610" i="16"/>
  <c r="V2184" i="16"/>
  <c r="U924" i="16"/>
  <c r="S1365" i="16"/>
  <c r="X2144" i="16"/>
  <c r="X1344" i="16"/>
  <c r="X1604" i="16"/>
  <c r="S2147" i="16"/>
  <c r="U1358" i="16"/>
  <c r="V1358" i="16" s="1"/>
  <c r="W1358" i="16" s="1"/>
  <c r="U1618" i="16"/>
  <c r="X2183" i="16"/>
  <c r="U2147" i="16"/>
  <c r="W2146" i="16"/>
  <c r="X2146" i="16"/>
  <c r="X1929" i="16"/>
  <c r="P2190" i="16"/>
  <c r="V2146" i="16"/>
  <c r="E1692" i="16"/>
  <c r="F1692" i="16" s="1"/>
  <c r="Q1697" i="16"/>
  <c r="V1697" i="16"/>
  <c r="D1692" i="16"/>
  <c r="R1697" i="16"/>
  <c r="K1697" i="16"/>
  <c r="S1697" i="16"/>
  <c r="N1697" i="16"/>
  <c r="L1697" i="16"/>
  <c r="T1697" i="16"/>
  <c r="D1698" i="16"/>
  <c r="E1693" i="16"/>
  <c r="D1693" i="16" s="1"/>
  <c r="M1697" i="16"/>
  <c r="U1697" i="16"/>
  <c r="B1691" i="16"/>
  <c r="O1697" i="16"/>
  <c r="W1697" i="16"/>
  <c r="P1697" i="16"/>
  <c r="X1697" i="16"/>
  <c r="U2146" i="16"/>
  <c r="P1653" i="16"/>
  <c r="S2149" i="16"/>
  <c r="O286" i="16"/>
  <c r="P1379" i="16"/>
  <c r="P1380" i="16" s="1"/>
  <c r="S2189" i="16"/>
  <c r="S1646" i="16"/>
  <c r="W1215" i="20"/>
  <c r="O71" i="25"/>
  <c r="R247" i="10"/>
  <c r="U111" i="18"/>
  <c r="U75" i="18"/>
  <c r="U80" i="18" s="1"/>
  <c r="Q247" i="10"/>
  <c r="K290" i="10"/>
  <c r="K211" i="10"/>
  <c r="M212" i="10"/>
  <c r="O108" i="18"/>
  <c r="P39" i="18"/>
  <c r="P31" i="18"/>
  <c r="P41" i="18" s="1"/>
  <c r="P68" i="10" s="1"/>
  <c r="P67" i="10" s="1"/>
  <c r="P111" i="18"/>
  <c r="S146" i="10"/>
  <c r="S32" i="18" s="1"/>
  <c r="Q111" i="18"/>
  <c r="Q39" i="18"/>
  <c r="Q31" i="18"/>
  <c r="Q41" i="18" s="1"/>
  <c r="Q68" i="10" s="1"/>
  <c r="Q67" i="10" s="1"/>
  <c r="R31" i="18"/>
  <c r="R41" i="18" s="1"/>
  <c r="R68" i="10" s="1"/>
  <c r="R67" i="10" s="1"/>
  <c r="S103" i="10" s="1"/>
  <c r="R39" i="18"/>
  <c r="R111" i="18"/>
  <c r="L39" i="18"/>
  <c r="L31" i="18"/>
  <c r="L41" i="18" s="1"/>
  <c r="L68" i="10" s="1"/>
  <c r="L67" i="10" s="1"/>
  <c r="L111" i="18"/>
  <c r="O146" i="10"/>
  <c r="O32" i="18" s="1"/>
  <c r="N146" i="10"/>
  <c r="N32" i="18" s="1"/>
  <c r="K31" i="18"/>
  <c r="K41" i="18" s="1"/>
  <c r="K39" i="18"/>
  <c r="K111" i="18"/>
  <c r="S108" i="18"/>
  <c r="N75" i="18"/>
  <c r="N80" i="18" s="1"/>
  <c r="N111" i="18"/>
  <c r="L2172" i="16"/>
  <c r="L1536" i="16"/>
  <c r="L1528" i="16"/>
  <c r="K1529" i="16"/>
  <c r="L1529" i="16" s="1"/>
  <c r="X1902" i="12"/>
  <c r="V212" i="10"/>
  <c r="L2173" i="16"/>
  <c r="K688" i="20"/>
  <c r="K689" i="20" s="1"/>
  <c r="X304" i="10"/>
  <c r="X303" i="10" s="1"/>
  <c r="X159" i="10"/>
  <c r="X78" i="18" s="1"/>
  <c r="L1535" i="16"/>
  <c r="M1535" i="16" s="1"/>
  <c r="M2172" i="16"/>
  <c r="L1542" i="16"/>
  <c r="K1543" i="16"/>
  <c r="L2171" i="16"/>
  <c r="L1514" i="16"/>
  <c r="C79" i="25" l="1"/>
  <c r="C139" i="25" s="1"/>
  <c r="D79" i="25"/>
  <c r="D139" i="25" s="1"/>
  <c r="F79" i="25"/>
  <c r="F139" i="25" s="1"/>
  <c r="L79" i="25"/>
  <c r="L139" i="25" s="1"/>
  <c r="K79" i="25"/>
  <c r="K139" i="25" s="1"/>
  <c r="H17" i="25"/>
  <c r="N79" i="25"/>
  <c r="N139" i="25" s="1"/>
  <c r="M79" i="25"/>
  <c r="M594" i="25" s="1"/>
  <c r="H79" i="25"/>
  <c r="H139" i="25" s="1"/>
  <c r="J18" i="25"/>
  <c r="C17" i="25"/>
  <c r="H18" i="25"/>
  <c r="O18" i="25"/>
  <c r="N381" i="25"/>
  <c r="M17" i="25"/>
  <c r="G18" i="25"/>
  <c r="O79" i="25"/>
  <c r="O139" i="25" s="1"/>
  <c r="L334" i="25"/>
  <c r="M381" i="25"/>
  <c r="L17" i="25"/>
  <c r="E79" i="25"/>
  <c r="E139" i="25" s="1"/>
  <c r="E17" i="25"/>
  <c r="X923" i="12"/>
  <c r="X931" i="12" s="1"/>
  <c r="P81" i="25"/>
  <c r="P79" i="25" s="1"/>
  <c r="G17" i="25"/>
  <c r="J17" i="25"/>
  <c r="D17" i="25"/>
  <c r="F17" i="25"/>
  <c r="K17" i="25"/>
  <c r="N17" i="25"/>
  <c r="I17" i="25"/>
  <c r="D18" i="25"/>
  <c r="L18" i="25"/>
  <c r="M18" i="25"/>
  <c r="N18" i="25"/>
  <c r="W52" i="10"/>
  <c r="W340" i="10" s="1"/>
  <c r="C18" i="25"/>
  <c r="K18" i="25"/>
  <c r="E18" i="25"/>
  <c r="I18" i="25"/>
  <c r="O17" i="25"/>
  <c r="V103" i="10"/>
  <c r="V60" i="10"/>
  <c r="V348" i="10" s="1"/>
  <c r="W111" i="18"/>
  <c r="F18" i="25"/>
  <c r="Q103" i="10"/>
  <c r="R103" i="10"/>
  <c r="P103" i="10"/>
  <c r="T103" i="10"/>
  <c r="M68" i="10"/>
  <c r="M67" i="10" s="1"/>
  <c r="N103" i="10" s="1"/>
  <c r="P18" i="25"/>
  <c r="M334" i="25"/>
  <c r="E429" i="25"/>
  <c r="P111" i="25"/>
  <c r="P49" i="25"/>
  <c r="P17" i="25" s="1"/>
  <c r="O972" i="16"/>
  <c r="P972" i="16" s="1"/>
  <c r="T1219" i="16"/>
  <c r="U1218" i="16"/>
  <c r="U2125" i="16" s="1"/>
  <c r="X1184" i="16"/>
  <c r="X1185" i="16"/>
  <c r="V1205" i="16"/>
  <c r="W1204" i="16"/>
  <c r="W2123" i="16" s="1"/>
  <c r="V1206" i="16"/>
  <c r="X1178" i="16"/>
  <c r="T1225" i="16"/>
  <c r="T2126" i="16" s="1"/>
  <c r="U1212" i="16"/>
  <c r="V1211" i="16"/>
  <c r="V2124" i="16" s="1"/>
  <c r="Q1247" i="16"/>
  <c r="Q2129" i="16"/>
  <c r="X1197" i="16"/>
  <c r="X2122" i="16" s="1"/>
  <c r="Q1248" i="16"/>
  <c r="V1199" i="16"/>
  <c r="T1213" i="16"/>
  <c r="U1213" i="16" s="1"/>
  <c r="R1246" i="16"/>
  <c r="R2129" i="16" s="1"/>
  <c r="W1198" i="16"/>
  <c r="P1254" i="16"/>
  <c r="P1255" i="16" s="1"/>
  <c r="T1220" i="16"/>
  <c r="S1226" i="16"/>
  <c r="Q1253" i="16"/>
  <c r="P1260" i="16"/>
  <c r="P2131" i="16" s="1"/>
  <c r="M429" i="25"/>
  <c r="X1243" i="20"/>
  <c r="W1243" i="20"/>
  <c r="J32" i="25"/>
  <c r="G221" i="25"/>
  <c r="O221" i="25"/>
  <c r="E221" i="25"/>
  <c r="F221" i="25"/>
  <c r="J221" i="25"/>
  <c r="N221" i="25"/>
  <c r="M221" i="25"/>
  <c r="H221" i="25"/>
  <c r="D221" i="25"/>
  <c r="K221" i="25"/>
  <c r="L221" i="25"/>
  <c r="C221" i="25"/>
  <c r="C600" i="25"/>
  <c r="I139" i="25"/>
  <c r="I594" i="25"/>
  <c r="J139" i="25"/>
  <c r="J594" i="25"/>
  <c r="G139" i="25"/>
  <c r="G594" i="25"/>
  <c r="L710" i="20"/>
  <c r="N708" i="20"/>
  <c r="O708" i="20" s="1"/>
  <c r="L709" i="20"/>
  <c r="M709" i="20" s="1"/>
  <c r="M710" i="20" s="1"/>
  <c r="E334" i="25"/>
  <c r="J381" i="25"/>
  <c r="C287" i="25"/>
  <c r="H381" i="25"/>
  <c r="J36" i="25"/>
  <c r="O381" i="25"/>
  <c r="E381" i="25"/>
  <c r="N287" i="25"/>
  <c r="G334" i="25"/>
  <c r="H429" i="25"/>
  <c r="D36" i="25"/>
  <c r="M1243" i="20"/>
  <c r="O1243" i="20"/>
  <c r="S1243" i="20"/>
  <c r="L1243" i="20"/>
  <c r="U1243" i="20"/>
  <c r="V1243" i="20"/>
  <c r="R1243" i="20"/>
  <c r="Q1243" i="20"/>
  <c r="P1243" i="20"/>
  <c r="N1243" i="20"/>
  <c r="T1243" i="20"/>
  <c r="K1243" i="20"/>
  <c r="O429" i="25"/>
  <c r="L381" i="25"/>
  <c r="I287" i="25"/>
  <c r="F381" i="25"/>
  <c r="C381" i="25"/>
  <c r="H477" i="25"/>
  <c r="D429" i="25"/>
  <c r="K429" i="25"/>
  <c r="F429" i="25"/>
  <c r="K334" i="25"/>
  <c r="O477" i="25"/>
  <c r="D334" i="25"/>
  <c r="L287" i="25"/>
  <c r="M477" i="25"/>
  <c r="C334" i="25"/>
  <c r="L429" i="25"/>
  <c r="N477" i="25"/>
  <c r="D287" i="25"/>
  <c r="F334" i="25"/>
  <c r="H287" i="25"/>
  <c r="F287" i="25"/>
  <c r="I381" i="25"/>
  <c r="N334" i="25"/>
  <c r="I429" i="25"/>
  <c r="J477" i="25"/>
  <c r="L477" i="25"/>
  <c r="J287" i="25"/>
  <c r="D381" i="25"/>
  <c r="F477" i="25"/>
  <c r="M36" i="25"/>
  <c r="G381" i="25"/>
  <c r="E287" i="25"/>
  <c r="E477" i="25"/>
  <c r="O32" i="25"/>
  <c r="H32" i="25"/>
  <c r="C32" i="25"/>
  <c r="J429" i="25"/>
  <c r="I165" i="25"/>
  <c r="I600" i="25" s="1"/>
  <c r="K32" i="25"/>
  <c r="E32" i="25"/>
  <c r="I32" i="25"/>
  <c r="F32" i="25"/>
  <c r="D32" i="25"/>
  <c r="N32" i="25"/>
  <c r="G32" i="25"/>
  <c r="L32" i="25"/>
  <c r="M32" i="25"/>
  <c r="F36" i="25"/>
  <c r="I334" i="25"/>
  <c r="M287" i="25"/>
  <c r="G36" i="25"/>
  <c r="N36" i="25"/>
  <c r="E36" i="25"/>
  <c r="L36" i="25"/>
  <c r="H36" i="25"/>
  <c r="I36" i="25"/>
  <c r="O36" i="25"/>
  <c r="C36" i="25"/>
  <c r="K36" i="25"/>
  <c r="G477" i="25"/>
  <c r="I214" i="16"/>
  <c r="G47" i="20" s="1"/>
  <c r="N250" i="25"/>
  <c r="P250" i="25"/>
  <c r="P71" i="25"/>
  <c r="O250" i="25"/>
  <c r="X1172" i="12"/>
  <c r="D196" i="16" s="1"/>
  <c r="Q971" i="16"/>
  <c r="R971" i="16" s="1"/>
  <c r="N2192" i="16"/>
  <c r="M2192" i="16"/>
  <c r="M1667" i="16"/>
  <c r="M1668" i="16" s="1"/>
  <c r="N1668" i="16" s="1"/>
  <c r="Q1666" i="16"/>
  <c r="R1666" i="16" s="1"/>
  <c r="M988" i="16"/>
  <c r="M989" i="16" s="1"/>
  <c r="L990" i="16"/>
  <c r="L994" i="16"/>
  <c r="L995" i="16" s="1"/>
  <c r="K996" i="16"/>
  <c r="L1989" i="16"/>
  <c r="M1989" i="16" s="1"/>
  <c r="M2239" i="16" s="1"/>
  <c r="L1660" i="16"/>
  <c r="M1660" i="16" s="1"/>
  <c r="V1949" i="16"/>
  <c r="U585" i="16"/>
  <c r="K2194" i="16"/>
  <c r="W1923" i="16"/>
  <c r="L1680" i="16"/>
  <c r="L2194" i="16" s="1"/>
  <c r="W1902" i="16"/>
  <c r="X1901" i="16"/>
  <c r="K1990" i="16"/>
  <c r="K1991" i="16" s="1"/>
  <c r="K2024" i="16"/>
  <c r="X1921" i="16"/>
  <c r="K1661" i="16"/>
  <c r="L1661" i="16" s="1"/>
  <c r="M1661" i="16" s="1"/>
  <c r="K1984" i="16"/>
  <c r="L1984" i="16" s="1"/>
  <c r="K1673" i="16"/>
  <c r="K1962" i="16"/>
  <c r="K1963" i="16" s="1"/>
  <c r="K2235" i="16"/>
  <c r="R1951" i="16"/>
  <c r="R587" i="16" s="1"/>
  <c r="R794" i="16" s="1"/>
  <c r="R202" i="10" s="1"/>
  <c r="S1950" i="16"/>
  <c r="R586" i="16"/>
  <c r="K1975" i="16"/>
  <c r="L2191" i="16"/>
  <c r="N1659" i="16"/>
  <c r="W1922" i="16"/>
  <c r="L696" i="20"/>
  <c r="N694" i="20"/>
  <c r="O694" i="20" s="1"/>
  <c r="L695" i="20"/>
  <c r="M695" i="20" s="1"/>
  <c r="M696" i="20" s="1"/>
  <c r="P44" i="25"/>
  <c r="P20" i="25"/>
  <c r="P477" i="25"/>
  <c r="P28" i="25"/>
  <c r="P40" i="25"/>
  <c r="P287" i="25"/>
  <c r="P165" i="25"/>
  <c r="P600" i="25" s="1"/>
  <c r="P32" i="25"/>
  <c r="P429" i="25"/>
  <c r="P36" i="25"/>
  <c r="P24" i="25"/>
  <c r="P381" i="25"/>
  <c r="P334" i="25"/>
  <c r="X1646" i="12"/>
  <c r="J250" i="25"/>
  <c r="C250" i="25"/>
  <c r="D250" i="25"/>
  <c r="G250" i="25"/>
  <c r="I250" i="25"/>
  <c r="E250" i="25"/>
  <c r="K250" i="25"/>
  <c r="M250" i="25"/>
  <c r="L250" i="25"/>
  <c r="F250" i="25"/>
  <c r="H250" i="25"/>
  <c r="P257" i="25"/>
  <c r="H1711" i="16"/>
  <c r="I1704" i="16" a="1"/>
  <c r="I1704" i="16" s="1"/>
  <c r="T108" i="18"/>
  <c r="T109" i="18" s="1"/>
  <c r="P1267" i="16"/>
  <c r="O1270" i="16"/>
  <c r="O1268" i="16"/>
  <c r="N1269" i="16"/>
  <c r="J992" i="20" a="1"/>
  <c r="J992" i="20" s="1"/>
  <c r="D996" i="20"/>
  <c r="M108" i="18"/>
  <c r="M113" i="18" s="1"/>
  <c r="M356" i="10" s="1"/>
  <c r="S680" i="20"/>
  <c r="S682" i="20" s="1"/>
  <c r="X1930" i="16"/>
  <c r="V108" i="18"/>
  <c r="V109" i="18" s="1"/>
  <c r="W917" i="16"/>
  <c r="R681" i="20"/>
  <c r="S666" i="20"/>
  <c r="S668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U84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667" i="20"/>
  <c r="W579" i="20"/>
  <c r="W581" i="20" s="1"/>
  <c r="V1612" i="16"/>
  <c r="M874" i="20"/>
  <c r="M875" i="20" s="1"/>
  <c r="M715" i="20"/>
  <c r="N715" i="20" s="1"/>
  <c r="L716" i="20"/>
  <c r="N866" i="20"/>
  <c r="N867" i="20" s="1"/>
  <c r="O859" i="20"/>
  <c r="O861" i="20" s="1"/>
  <c r="L854" i="20"/>
  <c r="N860" i="20"/>
  <c r="L811" i="20"/>
  <c r="M811" i="20" s="1"/>
  <c r="M812" i="20" s="1"/>
  <c r="L812" i="20"/>
  <c r="L784" i="20"/>
  <c r="M754" i="20"/>
  <c r="M756" i="20" s="1"/>
  <c r="N733" i="20"/>
  <c r="L755" i="20"/>
  <c r="L734" i="20"/>
  <c r="M734" i="20" s="1"/>
  <c r="M735" i="20" s="1"/>
  <c r="X1944" i="16"/>
  <c r="W1338" i="16"/>
  <c r="M775" i="20"/>
  <c r="N775" i="20" s="1"/>
  <c r="O775" i="20" s="1"/>
  <c r="O777" i="20" s="1"/>
  <c r="L797" i="20"/>
  <c r="L783" i="20"/>
  <c r="M783" i="20" s="1"/>
  <c r="M784" i="20" s="1"/>
  <c r="L776" i="20"/>
  <c r="L853" i="20"/>
  <c r="M853" i="20" s="1"/>
  <c r="M854" i="20" s="1"/>
  <c r="X1345" i="16"/>
  <c r="N761" i="20"/>
  <c r="O761" i="20" s="1"/>
  <c r="L741" i="20"/>
  <c r="M741" i="20" s="1"/>
  <c r="M742" i="20" s="1"/>
  <c r="L742" i="20"/>
  <c r="L762" i="20"/>
  <c r="M762" i="20" s="1"/>
  <c r="M763" i="20" s="1"/>
  <c r="L763" i="20"/>
  <c r="M796" i="20"/>
  <c r="N796" i="20" s="1"/>
  <c r="N798" i="20" s="1"/>
  <c r="M768" i="20"/>
  <c r="N768" i="20" s="1"/>
  <c r="N770" i="20" s="1"/>
  <c r="N852" i="20"/>
  <c r="N854" i="20" s="1"/>
  <c r="L798" i="20"/>
  <c r="K832" i="20"/>
  <c r="K833" i="20" s="1"/>
  <c r="L831" i="20"/>
  <c r="M831" i="20" s="1"/>
  <c r="K979" i="20"/>
  <c r="K980" i="20" s="1"/>
  <c r="L978" i="20"/>
  <c r="L980" i="20" s="1"/>
  <c r="K931" i="20"/>
  <c r="L936" i="20"/>
  <c r="M936" i="20" s="1"/>
  <c r="L887" i="20"/>
  <c r="M887" i="20" s="1"/>
  <c r="L769" i="20"/>
  <c r="X43" i="16"/>
  <c r="L1521" i="16"/>
  <c r="L1507" i="16" s="1"/>
  <c r="L370" i="16" s="1"/>
  <c r="P1654" i="16"/>
  <c r="L1522" i="16"/>
  <c r="L2170" i="16"/>
  <c r="M1520" i="16"/>
  <c r="M1506" i="16" s="1"/>
  <c r="M369" i="16" s="1"/>
  <c r="S1366" i="16"/>
  <c r="K1507" i="16"/>
  <c r="K370" i="16" s="1"/>
  <c r="S1647" i="16"/>
  <c r="X936" i="16"/>
  <c r="T942" i="16"/>
  <c r="L984" i="16"/>
  <c r="M984" i="16" s="1"/>
  <c r="U1619" i="16"/>
  <c r="D1694" i="16"/>
  <c r="F1693" i="16" s="1"/>
  <c r="S1640" i="16"/>
  <c r="V1633" i="16"/>
  <c r="X1605" i="16"/>
  <c r="M1536" i="16"/>
  <c r="U1359" i="16"/>
  <c r="V1359" i="16" s="1"/>
  <c r="W1359" i="16" s="1"/>
  <c r="P287" i="16"/>
  <c r="P789" i="16" s="1"/>
  <c r="P195" i="10" s="1"/>
  <c r="F1995" i="16"/>
  <c r="N2236" i="16"/>
  <c r="P1968" i="16"/>
  <c r="P2236" i="16" s="1"/>
  <c r="N1969" i="16"/>
  <c r="O1969" i="16" s="1"/>
  <c r="M2018" i="16"/>
  <c r="M2019" i="16" s="1"/>
  <c r="M2243" i="16"/>
  <c r="N2017" i="16"/>
  <c r="O2017" i="16" s="1"/>
  <c r="O2243" i="16" s="1"/>
  <c r="N1982" i="16"/>
  <c r="O1982" i="16" s="1"/>
  <c r="O2238" i="16" s="1"/>
  <c r="M1983" i="16"/>
  <c r="D2009" i="16"/>
  <c r="D2010" i="16" s="1"/>
  <c r="L1961" i="16"/>
  <c r="K1996" i="16"/>
  <c r="F1686" i="16"/>
  <c r="K1687" i="16" s="1"/>
  <c r="L1687" i="16" s="1"/>
  <c r="E2002" i="16"/>
  <c r="L1999" i="16"/>
  <c r="M1999" i="16"/>
  <c r="K1999" i="16"/>
  <c r="O1999" i="16"/>
  <c r="N1999" i="16"/>
  <c r="P1999" i="16"/>
  <c r="Q1999" i="16"/>
  <c r="R1999" i="16"/>
  <c r="S1999" i="16"/>
  <c r="T1999" i="16"/>
  <c r="U1999" i="16"/>
  <c r="V1999" i="16"/>
  <c r="W1999" i="16"/>
  <c r="X1999" i="16"/>
  <c r="W399" i="20"/>
  <c r="X399" i="20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8" i="16"/>
  <c r="X60" i="16" s="1"/>
  <c r="X87" i="16" s="1"/>
  <c r="X59" i="16"/>
  <c r="X2277" i="16"/>
  <c r="X52" i="16" s="1"/>
  <c r="X51" i="16"/>
  <c r="X911" i="16"/>
  <c r="Q20" i="16"/>
  <c r="Q81" i="16" s="1"/>
  <c r="Q2281" i="16"/>
  <c r="X1945" i="12"/>
  <c r="X1948" i="12" s="1"/>
  <c r="X1903" i="12"/>
  <c r="X1906" i="12" s="1"/>
  <c r="R958" i="16"/>
  <c r="R455" i="20"/>
  <c r="R456" i="20" s="1"/>
  <c r="T435" i="20"/>
  <c r="U434" i="20"/>
  <c r="W393" i="20"/>
  <c r="X392" i="20"/>
  <c r="R1233" i="16"/>
  <c r="R1234" i="16" s="1"/>
  <c r="S1232" i="16"/>
  <c r="S2127" i="16" s="1"/>
  <c r="O1261" i="16"/>
  <c r="R1239" i="16"/>
  <c r="R2128" i="16" s="1"/>
  <c r="Q1240" i="16"/>
  <c r="Q1241" i="16" s="1"/>
  <c r="V414" i="20"/>
  <c r="W413" i="20"/>
  <c r="U421" i="20"/>
  <c r="V420" i="20"/>
  <c r="Q442" i="20"/>
  <c r="R441" i="20"/>
  <c r="V407" i="20"/>
  <c r="W406" i="20"/>
  <c r="P449" i="20"/>
  <c r="Q448" i="20"/>
  <c r="T428" i="20"/>
  <c r="U427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/>
  <c r="S970" i="16"/>
  <c r="T970" i="16" s="1"/>
  <c r="N983" i="16"/>
  <c r="V940" i="16"/>
  <c r="U941" i="16"/>
  <c r="T447" i="20"/>
  <c r="L702" i="20"/>
  <c r="M702" i="20" s="1"/>
  <c r="M703" i="20" s="1"/>
  <c r="O873" i="20"/>
  <c r="O875" i="20" s="1"/>
  <c r="T454" i="20"/>
  <c r="U454" i="20" s="1"/>
  <c r="N701" i="20"/>
  <c r="O701" i="20" s="1"/>
  <c r="L703" i="20"/>
  <c r="P944" i="20"/>
  <c r="P945" i="20"/>
  <c r="Q943" i="20"/>
  <c r="U440" i="20"/>
  <c r="R817" i="20"/>
  <c r="R819" i="20" s="1"/>
  <c r="Q819" i="20"/>
  <c r="Q818" i="20"/>
  <c r="E997" i="20"/>
  <c r="E998" i="20" s="1"/>
  <c r="K999" i="20" s="1"/>
  <c r="D1164" i="20"/>
  <c r="E1164" i="20" s="1"/>
  <c r="C1164" i="20"/>
  <c r="X433" i="20"/>
  <c r="M587" i="20"/>
  <c r="M588" i="20" s="1"/>
  <c r="N586" i="20"/>
  <c r="X426" i="20"/>
  <c r="R673" i="20"/>
  <c r="R675" i="20" s="1"/>
  <c r="O929" i="20"/>
  <c r="O931" i="20" s="1"/>
  <c r="Q922" i="20"/>
  <c r="P924" i="20"/>
  <c r="N930" i="20"/>
  <c r="P923" i="20"/>
  <c r="Q618" i="20"/>
  <c r="R618" i="20" s="1"/>
  <c r="R619" i="20" s="1"/>
  <c r="Q674" i="20"/>
  <c r="O782" i="20"/>
  <c r="O784" i="20" s="1"/>
  <c r="M880" i="20"/>
  <c r="N880" i="20" s="1"/>
  <c r="N882" i="20" s="1"/>
  <c r="L881" i="20"/>
  <c r="L882" i="20"/>
  <c r="M803" i="20"/>
  <c r="L805" i="20"/>
  <c r="N810" i="20"/>
  <c r="L804" i="20"/>
  <c r="R652" i="20"/>
  <c r="Q653" i="20"/>
  <c r="N742" i="20"/>
  <c r="S625" i="20"/>
  <c r="S626" i="20" s="1"/>
  <c r="N789" i="20"/>
  <c r="O789" i="20" s="1"/>
  <c r="O791" i="20" s="1"/>
  <c r="L791" i="20"/>
  <c r="L790" i="20"/>
  <c r="M790" i="20" s="1"/>
  <c r="M791" i="20" s="1"/>
  <c r="R659" i="20"/>
  <c r="R661" i="20" s="1"/>
  <c r="S617" i="20"/>
  <c r="T624" i="20"/>
  <c r="S638" i="20"/>
  <c r="Q660" i="20"/>
  <c r="R639" i="20"/>
  <c r="M747" i="20"/>
  <c r="L748" i="20"/>
  <c r="R632" i="20"/>
  <c r="R633" i="20"/>
  <c r="S631" i="20"/>
  <c r="O742" i="20"/>
  <c r="P740" i="20"/>
  <c r="P742" i="20" s="1"/>
  <c r="M726" i="20"/>
  <c r="L727" i="20"/>
  <c r="L728" i="20" s="1"/>
  <c r="S580" i="20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28" i="20"/>
  <c r="Q28" i="20" s="1"/>
  <c r="X928" i="16"/>
  <c r="T1639" i="16"/>
  <c r="U1639" i="16" s="1"/>
  <c r="V1638" i="16"/>
  <c r="W1638" i="16" s="1"/>
  <c r="X1638" i="16" s="1"/>
  <c r="X2188" i="16" s="1"/>
  <c r="T2188" i="16"/>
  <c r="W1632" i="16"/>
  <c r="R1372" i="16"/>
  <c r="R1373" i="16" s="1"/>
  <c r="M985" i="20"/>
  <c r="U957" i="20"/>
  <c r="V957" i="20" s="1"/>
  <c r="W957" i="20" s="1"/>
  <c r="X957" i="20" s="1"/>
  <c r="X1337" i="16"/>
  <c r="M2169" i="16"/>
  <c r="M1514" i="16"/>
  <c r="M1515" i="16" s="1"/>
  <c r="M2171" i="16"/>
  <c r="W909" i="20"/>
  <c r="N1535" i="16"/>
  <c r="L992" i="20"/>
  <c r="L994" i="20" s="1"/>
  <c r="R971" i="20"/>
  <c r="S971" i="20" s="1"/>
  <c r="U562" i="20"/>
  <c r="T564" i="20"/>
  <c r="T563" i="20"/>
  <c r="O1527" i="16"/>
  <c r="P1527" i="16" s="1"/>
  <c r="K994" i="20"/>
  <c r="N687" i="20"/>
  <c r="X908" i="20"/>
  <c r="X910" i="20" s="1"/>
  <c r="W910" i="20"/>
  <c r="R571" i="20"/>
  <c r="S569" i="20"/>
  <c r="Q959" i="20"/>
  <c r="R959" i="20"/>
  <c r="Q958" i="20"/>
  <c r="U1652" i="16"/>
  <c r="V1652" i="16" s="1"/>
  <c r="W1652" i="16" s="1"/>
  <c r="X1652" i="16" s="1"/>
  <c r="L987" i="20"/>
  <c r="R570" i="20"/>
  <c r="W1611" i="16"/>
  <c r="N972" i="20"/>
  <c r="O972" i="20" s="1"/>
  <c r="C1010" i="20"/>
  <c r="C1004" i="20"/>
  <c r="D1004" i="20"/>
  <c r="E1004" i="20" s="1"/>
  <c r="D1005" i="20"/>
  <c r="C1005" i="20"/>
  <c r="C1006" i="20" s="1"/>
  <c r="X1631" i="16"/>
  <c r="X2187" i="16" s="1"/>
  <c r="W2187" i="16"/>
  <c r="N973" i="20"/>
  <c r="O973" i="20"/>
  <c r="P973" i="20"/>
  <c r="S952" i="20"/>
  <c r="L986" i="20"/>
  <c r="N1541" i="16"/>
  <c r="N2173" i="16" s="1"/>
  <c r="O1534" i="16"/>
  <c r="P1534" i="16" s="1"/>
  <c r="X1610" i="16"/>
  <c r="W2184" i="16"/>
  <c r="S1371" i="16"/>
  <c r="R2148" i="16"/>
  <c r="R285" i="16"/>
  <c r="X2143" i="16"/>
  <c r="N1513" i="16"/>
  <c r="N2169" i="16" s="1"/>
  <c r="K1694" i="16"/>
  <c r="K1695" i="16" s="1"/>
  <c r="V918" i="16"/>
  <c r="D1125" i="16"/>
  <c r="V924" i="16"/>
  <c r="D29" i="20"/>
  <c r="C319" i="20" s="1"/>
  <c r="D592" i="20" s="1"/>
  <c r="E1125" i="16"/>
  <c r="F1125" i="16" s="1"/>
  <c r="U2188" i="16"/>
  <c r="X1358" i="16"/>
  <c r="W2147" i="16"/>
  <c r="T1646" i="16"/>
  <c r="T2147" i="16"/>
  <c r="T1365" i="16"/>
  <c r="U1365" i="16" s="1"/>
  <c r="Q1653" i="16"/>
  <c r="R1653" i="16" s="1"/>
  <c r="V2185" i="16"/>
  <c r="V1618" i="16"/>
  <c r="O2192" i="16"/>
  <c r="B1698" i="16"/>
  <c r="R1704" i="16"/>
  <c r="W1704" i="16"/>
  <c r="K1704" i="16"/>
  <c r="S1704" i="16"/>
  <c r="L1704" i="16"/>
  <c r="T1704" i="16"/>
  <c r="D1705" i="16"/>
  <c r="M1704" i="16"/>
  <c r="U1704" i="16"/>
  <c r="E1700" i="16"/>
  <c r="D1700" i="16" s="1"/>
  <c r="N1704" i="16"/>
  <c r="V1704" i="16"/>
  <c r="O1704" i="16"/>
  <c r="D1699" i="16"/>
  <c r="P1704" i="16"/>
  <c r="X1704" i="16"/>
  <c r="Q1704" i="16"/>
  <c r="E1699" i="16"/>
  <c r="F1699" i="16" s="1"/>
  <c r="R2190" i="16"/>
  <c r="Q2190" i="16"/>
  <c r="T2189" i="16"/>
  <c r="P286" i="16"/>
  <c r="Q1379" i="16"/>
  <c r="Q1380" i="16" s="1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O109" i="18"/>
  <c r="O113" i="18"/>
  <c r="O356" i="10" s="1"/>
  <c r="M211" i="10"/>
  <c r="M290" i="10"/>
  <c r="P108" i="18"/>
  <c r="L108" i="18"/>
  <c r="Q108" i="18"/>
  <c r="S109" i="18"/>
  <c r="S113" i="18"/>
  <c r="S356" i="10" s="1"/>
  <c r="K1508" i="16"/>
  <c r="K371" i="16" s="1"/>
  <c r="K792" i="16" s="1"/>
  <c r="K200" i="10" s="1"/>
  <c r="L689" i="20"/>
  <c r="L688" i="20"/>
  <c r="W290" i="10"/>
  <c r="W211" i="10"/>
  <c r="X75" i="18"/>
  <c r="X80" i="18" s="1"/>
  <c r="X111" i="18"/>
  <c r="L1543" i="16"/>
  <c r="W108" i="18"/>
  <c r="W67" i="10"/>
  <c r="X103" i="10" s="1"/>
  <c r="W146" i="10"/>
  <c r="W32" i="18" s="1"/>
  <c r="N2171" i="16"/>
  <c r="M1542" i="16"/>
  <c r="M2173" i="16"/>
  <c r="X146" i="10"/>
  <c r="X32" i="18" s="1"/>
  <c r="V211" i="10"/>
  <c r="V290" i="10"/>
  <c r="M1528" i="16"/>
  <c r="N1528" i="16" s="1"/>
  <c r="C594" i="25" l="1"/>
  <c r="L594" i="25"/>
  <c r="M139" i="25"/>
  <c r="M259" i="25" s="1"/>
  <c r="D594" i="25"/>
  <c r="K594" i="25"/>
  <c r="F594" i="25"/>
  <c r="N594" i="25"/>
  <c r="H594" i="25"/>
  <c r="O594" i="25"/>
  <c r="E594" i="25"/>
  <c r="W103" i="10"/>
  <c r="W60" i="10"/>
  <c r="W348" i="10" s="1"/>
  <c r="M103" i="10"/>
  <c r="M146" i="10"/>
  <c r="M32" i="18" s="1"/>
  <c r="V1218" i="16"/>
  <c r="W1218" i="16" s="1"/>
  <c r="W2125" i="16" s="1"/>
  <c r="U1220" i="16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P1261" i="16"/>
  <c r="W1211" i="16"/>
  <c r="W2124" i="16" s="1"/>
  <c r="Q1254" i="16"/>
  <c r="Q2130" i="16"/>
  <c r="W1199" i="16"/>
  <c r="X1199" i="16" s="1"/>
  <c r="V1212" i="16"/>
  <c r="V1213" i="16" s="1"/>
  <c r="S1227" i="16"/>
  <c r="T1227" i="16" s="1"/>
  <c r="Q1260" i="16"/>
  <c r="Q2131" i="16" s="1"/>
  <c r="R1253" i="16"/>
  <c r="R2130" i="16" s="1"/>
  <c r="W1206" i="16"/>
  <c r="S1239" i="16"/>
  <c r="S2128" i="16" s="1"/>
  <c r="X1198" i="16"/>
  <c r="S1246" i="16"/>
  <c r="S2129" i="16" s="1"/>
  <c r="R1247" i="16"/>
  <c r="P1270" i="16"/>
  <c r="P2132" i="16"/>
  <c r="L735" i="20"/>
  <c r="P708" i="20"/>
  <c r="Q708" i="20" s="1"/>
  <c r="R708" i="20" s="1"/>
  <c r="N259" i="25"/>
  <c r="K259" i="25"/>
  <c r="O259" i="25"/>
  <c r="D259" i="25"/>
  <c r="G259" i="25"/>
  <c r="J259" i="25"/>
  <c r="L259" i="25"/>
  <c r="E259" i="25"/>
  <c r="I221" i="25"/>
  <c r="I259" i="25" s="1"/>
  <c r="F259" i="25"/>
  <c r="H259" i="25"/>
  <c r="P221" i="25"/>
  <c r="C259" i="25"/>
  <c r="P139" i="25"/>
  <c r="P594" i="25"/>
  <c r="D195" i="16"/>
  <c r="C28" i="20" s="1"/>
  <c r="E28" i="20" s="1"/>
  <c r="H195" i="16" s="1"/>
  <c r="I195" i="16" s="1"/>
  <c r="E1126" i="16"/>
  <c r="C29" i="20"/>
  <c r="R196" i="16"/>
  <c r="O196" i="16"/>
  <c r="L196" i="16"/>
  <c r="P196" i="16"/>
  <c r="M196" i="16"/>
  <c r="Q196" i="16"/>
  <c r="W196" i="16"/>
  <c r="V196" i="16"/>
  <c r="X196" i="16"/>
  <c r="J196" i="16"/>
  <c r="S196" i="16"/>
  <c r="T196" i="16"/>
  <c r="N196" i="16"/>
  <c r="K196" i="16"/>
  <c r="U196" i="16"/>
  <c r="N1667" i="16"/>
  <c r="O1667" i="16" s="1"/>
  <c r="P1667" i="16" s="1"/>
  <c r="Q1667" i="16" s="1"/>
  <c r="N988" i="16"/>
  <c r="N989" i="16" s="1"/>
  <c r="L996" i="16"/>
  <c r="M990" i="16"/>
  <c r="L1682" i="16"/>
  <c r="M994" i="16"/>
  <c r="N994" i="16" s="1"/>
  <c r="O994" i="16" s="1"/>
  <c r="M1984" i="16"/>
  <c r="S1666" i="16"/>
  <c r="T1666" i="16" s="1"/>
  <c r="M1680" i="16"/>
  <c r="N1680" i="16" s="1"/>
  <c r="N2194" i="16" s="1"/>
  <c r="L1681" i="16"/>
  <c r="L2239" i="16"/>
  <c r="L1990" i="16"/>
  <c r="M1990" i="16" s="1"/>
  <c r="P694" i="20"/>
  <c r="Q694" i="20" s="1"/>
  <c r="R694" i="20" s="1"/>
  <c r="S694" i="20" s="1"/>
  <c r="T694" i="20" s="1"/>
  <c r="U694" i="20" s="1"/>
  <c r="V694" i="20" s="1"/>
  <c r="W694" i="20" s="1"/>
  <c r="X694" i="20" s="1"/>
  <c r="L1991" i="16"/>
  <c r="V585" i="16"/>
  <c r="W1949" i="16"/>
  <c r="X1949" i="16" s="1"/>
  <c r="V2232" i="16"/>
  <c r="N1661" i="16"/>
  <c r="K2026" i="16"/>
  <c r="K2244" i="16"/>
  <c r="K2025" i="16"/>
  <c r="L2024" i="16"/>
  <c r="M2024" i="16" s="1"/>
  <c r="K2195" i="16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K1688" i="16"/>
  <c r="K1689" i="16" s="1"/>
  <c r="L1689" i="16" s="1"/>
  <c r="O1659" i="16"/>
  <c r="O2191" i="16" s="1"/>
  <c r="N2191" i="16"/>
  <c r="N1660" i="16"/>
  <c r="S1951" i="16"/>
  <c r="S587" i="16" s="1"/>
  <c r="S794" i="16" s="1"/>
  <c r="S202" i="10" s="1"/>
  <c r="T1950" i="16"/>
  <c r="S586" i="16"/>
  <c r="Q619" i="20"/>
  <c r="T113" i="18"/>
  <c r="T356" i="10" s="1"/>
  <c r="T432" i="10" s="1"/>
  <c r="H1718" i="16"/>
  <c r="I1711" i="16" a="1"/>
  <c r="I1711" i="16" s="1"/>
  <c r="Q1267" i="16"/>
  <c r="P1268" i="16"/>
  <c r="O264" i="16"/>
  <c r="O265" i="16" s="1"/>
  <c r="O53" i="20" s="1"/>
  <c r="O251" i="20" s="1"/>
  <c r="G73" i="25" s="1"/>
  <c r="O1269" i="16"/>
  <c r="M109" i="18"/>
  <c r="V113" i="18"/>
  <c r="V356" i="10" s="1"/>
  <c r="V432" i="10" s="1"/>
  <c r="J999" i="20" a="1"/>
  <c r="J999" i="20" s="1"/>
  <c r="D1003" i="20"/>
  <c r="S681" i="20"/>
  <c r="T680" i="20"/>
  <c r="T682" i="20" s="1"/>
  <c r="T666" i="20"/>
  <c r="T668" i="20" s="1"/>
  <c r="X917" i="16"/>
  <c r="X579" i="20"/>
  <c r="X581" i="20" s="1"/>
  <c r="W1612" i="16"/>
  <c r="O977" i="16"/>
  <c r="P977" i="16" s="1"/>
  <c r="S667" i="20"/>
  <c r="V84" i="16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16" i="20"/>
  <c r="M717" i="20" s="1"/>
  <c r="O715" i="20"/>
  <c r="P715" i="20" s="1"/>
  <c r="Q715" i="20" s="1"/>
  <c r="N874" i="20"/>
  <c r="O874" i="20" s="1"/>
  <c r="P859" i="20"/>
  <c r="Q859" i="20" s="1"/>
  <c r="Q861" i="20" s="1"/>
  <c r="O860" i="20"/>
  <c r="O866" i="20"/>
  <c r="O868" i="20" s="1"/>
  <c r="N868" i="20"/>
  <c r="L938" i="20"/>
  <c r="N783" i="20"/>
  <c r="O783" i="20" s="1"/>
  <c r="M776" i="20"/>
  <c r="M777" i="20" s="1"/>
  <c r="O733" i="20"/>
  <c r="P733" i="20" s="1"/>
  <c r="N754" i="20"/>
  <c r="O754" i="20" s="1"/>
  <c r="O756" i="20" s="1"/>
  <c r="N734" i="20"/>
  <c r="N735" i="20" s="1"/>
  <c r="N741" i="20"/>
  <c r="O741" i="20" s="1"/>
  <c r="P741" i="20" s="1"/>
  <c r="M755" i="20"/>
  <c r="X1338" i="16"/>
  <c r="N762" i="20"/>
  <c r="O762" i="20" s="1"/>
  <c r="N763" i="20"/>
  <c r="M797" i="20"/>
  <c r="N797" i="20" s="1"/>
  <c r="L832" i="20"/>
  <c r="M832" i="20" s="1"/>
  <c r="M833" i="20" s="1"/>
  <c r="N831" i="20"/>
  <c r="N833" i="20" s="1"/>
  <c r="O796" i="20"/>
  <c r="O798" i="20" s="1"/>
  <c r="N936" i="20"/>
  <c r="N938" i="20" s="1"/>
  <c r="L937" i="20"/>
  <c r="M937" i="20" s="1"/>
  <c r="M938" i="20" s="1"/>
  <c r="L888" i="20"/>
  <c r="M888" i="20" s="1"/>
  <c r="M889" i="20" s="1"/>
  <c r="L889" i="20"/>
  <c r="O852" i="20"/>
  <c r="O854" i="20" s="1"/>
  <c r="N853" i="20"/>
  <c r="L979" i="20"/>
  <c r="M978" i="20"/>
  <c r="N978" i="20" s="1"/>
  <c r="N980" i="20" s="1"/>
  <c r="M769" i="20"/>
  <c r="M770" i="20" s="1"/>
  <c r="L833" i="20"/>
  <c r="L1508" i="16"/>
  <c r="L371" i="16" s="1"/>
  <c r="L792" i="16" s="1"/>
  <c r="L200" i="10" s="1"/>
  <c r="M2170" i="16"/>
  <c r="N1520" i="16"/>
  <c r="N1506" i="16" s="1"/>
  <c r="N369" i="16" s="1"/>
  <c r="M1521" i="16"/>
  <c r="M1507" i="16" s="1"/>
  <c r="M370" i="16" s="1"/>
  <c r="N1536" i="16"/>
  <c r="T1647" i="16"/>
  <c r="N1989" i="16"/>
  <c r="N2239" i="16" s="1"/>
  <c r="U942" i="16"/>
  <c r="V1619" i="16"/>
  <c r="O1668" i="16"/>
  <c r="W1633" i="16"/>
  <c r="X1359" i="16"/>
  <c r="M798" i="20"/>
  <c r="Q1654" i="16"/>
  <c r="R1654" i="16" s="1"/>
  <c r="N1970" i="16"/>
  <c r="O1970" i="16" s="1"/>
  <c r="D1701" i="16"/>
  <c r="F1700" i="16" s="1"/>
  <c r="T1640" i="16"/>
  <c r="U1640" i="16" s="1"/>
  <c r="M1529" i="16"/>
  <c r="N1529" i="16" s="1"/>
  <c r="Q1255" i="16"/>
  <c r="O1262" i="16"/>
  <c r="P1262" i="16" s="1"/>
  <c r="Q287" i="16"/>
  <c r="Q789" i="16" s="1"/>
  <c r="Q195" i="10" s="1"/>
  <c r="T1366" i="16"/>
  <c r="U1366" i="16" s="1"/>
  <c r="Q1968" i="16"/>
  <c r="Q2236" i="16" s="1"/>
  <c r="E592" i="20"/>
  <c r="K593" i="20" s="1"/>
  <c r="L593" i="20" s="1"/>
  <c r="M593" i="20" s="1"/>
  <c r="P1969" i="16"/>
  <c r="N2018" i="16"/>
  <c r="O2018" i="16" s="1"/>
  <c r="P2017" i="16"/>
  <c r="Q2017" i="16" s="1"/>
  <c r="N2243" i="16"/>
  <c r="N2238" i="16"/>
  <c r="P1982" i="16"/>
  <c r="Q1982" i="16" s="1"/>
  <c r="Q2238" i="16" s="1"/>
  <c r="N1983" i="16"/>
  <c r="O1983" i="16" s="1"/>
  <c r="D1865" i="16"/>
  <c r="E1865" i="16"/>
  <c r="F1865" i="16" s="1"/>
  <c r="L1962" i="16"/>
  <c r="L1963" i="16"/>
  <c r="L2235" i="16"/>
  <c r="M1961" i="16"/>
  <c r="F2009" i="16"/>
  <c r="K2010" i="16" s="1"/>
  <c r="L2010" i="16" s="1"/>
  <c r="L1996" i="16"/>
  <c r="D2002" i="16"/>
  <c r="K1997" i="16"/>
  <c r="K1998" i="16" s="1"/>
  <c r="K2240" i="16"/>
  <c r="N2006" i="16"/>
  <c r="K2006" i="16"/>
  <c r="M2006" i="16"/>
  <c r="L2006" i="16"/>
  <c r="O2006" i="16"/>
  <c r="P2006" i="16"/>
  <c r="Q2006" i="16"/>
  <c r="R2006" i="16"/>
  <c r="S2006" i="16"/>
  <c r="T2006" i="16"/>
  <c r="U2006" i="16"/>
  <c r="V2006" i="16"/>
  <c r="W2006" i="16"/>
  <c r="X2006" i="16"/>
  <c r="R2269" i="16"/>
  <c r="R2273" i="16"/>
  <c r="R2281" i="16" s="1"/>
  <c r="S2261" i="16"/>
  <c r="S2257" i="16"/>
  <c r="S91" i="16" s="1"/>
  <c r="S101" i="12" s="1"/>
  <c r="S109" i="12" s="1"/>
  <c r="S455" i="20"/>
  <c r="S456" i="20" s="1"/>
  <c r="R959" i="16"/>
  <c r="U435" i="20"/>
  <c r="V434" i="20"/>
  <c r="T1232" i="16"/>
  <c r="T2127" i="16" s="1"/>
  <c r="S1233" i="16"/>
  <c r="S1234" i="16" s="1"/>
  <c r="W414" i="20"/>
  <c r="X413" i="20"/>
  <c r="X414" i="20" s="1"/>
  <c r="R1240" i="16"/>
  <c r="U428" i="20"/>
  <c r="V427" i="20"/>
  <c r="R442" i="20"/>
  <c r="S441" i="20"/>
  <c r="Q449" i="20"/>
  <c r="R448" i="20"/>
  <c r="W407" i="20"/>
  <c r="X406" i="20"/>
  <c r="X407" i="20" s="1"/>
  <c r="V421" i="20"/>
  <c r="W42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U447" i="20"/>
  <c r="P873" i="20"/>
  <c r="P875" i="20" s="1"/>
  <c r="N703" i="20"/>
  <c r="N702" i="20"/>
  <c r="O702" i="20" s="1"/>
  <c r="O703" i="20" s="1"/>
  <c r="V454" i="20"/>
  <c r="W454" i="20" s="1"/>
  <c r="Q945" i="20"/>
  <c r="R943" i="20"/>
  <c r="Q944" i="20"/>
  <c r="V440" i="20"/>
  <c r="R818" i="20"/>
  <c r="S817" i="20"/>
  <c r="S819" i="20" s="1"/>
  <c r="P929" i="20"/>
  <c r="P931" i="20" s="1"/>
  <c r="E1165" i="20"/>
  <c r="K1166" i="20" s="1"/>
  <c r="O930" i="20"/>
  <c r="N887" i="20"/>
  <c r="N889" i="20" s="1"/>
  <c r="R674" i="20"/>
  <c r="N588" i="20"/>
  <c r="O586" i="20"/>
  <c r="N587" i="20"/>
  <c r="S673" i="20"/>
  <c r="S675" i="20" s="1"/>
  <c r="Q923" i="20"/>
  <c r="R922" i="20"/>
  <c r="R924" i="20" s="1"/>
  <c r="Q924" i="20"/>
  <c r="R653" i="20"/>
  <c r="P782" i="20"/>
  <c r="P784" i="20" s="1"/>
  <c r="O880" i="20"/>
  <c r="O882" i="20" s="1"/>
  <c r="M881" i="20"/>
  <c r="N881" i="20" s="1"/>
  <c r="O768" i="20"/>
  <c r="P768" i="20" s="1"/>
  <c r="P770" i="20" s="1"/>
  <c r="R654" i="20"/>
  <c r="M804" i="20"/>
  <c r="M805" i="20" s="1"/>
  <c r="S652" i="20"/>
  <c r="S654" i="20" s="1"/>
  <c r="O810" i="20"/>
  <c r="N812" i="20"/>
  <c r="N803" i="20"/>
  <c r="N805" i="20" s="1"/>
  <c r="N811" i="20"/>
  <c r="S659" i="20"/>
  <c r="T659" i="20" s="1"/>
  <c r="T661" i="20" s="1"/>
  <c r="R660" i="20"/>
  <c r="N790" i="20"/>
  <c r="O790" i="20" s="1"/>
  <c r="P789" i="20"/>
  <c r="P791" i="20" s="1"/>
  <c r="N791" i="20"/>
  <c r="M748" i="20"/>
  <c r="M749" i="20" s="1"/>
  <c r="T617" i="20"/>
  <c r="S618" i="20"/>
  <c r="S619" i="20" s="1"/>
  <c r="U624" i="20"/>
  <c r="P775" i="20"/>
  <c r="N777" i="20"/>
  <c r="T625" i="20"/>
  <c r="T626" i="20" s="1"/>
  <c r="S640" i="20"/>
  <c r="T638" i="20"/>
  <c r="U638" i="20" s="1"/>
  <c r="U640" i="20" s="1"/>
  <c r="S639" i="20"/>
  <c r="O763" i="20"/>
  <c r="P761" i="20"/>
  <c r="P763" i="20" s="1"/>
  <c r="N747" i="20"/>
  <c r="O747" i="20" s="1"/>
  <c r="O749" i="20" s="1"/>
  <c r="S632" i="20"/>
  <c r="S633" i="20"/>
  <c r="T631" i="20"/>
  <c r="T633" i="20" s="1"/>
  <c r="Q740" i="20"/>
  <c r="R740" i="20" s="1"/>
  <c r="M727" i="20"/>
  <c r="M728" i="20" s="1"/>
  <c r="N726" i="20"/>
  <c r="T58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S28" i="20"/>
  <c r="U28" i="20"/>
  <c r="K28" i="20"/>
  <c r="W918" i="16"/>
  <c r="V28" i="20"/>
  <c r="X28" i="20"/>
  <c r="M28" i="20"/>
  <c r="P28" i="20"/>
  <c r="V1639" i="16"/>
  <c r="W1639" i="16" s="1"/>
  <c r="X1639" i="16" s="1"/>
  <c r="W2188" i="16"/>
  <c r="V2188" i="16"/>
  <c r="T28" i="20"/>
  <c r="O28" i="20"/>
  <c r="D312" i="20"/>
  <c r="E312" i="20" s="1"/>
  <c r="C312" i="20"/>
  <c r="R28" i="20"/>
  <c r="W28" i="20"/>
  <c r="N28" i="20"/>
  <c r="L28" i="20"/>
  <c r="E1118" i="16"/>
  <c r="F1118" i="16" s="1"/>
  <c r="D1118" i="16"/>
  <c r="M986" i="20"/>
  <c r="M987" i="20" s="1"/>
  <c r="S1372" i="16"/>
  <c r="S1373" i="16" s="1"/>
  <c r="N985" i="20"/>
  <c r="M992" i="20"/>
  <c r="L993" i="20"/>
  <c r="Q1527" i="16"/>
  <c r="R1527" i="16" s="1"/>
  <c r="S1527" i="16" s="1"/>
  <c r="T1527" i="16" s="1"/>
  <c r="U1527" i="16" s="1"/>
  <c r="V1527" i="16" s="1"/>
  <c r="W1527" i="16" s="1"/>
  <c r="X1527" i="16" s="1"/>
  <c r="T971" i="20"/>
  <c r="U971" i="20" s="1"/>
  <c r="V971" i="20" s="1"/>
  <c r="W971" i="20" s="1"/>
  <c r="X971" i="20" s="1"/>
  <c r="V562" i="20"/>
  <c r="U564" i="20"/>
  <c r="X909" i="20"/>
  <c r="O687" i="20"/>
  <c r="P687" i="20" s="1"/>
  <c r="Q687" i="20" s="1"/>
  <c r="P701" i="20"/>
  <c r="Q701" i="20" s="1"/>
  <c r="L999" i="20"/>
  <c r="M999" i="20" s="1"/>
  <c r="N1542" i="16"/>
  <c r="X1632" i="16"/>
  <c r="T569" i="20"/>
  <c r="S571" i="20"/>
  <c r="U563" i="20"/>
  <c r="T952" i="20"/>
  <c r="U952" i="20"/>
  <c r="P972" i="20"/>
  <c r="S959" i="20"/>
  <c r="E1005" i="20"/>
  <c r="K1006" i="20" s="1"/>
  <c r="K1007" i="20" s="1"/>
  <c r="K1000" i="20"/>
  <c r="K1001" i="20" s="1"/>
  <c r="R958" i="20"/>
  <c r="S958" i="20" s="1"/>
  <c r="T951" i="20"/>
  <c r="U951" i="20" s="1"/>
  <c r="O1535" i="16"/>
  <c r="P1535" i="16" s="1"/>
  <c r="C1017" i="20"/>
  <c r="D1012" i="20"/>
  <c r="C1012" i="20"/>
  <c r="C1013" i="20" s="1"/>
  <c r="S570" i="20"/>
  <c r="Q1534" i="16"/>
  <c r="Q2172" i="16" s="1"/>
  <c r="P2172" i="16"/>
  <c r="L1694" i="16"/>
  <c r="M1694" i="16" s="1"/>
  <c r="T1371" i="16"/>
  <c r="S2148" i="16"/>
  <c r="S285" i="16"/>
  <c r="X2184" i="16"/>
  <c r="L2195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O1541" i="16"/>
  <c r="P1541" i="16" s="1"/>
  <c r="Q1541" i="16" s="1"/>
  <c r="M1687" i="16"/>
  <c r="N1687" i="16" s="1"/>
  <c r="X1611" i="16"/>
  <c r="O2172" i="16"/>
  <c r="K2196" i="16"/>
  <c r="N1514" i="16"/>
  <c r="N1515" i="16" s="1"/>
  <c r="K1696" i="16"/>
  <c r="W924" i="16"/>
  <c r="V1365" i="16"/>
  <c r="W1365" i="16" s="1"/>
  <c r="V2147" i="16"/>
  <c r="X2147" i="16"/>
  <c r="W1618" i="16"/>
  <c r="X1618" i="16" s="1"/>
  <c r="X2185" i="16"/>
  <c r="W2185" i="16"/>
  <c r="K1701" i="16"/>
  <c r="Q2192" i="16"/>
  <c r="P2192" i="16"/>
  <c r="S2190" i="16"/>
  <c r="S1653" i="16"/>
  <c r="K1711" i="16"/>
  <c r="S1711" i="16"/>
  <c r="L1711" i="16"/>
  <c r="T1711" i="16"/>
  <c r="P1711" i="16"/>
  <c r="D1712" i="16"/>
  <c r="M1711" i="16"/>
  <c r="U1711" i="16"/>
  <c r="E1706" i="16"/>
  <c r="F1706" i="16" s="1"/>
  <c r="N1711" i="16"/>
  <c r="V1711" i="16"/>
  <c r="D1706" i="16"/>
  <c r="O1711" i="16"/>
  <c r="W1711" i="16"/>
  <c r="E1707" i="16"/>
  <c r="D1707" i="16" s="1"/>
  <c r="Q1711" i="16"/>
  <c r="B1705" i="16"/>
  <c r="R1711" i="16"/>
  <c r="X1711" i="16"/>
  <c r="U2189" i="16"/>
  <c r="U1646" i="16"/>
  <c r="U2149" i="16"/>
  <c r="R1379" i="16"/>
  <c r="R1380" i="16" s="1"/>
  <c r="Q286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O355" i="10"/>
  <c r="O432" i="10"/>
  <c r="S432" i="10"/>
  <c r="S355" i="10"/>
  <c r="Q146" i="10"/>
  <c r="Q32" i="18" s="1"/>
  <c r="P109" i="18"/>
  <c r="P113" i="18"/>
  <c r="P356" i="10" s="1"/>
  <c r="M355" i="10"/>
  <c r="M432" i="10"/>
  <c r="W247" i="10"/>
  <c r="M1543" i="16"/>
  <c r="O1528" i="16"/>
  <c r="N695" i="20"/>
  <c r="N696" i="20" s="1"/>
  <c r="W113" i="18"/>
  <c r="W356" i="10" s="1"/>
  <c r="W109" i="18"/>
  <c r="N710" i="20"/>
  <c r="O2171" i="16"/>
  <c r="X212" i="10"/>
  <c r="X108" i="18"/>
  <c r="N709" i="20"/>
  <c r="M688" i="20"/>
  <c r="M689" i="20" s="1"/>
  <c r="N717" i="20"/>
  <c r="X60" i="10" l="1"/>
  <c r="X348" i="10" s="1"/>
  <c r="X52" i="10"/>
  <c r="X340" i="10" s="1"/>
  <c r="T948" i="16"/>
  <c r="V2125" i="16"/>
  <c r="V1219" i="16"/>
  <c r="W1219" i="16" s="1"/>
  <c r="O978" i="16"/>
  <c r="P978" i="16" s="1"/>
  <c r="X1206" i="16"/>
  <c r="V1225" i="16"/>
  <c r="V2126" i="16" s="1"/>
  <c r="X1205" i="16"/>
  <c r="U1226" i="16"/>
  <c r="T1239" i="16"/>
  <c r="T2128" i="16" s="1"/>
  <c r="W1212" i="16"/>
  <c r="W1213" i="16" s="1"/>
  <c r="X1218" i="16"/>
  <c r="X2125" i="16" s="1"/>
  <c r="X1211" i="16"/>
  <c r="X2124" i="16" s="1"/>
  <c r="S1240" i="16"/>
  <c r="U1227" i="16"/>
  <c r="V1220" i="16"/>
  <c r="W1220" i="16" s="1"/>
  <c r="T1246" i="16"/>
  <c r="T2129" i="16" s="1"/>
  <c r="R1260" i="16"/>
  <c r="Q1261" i="16"/>
  <c r="S1247" i="16"/>
  <c r="R1248" i="16"/>
  <c r="S1253" i="16"/>
  <c r="S2130" i="16" s="1"/>
  <c r="R1254" i="16"/>
  <c r="R1267" i="16"/>
  <c r="S1267" i="16" s="1"/>
  <c r="S2132" i="16" s="1"/>
  <c r="Q2132" i="16"/>
  <c r="S708" i="20"/>
  <c r="T708" i="20" s="1"/>
  <c r="U708" i="20" s="1"/>
  <c r="V708" i="20" s="1"/>
  <c r="W708" i="20" s="1"/>
  <c r="X708" i="20" s="1"/>
  <c r="P195" i="16"/>
  <c r="P217" i="16" s="1"/>
  <c r="P803" i="16" s="1"/>
  <c r="P802" i="16" s="1"/>
  <c r="P812" i="16" s="1"/>
  <c r="P253" i="10" s="1"/>
  <c r="P252" i="10" s="1"/>
  <c r="P259" i="25"/>
  <c r="P1269" i="16"/>
  <c r="E1119" i="16"/>
  <c r="D1119" i="16" s="1"/>
  <c r="D1120" i="16" s="1"/>
  <c r="E1873" i="16" s="1"/>
  <c r="D1873" i="16" s="1"/>
  <c r="D1874" i="16" s="1"/>
  <c r="L195" i="16"/>
  <c r="L217" i="16" s="1"/>
  <c r="L803" i="16" s="1"/>
  <c r="L802" i="16" s="1"/>
  <c r="L812" i="16" s="1"/>
  <c r="L253" i="10" s="1"/>
  <c r="L252" i="10" s="1"/>
  <c r="U195" i="16"/>
  <c r="U217" i="16" s="1"/>
  <c r="U803" i="16" s="1"/>
  <c r="U802" i="16" s="1"/>
  <c r="U812" i="16" s="1"/>
  <c r="U253" i="10" s="1"/>
  <c r="U252" i="10" s="1"/>
  <c r="C50" i="20"/>
  <c r="D217" i="16"/>
  <c r="H1118" i="16" s="1"/>
  <c r="I1118" i="16" s="1"/>
  <c r="R195" i="16"/>
  <c r="R217" i="16" s="1"/>
  <c r="R803" i="16" s="1"/>
  <c r="R802" i="16" s="1"/>
  <c r="R812" i="16" s="1"/>
  <c r="R253" i="10" s="1"/>
  <c r="R252" i="10" s="1"/>
  <c r="N195" i="16"/>
  <c r="N217" i="16" s="1"/>
  <c r="N803" i="16" s="1"/>
  <c r="N802" i="16" s="1"/>
  <c r="N812" i="16" s="1"/>
  <c r="N253" i="10" s="1"/>
  <c r="N252" i="10" s="1"/>
  <c r="K195" i="16"/>
  <c r="K217" i="16" s="1"/>
  <c r="K803" i="16" s="1"/>
  <c r="K802" i="16" s="1"/>
  <c r="K812" i="16" s="1"/>
  <c r="K814" i="16" s="1"/>
  <c r="D313" i="20"/>
  <c r="S195" i="16"/>
  <c r="S217" i="16" s="1"/>
  <c r="S803" i="16" s="1"/>
  <c r="S802" i="16" s="1"/>
  <c r="S812" i="16" s="1"/>
  <c r="S253" i="10" s="1"/>
  <c r="S252" i="10" s="1"/>
  <c r="C314" i="20"/>
  <c r="E313" i="20" s="1"/>
  <c r="T195" i="16"/>
  <c r="T217" i="16" s="1"/>
  <c r="T803" i="16" s="1"/>
  <c r="T802" i="16" s="1"/>
  <c r="T812" i="16" s="1"/>
  <c r="T253" i="10" s="1"/>
  <c r="T252" i="10" s="1"/>
  <c r="O195" i="16"/>
  <c r="O217" i="16" s="1"/>
  <c r="O803" i="16" s="1"/>
  <c r="O802" i="16" s="1"/>
  <c r="O812" i="16" s="1"/>
  <c r="O253" i="10" s="1"/>
  <c r="O252" i="10" s="1"/>
  <c r="X195" i="16"/>
  <c r="X217" i="16" s="1"/>
  <c r="X803" i="16" s="1"/>
  <c r="X802" i="16" s="1"/>
  <c r="X812" i="16" s="1"/>
  <c r="X253" i="10" s="1"/>
  <c r="X252" i="10" s="1"/>
  <c r="V195" i="16"/>
  <c r="V217" i="16" s="1"/>
  <c r="V803" i="16" s="1"/>
  <c r="V802" i="16" s="1"/>
  <c r="V812" i="16" s="1"/>
  <c r="V253" i="10" s="1"/>
  <c r="V252" i="10" s="1"/>
  <c r="M195" i="16"/>
  <c r="M217" i="16" s="1"/>
  <c r="M803" i="16" s="1"/>
  <c r="M802" i="16" s="1"/>
  <c r="M812" i="16" s="1"/>
  <c r="M253" i="10" s="1"/>
  <c r="M252" i="10" s="1"/>
  <c r="Q195" i="16"/>
  <c r="Q217" i="16" s="1"/>
  <c r="Q803" i="16" s="1"/>
  <c r="Q802" i="16" s="1"/>
  <c r="Q812" i="16" s="1"/>
  <c r="Q253" i="10" s="1"/>
  <c r="Q252" i="10" s="1"/>
  <c r="W195" i="16"/>
  <c r="W217" i="16" s="1"/>
  <c r="W803" i="16" s="1"/>
  <c r="W802" i="16" s="1"/>
  <c r="W812" i="16" s="1"/>
  <c r="W253" i="10" s="1"/>
  <c r="W252" i="10" s="1"/>
  <c r="D1126" i="16"/>
  <c r="O1680" i="16"/>
  <c r="O2194" i="16" s="1"/>
  <c r="M2194" i="16"/>
  <c r="O988" i="16"/>
  <c r="P988" i="16" s="1"/>
  <c r="N990" i="16"/>
  <c r="P994" i="16"/>
  <c r="Q994" i="16" s="1"/>
  <c r="R994" i="16" s="1"/>
  <c r="M995" i="16"/>
  <c r="N995" i="16" s="1"/>
  <c r="M1681" i="16"/>
  <c r="N1681" i="16" s="1"/>
  <c r="U1666" i="16"/>
  <c r="V1666" i="16" s="1"/>
  <c r="M1991" i="16"/>
  <c r="N1991" i="16" s="1"/>
  <c r="L1688" i="16"/>
  <c r="M1688" i="16" s="1"/>
  <c r="N1688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K2242" i="16"/>
  <c r="K2011" i="16"/>
  <c r="K2012" i="16" s="1"/>
  <c r="L2012" i="16" s="1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68" i="16"/>
  <c r="Q1270" i="16"/>
  <c r="V355" i="10"/>
  <c r="D1010" i="20"/>
  <c r="J1006" i="20" a="1"/>
  <c r="J1006" i="20" s="1"/>
  <c r="T681" i="20"/>
  <c r="U680" i="20"/>
  <c r="V680" i="20" s="1"/>
  <c r="V682" i="20" s="1"/>
  <c r="X1612" i="16"/>
  <c r="U666" i="20"/>
  <c r="U668" i="20" s="1"/>
  <c r="T667" i="20"/>
  <c r="W84" i="16"/>
  <c r="R976" i="16"/>
  <c r="L1001" i="16"/>
  <c r="U947" i="16"/>
  <c r="S959" i="16"/>
  <c r="T959" i="16" s="1"/>
  <c r="O717" i="20"/>
  <c r="R715" i="20"/>
  <c r="S715" i="20" s="1"/>
  <c r="T715" i="20" s="1"/>
  <c r="U715" i="20" s="1"/>
  <c r="V715" i="20" s="1"/>
  <c r="W715" i="20" s="1"/>
  <c r="X715" i="20" s="1"/>
  <c r="P717" i="20"/>
  <c r="N716" i="20"/>
  <c r="O716" i="20" s="1"/>
  <c r="P716" i="20" s="1"/>
  <c r="P860" i="20"/>
  <c r="Q860" i="20" s="1"/>
  <c r="P861" i="20"/>
  <c r="O867" i="20"/>
  <c r="P866" i="20"/>
  <c r="P868" i="20" s="1"/>
  <c r="N776" i="20"/>
  <c r="O776" i="20" s="1"/>
  <c r="P776" i="20" s="1"/>
  <c r="Q733" i="20"/>
  <c r="P754" i="20"/>
  <c r="P756" i="20" s="1"/>
  <c r="N756" i="20"/>
  <c r="O734" i="20"/>
  <c r="P734" i="20" s="1"/>
  <c r="P735" i="20" s="1"/>
  <c r="N755" i="20"/>
  <c r="O755" i="20" s="1"/>
  <c r="P852" i="20"/>
  <c r="Q852" i="20" s="1"/>
  <c r="Q854" i="20" s="1"/>
  <c r="M979" i="20"/>
  <c r="M980" i="20" s="1"/>
  <c r="O797" i="20"/>
  <c r="N832" i="20"/>
  <c r="O831" i="20"/>
  <c r="O833" i="20" s="1"/>
  <c r="O853" i="20"/>
  <c r="P796" i="20"/>
  <c r="Q796" i="20" s="1"/>
  <c r="Q798" i="20" s="1"/>
  <c r="N769" i="20"/>
  <c r="O769" i="20" s="1"/>
  <c r="P769" i="20" s="1"/>
  <c r="N937" i="20"/>
  <c r="O936" i="20"/>
  <c r="O938" i="20" s="1"/>
  <c r="K1167" i="20"/>
  <c r="K1168" i="20" s="1"/>
  <c r="L1166" i="20"/>
  <c r="M1166" i="20" s="1"/>
  <c r="K594" i="20"/>
  <c r="L594" i="20" s="1"/>
  <c r="M1522" i="16"/>
  <c r="M1508" i="16" s="1"/>
  <c r="M371" i="16" s="1"/>
  <c r="M792" i="16" s="1"/>
  <c r="M200" i="10" s="1"/>
  <c r="N1521" i="16"/>
  <c r="N1507" i="16" s="1"/>
  <c r="N370" i="16" s="1"/>
  <c r="O1520" i="16"/>
  <c r="O1506" i="16" s="1"/>
  <c r="O369" i="16" s="1"/>
  <c r="N2170" i="16"/>
  <c r="U1647" i="16"/>
  <c r="O1989" i="16"/>
  <c r="O2239" i="16" s="1"/>
  <c r="N1990" i="16"/>
  <c r="M2010" i="16"/>
  <c r="M2242" i="16" s="1"/>
  <c r="V942" i="16"/>
  <c r="O1536" i="16"/>
  <c r="P1536" i="16" s="1"/>
  <c r="O1529" i="16"/>
  <c r="X1633" i="16"/>
  <c r="R960" i="16"/>
  <c r="M996" i="16"/>
  <c r="S1654" i="16"/>
  <c r="P1970" i="16"/>
  <c r="N1984" i="16"/>
  <c r="O1984" i="16" s="1"/>
  <c r="N2019" i="16"/>
  <c r="O2019" i="16" s="1"/>
  <c r="V1640" i="16"/>
  <c r="W1640" i="16" s="1"/>
  <c r="X1640" i="16" s="1"/>
  <c r="M882" i="20"/>
  <c r="M1682" i="16"/>
  <c r="N1682" i="16" s="1"/>
  <c r="D1708" i="16"/>
  <c r="F1707" i="16" s="1"/>
  <c r="G171" i="20" s="1"/>
  <c r="W1619" i="16"/>
  <c r="X1619" i="16" s="1"/>
  <c r="P1668" i="16"/>
  <c r="Q1668" i="16" s="1"/>
  <c r="R1241" i="16"/>
  <c r="S1241" i="16" s="1"/>
  <c r="V1366" i="16"/>
  <c r="W1366" i="16" s="1"/>
  <c r="R287" i="16"/>
  <c r="R789" i="16" s="1"/>
  <c r="R195" i="10" s="1"/>
  <c r="R1968" i="16"/>
  <c r="S1968" i="16" s="1"/>
  <c r="Q1969" i="16"/>
  <c r="N593" i="20"/>
  <c r="L595" i="20"/>
  <c r="P2018" i="16"/>
  <c r="Q2018" i="16" s="1"/>
  <c r="P2243" i="16"/>
  <c r="P2238" i="16"/>
  <c r="P1983" i="16"/>
  <c r="Q1983" i="16" s="1"/>
  <c r="R1982" i="16"/>
  <c r="R2238" i="16" s="1"/>
  <c r="L2242" i="16"/>
  <c r="R2017" i="16"/>
  <c r="R2243" i="16" s="1"/>
  <c r="Q2243" i="16"/>
  <c r="N1961" i="16"/>
  <c r="M2235" i="16"/>
  <c r="M1962" i="16"/>
  <c r="M1963" i="16" s="1"/>
  <c r="L2240" i="16"/>
  <c r="M1996" i="16"/>
  <c r="M2240" i="16" s="1"/>
  <c r="L1997" i="16"/>
  <c r="D2003" i="16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T2257" i="16" s="1"/>
  <c r="T91" i="16" s="1"/>
  <c r="T101" i="12" s="1"/>
  <c r="T109" i="12" s="1"/>
  <c r="S2273" i="16"/>
  <c r="S2269" i="16"/>
  <c r="X918" i="16"/>
  <c r="T455" i="20"/>
  <c r="U455" i="20" s="1"/>
  <c r="U456" i="20" s="1"/>
  <c r="M1000" i="16"/>
  <c r="V435" i="20"/>
  <c r="W434" i="20"/>
  <c r="T1233" i="16"/>
  <c r="T1234" i="16" s="1"/>
  <c r="L1002" i="16"/>
  <c r="U1232" i="16"/>
  <c r="U2127" i="16" s="1"/>
  <c r="R449" i="20"/>
  <c r="S448" i="20"/>
  <c r="S442" i="20"/>
  <c r="T441" i="20"/>
  <c r="W421" i="20"/>
  <c r="X420" i="20"/>
  <c r="X421" i="20" s="1"/>
  <c r="V428" i="20"/>
  <c r="W427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T456" i="20"/>
  <c r="V447" i="20"/>
  <c r="O978" i="20"/>
  <c r="O980" i="20" s="1"/>
  <c r="Q873" i="20"/>
  <c r="Q875" i="20" s="1"/>
  <c r="P874" i="20"/>
  <c r="T817" i="20"/>
  <c r="T819" i="20" s="1"/>
  <c r="R944" i="20"/>
  <c r="R945" i="20"/>
  <c r="S943" i="20"/>
  <c r="S818" i="20"/>
  <c r="W440" i="20"/>
  <c r="Q929" i="20"/>
  <c r="P930" i="20"/>
  <c r="R859" i="20"/>
  <c r="R861" i="20" s="1"/>
  <c r="O887" i="20"/>
  <c r="N888" i="20"/>
  <c r="T673" i="20"/>
  <c r="T675" i="20" s="1"/>
  <c r="S674" i="20"/>
  <c r="P880" i="20"/>
  <c r="Q880" i="20" s="1"/>
  <c r="X454" i="20"/>
  <c r="O587" i="20"/>
  <c r="O588" i="20"/>
  <c r="P586" i="20"/>
  <c r="Q586" i="20" s="1"/>
  <c r="S922" i="20"/>
  <c r="P783" i="20"/>
  <c r="R923" i="20"/>
  <c r="O811" i="20"/>
  <c r="T652" i="20"/>
  <c r="U652" i="20" s="1"/>
  <c r="U654" i="20" s="1"/>
  <c r="Q782" i="20"/>
  <c r="Q784" i="20" s="1"/>
  <c r="O881" i="20"/>
  <c r="O770" i="20"/>
  <c r="Q768" i="20"/>
  <c r="S653" i="20"/>
  <c r="O812" i="20"/>
  <c r="P810" i="20"/>
  <c r="O803" i="20"/>
  <c r="N804" i="20"/>
  <c r="U659" i="20"/>
  <c r="V659" i="20" s="1"/>
  <c r="V661" i="20" s="1"/>
  <c r="S661" i="20"/>
  <c r="S660" i="20"/>
  <c r="T660" i="20" s="1"/>
  <c r="Q789" i="20"/>
  <c r="Q791" i="20" s="1"/>
  <c r="T618" i="20"/>
  <c r="T619" i="20" s="1"/>
  <c r="P790" i="20"/>
  <c r="T639" i="20"/>
  <c r="U639" i="20" s="1"/>
  <c r="U617" i="20"/>
  <c r="V617" i="20" s="1"/>
  <c r="U625" i="20"/>
  <c r="U626" i="20" s="1"/>
  <c r="Q775" i="20"/>
  <c r="R775" i="20" s="1"/>
  <c r="R777" i="20" s="1"/>
  <c r="P777" i="20"/>
  <c r="P762" i="20"/>
  <c r="V624" i="20"/>
  <c r="T640" i="20"/>
  <c r="Q761" i="20"/>
  <c r="Q763" i="20" s="1"/>
  <c r="V638" i="20"/>
  <c r="W638" i="20" s="1"/>
  <c r="W640" i="20" s="1"/>
  <c r="N749" i="20"/>
  <c r="P747" i="20"/>
  <c r="N748" i="20"/>
  <c r="O748" i="20" s="1"/>
  <c r="Q741" i="20"/>
  <c r="R741" i="20" s="1"/>
  <c r="T632" i="20"/>
  <c r="U631" i="20"/>
  <c r="R742" i="20"/>
  <c r="S740" i="20"/>
  <c r="S742" i="20" s="1"/>
  <c r="Q742" i="20"/>
  <c r="O726" i="20"/>
  <c r="P726" i="20" s="1"/>
  <c r="N727" i="20"/>
  <c r="N728" i="20" s="1"/>
  <c r="U580" i="20"/>
  <c r="X2262" i="16"/>
  <c r="X27" i="16" s="1"/>
  <c r="W2274" i="16"/>
  <c r="V930" i="16"/>
  <c r="X929" i="16"/>
  <c r="N986" i="20"/>
  <c r="L1001" i="20"/>
  <c r="N992" i="20"/>
  <c r="O992" i="20" s="1"/>
  <c r="P992" i="20" s="1"/>
  <c r="Q992" i="20" s="1"/>
  <c r="K1008" i="20"/>
  <c r="N999" i="20"/>
  <c r="O999" i="20" s="1"/>
  <c r="R1534" i="16"/>
  <c r="S1534" i="16" s="1"/>
  <c r="T1534" i="16" s="1"/>
  <c r="U1534" i="16" s="1"/>
  <c r="V1534" i="16" s="1"/>
  <c r="W1534" i="16" s="1"/>
  <c r="X1534" i="16" s="1"/>
  <c r="O985" i="20"/>
  <c r="M993" i="20"/>
  <c r="M994" i="20" s="1"/>
  <c r="L1696" i="16"/>
  <c r="O1542" i="16"/>
  <c r="P1542" i="16" s="1"/>
  <c r="V563" i="20"/>
  <c r="R701" i="20"/>
  <c r="S701" i="20" s="1"/>
  <c r="T701" i="20" s="1"/>
  <c r="U701" i="20" s="1"/>
  <c r="V701" i="20" s="1"/>
  <c r="W701" i="20" s="1"/>
  <c r="M2195" i="16"/>
  <c r="R687" i="20"/>
  <c r="S687" i="20" s="1"/>
  <c r="T687" i="20" s="1"/>
  <c r="U687" i="20" s="1"/>
  <c r="V687" i="20" s="1"/>
  <c r="W687" i="20" s="1"/>
  <c r="X687" i="20" s="1"/>
  <c r="L1006" i="20"/>
  <c r="M1006" i="20" s="1"/>
  <c r="U569" i="20"/>
  <c r="T571" i="20"/>
  <c r="W562" i="20"/>
  <c r="V564" i="20"/>
  <c r="O1687" i="16"/>
  <c r="P1687" i="16" s="1"/>
  <c r="P2195" i="16" s="1"/>
  <c r="N2195" i="16"/>
  <c r="T570" i="20"/>
  <c r="O2169" i="16"/>
  <c r="L2196" i="16"/>
  <c r="Q973" i="20"/>
  <c r="T958" i="20"/>
  <c r="L1000" i="20"/>
  <c r="O1514" i="16"/>
  <c r="P1514" i="16" s="1"/>
  <c r="V951" i="20"/>
  <c r="X1513" i="16"/>
  <c r="N987" i="20"/>
  <c r="Q972" i="20"/>
  <c r="R972" i="20" s="1"/>
  <c r="C1024" i="20"/>
  <c r="D1019" i="20"/>
  <c r="C1018" i="20"/>
  <c r="D1018" i="20"/>
  <c r="E1018" i="20" s="1"/>
  <c r="C1019" i="20"/>
  <c r="C1020" i="20" s="1"/>
  <c r="T959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Q1535" i="16"/>
  <c r="T1372" i="16"/>
  <c r="T1373" i="16" s="1"/>
  <c r="L1695" i="16"/>
  <c r="M1695" i="16" s="1"/>
  <c r="X924" i="16"/>
  <c r="X1365" i="16"/>
  <c r="V1646" i="16"/>
  <c r="T2190" i="16"/>
  <c r="T1653" i="16"/>
  <c r="M2196" i="16"/>
  <c r="B1712" i="16"/>
  <c r="Q1718" i="16"/>
  <c r="D1713" i="16"/>
  <c r="R1718" i="16"/>
  <c r="K1718" i="16"/>
  <c r="S1718" i="16"/>
  <c r="L1718" i="16"/>
  <c r="T1718" i="16"/>
  <c r="M1718" i="16"/>
  <c r="U1718" i="16"/>
  <c r="N1718" i="16"/>
  <c r="E1714" i="16"/>
  <c r="D1714" i="16" s="1"/>
  <c r="O1718" i="16"/>
  <c r="W1718" i="16"/>
  <c r="E1713" i="16"/>
  <c r="F1713" i="16" s="1"/>
  <c r="G177" i="20" s="1"/>
  <c r="P1718" i="16"/>
  <c r="X1718" i="16"/>
  <c r="D1719" i="16"/>
  <c r="V1718" i="16"/>
  <c r="R1667" i="16"/>
  <c r="R2192" i="16"/>
  <c r="K2197" i="16"/>
  <c r="K1702" i="16"/>
  <c r="K1703" i="16" s="1"/>
  <c r="V2149" i="16"/>
  <c r="S1379" i="16"/>
  <c r="S1380" i="16" s="1"/>
  <c r="R286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P702" i="20"/>
  <c r="P1528" i="16"/>
  <c r="N1543" i="16"/>
  <c r="Q717" i="20"/>
  <c r="O709" i="20"/>
  <c r="O710" i="20" s="1"/>
  <c r="X211" i="10"/>
  <c r="X247" i="10" s="1"/>
  <c r="X290" i="10"/>
  <c r="P2171" i="16"/>
  <c r="P703" i="20"/>
  <c r="N688" i="20"/>
  <c r="N689" i="20" s="1"/>
  <c r="W432" i="10"/>
  <c r="W355" i="10"/>
  <c r="P2169" i="16"/>
  <c r="P2173" i="16"/>
  <c r="O695" i="20"/>
  <c r="O696" i="20" s="1"/>
  <c r="X109" i="18"/>
  <c r="X113" i="18"/>
  <c r="X356" i="10" s="1"/>
  <c r="K1120" i="16" l="1"/>
  <c r="K2111" i="16" s="1"/>
  <c r="K314" i="20"/>
  <c r="L314" i="20" s="1"/>
  <c r="M314" i="20" s="1"/>
  <c r="U948" i="16"/>
  <c r="W1225" i="16"/>
  <c r="W2126" i="16" s="1"/>
  <c r="V1226" i="16"/>
  <c r="V1227" i="16"/>
  <c r="T1240" i="16"/>
  <c r="U1239" i="16"/>
  <c r="U2128" i="16" s="1"/>
  <c r="X1220" i="16"/>
  <c r="X1219" i="16"/>
  <c r="X1212" i="16"/>
  <c r="X1213" i="16" s="1"/>
  <c r="U1246" i="16"/>
  <c r="U2129" i="16" s="1"/>
  <c r="R1268" i="16"/>
  <c r="S1268" i="16" s="1"/>
  <c r="R1261" i="16"/>
  <c r="S1260" i="16"/>
  <c r="S2131" i="16" s="1"/>
  <c r="R2131" i="16"/>
  <c r="S1248" i="16"/>
  <c r="T1247" i="16"/>
  <c r="S1254" i="16"/>
  <c r="T1253" i="16"/>
  <c r="Q1262" i="16"/>
  <c r="R1262" i="16" s="1"/>
  <c r="V1232" i="16"/>
  <c r="V2127" i="16" s="1"/>
  <c r="R1255" i="16"/>
  <c r="R1270" i="16"/>
  <c r="R2132" i="16"/>
  <c r="Q1269" i="16"/>
  <c r="R1269" i="16" s="1"/>
  <c r="F1119" i="16"/>
  <c r="E29" i="20" s="1"/>
  <c r="F29" i="20" s="1"/>
  <c r="F50" i="20" s="1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K253" i="10"/>
  <c r="K252" i="10" s="1"/>
  <c r="P1680" i="16"/>
  <c r="Q1680" i="16" s="1"/>
  <c r="Q2194" i="16" s="1"/>
  <c r="D1127" i="16"/>
  <c r="O1681" i="16"/>
  <c r="O989" i="16"/>
  <c r="P989" i="16" s="1"/>
  <c r="Q988" i="16"/>
  <c r="R988" i="16" s="1"/>
  <c r="S994" i="16"/>
  <c r="T994" i="16" s="1"/>
  <c r="L1007" i="16"/>
  <c r="M1007" i="16" s="1"/>
  <c r="O735" i="20"/>
  <c r="W1666" i="16"/>
  <c r="X1666" i="16" s="1"/>
  <c r="U390" i="10"/>
  <c r="P1660" i="16"/>
  <c r="Q1660" i="16" s="1"/>
  <c r="L1008" i="16"/>
  <c r="L2011" i="16"/>
  <c r="M2011" i="16" s="1"/>
  <c r="M2012" i="16" s="1"/>
  <c r="P1661" i="16"/>
  <c r="Q1661" i="16" s="1"/>
  <c r="P2191" i="16"/>
  <c r="M1674" i="16"/>
  <c r="M2026" i="16"/>
  <c r="N2026" i="16" s="1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T1267" i="16"/>
  <c r="D1017" i="20"/>
  <c r="J1013" i="20" a="1"/>
  <c r="J1013" i="20" s="1"/>
  <c r="U682" i="20"/>
  <c r="U681" i="20"/>
  <c r="V681" i="20" s="1"/>
  <c r="V666" i="20"/>
  <c r="V668" i="20" s="1"/>
  <c r="U667" i="20"/>
  <c r="X84" i="16"/>
  <c r="R80" i="16"/>
  <c r="N979" i="20"/>
  <c r="O979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54" i="20"/>
  <c r="Q756" i="20" s="1"/>
  <c r="P867" i="20"/>
  <c r="Q866" i="20"/>
  <c r="Q868" i="20" s="1"/>
  <c r="R733" i="20"/>
  <c r="S733" i="20" s="1"/>
  <c r="T733" i="20" s="1"/>
  <c r="Q734" i="20"/>
  <c r="Q735" i="20" s="1"/>
  <c r="P755" i="20"/>
  <c r="P854" i="20"/>
  <c r="R852" i="20"/>
  <c r="R854" i="20" s="1"/>
  <c r="P853" i="20"/>
  <c r="Q853" i="20" s="1"/>
  <c r="O832" i="20"/>
  <c r="P831" i="20"/>
  <c r="P833" i="20" s="1"/>
  <c r="P797" i="20"/>
  <c r="Q797" i="20" s="1"/>
  <c r="P798" i="20"/>
  <c r="O937" i="20"/>
  <c r="R796" i="20"/>
  <c r="R798" i="20" s="1"/>
  <c r="P936" i="20"/>
  <c r="P938" i="20" s="1"/>
  <c r="N1166" i="20"/>
  <c r="N1168" i="20" s="1"/>
  <c r="L1168" i="20"/>
  <c r="L1167" i="20"/>
  <c r="M1167" i="20" s="1"/>
  <c r="M1168" i="20" s="1"/>
  <c r="K595" i="20"/>
  <c r="Q1536" i="16"/>
  <c r="X1366" i="16"/>
  <c r="P1520" i="16"/>
  <c r="O2170" i="16"/>
  <c r="N1522" i="16"/>
  <c r="O1521" i="16"/>
  <c r="O1507" i="16" s="1"/>
  <c r="O370" i="16" s="1"/>
  <c r="V1647" i="16"/>
  <c r="P1529" i="16"/>
  <c r="O1682" i="16"/>
  <c r="N2010" i="16"/>
  <c r="O2010" i="16" s="1"/>
  <c r="P1989" i="16"/>
  <c r="Q1989" i="16" s="1"/>
  <c r="R1989" i="16" s="1"/>
  <c r="R2239" i="16" s="1"/>
  <c r="O1990" i="16"/>
  <c r="O1991" i="16" s="1"/>
  <c r="W942" i="16"/>
  <c r="T1654" i="16"/>
  <c r="Q1970" i="16"/>
  <c r="P2019" i="16"/>
  <c r="Q2019" i="16" s="1"/>
  <c r="P1984" i="16"/>
  <c r="Q1984" i="16" s="1"/>
  <c r="R1668" i="16"/>
  <c r="D1715" i="16"/>
  <c r="F1714" i="16" s="1"/>
  <c r="G178" i="20" s="1"/>
  <c r="G180" i="20" s="1"/>
  <c r="M1689" i="16"/>
  <c r="N1689" i="16" s="1"/>
  <c r="T1241" i="16"/>
  <c r="M1696" i="16"/>
  <c r="S287" i="16"/>
  <c r="S789" i="16" s="1"/>
  <c r="S195" i="10" s="1"/>
  <c r="R2236" i="16"/>
  <c r="R1969" i="16"/>
  <c r="S1969" i="16" s="1"/>
  <c r="M594" i="20"/>
  <c r="M595" i="20" s="1"/>
  <c r="O593" i="20"/>
  <c r="N595" i="20"/>
  <c r="O1515" i="16"/>
  <c r="P1515" i="16" s="1"/>
  <c r="S1982" i="16"/>
  <c r="T1982" i="16" s="1"/>
  <c r="R1983" i="16"/>
  <c r="S2017" i="16"/>
  <c r="S2243" i="16" s="1"/>
  <c r="R2018" i="16"/>
  <c r="F1873" i="16"/>
  <c r="K1874" i="16" s="1"/>
  <c r="L1874" i="16" s="1"/>
  <c r="M1874" i="16" s="1"/>
  <c r="M2220" i="16" s="1"/>
  <c r="K1870" i="16"/>
  <c r="L1870" i="16"/>
  <c r="M1870" i="16"/>
  <c r="N1870" i="16"/>
  <c r="O1870" i="16"/>
  <c r="P1870" i="16"/>
  <c r="Q1870" i="16"/>
  <c r="R1870" i="16"/>
  <c r="S1870" i="16"/>
  <c r="T1870" i="16"/>
  <c r="U1870" i="16"/>
  <c r="V1870" i="16"/>
  <c r="W1870" i="16"/>
  <c r="X1870" i="16"/>
  <c r="N1962" i="16"/>
  <c r="N1963" i="16" s="1"/>
  <c r="N2235" i="16"/>
  <c r="O1961" i="16"/>
  <c r="F2002" i="16"/>
  <c r="N1996" i="16"/>
  <c r="T1968" i="16"/>
  <c r="T2236" i="16" s="1"/>
  <c r="S2236" i="16"/>
  <c r="M1997" i="16"/>
  <c r="M1998" i="16" s="1"/>
  <c r="V455" i="20"/>
  <c r="W455" i="20" s="1"/>
  <c r="W456" i="20" s="1"/>
  <c r="T2261" i="16"/>
  <c r="S20" i="16"/>
  <c r="S81" i="16" s="1"/>
  <c r="S2281" i="16"/>
  <c r="W28" i="16"/>
  <c r="W82" i="16" s="1"/>
  <c r="N1000" i="16"/>
  <c r="W435" i="20"/>
  <c r="X434" i="20"/>
  <c r="X435" i="20" s="1"/>
  <c r="U1233" i="16"/>
  <c r="T966" i="16"/>
  <c r="T442" i="20"/>
  <c r="U441" i="20"/>
  <c r="W428" i="20"/>
  <c r="X427" i="20"/>
  <c r="X428" i="20" s="1"/>
  <c r="S449" i="20"/>
  <c r="T448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/>
  <c r="D1028" i="16"/>
  <c r="C1030" i="16"/>
  <c r="B1027" i="16"/>
  <c r="D1033" i="16"/>
  <c r="J1032" i="16"/>
  <c r="E1029" i="16"/>
  <c r="N1006" i="16"/>
  <c r="O1006" i="16" s="1"/>
  <c r="X941" i="16"/>
  <c r="V456" i="20"/>
  <c r="W447" i="20"/>
  <c r="X447" i="20" s="1"/>
  <c r="P978" i="20"/>
  <c r="Q978" i="20" s="1"/>
  <c r="Q980" i="20" s="1"/>
  <c r="Q874" i="20"/>
  <c r="R873" i="20"/>
  <c r="R875" i="20" s="1"/>
  <c r="U817" i="20"/>
  <c r="V817" i="20" s="1"/>
  <c r="V819" i="20" s="1"/>
  <c r="T818" i="20"/>
  <c r="S944" i="20"/>
  <c r="T943" i="20"/>
  <c r="S945" i="20"/>
  <c r="T674" i="20"/>
  <c r="T653" i="20"/>
  <c r="U653" i="20" s="1"/>
  <c r="S859" i="20"/>
  <c r="S861" i="20" s="1"/>
  <c r="U673" i="20"/>
  <c r="U675" i="20" s="1"/>
  <c r="Q930" i="20"/>
  <c r="X440" i="20"/>
  <c r="P881" i="20"/>
  <c r="Q881" i="20" s="1"/>
  <c r="P882" i="20"/>
  <c r="R860" i="20"/>
  <c r="R929" i="20"/>
  <c r="Q931" i="20"/>
  <c r="O888" i="20"/>
  <c r="P887" i="20"/>
  <c r="O889" i="20"/>
  <c r="P588" i="20"/>
  <c r="R586" i="20"/>
  <c r="P587" i="20"/>
  <c r="Q769" i="20"/>
  <c r="Q588" i="20"/>
  <c r="R782" i="20"/>
  <c r="R784" i="20" s="1"/>
  <c r="S923" i="20"/>
  <c r="S924" i="20"/>
  <c r="T922" i="20"/>
  <c r="T654" i="20"/>
  <c r="U661" i="20"/>
  <c r="R768" i="20"/>
  <c r="Q783" i="20"/>
  <c r="Q770" i="20"/>
  <c r="U660" i="20"/>
  <c r="V660" i="20" s="1"/>
  <c r="C342" i="20"/>
  <c r="D547" i="20"/>
  <c r="W659" i="20"/>
  <c r="W661" i="20" s="1"/>
  <c r="O804" i="20"/>
  <c r="Q882" i="20"/>
  <c r="R880" i="20"/>
  <c r="P803" i="20"/>
  <c r="P805" i="20" s="1"/>
  <c r="O805" i="20"/>
  <c r="P812" i="20"/>
  <c r="Q810" i="20"/>
  <c r="P811" i="20"/>
  <c r="R789" i="20"/>
  <c r="R791" i="20" s="1"/>
  <c r="Q790" i="20"/>
  <c r="V652" i="20"/>
  <c r="V654" i="20" s="1"/>
  <c r="V625" i="20"/>
  <c r="V626" i="20" s="1"/>
  <c r="W680" i="20"/>
  <c r="W682" i="20" s="1"/>
  <c r="Q762" i="20"/>
  <c r="W617" i="20"/>
  <c r="V639" i="20"/>
  <c r="W639" i="20" s="1"/>
  <c r="U618" i="20"/>
  <c r="V618" i="20" s="1"/>
  <c r="V619" i="20" s="1"/>
  <c r="Q777" i="20"/>
  <c r="P748" i="20"/>
  <c r="W624" i="20"/>
  <c r="S775" i="20"/>
  <c r="Q776" i="20"/>
  <c r="R776" i="20" s="1"/>
  <c r="R761" i="20"/>
  <c r="V640" i="20"/>
  <c r="X638" i="20"/>
  <c r="X640" i="20" s="1"/>
  <c r="P749" i="20"/>
  <c r="Q747" i="20"/>
  <c r="S741" i="20"/>
  <c r="U633" i="20"/>
  <c r="V631" i="20"/>
  <c r="U632" i="20"/>
  <c r="O727" i="20"/>
  <c r="P727" i="20" s="1"/>
  <c r="P728" i="20" s="1"/>
  <c r="T740" i="20"/>
  <c r="Q726" i="20"/>
  <c r="V580" i="20"/>
  <c r="X2274" i="16"/>
  <c r="W930" i="16"/>
  <c r="O994" i="20"/>
  <c r="N1001" i="20"/>
  <c r="N993" i="20"/>
  <c r="O993" i="20" s="1"/>
  <c r="P993" i="20" s="1"/>
  <c r="N994" i="20"/>
  <c r="O1688" i="16"/>
  <c r="P1688" i="16" s="1"/>
  <c r="U1372" i="16"/>
  <c r="U1373" i="16" s="1"/>
  <c r="S2172" i="16"/>
  <c r="R1535" i="16"/>
  <c r="S1535" i="16" s="1"/>
  <c r="T1535" i="16" s="1"/>
  <c r="U1535" i="16" s="1"/>
  <c r="R2172" i="16"/>
  <c r="O987" i="20"/>
  <c r="P985" i="20"/>
  <c r="L1007" i="20"/>
  <c r="M1007" i="20" s="1"/>
  <c r="M1008" i="20" s="1"/>
  <c r="O986" i="20"/>
  <c r="O2195" i="16"/>
  <c r="X701" i="20"/>
  <c r="E1019" i="20"/>
  <c r="K1020" i="20" s="1"/>
  <c r="K1021" i="20" s="1"/>
  <c r="R992" i="20"/>
  <c r="S992" i="20" s="1"/>
  <c r="T992" i="20" s="1"/>
  <c r="U992" i="20" s="1"/>
  <c r="V992" i="20" s="1"/>
  <c r="X562" i="20"/>
  <c r="X564" i="20" s="1"/>
  <c r="W563" i="20"/>
  <c r="W564" i="20"/>
  <c r="V569" i="20"/>
  <c r="U571" i="20"/>
  <c r="P999" i="20"/>
  <c r="N1006" i="20"/>
  <c r="L1008" i="20"/>
  <c r="U959" i="20"/>
  <c r="S972" i="20"/>
  <c r="C1031" i="20"/>
  <c r="D1026" i="20"/>
  <c r="D1025" i="20"/>
  <c r="E1025" i="20" s="1"/>
  <c r="C1025" i="20"/>
  <c r="C1026" i="20"/>
  <c r="C1027" i="20" s="1"/>
  <c r="P994" i="20"/>
  <c r="M1000" i="20"/>
  <c r="M1001" i="20" s="1"/>
  <c r="R973" i="20"/>
  <c r="U570" i="20"/>
  <c r="U958" i="20"/>
  <c r="V958" i="20" s="1"/>
  <c r="O1001" i="20"/>
  <c r="V952" i="20"/>
  <c r="V1371" i="16"/>
  <c r="U2148" i="16"/>
  <c r="U285" i="16"/>
  <c r="M1701" i="16"/>
  <c r="Q1687" i="16"/>
  <c r="R1687" i="16" s="1"/>
  <c r="S1687" i="16" s="1"/>
  <c r="T1687" i="16" s="1"/>
  <c r="U1687" i="16" s="1"/>
  <c r="V1687" i="16" s="1"/>
  <c r="W1687" i="16" s="1"/>
  <c r="X1687" i="16" s="1"/>
  <c r="K1715" i="16"/>
  <c r="K1716" i="16" s="1"/>
  <c r="O1694" i="16"/>
  <c r="L1703" i="16"/>
  <c r="L1702" i="16"/>
  <c r="V2192" i="16"/>
  <c r="N2196" i="16"/>
  <c r="S1667" i="16"/>
  <c r="T1667" i="16" s="1"/>
  <c r="U1667" i="16" s="1"/>
  <c r="V1667" i="16" s="1"/>
  <c r="N1695" i="16"/>
  <c r="U2192" i="16"/>
  <c r="D1726" i="16"/>
  <c r="Q1725" i="16"/>
  <c r="E1720" i="16"/>
  <c r="F1720" i="16" s="1"/>
  <c r="R1725" i="16"/>
  <c r="K1725" i="16"/>
  <c r="S1725" i="16"/>
  <c r="L1725" i="16"/>
  <c r="T1725" i="16"/>
  <c r="M1725" i="16"/>
  <c r="U1725" i="16"/>
  <c r="D1720" i="16"/>
  <c r="N1725" i="16"/>
  <c r="V1725" i="16"/>
  <c r="B1719" i="16"/>
  <c r="O1725" i="16"/>
  <c r="W1725" i="16"/>
  <c r="E1721" i="16"/>
  <c r="D1721" i="16" s="1"/>
  <c r="P1725" i="16"/>
  <c r="X1725" i="16"/>
  <c r="U1653" i="16"/>
  <c r="T2192" i="16"/>
  <c r="V2190" i="16"/>
  <c r="U2190" i="16"/>
  <c r="S2192" i="16"/>
  <c r="W2189" i="16"/>
  <c r="W2149" i="16"/>
  <c r="W1646" i="16"/>
  <c r="S286" i="16"/>
  <c r="T1379" i="16"/>
  <c r="T1380" i="16" s="1"/>
  <c r="V390" i="10"/>
  <c r="R390" i="10"/>
  <c r="L390" i="10"/>
  <c r="M390" i="10"/>
  <c r="Q390" i="10"/>
  <c r="Q716" i="20"/>
  <c r="S717" i="20"/>
  <c r="Q1528" i="16"/>
  <c r="P709" i="20"/>
  <c r="Q709" i="20" s="1"/>
  <c r="Q702" i="20"/>
  <c r="R702" i="20" s="1"/>
  <c r="R703" i="20" s="1"/>
  <c r="O1543" i="16"/>
  <c r="Q1542" i="16"/>
  <c r="T2172" i="16"/>
  <c r="X355" i="10"/>
  <c r="X390" i="10" s="1"/>
  <c r="X432" i="10"/>
  <c r="P696" i="20"/>
  <c r="P695" i="20"/>
  <c r="U2172" i="16"/>
  <c r="Q710" i="20"/>
  <c r="P710" i="20"/>
  <c r="O688" i="20"/>
  <c r="O689" i="20" s="1"/>
  <c r="Q1514" i="16"/>
  <c r="Q2173" i="16"/>
  <c r="Q2171" i="16"/>
  <c r="Q2169" i="16"/>
  <c r="K315" i="20" l="1"/>
  <c r="L315" i="20" s="1"/>
  <c r="K1121" i="16"/>
  <c r="L1120" i="16"/>
  <c r="L2111" i="16" s="1"/>
  <c r="K1127" i="16"/>
  <c r="V948" i="16"/>
  <c r="O990" i="16"/>
  <c r="P990" i="16" s="1"/>
  <c r="X1225" i="16"/>
  <c r="X2126" i="16" s="1"/>
  <c r="W1226" i="16"/>
  <c r="W1227" i="16"/>
  <c r="V1239" i="16"/>
  <c r="V2128" i="16" s="1"/>
  <c r="U1240" i="16"/>
  <c r="S1269" i="16"/>
  <c r="V1246" i="16"/>
  <c r="V2129" i="16" s="1"/>
  <c r="U1247" i="16"/>
  <c r="T1260" i="16"/>
  <c r="T2131" i="16" s="1"/>
  <c r="T1248" i="16"/>
  <c r="U1248" i="16" s="1"/>
  <c r="W1232" i="16"/>
  <c r="W2127" i="16" s="1"/>
  <c r="V1233" i="16"/>
  <c r="U1253" i="16"/>
  <c r="U2130" i="16" s="1"/>
  <c r="T2130" i="16"/>
  <c r="S1261" i="16"/>
  <c r="S1255" i="16"/>
  <c r="T1255" i="16" s="1"/>
  <c r="T1254" i="16"/>
  <c r="T1270" i="16"/>
  <c r="T2132" i="16"/>
  <c r="F1126" i="16"/>
  <c r="Q703" i="20"/>
  <c r="O1522" i="16"/>
  <c r="O1508" i="16" s="1"/>
  <c r="O371" i="16" s="1"/>
  <c r="O792" i="16" s="1"/>
  <c r="S988" i="16"/>
  <c r="T988" i="16" s="1"/>
  <c r="U988" i="16" s="1"/>
  <c r="P1681" i="16"/>
  <c r="Q1681" i="16" s="1"/>
  <c r="P2194" i="16"/>
  <c r="R1680" i="16"/>
  <c r="S1680" i="16" s="1"/>
  <c r="T1680" i="16" s="1"/>
  <c r="U1680" i="16" s="1"/>
  <c r="V1680" i="16" s="1"/>
  <c r="W1680" i="16" s="1"/>
  <c r="X1680" i="16" s="1"/>
  <c r="Q989" i="16"/>
  <c r="R989" i="16" s="1"/>
  <c r="S995" i="16"/>
  <c r="T995" i="16" s="1"/>
  <c r="U994" i="16"/>
  <c r="V994" i="16" s="1"/>
  <c r="K1709" i="16"/>
  <c r="M1008" i="16"/>
  <c r="O728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O2026" i="16"/>
  <c r="P2026" i="16" s="1"/>
  <c r="N1675" i="16"/>
  <c r="U619" i="20"/>
  <c r="H1739" i="16"/>
  <c r="I1732" i="16" a="1"/>
  <c r="I1732" i="16" s="1"/>
  <c r="U1267" i="16"/>
  <c r="T1268" i="16"/>
  <c r="J1020" i="20" a="1"/>
  <c r="J1020" i="20" s="1"/>
  <c r="D1024" i="20"/>
  <c r="W666" i="20"/>
  <c r="W668" i="20" s="1"/>
  <c r="V667" i="20"/>
  <c r="W947" i="16"/>
  <c r="S80" i="16"/>
  <c r="O1000" i="16"/>
  <c r="P1000" i="16" s="1"/>
  <c r="T976" i="16"/>
  <c r="O996" i="16"/>
  <c r="P996" i="16" s="1"/>
  <c r="Q996" i="16" s="1"/>
  <c r="R996" i="16" s="1"/>
  <c r="R754" i="20"/>
  <c r="R756" i="20" s="1"/>
  <c r="Q755" i="20"/>
  <c r="R866" i="20"/>
  <c r="R868" i="20" s="1"/>
  <c r="Q867" i="20"/>
  <c r="R734" i="20"/>
  <c r="S734" i="20" s="1"/>
  <c r="T734" i="20" s="1"/>
  <c r="T735" i="20" s="1"/>
  <c r="U733" i="20"/>
  <c r="V733" i="20" s="1"/>
  <c r="S852" i="20"/>
  <c r="T852" i="20" s="1"/>
  <c r="R853" i="20"/>
  <c r="P832" i="20"/>
  <c r="R797" i="20"/>
  <c r="Q831" i="20"/>
  <c r="Q833" i="20" s="1"/>
  <c r="S796" i="20"/>
  <c r="S798" i="20" s="1"/>
  <c r="P937" i="20"/>
  <c r="O1166" i="20"/>
  <c r="O1168" i="20" s="1"/>
  <c r="Q936" i="20"/>
  <c r="Q938" i="20" s="1"/>
  <c r="N1508" i="16"/>
  <c r="N371" i="16" s="1"/>
  <c r="N792" i="16" s="1"/>
  <c r="N200" i="10" s="1"/>
  <c r="N1167" i="20"/>
  <c r="U1654" i="16"/>
  <c r="K1122" i="16"/>
  <c r="Q1529" i="16"/>
  <c r="W1647" i="16"/>
  <c r="X942" i="16"/>
  <c r="Q2239" i="16"/>
  <c r="P2239" i="16"/>
  <c r="N2242" i="16"/>
  <c r="P1521" i="16"/>
  <c r="Q1520" i="16"/>
  <c r="P2170" i="16"/>
  <c r="P1506" i="16"/>
  <c r="P369" i="16" s="1"/>
  <c r="S1989" i="16"/>
  <c r="T1989" i="16" s="1"/>
  <c r="U1989" i="16" s="1"/>
  <c r="U2239" i="16" s="1"/>
  <c r="P1990" i="16"/>
  <c r="Q1990" i="16" s="1"/>
  <c r="R1990" i="16" s="1"/>
  <c r="N2011" i="16"/>
  <c r="O2011" i="16" s="1"/>
  <c r="R1536" i="16"/>
  <c r="S1536" i="16" s="1"/>
  <c r="T1536" i="16" s="1"/>
  <c r="U1536" i="16" s="1"/>
  <c r="N2012" i="16"/>
  <c r="X972" i="16"/>
  <c r="R984" i="16"/>
  <c r="N1696" i="16"/>
  <c r="R1970" i="16"/>
  <c r="S1970" i="16" s="1"/>
  <c r="R2019" i="16"/>
  <c r="R1984" i="16"/>
  <c r="S1668" i="16"/>
  <c r="T1668" i="16" s="1"/>
  <c r="U1668" i="16" s="1"/>
  <c r="V1668" i="16" s="1"/>
  <c r="P1991" i="16"/>
  <c r="Q1991" i="16" s="1"/>
  <c r="R1991" i="16" s="1"/>
  <c r="P1682" i="16"/>
  <c r="Q1682" i="16" s="1"/>
  <c r="O1689" i="16"/>
  <c r="P1689" i="16" s="1"/>
  <c r="U1234" i="16"/>
  <c r="V1234" i="16" s="1"/>
  <c r="D1722" i="16"/>
  <c r="F1721" i="16" s="1"/>
  <c r="U1241" i="16"/>
  <c r="T287" i="16"/>
  <c r="T789" i="16" s="1"/>
  <c r="T195" i="10" s="1"/>
  <c r="D962" i="20"/>
  <c r="E962" i="20" s="1"/>
  <c r="C962" i="20"/>
  <c r="S2238" i="16"/>
  <c r="O595" i="20"/>
  <c r="N594" i="20"/>
  <c r="P593" i="20"/>
  <c r="Q1515" i="16"/>
  <c r="U29" i="20"/>
  <c r="U50" i="20" s="1"/>
  <c r="U1202" i="20" s="1"/>
  <c r="U1201" i="20" s="1"/>
  <c r="M29" i="20"/>
  <c r="M50" i="20" s="1"/>
  <c r="M1202" i="20" s="1"/>
  <c r="M1201" i="20" s="1"/>
  <c r="X29" i="20"/>
  <c r="X50" i="20" s="1"/>
  <c r="X1202" i="20" s="1"/>
  <c r="X1201" i="20" s="1"/>
  <c r="K29" i="20"/>
  <c r="S1983" i="16"/>
  <c r="T1983" i="16" s="1"/>
  <c r="T29" i="20"/>
  <c r="T50" i="20" s="1"/>
  <c r="T1202" i="20" s="1"/>
  <c r="T1201" i="20" s="1"/>
  <c r="N29" i="20"/>
  <c r="N50" i="20" s="1"/>
  <c r="N1202" i="20" s="1"/>
  <c r="N1201" i="20" s="1"/>
  <c r="W29" i="20"/>
  <c r="W50" i="20" s="1"/>
  <c r="W1202" i="20" s="1"/>
  <c r="W1201" i="20" s="1"/>
  <c r="L29" i="20"/>
  <c r="L50" i="20" s="1"/>
  <c r="L1202" i="20" s="1"/>
  <c r="L1201" i="20" s="1"/>
  <c r="Q29" i="20"/>
  <c r="Q50" i="20" s="1"/>
  <c r="Q1202" i="20" s="1"/>
  <c r="Q1201" i="20" s="1"/>
  <c r="V29" i="20"/>
  <c r="V50" i="20" s="1"/>
  <c r="V1202" i="20" s="1"/>
  <c r="V1201" i="20" s="1"/>
  <c r="O29" i="20"/>
  <c r="O50" i="20" s="1"/>
  <c r="O1202" i="20" s="1"/>
  <c r="O1201" i="20" s="1"/>
  <c r="S29" i="20"/>
  <c r="S50" i="20" s="1"/>
  <c r="S1202" i="20" s="1"/>
  <c r="S1201" i="20" s="1"/>
  <c r="R29" i="20"/>
  <c r="R50" i="20" s="1"/>
  <c r="R1202" i="20" s="1"/>
  <c r="R1201" i="20" s="1"/>
  <c r="T2017" i="16"/>
  <c r="U2017" i="16" s="1"/>
  <c r="V2017" i="16" s="1"/>
  <c r="S2018" i="16"/>
  <c r="P2010" i="16"/>
  <c r="O2242" i="16"/>
  <c r="C320" i="20"/>
  <c r="P29" i="20"/>
  <c r="P50" i="20" s="1"/>
  <c r="P1202" i="20" s="1"/>
  <c r="P1201" i="20" s="1"/>
  <c r="K2220" i="16"/>
  <c r="K1875" i="16"/>
  <c r="L1875" i="16" s="1"/>
  <c r="M1875" i="16" s="1"/>
  <c r="L2220" i="16"/>
  <c r="N1874" i="16"/>
  <c r="N2220" i="16" s="1"/>
  <c r="N2240" i="16"/>
  <c r="O1996" i="16"/>
  <c r="O2235" i="16"/>
  <c r="O1962" i="16"/>
  <c r="O1963" i="16" s="1"/>
  <c r="P1961" i="16"/>
  <c r="T1969" i="16"/>
  <c r="U1968" i="16"/>
  <c r="T2238" i="16"/>
  <c r="U1982" i="16"/>
  <c r="N1997" i="16"/>
  <c r="N1998" i="16" s="1"/>
  <c r="X455" i="20"/>
  <c r="X456" i="20" s="1"/>
  <c r="K342" i="20"/>
  <c r="L342" i="20" s="1"/>
  <c r="U960" i="16"/>
  <c r="W953" i="16"/>
  <c r="X28" i="16"/>
  <c r="X82" i="16" s="1"/>
  <c r="T19" i="16"/>
  <c r="U17" i="16" s="1"/>
  <c r="U2249" i="16" s="1"/>
  <c r="T2273" i="16"/>
  <c r="T2269" i="16"/>
  <c r="N1001" i="16"/>
  <c r="U966" i="16"/>
  <c r="S983" i="16"/>
  <c r="T449" i="20"/>
  <c r="U448" i="20"/>
  <c r="U442" i="20"/>
  <c r="V441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/>
  <c r="D1034" i="16"/>
  <c r="C1036" i="16"/>
  <c r="B1033" i="16"/>
  <c r="P1006" i="16"/>
  <c r="D1029" i="16"/>
  <c r="U982" i="16"/>
  <c r="R978" i="20"/>
  <c r="S978" i="20" s="1"/>
  <c r="S980" i="20" s="1"/>
  <c r="P979" i="20"/>
  <c r="Q979" i="20" s="1"/>
  <c r="P980" i="20"/>
  <c r="S873" i="20"/>
  <c r="T873" i="20" s="1"/>
  <c r="R874" i="20"/>
  <c r="K316" i="20"/>
  <c r="N314" i="20"/>
  <c r="O314" i="20" s="1"/>
  <c r="U818" i="20"/>
  <c r="V818" i="20" s="1"/>
  <c r="W817" i="20"/>
  <c r="W819" i="20" s="1"/>
  <c r="U819" i="20"/>
  <c r="R769" i="20"/>
  <c r="U943" i="20"/>
  <c r="U945" i="20" s="1"/>
  <c r="T944" i="20"/>
  <c r="T945" i="20"/>
  <c r="V673" i="20"/>
  <c r="W673" i="20" s="1"/>
  <c r="W675" i="20" s="1"/>
  <c r="U674" i="20"/>
  <c r="S860" i="20"/>
  <c r="T859" i="20"/>
  <c r="T861" i="20" s="1"/>
  <c r="X659" i="20"/>
  <c r="X661" i="20" s="1"/>
  <c r="P888" i="20"/>
  <c r="S929" i="20"/>
  <c r="T929" i="20" s="1"/>
  <c r="T931" i="20" s="1"/>
  <c r="R931" i="20"/>
  <c r="R930" i="20"/>
  <c r="R783" i="20"/>
  <c r="S782" i="20"/>
  <c r="T782" i="20" s="1"/>
  <c r="P889" i="20"/>
  <c r="Q887" i="20"/>
  <c r="R588" i="20"/>
  <c r="S586" i="20"/>
  <c r="Q587" i="20"/>
  <c r="T924" i="20"/>
  <c r="U922" i="20"/>
  <c r="V922" i="20" s="1"/>
  <c r="V924" i="20" s="1"/>
  <c r="T923" i="20"/>
  <c r="Q803" i="20"/>
  <c r="S768" i="20"/>
  <c r="T768" i="20" s="1"/>
  <c r="T770" i="20" s="1"/>
  <c r="R770" i="20"/>
  <c r="E547" i="20"/>
  <c r="K548" i="20" s="1"/>
  <c r="K549" i="20" s="1"/>
  <c r="K550" i="20" s="1"/>
  <c r="W660" i="20"/>
  <c r="D554" i="20"/>
  <c r="Q811" i="20"/>
  <c r="P804" i="20"/>
  <c r="R882" i="20"/>
  <c r="S880" i="20"/>
  <c r="R881" i="20"/>
  <c r="S789" i="20"/>
  <c r="T789" i="20" s="1"/>
  <c r="R790" i="20"/>
  <c r="Q812" i="20"/>
  <c r="R810" i="20"/>
  <c r="W652" i="20"/>
  <c r="X652" i="20" s="1"/>
  <c r="V653" i="20"/>
  <c r="S776" i="20"/>
  <c r="X680" i="20"/>
  <c r="X682" i="20" s="1"/>
  <c r="W681" i="20"/>
  <c r="X639" i="20"/>
  <c r="W618" i="20"/>
  <c r="W619" i="20" s="1"/>
  <c r="X617" i="20"/>
  <c r="S777" i="20"/>
  <c r="V632" i="20"/>
  <c r="X624" i="20"/>
  <c r="T775" i="20"/>
  <c r="W625" i="20"/>
  <c r="W626" i="20" s="1"/>
  <c r="R763" i="20"/>
  <c r="S761" i="20"/>
  <c r="S763" i="20" s="1"/>
  <c r="R762" i="20"/>
  <c r="Q749" i="20"/>
  <c r="R747" i="20"/>
  <c r="Q748" i="20"/>
  <c r="V633" i="20"/>
  <c r="W631" i="20"/>
  <c r="R726" i="20"/>
  <c r="T742" i="20"/>
  <c r="U740" i="20"/>
  <c r="U742" i="20" s="1"/>
  <c r="T741" i="20"/>
  <c r="Q727" i="20"/>
  <c r="Q728" i="20" s="1"/>
  <c r="W580" i="20"/>
  <c r="X930" i="16"/>
  <c r="P986" i="20"/>
  <c r="Q985" i="20"/>
  <c r="P987" i="20"/>
  <c r="Q2195" i="16"/>
  <c r="Q1688" i="16"/>
  <c r="R1688" i="16" s="1"/>
  <c r="S1688" i="16" s="1"/>
  <c r="T1688" i="16" s="1"/>
  <c r="U1688" i="16" s="1"/>
  <c r="K1022" i="20"/>
  <c r="W569" i="20"/>
  <c r="V571" i="20"/>
  <c r="O1006" i="20"/>
  <c r="P1006" i="20" s="1"/>
  <c r="N1007" i="20"/>
  <c r="N1008" i="20" s="1"/>
  <c r="L1020" i="20"/>
  <c r="L1021" i="20" s="1"/>
  <c r="K1717" i="16"/>
  <c r="X563" i="20"/>
  <c r="W992" i="20"/>
  <c r="X992" i="20" s="1"/>
  <c r="L1715" i="16"/>
  <c r="M1715" i="16" s="1"/>
  <c r="Q999" i="20"/>
  <c r="V959" i="20"/>
  <c r="Q993" i="20"/>
  <c r="N1000" i="20"/>
  <c r="V570" i="20"/>
  <c r="P1001" i="20"/>
  <c r="Q994" i="20"/>
  <c r="S2195" i="16"/>
  <c r="W952" i="20"/>
  <c r="X952" i="20"/>
  <c r="W958" i="20"/>
  <c r="U2195" i="16"/>
  <c r="E1026" i="20"/>
  <c r="K1027" i="20" s="1"/>
  <c r="S973" i="20"/>
  <c r="T972" i="20"/>
  <c r="D1032" i="20"/>
  <c r="C1032" i="20"/>
  <c r="D1033" i="20"/>
  <c r="C1033" i="20"/>
  <c r="C1034" i="20" s="1"/>
  <c r="R2195" i="16"/>
  <c r="K2199" i="16"/>
  <c r="W951" i="20"/>
  <c r="X951" i="20" s="1"/>
  <c r="P1694" i="16"/>
  <c r="P2196" i="16" s="1"/>
  <c r="W1371" i="16"/>
  <c r="V2148" i="16"/>
  <c r="V285" i="16"/>
  <c r="V1372" i="16"/>
  <c r="V1373" i="16" s="1"/>
  <c r="N1701" i="16"/>
  <c r="O1701" i="16" s="1"/>
  <c r="P1701" i="16" s="1"/>
  <c r="K1722" i="16"/>
  <c r="K1723" i="16" s="1"/>
  <c r="M1702" i="16"/>
  <c r="M1703" i="16" s="1"/>
  <c r="M2197" i="16"/>
  <c r="T2195" i="16"/>
  <c r="W2190" i="16"/>
  <c r="V1653" i="16"/>
  <c r="X2192" i="16"/>
  <c r="W1667" i="16"/>
  <c r="X1667" i="16" s="1"/>
  <c r="O2196" i="16"/>
  <c r="D1727" i="16"/>
  <c r="N1732" i="16"/>
  <c r="V1732" i="16"/>
  <c r="K1732" i="16"/>
  <c r="D1733" i="16"/>
  <c r="O1732" i="16"/>
  <c r="W1732" i="16"/>
  <c r="B1726" i="16"/>
  <c r="P1732" i="16"/>
  <c r="X1732" i="16"/>
  <c r="Q1732" i="16"/>
  <c r="E1728" i="16"/>
  <c r="D1728" i="16" s="1"/>
  <c r="R1732" i="16"/>
  <c r="L1732" i="16"/>
  <c r="T1732" i="16"/>
  <c r="S1732" i="16"/>
  <c r="E1727" i="16"/>
  <c r="F1727" i="16" s="1"/>
  <c r="M1732" i="16"/>
  <c r="U1732" i="16"/>
  <c r="W2192" i="16"/>
  <c r="O1695" i="16"/>
  <c r="X2149" i="16"/>
  <c r="X2189" i="16"/>
  <c r="T286" i="16"/>
  <c r="U1379" i="16"/>
  <c r="U1380" i="16" s="1"/>
  <c r="X1646" i="16"/>
  <c r="R716" i="20"/>
  <c r="S716" i="20" s="1"/>
  <c r="R717" i="20"/>
  <c r="P1543" i="16"/>
  <c r="R709" i="20"/>
  <c r="Q695" i="20"/>
  <c r="R1514" i="16"/>
  <c r="V2172" i="16"/>
  <c r="R2173" i="16"/>
  <c r="S702" i="20"/>
  <c r="S703" i="20" s="1"/>
  <c r="P688" i="20"/>
  <c r="P689" i="20" s="1"/>
  <c r="V1535" i="16"/>
  <c r="R2171" i="16"/>
  <c r="R1542" i="16"/>
  <c r="R1528" i="16"/>
  <c r="R2169" i="16"/>
  <c r="Q696" i="20"/>
  <c r="R710" i="20"/>
  <c r="L1121" i="16" l="1"/>
  <c r="M1120" i="16"/>
  <c r="M2111" i="16" s="1"/>
  <c r="L1127" i="16"/>
  <c r="L2112" i="16" s="1"/>
  <c r="K2112" i="16"/>
  <c r="K1128" i="16"/>
  <c r="K1129" i="16"/>
  <c r="K220" i="16" s="1"/>
  <c r="K788" i="16" s="1"/>
  <c r="K218" i="16"/>
  <c r="W948" i="16"/>
  <c r="S996" i="16"/>
  <c r="T996" i="16" s="1"/>
  <c r="Q990" i="16"/>
  <c r="R990" i="16" s="1"/>
  <c r="X1226" i="16"/>
  <c r="X1227" i="16"/>
  <c r="W1239" i="16"/>
  <c r="W2128" i="16" s="1"/>
  <c r="W1246" i="16"/>
  <c r="W2129" i="16" s="1"/>
  <c r="T1269" i="16"/>
  <c r="V1240" i="16"/>
  <c r="V1247" i="16"/>
  <c r="W1233" i="16"/>
  <c r="X1232" i="16"/>
  <c r="X2127" i="16" s="1"/>
  <c r="T1261" i="16"/>
  <c r="U1260" i="16"/>
  <c r="U2131" i="16" s="1"/>
  <c r="V1248" i="16"/>
  <c r="V1253" i="16"/>
  <c r="V2130" i="16" s="1"/>
  <c r="U1254" i="16"/>
  <c r="U1255" i="16" s="1"/>
  <c r="S1262" i="16"/>
  <c r="T1262" i="16" s="1"/>
  <c r="V1241" i="16"/>
  <c r="U1270" i="16"/>
  <c r="U2132" i="16"/>
  <c r="P1522" i="16"/>
  <c r="P1508" i="16" s="1"/>
  <c r="P371" i="16" s="1"/>
  <c r="P792" i="16" s="1"/>
  <c r="R1213" i="20"/>
  <c r="R1216" i="20" s="1"/>
  <c r="T1213" i="20"/>
  <c r="T1216" i="20" s="1"/>
  <c r="S1210" i="20"/>
  <c r="P1213" i="20"/>
  <c r="P1216" i="20" s="1"/>
  <c r="O1213" i="20"/>
  <c r="O1216" i="20" s="1"/>
  <c r="L1213" i="20"/>
  <c r="L1216" i="20" s="1"/>
  <c r="N1213" i="20"/>
  <c r="N1216" i="20" s="1"/>
  <c r="V1213" i="20"/>
  <c r="V1216" i="20" s="1"/>
  <c r="X1213" i="20"/>
  <c r="X1216" i="20" s="1"/>
  <c r="U1210" i="20"/>
  <c r="W1210" i="20"/>
  <c r="Q1210" i="20"/>
  <c r="M1210" i="20"/>
  <c r="R2194" i="16"/>
  <c r="S2194" i="16"/>
  <c r="S989" i="16"/>
  <c r="T989" i="16" s="1"/>
  <c r="U989" i="16" s="1"/>
  <c r="V988" i="16"/>
  <c r="W988" i="16" s="1"/>
  <c r="L2198" i="16"/>
  <c r="R1681" i="16"/>
  <c r="S1681" i="16" s="1"/>
  <c r="T1681" i="16" s="1"/>
  <c r="L1709" i="16"/>
  <c r="M1709" i="16" s="1"/>
  <c r="N1708" i="16"/>
  <c r="O1708" i="16" s="1"/>
  <c r="U995" i="16"/>
  <c r="V995" i="16" s="1"/>
  <c r="L1710" i="16"/>
  <c r="M1710" i="16" s="1"/>
  <c r="S735" i="20"/>
  <c r="R735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6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K50" i="20"/>
  <c r="K1202" i="20" s="1"/>
  <c r="K1201" i="20" s="1"/>
  <c r="H1746" i="16"/>
  <c r="I1739" i="16" a="1"/>
  <c r="I1739" i="16" s="1"/>
  <c r="U1268" i="16"/>
  <c r="V1267" i="16"/>
  <c r="V2132" i="16" s="1"/>
  <c r="D1031" i="20"/>
  <c r="J1034" i="20" s="1" a="1"/>
  <c r="J1034" i="20" s="1"/>
  <c r="J1027" i="20" a="1"/>
  <c r="J1027" i="20" s="1"/>
  <c r="X666" i="20"/>
  <c r="X668" i="20" s="1"/>
  <c r="W667" i="20"/>
  <c r="X947" i="16"/>
  <c r="U976" i="16"/>
  <c r="V976" i="16" s="1"/>
  <c r="O1001" i="16"/>
  <c r="P1001" i="16" s="1"/>
  <c r="Q1000" i="16"/>
  <c r="R1000" i="16" s="1"/>
  <c r="S754" i="20"/>
  <c r="S756" i="20" s="1"/>
  <c r="R755" i="20"/>
  <c r="S866" i="20"/>
  <c r="S868" i="20" s="1"/>
  <c r="U734" i="20"/>
  <c r="V734" i="20" s="1"/>
  <c r="V735" i="20" s="1"/>
  <c r="R867" i="20"/>
  <c r="Q832" i="20"/>
  <c r="S854" i="20"/>
  <c r="S853" i="20"/>
  <c r="T853" i="20" s="1"/>
  <c r="R831" i="20"/>
  <c r="R833" i="20" s="1"/>
  <c r="T796" i="20"/>
  <c r="T798" i="20" s="1"/>
  <c r="S797" i="20"/>
  <c r="P1166" i="20"/>
  <c r="P1168" i="20" s="1"/>
  <c r="V1654" i="16"/>
  <c r="O1167" i="20"/>
  <c r="Q937" i="20"/>
  <c r="R936" i="20"/>
  <c r="S936" i="20" s="1"/>
  <c r="S938" i="20" s="1"/>
  <c r="X1647" i="16"/>
  <c r="L548" i="20"/>
  <c r="M548" i="20" s="1"/>
  <c r="K1876" i="16"/>
  <c r="L1876" i="16" s="1"/>
  <c r="M1876" i="16" s="1"/>
  <c r="S2239" i="16"/>
  <c r="R1529" i="16"/>
  <c r="R1520" i="16"/>
  <c r="Q2170" i="16"/>
  <c r="Q1506" i="16"/>
  <c r="Q369" i="16" s="1"/>
  <c r="Q1521" i="16"/>
  <c r="P1507" i="16"/>
  <c r="P370" i="16" s="1"/>
  <c r="S1990" i="16"/>
  <c r="T1990" i="16" s="1"/>
  <c r="U1990" i="16" s="1"/>
  <c r="V1536" i="16"/>
  <c r="O2012" i="16"/>
  <c r="O1696" i="16"/>
  <c r="L1020" i="16"/>
  <c r="N1002" i="16"/>
  <c r="S984" i="16"/>
  <c r="T1970" i="16"/>
  <c r="S2019" i="16"/>
  <c r="S1991" i="16"/>
  <c r="S1984" i="16"/>
  <c r="T1984" i="16" s="1"/>
  <c r="W1668" i="16"/>
  <c r="X1668" i="16" s="1"/>
  <c r="W1234" i="16"/>
  <c r="D1729" i="16"/>
  <c r="F1728" i="16" s="1"/>
  <c r="Q1689" i="16"/>
  <c r="R1689" i="16" s="1"/>
  <c r="S1689" i="16" s="1"/>
  <c r="T1689" i="16" s="1"/>
  <c r="U1689" i="16" s="1"/>
  <c r="R1682" i="16"/>
  <c r="S1682" i="16" s="1"/>
  <c r="U287" i="16"/>
  <c r="U789" i="16" s="1"/>
  <c r="U195" i="10" s="1"/>
  <c r="L1122" i="16"/>
  <c r="U1213" i="20"/>
  <c r="U1216" i="20" s="1"/>
  <c r="E963" i="20"/>
  <c r="K964" i="20" s="1"/>
  <c r="R1515" i="16"/>
  <c r="C1011" i="20"/>
  <c r="D1011" i="20"/>
  <c r="E1011" i="20" s="1"/>
  <c r="C321" i="20"/>
  <c r="D599" i="20"/>
  <c r="O594" i="20"/>
  <c r="P595" i="20"/>
  <c r="Q593" i="20"/>
  <c r="N1210" i="20"/>
  <c r="M1213" i="20"/>
  <c r="M1216" i="20" s="1"/>
  <c r="X1210" i="20"/>
  <c r="R1210" i="20"/>
  <c r="P2011" i="16"/>
  <c r="T2239" i="16"/>
  <c r="W1213" i="20"/>
  <c r="W1216" i="20" s="1"/>
  <c r="V1989" i="16"/>
  <c r="W1989" i="16" s="1"/>
  <c r="T2243" i="16"/>
  <c r="L1210" i="20"/>
  <c r="Q1213" i="20"/>
  <c r="Q1216" i="20" s="1"/>
  <c r="U2243" i="16"/>
  <c r="V1210" i="20"/>
  <c r="S1213" i="20"/>
  <c r="S1216" i="20" s="1"/>
  <c r="O1210" i="20"/>
  <c r="T1210" i="20"/>
  <c r="T2018" i="16"/>
  <c r="U2018" i="16" s="1"/>
  <c r="V2018" i="16" s="1"/>
  <c r="Q2010" i="16"/>
  <c r="P1210" i="20"/>
  <c r="P2242" i="16"/>
  <c r="O1874" i="16"/>
  <c r="P1996" i="16"/>
  <c r="N1875" i="16"/>
  <c r="O2240" i="16"/>
  <c r="P2235" i="16"/>
  <c r="Q1961" i="16"/>
  <c r="P1962" i="16"/>
  <c r="P1963" i="16" s="1"/>
  <c r="U1969" i="16"/>
  <c r="U2236" i="16"/>
  <c r="V1968" i="16"/>
  <c r="U1983" i="16"/>
  <c r="V2243" i="16"/>
  <c r="W2017" i="16"/>
  <c r="U2238" i="16"/>
  <c r="V1982" i="16"/>
  <c r="O1997" i="16"/>
  <c r="O1998" i="16" s="1"/>
  <c r="V960" i="16"/>
  <c r="M342" i="20"/>
  <c r="L344" i="20"/>
  <c r="K343" i="20"/>
  <c r="L343" i="20" s="1"/>
  <c r="K344" i="20"/>
  <c r="U2261" i="16"/>
  <c r="U2257" i="16"/>
  <c r="U91" i="16" s="1"/>
  <c r="U101" i="12" s="1"/>
  <c r="U109" i="12" s="1"/>
  <c r="T20" i="16"/>
  <c r="T81" i="16" s="1"/>
  <c r="T2281" i="16"/>
  <c r="W954" i="16"/>
  <c r="X953" i="16"/>
  <c r="V966" i="16"/>
  <c r="T983" i="16"/>
  <c r="V442" i="20"/>
  <c r="W441" i="20"/>
  <c r="U449" i="20"/>
  <c r="V448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/>
  <c r="D1030" i="16"/>
  <c r="Q1006" i="16"/>
  <c r="W994" i="16"/>
  <c r="V982" i="16"/>
  <c r="R979" i="20"/>
  <c r="S979" i="20" s="1"/>
  <c r="T978" i="20"/>
  <c r="U978" i="20" s="1"/>
  <c r="V978" i="20" s="1"/>
  <c r="W978" i="20" s="1"/>
  <c r="R980" i="20"/>
  <c r="S875" i="20"/>
  <c r="S874" i="20"/>
  <c r="T874" i="20" s="1"/>
  <c r="X817" i="20"/>
  <c r="X819" i="20" s="1"/>
  <c r="U873" i="20"/>
  <c r="V873" i="20" s="1"/>
  <c r="T875" i="20"/>
  <c r="L316" i="20"/>
  <c r="W818" i="20"/>
  <c r="P314" i="20"/>
  <c r="V674" i="20"/>
  <c r="W674" i="20" s="1"/>
  <c r="U944" i="20"/>
  <c r="V943" i="20"/>
  <c r="X673" i="20"/>
  <c r="X675" i="20" s="1"/>
  <c r="V675" i="20"/>
  <c r="X660" i="20"/>
  <c r="U859" i="20"/>
  <c r="U861" i="20" s="1"/>
  <c r="T860" i="20"/>
  <c r="S784" i="20"/>
  <c r="S783" i="20"/>
  <c r="T783" i="20" s="1"/>
  <c r="S930" i="20"/>
  <c r="T930" i="20" s="1"/>
  <c r="S931" i="20"/>
  <c r="U929" i="20"/>
  <c r="R887" i="20"/>
  <c r="R889" i="20" s="1"/>
  <c r="Q889" i="20"/>
  <c r="Q888" i="20"/>
  <c r="T854" i="20"/>
  <c r="U852" i="20"/>
  <c r="S588" i="20"/>
  <c r="T586" i="20"/>
  <c r="R587" i="20"/>
  <c r="Q804" i="20"/>
  <c r="S770" i="20"/>
  <c r="S769" i="20"/>
  <c r="T769" i="20" s="1"/>
  <c r="U923" i="20"/>
  <c r="V923" i="20" s="1"/>
  <c r="U924" i="20"/>
  <c r="W922" i="20"/>
  <c r="S881" i="20"/>
  <c r="S791" i="20"/>
  <c r="Q805" i="20"/>
  <c r="R803" i="20"/>
  <c r="D643" i="20"/>
  <c r="C643" i="20"/>
  <c r="D823" i="20" s="1"/>
  <c r="U782" i="20"/>
  <c r="T784" i="20"/>
  <c r="E554" i="20"/>
  <c r="K555" i="20" s="1"/>
  <c r="L555" i="20" s="1"/>
  <c r="S790" i="20"/>
  <c r="T790" i="20" s="1"/>
  <c r="W653" i="20"/>
  <c r="X653" i="20" s="1"/>
  <c r="W654" i="20"/>
  <c r="S882" i="20"/>
  <c r="T880" i="20"/>
  <c r="R812" i="20"/>
  <c r="S810" i="20"/>
  <c r="R811" i="20"/>
  <c r="T776" i="20"/>
  <c r="X681" i="20"/>
  <c r="X654" i="20"/>
  <c r="E1032" i="20"/>
  <c r="E1033" i="20" s="1"/>
  <c r="D1105" i="20"/>
  <c r="C1105" i="20"/>
  <c r="T761" i="20"/>
  <c r="U761" i="20" s="1"/>
  <c r="U763" i="20" s="1"/>
  <c r="T791" i="20"/>
  <c r="U789" i="20"/>
  <c r="W632" i="20"/>
  <c r="D1099" i="20"/>
  <c r="D1106" i="20"/>
  <c r="R748" i="20"/>
  <c r="C1098" i="20"/>
  <c r="D1098" i="20"/>
  <c r="X618" i="20"/>
  <c r="X619" i="20" s="1"/>
  <c r="X625" i="20"/>
  <c r="X626" i="20" s="1"/>
  <c r="C1091" i="20"/>
  <c r="D1091" i="20"/>
  <c r="E1091" i="20" s="1"/>
  <c r="R727" i="20"/>
  <c r="R728" i="20" s="1"/>
  <c r="S762" i="20"/>
  <c r="T777" i="20"/>
  <c r="U775" i="20"/>
  <c r="D1085" i="20"/>
  <c r="D1092" i="20"/>
  <c r="D1084" i="20"/>
  <c r="E1084" i="20" s="1"/>
  <c r="C1084" i="20"/>
  <c r="U768" i="20"/>
  <c r="S726" i="20"/>
  <c r="C1077" i="20"/>
  <c r="D1077" i="20"/>
  <c r="E1077" i="20" s="1"/>
  <c r="R749" i="20"/>
  <c r="S747" i="20"/>
  <c r="T747" i="20" s="1"/>
  <c r="T749" i="20" s="1"/>
  <c r="C1070" i="20"/>
  <c r="D1070" i="20"/>
  <c r="E1070" i="20" s="1"/>
  <c r="D1071" i="20"/>
  <c r="D1078" i="20"/>
  <c r="W633" i="20"/>
  <c r="X631" i="20"/>
  <c r="X633" i="20" s="1"/>
  <c r="U741" i="20"/>
  <c r="D1063" i="20"/>
  <c r="E1063" i="20" s="1"/>
  <c r="C1063" i="20"/>
  <c r="D1057" i="20"/>
  <c r="D1064" i="20"/>
  <c r="D1056" i="20"/>
  <c r="E1056" i="20" s="1"/>
  <c r="C1056" i="20"/>
  <c r="V740" i="20"/>
  <c r="W733" i="20"/>
  <c r="C1049" i="20"/>
  <c r="D1049" i="20"/>
  <c r="E1049" i="20" s="1"/>
  <c r="D1043" i="20"/>
  <c r="D1050" i="20"/>
  <c r="D1042" i="20"/>
  <c r="E1042" i="20" s="1"/>
  <c r="C1042" i="20"/>
  <c r="X580" i="20"/>
  <c r="M315" i="20"/>
  <c r="L2199" i="16"/>
  <c r="L1717" i="16"/>
  <c r="R985" i="20"/>
  <c r="Q987" i="20"/>
  <c r="Q986" i="20"/>
  <c r="O1007" i="20"/>
  <c r="P1007" i="20" s="1"/>
  <c r="P1008" i="20" s="1"/>
  <c r="P1695" i="16"/>
  <c r="L1716" i="16"/>
  <c r="M1716" i="16" s="1"/>
  <c r="N1715" i="16"/>
  <c r="O1715" i="16" s="1"/>
  <c r="O2199" i="16" s="1"/>
  <c r="N2197" i="16"/>
  <c r="Q1006" i="20"/>
  <c r="R1006" i="20" s="1"/>
  <c r="X569" i="20"/>
  <c r="W571" i="20"/>
  <c r="L1027" i="20"/>
  <c r="M1027" i="20" s="1"/>
  <c r="N1702" i="16"/>
  <c r="O1702" i="16" s="1"/>
  <c r="R999" i="20"/>
  <c r="R1001" i="20" s="1"/>
  <c r="M1020" i="20"/>
  <c r="M1021" i="20" s="1"/>
  <c r="S994" i="20"/>
  <c r="T994" i="20"/>
  <c r="L1022" i="20"/>
  <c r="W1372" i="16"/>
  <c r="W1373" i="16" s="1"/>
  <c r="W959" i="20"/>
  <c r="X959" i="20"/>
  <c r="K1034" i="20"/>
  <c r="K1035" i="20" s="1"/>
  <c r="L1722" i="16"/>
  <c r="L1723" i="16" s="1"/>
  <c r="K1028" i="20"/>
  <c r="W570" i="20"/>
  <c r="O1000" i="20"/>
  <c r="K2200" i="16"/>
  <c r="T973" i="20"/>
  <c r="U972" i="20"/>
  <c r="R993" i="20"/>
  <c r="S993" i="20" s="1"/>
  <c r="T993" i="20" s="1"/>
  <c r="R994" i="20"/>
  <c r="K1724" i="16"/>
  <c r="X958" i="20"/>
  <c r="Q1001" i="20"/>
  <c r="Q1694" i="16"/>
  <c r="K1729" i="16"/>
  <c r="Q1701" i="16"/>
  <c r="R1701" i="16" s="1"/>
  <c r="X1371" i="16"/>
  <c r="W2148" i="16"/>
  <c r="W285" i="16"/>
  <c r="X2190" i="16"/>
  <c r="V1688" i="16"/>
  <c r="W1653" i="16"/>
  <c r="M2199" i="16"/>
  <c r="O2197" i="16"/>
  <c r="T2194" i="16"/>
  <c r="V2195" i="16"/>
  <c r="E1735" i="16"/>
  <c r="D1735" i="16" s="1"/>
  <c r="D1736" i="16" s="1"/>
  <c r="Q1739" i="16"/>
  <c r="R1739" i="16"/>
  <c r="K1739" i="16"/>
  <c r="S1739" i="16"/>
  <c r="V1739" i="16"/>
  <c r="L1739" i="16"/>
  <c r="T1739" i="16"/>
  <c r="D1740" i="16"/>
  <c r="M1739" i="16"/>
  <c r="U1739" i="16"/>
  <c r="B1733" i="16"/>
  <c r="N1739" i="16"/>
  <c r="E1734" i="16"/>
  <c r="F1734" i="16" s="1"/>
  <c r="O1739" i="16"/>
  <c r="W1739" i="16"/>
  <c r="D1734" i="16"/>
  <c r="P1739" i="16"/>
  <c r="X1739" i="16"/>
  <c r="W2195" i="16"/>
  <c r="U286" i="16"/>
  <c r="V1379" i="16"/>
  <c r="V1380" i="16" s="1"/>
  <c r="T716" i="20"/>
  <c r="T717" i="20"/>
  <c r="U717" i="20"/>
  <c r="S709" i="20"/>
  <c r="O200" i="10"/>
  <c r="Q1543" i="16"/>
  <c r="W1535" i="16"/>
  <c r="T702" i="20"/>
  <c r="T703" i="20" s="1"/>
  <c r="S2169" i="16"/>
  <c r="W2172" i="16"/>
  <c r="Q688" i="20"/>
  <c r="Q689" i="20" s="1"/>
  <c r="S2173" i="16"/>
  <c r="S710" i="20"/>
  <c r="S1528" i="16"/>
  <c r="S1514" i="16"/>
  <c r="R696" i="20"/>
  <c r="S1542" i="16"/>
  <c r="S2171" i="16"/>
  <c r="R695" i="20"/>
  <c r="M1121" i="16" l="1"/>
  <c r="N1120" i="16"/>
  <c r="N2111" i="16" s="1"/>
  <c r="M1127" i="16"/>
  <c r="M2112" i="16" s="1"/>
  <c r="L218" i="16"/>
  <c r="K193" i="10"/>
  <c r="K192" i="10" s="1"/>
  <c r="K787" i="16"/>
  <c r="L1128" i="16"/>
  <c r="K219" i="16"/>
  <c r="X948" i="16"/>
  <c r="S990" i="16"/>
  <c r="T990" i="16" s="1"/>
  <c r="U990" i="16" s="1"/>
  <c r="W1248" i="16"/>
  <c r="U996" i="16"/>
  <c r="V996" i="16" s="1"/>
  <c r="X1246" i="16"/>
  <c r="X2129" i="16" s="1"/>
  <c r="W1247" i="16"/>
  <c r="X1239" i="16"/>
  <c r="U1269" i="16"/>
  <c r="V1260" i="16"/>
  <c r="V2131" i="16" s="1"/>
  <c r="W1240" i="16"/>
  <c r="W1241" i="16"/>
  <c r="U1261" i="16"/>
  <c r="X1234" i="16"/>
  <c r="X1233" i="16"/>
  <c r="W1253" i="16"/>
  <c r="W2130" i="16" s="1"/>
  <c r="V1254" i="16"/>
  <c r="U1262" i="16"/>
  <c r="V1255" i="16"/>
  <c r="K1210" i="20"/>
  <c r="O1008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35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629" i="16" s="1"/>
  <c r="L795" i="16" s="1"/>
  <c r="L203" i="10" s="1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R2026" i="16"/>
  <c r="S2026" i="16" s="1"/>
  <c r="K1213" i="20"/>
  <c r="K1216" i="20" s="1"/>
  <c r="H1753" i="16"/>
  <c r="I1746" i="16" a="1"/>
  <c r="I1746" i="16" s="1"/>
  <c r="V1268" i="16"/>
  <c r="W1267" i="16"/>
  <c r="V1270" i="16"/>
  <c r="M555" i="20"/>
  <c r="M74" i="20" s="1"/>
  <c r="L74" i="20"/>
  <c r="X667" i="20"/>
  <c r="D606" i="20"/>
  <c r="E606" i="20" s="1"/>
  <c r="K607" i="20" s="1"/>
  <c r="L607" i="20" s="1"/>
  <c r="K321" i="20"/>
  <c r="L321" i="20" s="1"/>
  <c r="L51" i="20" s="1"/>
  <c r="W976" i="16"/>
  <c r="X976" i="16" s="1"/>
  <c r="T80" i="16"/>
  <c r="M1020" i="16"/>
  <c r="Q1001" i="16"/>
  <c r="R1001" i="16" s="1"/>
  <c r="O1002" i="16"/>
  <c r="P1002" i="16" s="1"/>
  <c r="S755" i="20"/>
  <c r="T754" i="20"/>
  <c r="T756" i="20" s="1"/>
  <c r="T866" i="20"/>
  <c r="T868" i="20" s="1"/>
  <c r="S867" i="20"/>
  <c r="R832" i="20"/>
  <c r="U796" i="20"/>
  <c r="V796" i="20" s="1"/>
  <c r="V798" i="20" s="1"/>
  <c r="S831" i="20"/>
  <c r="S833" i="20" s="1"/>
  <c r="W1654" i="16"/>
  <c r="Q1166" i="20"/>
  <c r="R1166" i="20" s="1"/>
  <c r="P1167" i="20"/>
  <c r="T936" i="20"/>
  <c r="U936" i="20" s="1"/>
  <c r="T797" i="20"/>
  <c r="L549" i="20"/>
  <c r="M549" i="20" s="1"/>
  <c r="L550" i="20"/>
  <c r="S1529" i="16"/>
  <c r="R938" i="20"/>
  <c r="R937" i="20"/>
  <c r="S937" i="20" s="1"/>
  <c r="K556" i="20"/>
  <c r="L556" i="20" s="1"/>
  <c r="K74" i="20"/>
  <c r="W1536" i="16"/>
  <c r="Q1522" i="16"/>
  <c r="Q1508" i="16" s="1"/>
  <c r="Q371" i="16" s="1"/>
  <c r="Q792" i="16" s="1"/>
  <c r="R1521" i="16"/>
  <c r="Q1507" i="16"/>
  <c r="Q370" i="16" s="1"/>
  <c r="S1520" i="16"/>
  <c r="R2170" i="16"/>
  <c r="R1506" i="16"/>
  <c r="R369" i="16" s="1"/>
  <c r="P2012" i="16"/>
  <c r="P1696" i="16"/>
  <c r="U1970" i="16"/>
  <c r="T984" i="16"/>
  <c r="T1682" i="16"/>
  <c r="N1710" i="16"/>
  <c r="T1991" i="16"/>
  <c r="U1991" i="16" s="1"/>
  <c r="U1984" i="16"/>
  <c r="T2019" i="16"/>
  <c r="U2019" i="16" s="1"/>
  <c r="V2019" i="16" s="1"/>
  <c r="V1689" i="16"/>
  <c r="N1703" i="16"/>
  <c r="O1703" i="16" s="1"/>
  <c r="M1717" i="16"/>
  <c r="V287" i="16"/>
  <c r="V789" i="16" s="1"/>
  <c r="V195" i="10" s="1"/>
  <c r="S1515" i="16"/>
  <c r="M1122" i="16"/>
  <c r="N1876" i="16"/>
  <c r="E1012" i="20"/>
  <c r="K1013" i="20" s="1"/>
  <c r="L1013" i="20" s="1"/>
  <c r="L964" i="20"/>
  <c r="K965" i="20"/>
  <c r="P594" i="20"/>
  <c r="R593" i="20"/>
  <c r="S593" i="20" s="1"/>
  <c r="Q595" i="20"/>
  <c r="E599" i="20"/>
  <c r="K600" i="20" s="1"/>
  <c r="L600" i="20" s="1"/>
  <c r="M600" i="20" s="1"/>
  <c r="Q2011" i="16"/>
  <c r="F1735" i="16"/>
  <c r="V2239" i="16"/>
  <c r="V1990" i="16"/>
  <c r="W1990" i="16" s="1"/>
  <c r="W960" i="16"/>
  <c r="R2010" i="16"/>
  <c r="S2010" i="16" s="1"/>
  <c r="O1875" i="16"/>
  <c r="Q1996" i="16"/>
  <c r="Q2242" i="16"/>
  <c r="P2240" i="16"/>
  <c r="P1874" i="16"/>
  <c r="Q1874" i="16" s="1"/>
  <c r="O2220" i="16"/>
  <c r="Q1962" i="16"/>
  <c r="Q1963" i="16" s="1"/>
  <c r="R1961" i="16"/>
  <c r="S1961" i="16" s="1"/>
  <c r="Q2235" i="16"/>
  <c r="V2236" i="16"/>
  <c r="V1969" i="16"/>
  <c r="W1968" i="16"/>
  <c r="W2018" i="16"/>
  <c r="W2243" i="16"/>
  <c r="X2017" i="16"/>
  <c r="V2238" i="16"/>
  <c r="W1982" i="16"/>
  <c r="V1983" i="16"/>
  <c r="P1997" i="16"/>
  <c r="P1998" i="16" s="1"/>
  <c r="W2239" i="16"/>
  <c r="X1989" i="16"/>
  <c r="M343" i="20"/>
  <c r="M344" i="20" s="1"/>
  <c r="N342" i="20"/>
  <c r="O342" i="20" s="1"/>
  <c r="P342" i="20" s="1"/>
  <c r="Q342" i="20" s="1"/>
  <c r="U19" i="16"/>
  <c r="V17" i="16" s="1"/>
  <c r="V2249" i="16" s="1"/>
  <c r="V2257" i="16" s="1"/>
  <c r="V91" i="16" s="1"/>
  <c r="V101" i="12" s="1"/>
  <c r="V109" i="12" s="1"/>
  <c r="U2273" i="16"/>
  <c r="U2269" i="16"/>
  <c r="X954" i="16"/>
  <c r="W966" i="16"/>
  <c r="U983" i="16"/>
  <c r="V449" i="20"/>
  <c r="W448" i="20"/>
  <c r="W442" i="20"/>
  <c r="X441" i="20"/>
  <c r="X442" i="20" s="1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/>
  <c r="X959" i="16"/>
  <c r="E1046" i="16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980" i="20"/>
  <c r="W982" i="16"/>
  <c r="T979" i="20"/>
  <c r="U979" i="20" s="1"/>
  <c r="V979" i="20" s="1"/>
  <c r="X978" i="20"/>
  <c r="U980" i="20"/>
  <c r="X818" i="20"/>
  <c r="V875" i="20"/>
  <c r="U874" i="20"/>
  <c r="V874" i="20" s="1"/>
  <c r="U875" i="20"/>
  <c r="W873" i="20"/>
  <c r="W875" i="20" s="1"/>
  <c r="M316" i="20"/>
  <c r="Q314" i="20"/>
  <c r="E1071" i="20"/>
  <c r="K1072" i="20" s="1"/>
  <c r="E1085" i="20"/>
  <c r="K1086" i="20" s="1"/>
  <c r="X674" i="20"/>
  <c r="W943" i="20"/>
  <c r="V945" i="20"/>
  <c r="V859" i="20"/>
  <c r="V861" i="20" s="1"/>
  <c r="V944" i="20"/>
  <c r="U860" i="20"/>
  <c r="U853" i="20"/>
  <c r="U931" i="20"/>
  <c r="U930" i="20"/>
  <c r="V929" i="20"/>
  <c r="D837" i="20"/>
  <c r="E837" i="20" s="1"/>
  <c r="K838" i="20" s="1"/>
  <c r="K839" i="20" s="1"/>
  <c r="K840" i="20" s="1"/>
  <c r="U854" i="20"/>
  <c r="V852" i="20"/>
  <c r="R888" i="20"/>
  <c r="R804" i="20"/>
  <c r="S887" i="20"/>
  <c r="S889" i="20" s="1"/>
  <c r="S587" i="20"/>
  <c r="U586" i="20"/>
  <c r="V586" i="20" s="1"/>
  <c r="T588" i="20"/>
  <c r="W924" i="20"/>
  <c r="X922" i="20"/>
  <c r="X924" i="20" s="1"/>
  <c r="W923" i="20"/>
  <c r="E643" i="20"/>
  <c r="E644" i="20" s="1"/>
  <c r="K645" i="20" s="1"/>
  <c r="D822" i="20"/>
  <c r="E822" i="20" s="1"/>
  <c r="C822" i="20"/>
  <c r="R805" i="20"/>
  <c r="S803" i="20"/>
  <c r="D1123" i="20"/>
  <c r="U783" i="20"/>
  <c r="N548" i="20"/>
  <c r="N550" i="20" s="1"/>
  <c r="E1043" i="20"/>
  <c r="K1044" i="20" s="1"/>
  <c r="L557" i="20"/>
  <c r="U784" i="20"/>
  <c r="V782" i="20"/>
  <c r="D1137" i="20"/>
  <c r="D1172" i="20"/>
  <c r="T882" i="20"/>
  <c r="U880" i="20"/>
  <c r="T881" i="20"/>
  <c r="D1150" i="20"/>
  <c r="E1150" i="20" s="1"/>
  <c r="C1150" i="20"/>
  <c r="S811" i="20"/>
  <c r="D1151" i="20"/>
  <c r="D1158" i="20"/>
  <c r="S812" i="20"/>
  <c r="T810" i="20"/>
  <c r="T726" i="20"/>
  <c r="V761" i="20"/>
  <c r="W761" i="20" s="1"/>
  <c r="U769" i="20"/>
  <c r="T762" i="20"/>
  <c r="U762" i="20" s="1"/>
  <c r="D1143" i="20"/>
  <c r="E1143" i="20" s="1"/>
  <c r="C1143" i="20"/>
  <c r="T763" i="20"/>
  <c r="D1179" i="20"/>
  <c r="E1105" i="20"/>
  <c r="E1106" i="20" s="1"/>
  <c r="K1107" i="20" s="1"/>
  <c r="K1108" i="20" s="1"/>
  <c r="C1178" i="20"/>
  <c r="D1178" i="20"/>
  <c r="E1178" i="20" s="1"/>
  <c r="S727" i="20"/>
  <c r="S728" i="20" s="1"/>
  <c r="U791" i="20"/>
  <c r="V789" i="20"/>
  <c r="D1130" i="20"/>
  <c r="D1144" i="20"/>
  <c r="E1098" i="20"/>
  <c r="E1099" i="20" s="1"/>
  <c r="K1100" i="20" s="1"/>
  <c r="C1129" i="20"/>
  <c r="D1129" i="20"/>
  <c r="E1129" i="20" s="1"/>
  <c r="C1136" i="20"/>
  <c r="D1136" i="20"/>
  <c r="E1136" i="20" s="1"/>
  <c r="U790" i="20"/>
  <c r="D1116" i="20"/>
  <c r="C1115" i="20"/>
  <c r="D1115" i="20"/>
  <c r="E1115" i="20" s="1"/>
  <c r="C1171" i="20"/>
  <c r="D1171" i="20"/>
  <c r="E1171" i="20" s="1"/>
  <c r="C1122" i="20"/>
  <c r="D1122" i="20"/>
  <c r="E1122" i="20" s="1"/>
  <c r="U777" i="20"/>
  <c r="V775" i="20"/>
  <c r="U776" i="20"/>
  <c r="E1092" i="20"/>
  <c r="K1093" i="20" s="1"/>
  <c r="K1094" i="20" s="1"/>
  <c r="K1095" i="20" s="1"/>
  <c r="U770" i="20"/>
  <c r="V768" i="20"/>
  <c r="X632" i="20"/>
  <c r="E1057" i="20"/>
  <c r="K1058" i="20" s="1"/>
  <c r="S749" i="20"/>
  <c r="U747" i="20"/>
  <c r="S748" i="20"/>
  <c r="T748" i="20" s="1"/>
  <c r="E1078" i="20"/>
  <c r="K1079" i="20" s="1"/>
  <c r="K1080" i="20" s="1"/>
  <c r="V742" i="20"/>
  <c r="W740" i="20"/>
  <c r="E1064" i="20"/>
  <c r="K1065" i="20" s="1"/>
  <c r="K1066" i="20" s="1"/>
  <c r="V741" i="20"/>
  <c r="X733" i="20"/>
  <c r="W734" i="20"/>
  <c r="W735" i="20" s="1"/>
  <c r="E1050" i="20"/>
  <c r="K1051" i="20" s="1"/>
  <c r="K1052" i="20" s="1"/>
  <c r="N315" i="20"/>
  <c r="Q1695" i="16"/>
  <c r="X1372" i="16"/>
  <c r="X1373" i="16" s="1"/>
  <c r="M1722" i="16"/>
  <c r="N1722" i="16" s="1"/>
  <c r="O1722" i="16" s="1"/>
  <c r="P1722" i="16" s="1"/>
  <c r="Q1722" i="16" s="1"/>
  <c r="R1722" i="16" s="1"/>
  <c r="Q1007" i="20"/>
  <c r="R1007" i="20" s="1"/>
  <c r="R1008" i="20" s="1"/>
  <c r="Q2196" i="16"/>
  <c r="L1724" i="16"/>
  <c r="L2200" i="16"/>
  <c r="R986" i="20"/>
  <c r="R987" i="20"/>
  <c r="S985" i="20"/>
  <c r="L1029" i="20"/>
  <c r="P1715" i="16"/>
  <c r="Q1715" i="16" s="1"/>
  <c r="S999" i="20"/>
  <c r="T999" i="20" s="1"/>
  <c r="N1020" i="20"/>
  <c r="N1021" i="20" s="1"/>
  <c r="L1034" i="20"/>
  <c r="L1035" i="20" s="1"/>
  <c r="N1027" i="20"/>
  <c r="S1006" i="20"/>
  <c r="T1006" i="20" s="1"/>
  <c r="U1006" i="20" s="1"/>
  <c r="V1006" i="20" s="1"/>
  <c r="W1006" i="20" s="1"/>
  <c r="X1006" i="20" s="1"/>
  <c r="X571" i="20"/>
  <c r="X570" i="20"/>
  <c r="U973" i="20"/>
  <c r="V972" i="20"/>
  <c r="K1036" i="20"/>
  <c r="K1029" i="20"/>
  <c r="L1028" i="20"/>
  <c r="M1022" i="20"/>
  <c r="U994" i="20"/>
  <c r="V980" i="20"/>
  <c r="U993" i="20"/>
  <c r="P1000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1681" i="16"/>
  <c r="V1681" i="16" s="1"/>
  <c r="U2194" i="16"/>
  <c r="K1736" i="16"/>
  <c r="E1742" i="16"/>
  <c r="D1742" i="16" s="1"/>
  <c r="N1746" i="16"/>
  <c r="V1746" i="16"/>
  <c r="E1741" i="16"/>
  <c r="F1741" i="16" s="1"/>
  <c r="O1746" i="16"/>
  <c r="W1746" i="16"/>
  <c r="B1740" i="16"/>
  <c r="P1746" i="16"/>
  <c r="X1746" i="16"/>
  <c r="K1746" i="16"/>
  <c r="S1746" i="16"/>
  <c r="U1746" i="16"/>
  <c r="D1741" i="16"/>
  <c r="Q1746" i="16"/>
  <c r="D1747" i="16"/>
  <c r="R1746" i="16"/>
  <c r="L1746" i="16"/>
  <c r="T1746" i="16"/>
  <c r="M1746" i="16"/>
  <c r="O2198" i="16"/>
  <c r="N2199" i="16"/>
  <c r="W1379" i="16"/>
  <c r="W1380" i="16" s="1"/>
  <c r="V286" i="16"/>
  <c r="V717" i="20"/>
  <c r="U716" i="20"/>
  <c r="R1543" i="16"/>
  <c r="X1535" i="16"/>
  <c r="P200" i="10"/>
  <c r="U702" i="20"/>
  <c r="U703" i="20" s="1"/>
  <c r="S695" i="20"/>
  <c r="T1542" i="16"/>
  <c r="T2171" i="16"/>
  <c r="T710" i="20"/>
  <c r="T2173" i="16"/>
  <c r="S696" i="20"/>
  <c r="T1514" i="16"/>
  <c r="T1528" i="16"/>
  <c r="R688" i="20"/>
  <c r="R689" i="20" s="1"/>
  <c r="X2172" i="16"/>
  <c r="T709" i="20"/>
  <c r="T2169" i="16"/>
  <c r="O1120" i="16" l="1"/>
  <c r="O2111" i="16" s="1"/>
  <c r="N1121" i="16"/>
  <c r="N1122" i="16" s="1"/>
  <c r="N1127" i="16"/>
  <c r="O1127" i="16" s="1"/>
  <c r="O2112" i="16" s="1"/>
  <c r="M218" i="16"/>
  <c r="L1129" i="16"/>
  <c r="L219" i="16"/>
  <c r="M1128" i="16"/>
  <c r="V990" i="16"/>
  <c r="W990" i="16" s="1"/>
  <c r="X990" i="16" s="1"/>
  <c r="N1020" i="16"/>
  <c r="O1020" i="16" s="1"/>
  <c r="X1247" i="16"/>
  <c r="X1248" i="16"/>
  <c r="V1261" i="16"/>
  <c r="V1269" i="16"/>
  <c r="X1240" i="16"/>
  <c r="W1260" i="16"/>
  <c r="W2131" i="16" s="1"/>
  <c r="X2128" i="16"/>
  <c r="X1241" i="16"/>
  <c r="W1254" i="16"/>
  <c r="X1253" i="16"/>
  <c r="X2130" i="16" s="1"/>
  <c r="W1255" i="16"/>
  <c r="V1262" i="16"/>
  <c r="W1270" i="16"/>
  <c r="W2132" i="16"/>
  <c r="Q1008" i="20"/>
  <c r="X989" i="16"/>
  <c r="P1019" i="16"/>
  <c r="Q1019" i="16" s="1"/>
  <c r="R1674" i="16"/>
  <c r="R1977" i="16"/>
  <c r="S1977" i="16" s="1"/>
  <c r="R1675" i="16"/>
  <c r="R2193" i="16"/>
  <c r="S1673" i="16"/>
  <c r="T2026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244" i="16"/>
  <c r="R1976" i="16"/>
  <c r="S1976" i="16" s="1"/>
  <c r="H1760" i="16"/>
  <c r="I1753" i="16" a="1"/>
  <c r="I1753" i="16" s="1"/>
  <c r="X1267" i="16"/>
  <c r="W1268" i="16"/>
  <c r="N555" i="20"/>
  <c r="O555" i="20" s="1"/>
  <c r="P555" i="20" s="1"/>
  <c r="K322" i="20"/>
  <c r="K52" i="20" s="1"/>
  <c r="K323" i="20"/>
  <c r="K51" i="20"/>
  <c r="T1000" i="16"/>
  <c r="O1024" i="16"/>
  <c r="P1024" i="16" s="1"/>
  <c r="Q1002" i="16"/>
  <c r="R1002" i="16" s="1"/>
  <c r="M1026" i="16"/>
  <c r="T755" i="20"/>
  <c r="U754" i="20"/>
  <c r="V754" i="20" s="1"/>
  <c r="V756" i="20" s="1"/>
  <c r="T867" i="20"/>
  <c r="U866" i="20"/>
  <c r="U868" i="20" s="1"/>
  <c r="U798" i="20"/>
  <c r="X1654" i="16"/>
  <c r="Q1168" i="20"/>
  <c r="T938" i="20"/>
  <c r="T831" i="20"/>
  <c r="T833" i="20" s="1"/>
  <c r="S832" i="20"/>
  <c r="U797" i="20"/>
  <c r="V797" i="20" s="1"/>
  <c r="W796" i="20"/>
  <c r="X796" i="20" s="1"/>
  <c r="X798" i="20" s="1"/>
  <c r="Q1167" i="20"/>
  <c r="R1167" i="20" s="1"/>
  <c r="T1529" i="16"/>
  <c r="L77" i="20"/>
  <c r="L1191" i="20" s="1"/>
  <c r="T937" i="20"/>
  <c r="U937" i="20" s="1"/>
  <c r="X1536" i="16"/>
  <c r="K1073" i="20"/>
  <c r="K1074" i="20" s="1"/>
  <c r="L1072" i="20"/>
  <c r="M1072" i="20" s="1"/>
  <c r="K1059" i="20"/>
  <c r="K1060" i="20" s="1"/>
  <c r="L1058" i="20"/>
  <c r="L1060" i="20" s="1"/>
  <c r="K608" i="20"/>
  <c r="L608" i="20" s="1"/>
  <c r="K557" i="20"/>
  <c r="K77" i="20" s="1"/>
  <c r="K1191" i="20" s="1"/>
  <c r="K75" i="20"/>
  <c r="K601" i="20"/>
  <c r="L601" i="20" s="1"/>
  <c r="K87" i="20"/>
  <c r="T1520" i="16"/>
  <c r="S2170" i="16"/>
  <c r="S1506" i="16"/>
  <c r="S369" i="16" s="1"/>
  <c r="R1522" i="16"/>
  <c r="R1508" i="16" s="1"/>
  <c r="R371" i="16" s="1"/>
  <c r="R792" i="16" s="1"/>
  <c r="S1521" i="16"/>
  <c r="R1507" i="16"/>
  <c r="R370" i="16" s="1"/>
  <c r="Q2012" i="16"/>
  <c r="Q1696" i="16"/>
  <c r="L323" i="20"/>
  <c r="M321" i="20"/>
  <c r="M51" i="20" s="1"/>
  <c r="O1710" i="16"/>
  <c r="V197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F1742" i="16" s="1"/>
  <c r="U1682" i="16"/>
  <c r="V1682" i="16" s="1"/>
  <c r="W287" i="16"/>
  <c r="W789" i="16" s="1"/>
  <c r="W195" i="10" s="1"/>
  <c r="O1876" i="16"/>
  <c r="M1013" i="20"/>
  <c r="N1013" i="20" s="1"/>
  <c r="N600" i="20"/>
  <c r="O600" i="20" s="1"/>
  <c r="O602" i="20" s="1"/>
  <c r="L1015" i="20"/>
  <c r="K1014" i="20"/>
  <c r="L1014" i="20" s="1"/>
  <c r="K966" i="20"/>
  <c r="L965" i="20"/>
  <c r="M964" i="20"/>
  <c r="N964" i="20" s="1"/>
  <c r="L966" i="20"/>
  <c r="M607" i="20"/>
  <c r="L609" i="20"/>
  <c r="S595" i="20"/>
  <c r="R595" i="20"/>
  <c r="T593" i="20"/>
  <c r="U593" i="20" s="1"/>
  <c r="U595" i="20" s="1"/>
  <c r="L602" i="20"/>
  <c r="L87" i="20"/>
  <c r="Q594" i="20"/>
  <c r="R2011" i="16"/>
  <c r="S2011" i="16" s="1"/>
  <c r="R2242" i="16"/>
  <c r="Q2240" i="16"/>
  <c r="R1996" i="16"/>
  <c r="S2242" i="16"/>
  <c r="T2010" i="16"/>
  <c r="U2010" i="16" s="1"/>
  <c r="V2010" i="16" s="1"/>
  <c r="Q2220" i="16"/>
  <c r="R1874" i="16"/>
  <c r="S1874" i="16" s="1"/>
  <c r="P2220" i="16"/>
  <c r="P1875" i="16"/>
  <c r="Q1875" i="16" s="1"/>
  <c r="T1961" i="16"/>
  <c r="T2235" i="16" s="1"/>
  <c r="S2235" i="16"/>
  <c r="R2235" i="16"/>
  <c r="R1962" i="16"/>
  <c r="S1962" i="16" s="1"/>
  <c r="W2236" i="16"/>
  <c r="X1990" i="16"/>
  <c r="W1969" i="16"/>
  <c r="X1968" i="16"/>
  <c r="X2243" i="16"/>
  <c r="X2018" i="16"/>
  <c r="W1983" i="16"/>
  <c r="W2238" i="16"/>
  <c r="X1982" i="16"/>
  <c r="Q1997" i="16"/>
  <c r="Q1998" i="16" s="1"/>
  <c r="X2239" i="16"/>
  <c r="R342" i="20"/>
  <c r="S342" i="20" s="1"/>
  <c r="T342" i="20" s="1"/>
  <c r="N343" i="20"/>
  <c r="O343" i="20" s="1"/>
  <c r="P343" i="20" s="1"/>
  <c r="V2261" i="16"/>
  <c r="V2273" i="16" s="1"/>
  <c r="V983" i="16"/>
  <c r="U20" i="16"/>
  <c r="U81" i="16" s="1"/>
  <c r="U2281" i="16"/>
  <c r="W996" i="16"/>
  <c r="W449" i="20"/>
  <c r="X448" i="20"/>
  <c r="X449" i="20" s="1"/>
  <c r="Q1008" i="16"/>
  <c r="V977" i="16"/>
  <c r="U978" i="16"/>
  <c r="S1001" i="16"/>
  <c r="N1025" i="16"/>
  <c r="D1053" i="16"/>
  <c r="E1058" i="16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874" i="20"/>
  <c r="X873" i="20"/>
  <c r="X875" i="20" s="1"/>
  <c r="U938" i="20"/>
  <c r="V936" i="20"/>
  <c r="W936" i="20" s="1"/>
  <c r="N316" i="20"/>
  <c r="R314" i="20"/>
  <c r="V860" i="20"/>
  <c r="W944" i="20"/>
  <c r="R1168" i="20"/>
  <c r="S1166" i="20"/>
  <c r="S1168" i="20" s="1"/>
  <c r="W859" i="20"/>
  <c r="X943" i="20"/>
  <c r="W945" i="20"/>
  <c r="L838" i="20"/>
  <c r="L840" i="20" s="1"/>
  <c r="T887" i="20"/>
  <c r="T889" i="20" s="1"/>
  <c r="V931" i="20"/>
  <c r="W929" i="20"/>
  <c r="V930" i="20"/>
  <c r="S888" i="20"/>
  <c r="V854" i="20"/>
  <c r="W852" i="20"/>
  <c r="V853" i="20"/>
  <c r="W586" i="20"/>
  <c r="V588" i="20"/>
  <c r="U588" i="20"/>
  <c r="T587" i="20"/>
  <c r="E823" i="20"/>
  <c r="K824" i="20" s="1"/>
  <c r="U726" i="20"/>
  <c r="V726" i="20" s="1"/>
  <c r="E1151" i="20"/>
  <c r="K1152" i="20" s="1"/>
  <c r="X923" i="20"/>
  <c r="L645" i="20"/>
  <c r="L110" i="20" s="1"/>
  <c r="T803" i="20"/>
  <c r="U803" i="20" s="1"/>
  <c r="U805" i="20" s="1"/>
  <c r="S805" i="20"/>
  <c r="S804" i="20"/>
  <c r="E1172" i="20"/>
  <c r="K1173" i="20" s="1"/>
  <c r="K1174" i="20" s="1"/>
  <c r="O548" i="20"/>
  <c r="O550" i="20" s="1"/>
  <c r="K646" i="20"/>
  <c r="K647" i="20" s="1"/>
  <c r="K113" i="20" s="1"/>
  <c r="K1194" i="20" s="1"/>
  <c r="K110" i="20"/>
  <c r="M556" i="20"/>
  <c r="L75" i="20"/>
  <c r="M550" i="20"/>
  <c r="N549" i="20"/>
  <c r="V784" i="20"/>
  <c r="V783" i="20"/>
  <c r="V776" i="20"/>
  <c r="W782" i="20"/>
  <c r="W784" i="20" s="1"/>
  <c r="E1123" i="20"/>
  <c r="K1124" i="20" s="1"/>
  <c r="K1125" i="20" s="1"/>
  <c r="U881" i="20"/>
  <c r="U882" i="20"/>
  <c r="V880" i="20"/>
  <c r="L1093" i="20"/>
  <c r="M1093" i="20" s="1"/>
  <c r="E1116" i="20"/>
  <c r="K1117" i="20" s="1"/>
  <c r="E1158" i="20"/>
  <c r="K1159" i="20" s="1"/>
  <c r="K1160" i="20" s="1"/>
  <c r="K1161" i="20" s="1"/>
  <c r="T811" i="20"/>
  <c r="T812" i="20"/>
  <c r="U810" i="20"/>
  <c r="T727" i="20"/>
  <c r="T728" i="20" s="1"/>
  <c r="E1137" i="20"/>
  <c r="K1138" i="20" s="1"/>
  <c r="K1139" i="20" s="1"/>
  <c r="V763" i="20"/>
  <c r="E1130" i="20"/>
  <c r="K1131" i="20" s="1"/>
  <c r="V790" i="20"/>
  <c r="L1107" i="20"/>
  <c r="M1107" i="20" s="1"/>
  <c r="V762" i="20"/>
  <c r="W762" i="20" s="1"/>
  <c r="E1179" i="20"/>
  <c r="K1180" i="20" s="1"/>
  <c r="L1079" i="20"/>
  <c r="M1079" i="20" s="1"/>
  <c r="V791" i="20"/>
  <c r="W789" i="20"/>
  <c r="K1109" i="20"/>
  <c r="E1144" i="20"/>
  <c r="K1145" i="20" s="1"/>
  <c r="K1146" i="20" s="1"/>
  <c r="K1101" i="20"/>
  <c r="K1102" i="20" s="1"/>
  <c r="L1100" i="20"/>
  <c r="M1100" i="20" s="1"/>
  <c r="V777" i="20"/>
  <c r="W775" i="20"/>
  <c r="V770" i="20"/>
  <c r="W768" i="20"/>
  <c r="U748" i="20"/>
  <c r="K1081" i="20"/>
  <c r="K1087" i="20"/>
  <c r="K1088" i="20" s="1"/>
  <c r="L1086" i="20"/>
  <c r="V769" i="20"/>
  <c r="V747" i="20"/>
  <c r="U749" i="20"/>
  <c r="W763" i="20"/>
  <c r="X761" i="20"/>
  <c r="X763" i="20" s="1"/>
  <c r="L1051" i="20"/>
  <c r="M1051" i="20" s="1"/>
  <c r="L1065" i="20"/>
  <c r="M1065" i="20" s="1"/>
  <c r="K1067" i="20"/>
  <c r="W741" i="20"/>
  <c r="W742" i="20"/>
  <c r="X740" i="20"/>
  <c r="X742" i="20" s="1"/>
  <c r="L1044" i="20"/>
  <c r="M1044" i="20" s="1"/>
  <c r="X734" i="20"/>
  <c r="X735" i="20" s="1"/>
  <c r="K1053" i="20"/>
  <c r="K1045" i="20"/>
  <c r="K1046" i="20" s="1"/>
  <c r="K181" i="20"/>
  <c r="O315" i="20"/>
  <c r="M1723" i="16"/>
  <c r="N1723" i="16" s="1"/>
  <c r="O1723" i="16" s="1"/>
  <c r="M2200" i="16"/>
  <c r="N2200" i="16"/>
  <c r="S1001" i="20"/>
  <c r="S1708" i="16"/>
  <c r="T1708" i="16" s="1"/>
  <c r="U1708" i="16" s="1"/>
  <c r="V1708" i="16" s="1"/>
  <c r="W1708" i="16" s="1"/>
  <c r="X1708" i="16" s="1"/>
  <c r="T985" i="20"/>
  <c r="S987" i="20"/>
  <c r="S986" i="20"/>
  <c r="L1730" i="16"/>
  <c r="M1730" i="16" s="1"/>
  <c r="S1007" i="20"/>
  <c r="S1008" i="20" s="1"/>
  <c r="S1694" i="16"/>
  <c r="L1731" i="16"/>
  <c r="O1027" i="20"/>
  <c r="P1027" i="20" s="1"/>
  <c r="N1022" i="20"/>
  <c r="O1020" i="20"/>
  <c r="R1695" i="16"/>
  <c r="U999" i="20"/>
  <c r="V999" i="20" s="1"/>
  <c r="W999" i="20" s="1"/>
  <c r="X999" i="20" s="1"/>
  <c r="M1034" i="20"/>
  <c r="M1035" i="20" s="1"/>
  <c r="L1036" i="20"/>
  <c r="M2201" i="16"/>
  <c r="N1729" i="16"/>
  <c r="M1028" i="20"/>
  <c r="M1029" i="20" s="1"/>
  <c r="L2201" i="16"/>
  <c r="Q1000" i="20"/>
  <c r="T1001" i="20"/>
  <c r="V994" i="20"/>
  <c r="W980" i="20"/>
  <c r="X980" i="20"/>
  <c r="V993" i="20"/>
  <c r="W993" i="20" s="1"/>
  <c r="V973" i="20"/>
  <c r="W972" i="20"/>
  <c r="N1029" i="20"/>
  <c r="W979" i="20"/>
  <c r="R1715" i="16"/>
  <c r="S1715" i="16" s="1"/>
  <c r="T1715" i="16" s="1"/>
  <c r="U1715" i="16" s="1"/>
  <c r="V1715" i="16" s="1"/>
  <c r="W1715" i="16" s="1"/>
  <c r="K1743" i="16"/>
  <c r="K1744" i="16" s="1"/>
  <c r="L1736" i="16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N1753" i="16"/>
  <c r="V1753" i="16"/>
  <c r="O1753" i="16"/>
  <c r="W1753" i="16"/>
  <c r="K1753" i="16"/>
  <c r="D1748" i="16"/>
  <c r="P1753" i="16"/>
  <c r="X1753" i="16"/>
  <c r="E1749" i="16"/>
  <c r="D1749" i="16" s="1"/>
  <c r="D1750" i="16" s="1"/>
  <c r="Q1753" i="16"/>
  <c r="E1748" i="16"/>
  <c r="F1748" i="16" s="1"/>
  <c r="R1753" i="16"/>
  <c r="S1753" i="16"/>
  <c r="L1753" i="16"/>
  <c r="T1753" i="16"/>
  <c r="D1754" i="16"/>
  <c r="M1753" i="16"/>
  <c r="U1753" i="16"/>
  <c r="Q2197" i="16"/>
  <c r="W1681" i="16"/>
  <c r="W286" i="16"/>
  <c r="X1379" i="16"/>
  <c r="X286" i="16" s="1"/>
  <c r="O2200" i="16"/>
  <c r="X717" i="20"/>
  <c r="V716" i="20"/>
  <c r="V702" i="20"/>
  <c r="V703" i="20" s="1"/>
  <c r="T695" i="20"/>
  <c r="U1542" i="16"/>
  <c r="S1543" i="16"/>
  <c r="Q200" i="10"/>
  <c r="U1528" i="16"/>
  <c r="U709" i="20"/>
  <c r="U2169" i="16"/>
  <c r="U1514" i="16"/>
  <c r="S688" i="20"/>
  <c r="S689" i="20" s="1"/>
  <c r="U2171" i="16"/>
  <c r="T696" i="20"/>
  <c r="U2173" i="16"/>
  <c r="U710" i="20"/>
  <c r="P1120" i="16" l="1"/>
  <c r="P2111" i="16" s="1"/>
  <c r="O1121" i="16"/>
  <c r="L54" i="20"/>
  <c r="L1190" i="20" s="1"/>
  <c r="L1189" i="20" s="1"/>
  <c r="K54" i="20"/>
  <c r="K1190" i="20" s="1"/>
  <c r="K1189" i="20" s="1"/>
  <c r="N2112" i="16"/>
  <c r="N218" i="16"/>
  <c r="P1127" i="16"/>
  <c r="P2112" i="16" s="1"/>
  <c r="O218" i="16"/>
  <c r="N1128" i="16"/>
  <c r="M219" i="16"/>
  <c r="M1129" i="16"/>
  <c r="M220" i="16" s="1"/>
  <c r="M788" i="16" s="1"/>
  <c r="L220" i="16"/>
  <c r="L788" i="16" s="1"/>
  <c r="W1269" i="16"/>
  <c r="P1020" i="16"/>
  <c r="Q1020" i="16" s="1"/>
  <c r="N1014" i="16"/>
  <c r="O1014" i="16" s="1"/>
  <c r="X1260" i="16"/>
  <c r="X2131" i="16" s="1"/>
  <c r="X1254" i="16"/>
  <c r="X1255" i="16" s="1"/>
  <c r="W1261" i="16"/>
  <c r="W1262" i="16"/>
  <c r="X1270" i="16"/>
  <c r="I216" i="16" s="1"/>
  <c r="I217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U2026" i="16"/>
  <c r="W1659" i="16"/>
  <c r="V2191" i="16"/>
  <c r="V1661" i="16"/>
  <c r="O344" i="20"/>
  <c r="N344" i="20"/>
  <c r="H1767" i="16"/>
  <c r="I1760" i="16" a="1"/>
  <c r="I1760" i="16" s="1"/>
  <c r="X1268" i="16"/>
  <c r="G49" i="20"/>
  <c r="N557" i="20"/>
  <c r="N77" i="20" s="1"/>
  <c r="N1191" i="20" s="1"/>
  <c r="N74" i="20"/>
  <c r="O557" i="20"/>
  <c r="O77" i="20" s="1"/>
  <c r="O1191" i="20" s="1"/>
  <c r="L322" i="20"/>
  <c r="L52" i="20" s="1"/>
  <c r="K1015" i="20"/>
  <c r="K609" i="20"/>
  <c r="U80" i="16"/>
  <c r="U756" i="20"/>
  <c r="U1000" i="16"/>
  <c r="V1000" i="16" s="1"/>
  <c r="O1025" i="16"/>
  <c r="P1025" i="16" s="1"/>
  <c r="T1001" i="16"/>
  <c r="W754" i="20"/>
  <c r="W756" i="20" s="1"/>
  <c r="U755" i="20"/>
  <c r="V755" i="20" s="1"/>
  <c r="V866" i="20"/>
  <c r="W866" i="20" s="1"/>
  <c r="U867" i="20"/>
  <c r="T832" i="20"/>
  <c r="W798" i="20"/>
  <c r="U831" i="20"/>
  <c r="V831" i="20" s="1"/>
  <c r="V833" i="20" s="1"/>
  <c r="W797" i="20"/>
  <c r="X797" i="20" s="1"/>
  <c r="U1529" i="16"/>
  <c r="N1072" i="20"/>
  <c r="O1072" i="20" s="1"/>
  <c r="O1074" i="20" s="1"/>
  <c r="L1074" i="20"/>
  <c r="M1058" i="20"/>
  <c r="N1058" i="20" s="1"/>
  <c r="O1058" i="20" s="1"/>
  <c r="O1060" i="20" s="1"/>
  <c r="L1073" i="20"/>
  <c r="M1073" i="20" s="1"/>
  <c r="M1074" i="20" s="1"/>
  <c r="L1059" i="20"/>
  <c r="L1117" i="20"/>
  <c r="M1117" i="20" s="1"/>
  <c r="K1118" i="20"/>
  <c r="K1119" i="20" s="1"/>
  <c r="K1132" i="20"/>
  <c r="K1133" i="20" s="1"/>
  <c r="L1131" i="20"/>
  <c r="L1133" i="20" s="1"/>
  <c r="L1159" i="20"/>
  <c r="M1159" i="20" s="1"/>
  <c r="K602" i="20"/>
  <c r="K88" i="20"/>
  <c r="R1696" i="16"/>
  <c r="S1522" i="16"/>
  <c r="S1508" i="16" s="1"/>
  <c r="S371" i="16" s="1"/>
  <c r="S792" i="16" s="1"/>
  <c r="T1521" i="16"/>
  <c r="S1507" i="16"/>
  <c r="S370" i="16" s="1"/>
  <c r="U1520" i="16"/>
  <c r="T2170" i="16"/>
  <c r="T1506" i="16"/>
  <c r="T369" i="16" s="1"/>
  <c r="P1710" i="16"/>
  <c r="N321" i="20"/>
  <c r="N51" i="20" s="1"/>
  <c r="M323" i="20"/>
  <c r="U1515" i="16"/>
  <c r="W1970" i="16"/>
  <c r="X1689" i="16"/>
  <c r="V984" i="16"/>
  <c r="W1682" i="16"/>
  <c r="X996" i="16"/>
  <c r="W1984" i="16"/>
  <c r="P1717" i="16"/>
  <c r="X1991" i="16"/>
  <c r="X2019" i="16"/>
  <c r="R1963" i="16"/>
  <c r="S1963" i="16" s="1"/>
  <c r="M1724" i="16"/>
  <c r="N1724" i="16" s="1"/>
  <c r="O1724" i="16" s="1"/>
  <c r="R2012" i="16"/>
  <c r="S2012" i="16" s="1"/>
  <c r="M1731" i="16"/>
  <c r="Q1703" i="16"/>
  <c r="R1703" i="16" s="1"/>
  <c r="M1014" i="20"/>
  <c r="M1015" i="20" s="1"/>
  <c r="X1380" i="16"/>
  <c r="X287" i="16" s="1"/>
  <c r="X789" i="16" s="1"/>
  <c r="X195" i="10" s="1"/>
  <c r="N602" i="20"/>
  <c r="P600" i="20"/>
  <c r="Q600" i="20" s="1"/>
  <c r="R600" i="20" s="1"/>
  <c r="L90" i="20"/>
  <c r="L1193" i="20" s="1"/>
  <c r="M965" i="20"/>
  <c r="N965" i="20" s="1"/>
  <c r="O1013" i="20"/>
  <c r="P1013" i="20" s="1"/>
  <c r="P1015" i="20" s="1"/>
  <c r="O964" i="20"/>
  <c r="N966" i="20"/>
  <c r="M601" i="20"/>
  <c r="M602" i="20" s="1"/>
  <c r="L88" i="20"/>
  <c r="T595" i="20"/>
  <c r="V593" i="20"/>
  <c r="W593" i="20" s="1"/>
  <c r="W595" i="20" s="1"/>
  <c r="N607" i="20"/>
  <c r="M87" i="20"/>
  <c r="R594" i="20"/>
  <c r="M608" i="20"/>
  <c r="M609" i="20" s="1"/>
  <c r="P1876" i="16"/>
  <c r="Q1876" i="16" s="1"/>
  <c r="S1996" i="16"/>
  <c r="S2240" i="16" s="1"/>
  <c r="R2240" i="16"/>
  <c r="T2011" i="16"/>
  <c r="U2011" i="16" s="1"/>
  <c r="V2011" i="16" s="1"/>
  <c r="T2242" i="16"/>
  <c r="U2242" i="16"/>
  <c r="R1875" i="16"/>
  <c r="S1875" i="16" s="1"/>
  <c r="S2220" i="16"/>
  <c r="R2220" i="16"/>
  <c r="T1874" i="16"/>
  <c r="T1962" i="16"/>
  <c r="U1961" i="16"/>
  <c r="U2235" i="16" s="1"/>
  <c r="F1749" i="16"/>
  <c r="X2236" i="16"/>
  <c r="X1969" i="16"/>
  <c r="X2238" i="16"/>
  <c r="X1983" i="16"/>
  <c r="W2010" i="16"/>
  <c r="V2242" i="16"/>
  <c r="R1997" i="16"/>
  <c r="R1998" i="16" s="1"/>
  <c r="V2269" i="16"/>
  <c r="V19" i="16"/>
  <c r="W17" i="16" s="1"/>
  <c r="W2249" i="16" s="1"/>
  <c r="W2257" i="16" s="1"/>
  <c r="W91" i="16" s="1"/>
  <c r="W101" i="12" s="1"/>
  <c r="W109" i="12" s="1"/>
  <c r="P344" i="20"/>
  <c r="Q343" i="20"/>
  <c r="R343" i="20" s="1"/>
  <c r="R344" i="20" s="1"/>
  <c r="W983" i="16"/>
  <c r="W977" i="16"/>
  <c r="V20" i="16"/>
  <c r="V81" i="16" s="1"/>
  <c r="V2281" i="16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/>
  <c r="D1064" i="16"/>
  <c r="O1036" i="16"/>
  <c r="S1007" i="16"/>
  <c r="T1006" i="16"/>
  <c r="T1018" i="16"/>
  <c r="V937" i="20"/>
  <c r="W937" i="20" s="1"/>
  <c r="V938" i="20"/>
  <c r="X874" i="20"/>
  <c r="M838" i="20"/>
  <c r="O316" i="20"/>
  <c r="L839" i="20"/>
  <c r="T888" i="20"/>
  <c r="S314" i="20"/>
  <c r="U727" i="20"/>
  <c r="V727" i="20" s="1"/>
  <c r="V728" i="20" s="1"/>
  <c r="X945" i="20"/>
  <c r="X944" i="20"/>
  <c r="W860" i="20"/>
  <c r="X859" i="20"/>
  <c r="X861" i="20" s="1"/>
  <c r="T1166" i="20"/>
  <c r="W861" i="20"/>
  <c r="S1167" i="20"/>
  <c r="U887" i="20"/>
  <c r="U889" i="20" s="1"/>
  <c r="W930" i="20"/>
  <c r="X929" i="20"/>
  <c r="X931" i="20" s="1"/>
  <c r="W931" i="20"/>
  <c r="W853" i="20"/>
  <c r="W854" i="20"/>
  <c r="X852" i="20"/>
  <c r="X854" i="20" s="1"/>
  <c r="U587" i="20"/>
  <c r="W588" i="20"/>
  <c r="X586" i="20"/>
  <c r="M645" i="20"/>
  <c r="T804" i="20"/>
  <c r="U804" i="20" s="1"/>
  <c r="X782" i="20"/>
  <c r="X784" i="20" s="1"/>
  <c r="L824" i="20"/>
  <c r="K825" i="20"/>
  <c r="K163" i="20"/>
  <c r="T805" i="20"/>
  <c r="V803" i="20"/>
  <c r="V805" i="20" s="1"/>
  <c r="N1093" i="20"/>
  <c r="O1093" i="20" s="1"/>
  <c r="O1095" i="20" s="1"/>
  <c r="L1094" i="20"/>
  <c r="M1094" i="20" s="1"/>
  <c r="M1095" i="20" s="1"/>
  <c r="L1081" i="20"/>
  <c r="L1095" i="20"/>
  <c r="K826" i="20"/>
  <c r="O549" i="20"/>
  <c r="P548" i="20"/>
  <c r="P74" i="20" s="1"/>
  <c r="L646" i="20"/>
  <c r="L647" i="20" s="1"/>
  <c r="L113" i="20" s="1"/>
  <c r="L1194" i="20" s="1"/>
  <c r="K111" i="20"/>
  <c r="O74" i="20"/>
  <c r="X936" i="20"/>
  <c r="X938" i="20" s="1"/>
  <c r="W938" i="20"/>
  <c r="Q555" i="20"/>
  <c r="P557" i="20"/>
  <c r="M557" i="20"/>
  <c r="M77" i="20" s="1"/>
  <c r="M1191" i="20" s="1"/>
  <c r="N556" i="20"/>
  <c r="M75" i="20"/>
  <c r="W783" i="20"/>
  <c r="U342" i="20"/>
  <c r="V881" i="20"/>
  <c r="V882" i="20"/>
  <c r="W880" i="20"/>
  <c r="L1108" i="20"/>
  <c r="M1108" i="20" s="1"/>
  <c r="M1109" i="20" s="1"/>
  <c r="U811" i="20"/>
  <c r="U812" i="20"/>
  <c r="V810" i="20"/>
  <c r="K1153" i="20"/>
  <c r="K1154" i="20" s="1"/>
  <c r="L1152" i="20"/>
  <c r="W790" i="20"/>
  <c r="L1109" i="20"/>
  <c r="L1138" i="20"/>
  <c r="L1140" i="20" s="1"/>
  <c r="N1107" i="20"/>
  <c r="N1109" i="20" s="1"/>
  <c r="K1147" i="20"/>
  <c r="L1080" i="20"/>
  <c r="M1080" i="20" s="1"/>
  <c r="M1081" i="20" s="1"/>
  <c r="K1175" i="20"/>
  <c r="L1173" i="20"/>
  <c r="L1175" i="20" s="1"/>
  <c r="L1145" i="20"/>
  <c r="L1146" i="20" s="1"/>
  <c r="N1079" i="20"/>
  <c r="N1081" i="20" s="1"/>
  <c r="W791" i="20"/>
  <c r="X789" i="20"/>
  <c r="X791" i="20" s="1"/>
  <c r="K1140" i="20"/>
  <c r="L1180" i="20"/>
  <c r="M1180" i="20" s="1"/>
  <c r="K1181" i="20"/>
  <c r="K1182" i="20" s="1"/>
  <c r="W769" i="20"/>
  <c r="K199" i="20"/>
  <c r="L1101" i="20"/>
  <c r="M1101" i="20" s="1"/>
  <c r="M1102" i="20" s="1"/>
  <c r="K1126" i="20"/>
  <c r="N1100" i="20"/>
  <c r="N1102" i="20" s="1"/>
  <c r="L1102" i="20"/>
  <c r="L1124" i="20"/>
  <c r="L1087" i="20"/>
  <c r="W777" i="20"/>
  <c r="X775" i="20"/>
  <c r="X777" i="20" s="1"/>
  <c r="W776" i="20"/>
  <c r="L1066" i="20"/>
  <c r="M1066" i="20" s="1"/>
  <c r="M1067" i="20" s="1"/>
  <c r="K184" i="20"/>
  <c r="K1196" i="20" s="1"/>
  <c r="L1088" i="20"/>
  <c r="L1053" i="20"/>
  <c r="L1067" i="20"/>
  <c r="M1086" i="20"/>
  <c r="L1052" i="20"/>
  <c r="M1052" i="20" s="1"/>
  <c r="M1053" i="20" s="1"/>
  <c r="W770" i="20"/>
  <c r="X768" i="20"/>
  <c r="X770" i="20" s="1"/>
  <c r="V749" i="20"/>
  <c r="W747" i="20"/>
  <c r="X762" i="20"/>
  <c r="V748" i="20"/>
  <c r="N1065" i="20"/>
  <c r="O1065" i="20" s="1"/>
  <c r="N1044" i="20"/>
  <c r="O1044" i="20" s="1"/>
  <c r="O1046" i="20" s="1"/>
  <c r="L181" i="20"/>
  <c r="L1046" i="20"/>
  <c r="X741" i="20"/>
  <c r="W726" i="20"/>
  <c r="N1051" i="20"/>
  <c r="K182" i="20"/>
  <c r="L1045" i="20"/>
  <c r="P315" i="20"/>
  <c r="L1743" i="16"/>
  <c r="L2203" i="16" s="1"/>
  <c r="L1738" i="16"/>
  <c r="S1695" i="16"/>
  <c r="T986" i="20"/>
  <c r="N2201" i="16"/>
  <c r="M1036" i="20"/>
  <c r="U985" i="20"/>
  <c r="T987" i="20"/>
  <c r="Q1027" i="20"/>
  <c r="R1027" i="20" s="1"/>
  <c r="P1029" i="20"/>
  <c r="N1730" i="16"/>
  <c r="O1729" i="16"/>
  <c r="K2203" i="16"/>
  <c r="L1737" i="16"/>
  <c r="T1694" i="16"/>
  <c r="S2196" i="16"/>
  <c r="O1021" i="20"/>
  <c r="O1022" i="20" s="1"/>
  <c r="N1034" i="20"/>
  <c r="N1036" i="20" s="1"/>
  <c r="K1745" i="16"/>
  <c r="P1020" i="20"/>
  <c r="Q1020" i="20" s="1"/>
  <c r="R1000" i="20"/>
  <c r="U1001" i="20"/>
  <c r="T1007" i="20"/>
  <c r="W973" i="20"/>
  <c r="X973" i="20"/>
  <c r="X979" i="20"/>
  <c r="W994" i="20"/>
  <c r="X994" i="20"/>
  <c r="N1028" i="20"/>
  <c r="L2202" i="16"/>
  <c r="M1736" i="16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O1760" i="16"/>
  <c r="W1760" i="16"/>
  <c r="D1755" i="16"/>
  <c r="P1760" i="16"/>
  <c r="X1760" i="16"/>
  <c r="L1760" i="16"/>
  <c r="D1761" i="16"/>
  <c r="Q1760" i="16"/>
  <c r="B1754" i="16"/>
  <c r="R1760" i="16"/>
  <c r="K1760" i="16"/>
  <c r="S1760" i="16"/>
  <c r="T1760" i="16"/>
  <c r="E1756" i="16"/>
  <c r="D1756" i="16" s="1"/>
  <c r="M1760" i="16"/>
  <c r="U1760" i="16"/>
  <c r="E1755" i="16"/>
  <c r="F1755" i="16" s="1"/>
  <c r="N1760" i="16"/>
  <c r="V1760" i="16"/>
  <c r="Q1716" i="16"/>
  <c r="Q2199" i="16"/>
  <c r="K1750" i="16"/>
  <c r="Q1709" i="16"/>
  <c r="P2200" i="16"/>
  <c r="P1723" i="16"/>
  <c r="W717" i="20"/>
  <c r="W716" i="20"/>
  <c r="X716" i="20" s="1"/>
  <c r="T1543" i="16"/>
  <c r="R200" i="10"/>
  <c r="V2173" i="16"/>
  <c r="V710" i="20"/>
  <c r="U696" i="20"/>
  <c r="V2171" i="16"/>
  <c r="V709" i="20"/>
  <c r="T688" i="20"/>
  <c r="T689" i="20" s="1"/>
  <c r="V1528" i="16"/>
  <c r="V2169" i="16"/>
  <c r="U695" i="20"/>
  <c r="V1514" i="16"/>
  <c r="V1542" i="16"/>
  <c r="W702" i="20"/>
  <c r="W703" i="20" s="1"/>
  <c r="Q1120" i="16" l="1"/>
  <c r="Q2111" i="16" s="1"/>
  <c r="P1121" i="16"/>
  <c r="O1122" i="16"/>
  <c r="M54" i="20"/>
  <c r="M1190" i="20" s="1"/>
  <c r="M1189" i="20" s="1"/>
  <c r="P218" i="16"/>
  <c r="Q1127" i="16"/>
  <c r="Q2112" i="16" s="1"/>
  <c r="L193" i="10"/>
  <c r="L192" i="10" s="1"/>
  <c r="L787" i="16"/>
  <c r="M193" i="10"/>
  <c r="M192" i="10" s="1"/>
  <c r="M787" i="16"/>
  <c r="N1129" i="16"/>
  <c r="N219" i="16"/>
  <c r="O1128" i="16"/>
  <c r="P1014" i="16"/>
  <c r="Q1014" i="16" s="1"/>
  <c r="X1269" i="16"/>
  <c r="X1261" i="16"/>
  <c r="X1262" i="16"/>
  <c r="U1007" i="20"/>
  <c r="U1008" i="20" s="1"/>
  <c r="T1008" i="20"/>
  <c r="T1674" i="16"/>
  <c r="L1043" i="16"/>
  <c r="M1043" i="16" s="1"/>
  <c r="U728" i="20"/>
  <c r="V2026" i="16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O627" i="16"/>
  <c r="O2241" i="16"/>
  <c r="O2005" i="16"/>
  <c r="Q2003" i="16"/>
  <c r="X1659" i="16"/>
  <c r="W2191" i="16"/>
  <c r="W1661" i="16"/>
  <c r="W1660" i="16"/>
  <c r="Q344" i="20"/>
  <c r="H1774" i="16"/>
  <c r="I1767" i="16" a="1"/>
  <c r="I1767" i="16" s="1"/>
  <c r="M322" i="20"/>
  <c r="M52" i="20" s="1"/>
  <c r="K90" i="20"/>
  <c r="K1193" i="20" s="1"/>
  <c r="K166" i="20"/>
  <c r="K1195" i="20" s="1"/>
  <c r="V80" i="16"/>
  <c r="X977" i="16"/>
  <c r="X754" i="20"/>
  <c r="X756" i="20" s="1"/>
  <c r="U1001" i="16"/>
  <c r="V1001" i="16" s="1"/>
  <c r="W755" i="20"/>
  <c r="L1044" i="16"/>
  <c r="T1002" i="16"/>
  <c r="V868" i="20"/>
  <c r="V867" i="20"/>
  <c r="W867" i="20" s="1"/>
  <c r="V1529" i="16"/>
  <c r="U832" i="20"/>
  <c r="V832" i="20" s="1"/>
  <c r="P1072" i="20"/>
  <c r="P1074" i="20" s="1"/>
  <c r="U833" i="20"/>
  <c r="W831" i="20"/>
  <c r="W833" i="20" s="1"/>
  <c r="M1131" i="20"/>
  <c r="N1131" i="20" s="1"/>
  <c r="N1074" i="20"/>
  <c r="M181" i="20"/>
  <c r="M1059" i="20"/>
  <c r="M1060" i="20" s="1"/>
  <c r="S1696" i="16"/>
  <c r="L1119" i="20"/>
  <c r="N1073" i="20"/>
  <c r="O1073" i="20" s="1"/>
  <c r="L1132" i="20"/>
  <c r="L1118" i="20"/>
  <c r="M1118" i="20" s="1"/>
  <c r="M1119" i="20" s="1"/>
  <c r="N1159" i="20"/>
  <c r="N1161" i="20" s="1"/>
  <c r="L1160" i="20"/>
  <c r="M1160" i="20" s="1"/>
  <c r="M1161" i="20" s="1"/>
  <c r="L1161" i="20"/>
  <c r="L1054" i="16"/>
  <c r="M1054" i="16" s="1"/>
  <c r="N1054" i="16" s="1"/>
  <c r="V1520" i="16"/>
  <c r="U2170" i="16"/>
  <c r="U1506" i="16"/>
  <c r="U369" i="16" s="1"/>
  <c r="T1522" i="16"/>
  <c r="T1508" i="16" s="1"/>
  <c r="T371" i="16" s="1"/>
  <c r="T792" i="16" s="1"/>
  <c r="U1521" i="16"/>
  <c r="T1507" i="16"/>
  <c r="T370" i="16" s="1"/>
  <c r="Q1710" i="16"/>
  <c r="N323" i="20"/>
  <c r="O321" i="20"/>
  <c r="O51" i="20" s="1"/>
  <c r="V1515" i="16"/>
  <c r="W984" i="16"/>
  <c r="X1682" i="16"/>
  <c r="X1970" i="16"/>
  <c r="X1984" i="16"/>
  <c r="N1731" i="16"/>
  <c r="Q1717" i="16"/>
  <c r="M1038" i="16"/>
  <c r="P1724" i="16"/>
  <c r="T1963" i="16"/>
  <c r="T2012" i="16"/>
  <c r="U2012" i="16" s="1"/>
  <c r="V2012" i="16" s="1"/>
  <c r="S1703" i="16"/>
  <c r="T1703" i="16" s="1"/>
  <c r="D1757" i="16"/>
  <c r="F1756" i="16" s="1"/>
  <c r="M966" i="20"/>
  <c r="M90" i="20"/>
  <c r="M1193" i="20" s="1"/>
  <c r="N1014" i="20"/>
  <c r="P602" i="20"/>
  <c r="N608" i="20"/>
  <c r="O966" i="20"/>
  <c r="P964" i="20"/>
  <c r="Q964" i="20" s="1"/>
  <c r="Q1013" i="20"/>
  <c r="O965" i="20"/>
  <c r="R602" i="20"/>
  <c r="S594" i="20"/>
  <c r="N609" i="20"/>
  <c r="N90" i="20" s="1"/>
  <c r="N1193" i="20" s="1"/>
  <c r="N87" i="20"/>
  <c r="O607" i="20"/>
  <c r="V595" i="20"/>
  <c r="X593" i="20"/>
  <c r="X595" i="20" s="1"/>
  <c r="Q602" i="20"/>
  <c r="S600" i="20"/>
  <c r="N601" i="20"/>
  <c r="M88" i="20"/>
  <c r="R1876" i="16"/>
  <c r="S1876" i="16" s="1"/>
  <c r="T1996" i="16"/>
  <c r="T2240" i="16" s="1"/>
  <c r="U1962" i="16"/>
  <c r="T1875" i="16"/>
  <c r="U1874" i="16"/>
  <c r="T2220" i="16"/>
  <c r="V1961" i="16"/>
  <c r="V2235" i="16" s="1"/>
  <c r="W2011" i="16"/>
  <c r="S1997" i="16"/>
  <c r="S1998" i="16" s="1"/>
  <c r="W2242" i="16"/>
  <c r="X2010" i="16"/>
  <c r="S343" i="20"/>
  <c r="S344" i="20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38" i="20"/>
  <c r="O838" i="20" s="1"/>
  <c r="P838" i="20" s="1"/>
  <c r="P840" i="20" s="1"/>
  <c r="M839" i="20"/>
  <c r="M840" i="20" s="1"/>
  <c r="P316" i="20"/>
  <c r="V887" i="20"/>
  <c r="V889" i="20" s="1"/>
  <c r="T314" i="20"/>
  <c r="T1167" i="20"/>
  <c r="U1166" i="20"/>
  <c r="T1168" i="20"/>
  <c r="X860" i="20"/>
  <c r="U888" i="20"/>
  <c r="W868" i="20"/>
  <c r="X866" i="20"/>
  <c r="X868" i="20" s="1"/>
  <c r="X930" i="20"/>
  <c r="N1094" i="20"/>
  <c r="O1094" i="20" s="1"/>
  <c r="N645" i="20"/>
  <c r="O645" i="20" s="1"/>
  <c r="O110" i="20" s="1"/>
  <c r="X783" i="20"/>
  <c r="X853" i="20"/>
  <c r="M110" i="20"/>
  <c r="X588" i="20"/>
  <c r="V587" i="20"/>
  <c r="K249" i="20"/>
  <c r="V804" i="20"/>
  <c r="Q548" i="20"/>
  <c r="R548" i="20" s="1"/>
  <c r="R550" i="20" s="1"/>
  <c r="P1093" i="20"/>
  <c r="P1095" i="20" s="1"/>
  <c r="N1095" i="20"/>
  <c r="W803" i="20"/>
  <c r="P550" i="20"/>
  <c r="P77" i="20" s="1"/>
  <c r="P1191" i="20" s="1"/>
  <c r="P549" i="20"/>
  <c r="L825" i="20"/>
  <c r="K164" i="20"/>
  <c r="L826" i="20"/>
  <c r="L166" i="20" s="1"/>
  <c r="L1195" i="20" s="1"/>
  <c r="L163" i="20"/>
  <c r="M824" i="20"/>
  <c r="M646" i="20"/>
  <c r="M647" i="20" s="1"/>
  <c r="M113" i="20" s="1"/>
  <c r="M1194" i="20" s="1"/>
  <c r="L111" i="20"/>
  <c r="V342" i="20"/>
  <c r="Q557" i="20"/>
  <c r="R555" i="20"/>
  <c r="S555" i="20" s="1"/>
  <c r="X937" i="20"/>
  <c r="O556" i="20"/>
  <c r="N75" i="20"/>
  <c r="O1107" i="20"/>
  <c r="O1109" i="20" s="1"/>
  <c r="W882" i="20"/>
  <c r="X880" i="20"/>
  <c r="X882" i="20" s="1"/>
  <c r="W881" i="20"/>
  <c r="V812" i="20"/>
  <c r="W810" i="20"/>
  <c r="V811" i="20"/>
  <c r="M1152" i="20"/>
  <c r="N1152" i="20" s="1"/>
  <c r="L1154" i="20"/>
  <c r="L1153" i="20"/>
  <c r="L1147" i="20"/>
  <c r="M1138" i="20"/>
  <c r="L1139" i="20"/>
  <c r="N1080" i="20"/>
  <c r="O1079" i="20"/>
  <c r="O1081" i="20" s="1"/>
  <c r="N1108" i="20"/>
  <c r="K202" i="20"/>
  <c r="K1197" i="20" s="1"/>
  <c r="M1173" i="20"/>
  <c r="N1173" i="20" s="1"/>
  <c r="N1175" i="20" s="1"/>
  <c r="L1174" i="20"/>
  <c r="M1145" i="20"/>
  <c r="N1145" i="20" s="1"/>
  <c r="O1100" i="20"/>
  <c r="O1102" i="20" s="1"/>
  <c r="L1181" i="20"/>
  <c r="M1181" i="20" s="1"/>
  <c r="M1182" i="20" s="1"/>
  <c r="N1060" i="20"/>
  <c r="P1058" i="20"/>
  <c r="P1060" i="20" s="1"/>
  <c r="K200" i="20"/>
  <c r="X790" i="20"/>
  <c r="L1182" i="20"/>
  <c r="N1180" i="20"/>
  <c r="N1182" i="20" s="1"/>
  <c r="L1125" i="20"/>
  <c r="N1101" i="20"/>
  <c r="L199" i="20"/>
  <c r="L1126" i="20"/>
  <c r="M1124" i="20"/>
  <c r="N1117" i="20"/>
  <c r="X776" i="20"/>
  <c r="L184" i="20"/>
  <c r="L1196" i="20" s="1"/>
  <c r="M1087" i="20"/>
  <c r="M1088" i="20" s="1"/>
  <c r="X769" i="20"/>
  <c r="N1086" i="20"/>
  <c r="N1088" i="20" s="1"/>
  <c r="N1066" i="20"/>
  <c r="O1066" i="20" s="1"/>
  <c r="X747" i="20"/>
  <c r="X749" i="20" s="1"/>
  <c r="W749" i="20"/>
  <c r="N1067" i="20"/>
  <c r="W748" i="20"/>
  <c r="W727" i="20"/>
  <c r="W728" i="20" s="1"/>
  <c r="N1046" i="20"/>
  <c r="P1044" i="20"/>
  <c r="O1067" i="20"/>
  <c r="P1065" i="20"/>
  <c r="X726" i="20"/>
  <c r="L182" i="20"/>
  <c r="M1045" i="20"/>
  <c r="M1046" i="20" s="1"/>
  <c r="N1053" i="20"/>
  <c r="O1051" i="20"/>
  <c r="P1051" i="20" s="1"/>
  <c r="N1052" i="20"/>
  <c r="Q315" i="20"/>
  <c r="L1745" i="16"/>
  <c r="M1743" i="16"/>
  <c r="N1743" i="16" s="1"/>
  <c r="N2203" i="16" s="1"/>
  <c r="L1744" i="16"/>
  <c r="V985" i="20"/>
  <c r="V987" i="20" s="1"/>
  <c r="U987" i="20"/>
  <c r="O1730" i="16"/>
  <c r="U986" i="20"/>
  <c r="P1729" i="16"/>
  <c r="O2201" i="16"/>
  <c r="M1737" i="16"/>
  <c r="M1738" i="16" s="1"/>
  <c r="P1021" i="20"/>
  <c r="Q1021" i="20" s="1"/>
  <c r="Q1022" i="20" s="1"/>
  <c r="U1694" i="16"/>
  <c r="T2196" i="16"/>
  <c r="T1695" i="16"/>
  <c r="R1020" i="20"/>
  <c r="O1034" i="20"/>
  <c r="N1035" i="20"/>
  <c r="S1027" i="20"/>
  <c r="T1027" i="20" s="1"/>
  <c r="U1027" i="20" s="1"/>
  <c r="V1027" i="20" s="1"/>
  <c r="W1027" i="20" s="1"/>
  <c r="X1027" i="20" s="1"/>
  <c r="X993" i="20"/>
  <c r="M2202" i="16"/>
  <c r="Q1029" i="20"/>
  <c r="O1028" i="20"/>
  <c r="O1029" i="20" s="1"/>
  <c r="V1001" i="20"/>
  <c r="S1000" i="20"/>
  <c r="X972" i="20"/>
  <c r="L1750" i="16"/>
  <c r="L2204" i="16" s="1"/>
  <c r="K1757" i="16"/>
  <c r="K2205" i="16" s="1"/>
  <c r="N1736" i="16"/>
  <c r="V2197" i="16"/>
  <c r="R1709" i="16"/>
  <c r="U1702" i="16"/>
  <c r="R1716" i="16"/>
  <c r="E1763" i="16"/>
  <c r="D1763" i="16" s="1"/>
  <c r="Q1767" i="16"/>
  <c r="N1767" i="16"/>
  <c r="B1761" i="16"/>
  <c r="E1762" i="16"/>
  <c r="F1762" i="16" s="1"/>
  <c r="R1767" i="16"/>
  <c r="K1767" i="16"/>
  <c r="S1767" i="16"/>
  <c r="D1762" i="16"/>
  <c r="L1767" i="16"/>
  <c r="T1767" i="16"/>
  <c r="V1767" i="16"/>
  <c r="D1768" i="16"/>
  <c r="M1767" i="16"/>
  <c r="U1767" i="16"/>
  <c r="O1767" i="16"/>
  <c r="W1767" i="16"/>
  <c r="P1767" i="16"/>
  <c r="X1767" i="16"/>
  <c r="K1752" i="16"/>
  <c r="K2204" i="16"/>
  <c r="K1751" i="16"/>
  <c r="R2199" i="16"/>
  <c r="R2198" i="16"/>
  <c r="Q1723" i="16"/>
  <c r="Q2200" i="16"/>
  <c r="V695" i="20"/>
  <c r="S200" i="10"/>
  <c r="U1543" i="16"/>
  <c r="W1542" i="16"/>
  <c r="X702" i="20"/>
  <c r="X703" i="20" s="1"/>
  <c r="W1514" i="16"/>
  <c r="W709" i="20"/>
  <c r="W2171" i="16"/>
  <c r="U688" i="20"/>
  <c r="U689" i="20" s="1"/>
  <c r="W2169" i="16"/>
  <c r="W710" i="20"/>
  <c r="X710" i="20"/>
  <c r="V696" i="20"/>
  <c r="W2173" i="16"/>
  <c r="W1528" i="16"/>
  <c r="P1122" i="16" l="1"/>
  <c r="R1120" i="16"/>
  <c r="R2111" i="16" s="1"/>
  <c r="Q1121" i="16"/>
  <c r="N54" i="20"/>
  <c r="N1190" i="20" s="1"/>
  <c r="N1189" i="20" s="1"/>
  <c r="O1014" i="20"/>
  <c r="P1014" i="20" s="1"/>
  <c r="Q1014" i="20" s="1"/>
  <c r="N1015" i="20"/>
  <c r="R1127" i="16"/>
  <c r="R2112" i="16" s="1"/>
  <c r="Q218" i="16"/>
  <c r="O219" i="16"/>
  <c r="P1128" i="16"/>
  <c r="N220" i="16"/>
  <c r="N788" i="16" s="1"/>
  <c r="O1129" i="16"/>
  <c r="U1002" i="16"/>
  <c r="V1002" i="16" s="1"/>
  <c r="P1022" i="20"/>
  <c r="V1007" i="20"/>
  <c r="W1007" i="20" s="1"/>
  <c r="W1008" i="20" s="1"/>
  <c r="W2026" i="16"/>
  <c r="U1675" i="16"/>
  <c r="V1675" i="16" s="1"/>
  <c r="U2193" i="16"/>
  <c r="U1674" i="16"/>
  <c r="V1674" i="16" s="1"/>
  <c r="W2025" i="16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252" i="20"/>
  <c r="K227" i="11" s="1"/>
  <c r="K228" i="11" s="1"/>
  <c r="K247" i="11" s="1"/>
  <c r="K174" i="10" s="1"/>
  <c r="K318" i="10" s="1"/>
  <c r="N322" i="20"/>
  <c r="N52" i="20" s="1"/>
  <c r="K1192" i="20"/>
  <c r="X755" i="20"/>
  <c r="M1044" i="16"/>
  <c r="M1048" i="16"/>
  <c r="N1048" i="16" s="1"/>
  <c r="O1048" i="16" s="1"/>
  <c r="N1038" i="16"/>
  <c r="O1038" i="16" s="1"/>
  <c r="W1529" i="16"/>
  <c r="Q1072" i="20"/>
  <c r="Q1074" i="20" s="1"/>
  <c r="W832" i="20"/>
  <c r="P1073" i="20"/>
  <c r="X831" i="20"/>
  <c r="X833" i="20" s="1"/>
  <c r="M1132" i="20"/>
  <c r="M1133" i="20" s="1"/>
  <c r="T1696" i="16"/>
  <c r="N1059" i="20"/>
  <c r="O1059" i="20" s="1"/>
  <c r="P1059" i="20" s="1"/>
  <c r="O1159" i="20"/>
  <c r="O1161" i="20" s="1"/>
  <c r="N1160" i="20"/>
  <c r="L1055" i="16"/>
  <c r="L1056" i="16" s="1"/>
  <c r="P321" i="20"/>
  <c r="Q321" i="20" s="1"/>
  <c r="Q51" i="20" s="1"/>
  <c r="O323" i="20"/>
  <c r="O54" i="20" s="1"/>
  <c r="R1710" i="16"/>
  <c r="U1522" i="16"/>
  <c r="U1508" i="16" s="1"/>
  <c r="U371" i="16" s="1"/>
  <c r="U792" i="16" s="1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W2012" i="16"/>
  <c r="X2012" i="16" s="1"/>
  <c r="U1703" i="16"/>
  <c r="U1963" i="16"/>
  <c r="M184" i="20"/>
  <c r="M1196" i="20" s="1"/>
  <c r="D1764" i="16"/>
  <c r="F1763" i="16" s="1"/>
  <c r="P965" i="20"/>
  <c r="Q965" i="20" s="1"/>
  <c r="Q966" i="20"/>
  <c r="R964" i="20"/>
  <c r="Q1015" i="20"/>
  <c r="R1013" i="20"/>
  <c r="P966" i="20"/>
  <c r="O601" i="20"/>
  <c r="N88" i="20"/>
  <c r="T594" i="20"/>
  <c r="T600" i="20"/>
  <c r="S602" i="20"/>
  <c r="P607" i="20"/>
  <c r="O609" i="20"/>
  <c r="O90" i="20" s="1"/>
  <c r="O1193" i="20" s="1"/>
  <c r="O87" i="20"/>
  <c r="T1876" i="16"/>
  <c r="O608" i="20"/>
  <c r="U1996" i="16"/>
  <c r="V1962" i="16"/>
  <c r="W1961" i="16"/>
  <c r="X2011" i="16"/>
  <c r="V1874" i="16"/>
  <c r="U2220" i="16"/>
  <c r="U1875" i="16"/>
  <c r="X2242" i="16"/>
  <c r="T1997" i="16"/>
  <c r="T1998" i="16" s="1"/>
  <c r="T343" i="20"/>
  <c r="T344" i="20" s="1"/>
  <c r="W19" i="16"/>
  <c r="X17" i="16" s="1"/>
  <c r="X2249" i="16" s="1"/>
  <c r="X2257" i="16" s="1"/>
  <c r="X91" i="16" s="1"/>
  <c r="X101" i="12" s="1"/>
  <c r="X109" i="12" s="1"/>
  <c r="W2269" i="16"/>
  <c r="X978" i="16"/>
  <c r="W20" i="16"/>
  <c r="W81" i="16" s="1"/>
  <c r="W2281" i="16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40" i="20"/>
  <c r="N839" i="20"/>
  <c r="O839" i="20" s="1"/>
  <c r="P839" i="20" s="1"/>
  <c r="Q316" i="20"/>
  <c r="W887" i="20"/>
  <c r="W889" i="20" s="1"/>
  <c r="U314" i="20"/>
  <c r="V888" i="20"/>
  <c r="U1168" i="20"/>
  <c r="V1166" i="20"/>
  <c r="U1167" i="20"/>
  <c r="X867" i="20"/>
  <c r="P645" i="20"/>
  <c r="N110" i="20"/>
  <c r="L249" i="20"/>
  <c r="P1094" i="20"/>
  <c r="Q550" i="20"/>
  <c r="Q77" i="20" s="1"/>
  <c r="Q1191" i="20" s="1"/>
  <c r="Q74" i="20"/>
  <c r="W587" i="20"/>
  <c r="Q549" i="20"/>
  <c r="R549" i="20" s="1"/>
  <c r="Q1093" i="20"/>
  <c r="Q1095" i="20" s="1"/>
  <c r="O1108" i="20"/>
  <c r="N1138" i="20"/>
  <c r="N1140" i="20" s="1"/>
  <c r="X803" i="20"/>
  <c r="X805" i="20" s="1"/>
  <c r="W805" i="20"/>
  <c r="W804" i="20"/>
  <c r="Q838" i="20"/>
  <c r="Q840" i="20" s="1"/>
  <c r="S548" i="20"/>
  <c r="S550" i="20" s="1"/>
  <c r="M825" i="20"/>
  <c r="M826" i="20" s="1"/>
  <c r="M166" i="20" s="1"/>
  <c r="M1195" i="20" s="1"/>
  <c r="L164" i="20"/>
  <c r="M163" i="20"/>
  <c r="N824" i="20"/>
  <c r="P1107" i="20"/>
  <c r="O840" i="20"/>
  <c r="N646" i="20"/>
  <c r="N647" i="20" s="1"/>
  <c r="N113" i="20" s="1"/>
  <c r="N1194" i="20" s="1"/>
  <c r="M111" i="20"/>
  <c r="M1153" i="20"/>
  <c r="N1153" i="20" s="1"/>
  <c r="S557" i="20"/>
  <c r="T555" i="20"/>
  <c r="R557" i="20"/>
  <c r="R77" i="20" s="1"/>
  <c r="R1191" i="20" s="1"/>
  <c r="R74" i="20"/>
  <c r="P556" i="20"/>
  <c r="O75" i="20"/>
  <c r="W342" i="20"/>
  <c r="X881" i="20"/>
  <c r="N1154" i="20"/>
  <c r="W811" i="20"/>
  <c r="W812" i="20"/>
  <c r="X810" i="20"/>
  <c r="X812" i="20" s="1"/>
  <c r="O1152" i="20"/>
  <c r="O1154" i="20" s="1"/>
  <c r="K255" i="20"/>
  <c r="K258" i="20" s="1"/>
  <c r="K236" i="10" s="1"/>
  <c r="K235" i="10" s="1"/>
  <c r="O1080" i="20"/>
  <c r="M1139" i="20"/>
  <c r="M1140" i="20" s="1"/>
  <c r="P1079" i="20"/>
  <c r="M1146" i="20"/>
  <c r="N1146" i="20" s="1"/>
  <c r="Q1058" i="20"/>
  <c r="R1058" i="20" s="1"/>
  <c r="R1060" i="20" s="1"/>
  <c r="M199" i="20"/>
  <c r="L200" i="20"/>
  <c r="M1174" i="20"/>
  <c r="N1174" i="20" s="1"/>
  <c r="O1173" i="20"/>
  <c r="O1175" i="20" s="1"/>
  <c r="P1100" i="20"/>
  <c r="Q1100" i="20" s="1"/>
  <c r="Q1102" i="20" s="1"/>
  <c r="O1101" i="20"/>
  <c r="O1145" i="20"/>
  <c r="O1147" i="20" s="1"/>
  <c r="N1147" i="20"/>
  <c r="N181" i="20"/>
  <c r="N1181" i="20"/>
  <c r="L202" i="20"/>
  <c r="L1197" i="20" s="1"/>
  <c r="L1192" i="20" s="1"/>
  <c r="N1133" i="20"/>
  <c r="O1180" i="20"/>
  <c r="O1131" i="20"/>
  <c r="M1125" i="20"/>
  <c r="M1126" i="20" s="1"/>
  <c r="N1124" i="20"/>
  <c r="N184" i="20"/>
  <c r="N1196" i="20" s="1"/>
  <c r="N1118" i="20"/>
  <c r="N1119" i="20"/>
  <c r="O1117" i="20"/>
  <c r="O1086" i="20"/>
  <c r="O181" i="20" s="1"/>
  <c r="N1087" i="20"/>
  <c r="X748" i="20"/>
  <c r="Q1044" i="20"/>
  <c r="R1044" i="20" s="1"/>
  <c r="P1046" i="20"/>
  <c r="P1067" i="20"/>
  <c r="Q1065" i="20"/>
  <c r="Q1067" i="20" s="1"/>
  <c r="P1066" i="20"/>
  <c r="X727" i="20"/>
  <c r="X728" i="20" s="1"/>
  <c r="P1053" i="20"/>
  <c r="Q1051" i="20"/>
  <c r="M182" i="20"/>
  <c r="N1045" i="20"/>
  <c r="O1053" i="20"/>
  <c r="O1052" i="20"/>
  <c r="P1052" i="20" s="1"/>
  <c r="R315" i="20"/>
  <c r="O1743" i="16"/>
  <c r="P1743" i="16" s="1"/>
  <c r="Q1743" i="16" s="1"/>
  <c r="M1744" i="16"/>
  <c r="N1744" i="16" s="1"/>
  <c r="M2203" i="16"/>
  <c r="V986" i="20"/>
  <c r="N1737" i="16"/>
  <c r="N1738" i="16" s="1"/>
  <c r="W985" i="20"/>
  <c r="R1021" i="20"/>
  <c r="R1022" i="20" s="1"/>
  <c r="P2201" i="16"/>
  <c r="Q1729" i="16"/>
  <c r="O1035" i="20"/>
  <c r="P1730" i="16"/>
  <c r="U1695" i="16"/>
  <c r="V1694" i="16"/>
  <c r="U2196" i="16"/>
  <c r="L1751" i="16"/>
  <c r="O1036" i="20"/>
  <c r="L1752" i="16"/>
  <c r="K1758" i="16"/>
  <c r="S1020" i="20"/>
  <c r="L1757" i="16"/>
  <c r="P1034" i="20"/>
  <c r="Q1034" i="20" s="1"/>
  <c r="P1028" i="20"/>
  <c r="T1000" i="20"/>
  <c r="R1029" i="20"/>
  <c r="O1736" i="16"/>
  <c r="O2202" i="16" s="1"/>
  <c r="W1001" i="20"/>
  <c r="N2202" i="16"/>
  <c r="M1750" i="16"/>
  <c r="N1750" i="16" s="1"/>
  <c r="K1759" i="16"/>
  <c r="W2197" i="16"/>
  <c r="V1702" i="16"/>
  <c r="S1709" i="16"/>
  <c r="T2199" i="16"/>
  <c r="S2199" i="16"/>
  <c r="K1764" i="16"/>
  <c r="S1716" i="16"/>
  <c r="S2198" i="16"/>
  <c r="B1768" i="16"/>
  <c r="O1774" i="16"/>
  <c r="W1774" i="16"/>
  <c r="D1769" i="16"/>
  <c r="P1774" i="16"/>
  <c r="X1774" i="16"/>
  <c r="D1775" i="16"/>
  <c r="Q1774" i="16"/>
  <c r="L1774" i="16"/>
  <c r="T1774" i="16"/>
  <c r="R1774" i="16"/>
  <c r="K1774" i="16"/>
  <c r="S1774" i="16"/>
  <c r="E1770" i="16"/>
  <c r="D1770" i="16" s="1"/>
  <c r="M1774" i="16"/>
  <c r="U1774" i="16"/>
  <c r="E1769" i="16"/>
  <c r="F1769" i="16" s="1"/>
  <c r="N1774" i="16"/>
  <c r="V1774" i="16"/>
  <c r="R2200" i="16"/>
  <c r="R1723" i="16"/>
  <c r="X1542" i="16"/>
  <c r="W695" i="20"/>
  <c r="T200" i="10"/>
  <c r="V1543" i="16"/>
  <c r="X1528" i="16"/>
  <c r="X2173" i="16"/>
  <c r="X2171" i="16"/>
  <c r="X2169" i="16"/>
  <c r="V688" i="20"/>
  <c r="V689" i="20" s="1"/>
  <c r="X1514" i="16"/>
  <c r="W696" i="20"/>
  <c r="X696" i="20"/>
  <c r="X709" i="20"/>
  <c r="S1120" i="16" l="1"/>
  <c r="S2111" i="16" s="1"/>
  <c r="Q1122" i="16"/>
  <c r="R1121" i="16"/>
  <c r="O1190" i="20"/>
  <c r="O1189" i="20" s="1"/>
  <c r="R218" i="16"/>
  <c r="O1015" i="20"/>
  <c r="S1127" i="16"/>
  <c r="S2112" i="16" s="1"/>
  <c r="P1129" i="16"/>
  <c r="O220" i="16"/>
  <c r="O788" i="16" s="1"/>
  <c r="N193" i="10"/>
  <c r="N192" i="10" s="1"/>
  <c r="N787" i="16"/>
  <c r="Q1128" i="16"/>
  <c r="P219" i="16"/>
  <c r="V1008" i="20"/>
  <c r="X2026" i="16"/>
  <c r="X2244" i="16"/>
  <c r="X2025" i="16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K175" i="10"/>
  <c r="K319" i="10" s="1"/>
  <c r="H1788" i="16"/>
  <c r="I1781" i="16" a="1"/>
  <c r="I1781" i="16" s="1"/>
  <c r="O322" i="20"/>
  <c r="P322" i="20" s="1"/>
  <c r="P52" i="20" s="1"/>
  <c r="W80" i="16"/>
  <c r="M1049" i="16"/>
  <c r="N1049" i="16" s="1"/>
  <c r="O1049" i="16" s="1"/>
  <c r="R1072" i="20"/>
  <c r="S1072" i="20" s="1"/>
  <c r="S1074" i="20" s="1"/>
  <c r="X1529" i="16"/>
  <c r="Q1073" i="20"/>
  <c r="N1132" i="20"/>
  <c r="O1132" i="20" s="1"/>
  <c r="P1159" i="20"/>
  <c r="Q1159" i="20" s="1"/>
  <c r="X832" i="20"/>
  <c r="Q323" i="20"/>
  <c r="U1696" i="16"/>
  <c r="O1160" i="20"/>
  <c r="R321" i="20"/>
  <c r="S321" i="20" s="1"/>
  <c r="M1055" i="16"/>
  <c r="N1055" i="16" s="1"/>
  <c r="O1055" i="16" s="1"/>
  <c r="P323" i="20"/>
  <c r="P51" i="20"/>
  <c r="P1731" i="16"/>
  <c r="S1710" i="16"/>
  <c r="X1520" i="16"/>
  <c r="W2170" i="16"/>
  <c r="W1506" i="16"/>
  <c r="W369" i="16" s="1"/>
  <c r="V1522" i="16"/>
  <c r="V1508" i="16" s="1"/>
  <c r="V371" i="16" s="1"/>
  <c r="V792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47" i="20"/>
  <c r="M1154" i="20"/>
  <c r="M1175" i="20"/>
  <c r="D1771" i="16"/>
  <c r="F1770" i="16" s="1"/>
  <c r="M1745" i="16"/>
  <c r="N1745" i="16" s="1"/>
  <c r="R1014" i="20"/>
  <c r="S1013" i="20"/>
  <c r="R1015" i="20"/>
  <c r="R965" i="20"/>
  <c r="S964" i="20"/>
  <c r="R966" i="20"/>
  <c r="P608" i="20"/>
  <c r="T602" i="20"/>
  <c r="U594" i="20"/>
  <c r="U1876" i="16"/>
  <c r="P609" i="20"/>
  <c r="P90" i="20" s="1"/>
  <c r="P1193" i="20" s="1"/>
  <c r="P87" i="20"/>
  <c r="Q607" i="20"/>
  <c r="R607" i="20" s="1"/>
  <c r="P601" i="20"/>
  <c r="O88" i="20"/>
  <c r="U600" i="20"/>
  <c r="U2240" i="16"/>
  <c r="V1996" i="16"/>
  <c r="V2240" i="16" s="1"/>
  <c r="W1962" i="16"/>
  <c r="X1961" i="16"/>
  <c r="X2235" i="16" s="1"/>
  <c r="W2235" i="16"/>
  <c r="V1875" i="16"/>
  <c r="W1874" i="16"/>
  <c r="V2220" i="16"/>
  <c r="U1997" i="16"/>
  <c r="U1998" i="16" s="1"/>
  <c r="U343" i="20"/>
  <c r="V343" i="20" s="1"/>
  <c r="V344" i="20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/>
  <c r="D1082" i="16"/>
  <c r="P1054" i="16"/>
  <c r="R1037" i="16"/>
  <c r="S1036" i="16"/>
  <c r="X1001" i="16"/>
  <c r="W1018" i="16"/>
  <c r="W1006" i="16"/>
  <c r="R1030" i="16"/>
  <c r="W888" i="20"/>
  <c r="R316" i="20"/>
  <c r="Q645" i="20"/>
  <c r="R645" i="20" s="1"/>
  <c r="R110" i="20" s="1"/>
  <c r="X887" i="20"/>
  <c r="X889" i="20" s="1"/>
  <c r="P1108" i="20"/>
  <c r="V314" i="20"/>
  <c r="P110" i="20"/>
  <c r="V1167" i="20"/>
  <c r="V1168" i="20"/>
  <c r="W1166" i="20"/>
  <c r="W1168" i="20" s="1"/>
  <c r="Q1094" i="20"/>
  <c r="L252" i="20"/>
  <c r="L227" i="11" s="1"/>
  <c r="L228" i="11" s="1"/>
  <c r="L247" i="11" s="1"/>
  <c r="L174" i="10" s="1"/>
  <c r="L318" i="10" s="1"/>
  <c r="R1093" i="20"/>
  <c r="S1093" i="20" s="1"/>
  <c r="S1095" i="20" s="1"/>
  <c r="Q1107" i="20"/>
  <c r="Q1109" i="20" s="1"/>
  <c r="S74" i="20"/>
  <c r="N1139" i="20"/>
  <c r="X587" i="20"/>
  <c r="S549" i="20"/>
  <c r="O1138" i="20"/>
  <c r="O1140" i="20" s="1"/>
  <c r="T548" i="20"/>
  <c r="T550" i="20" s="1"/>
  <c r="P1102" i="20"/>
  <c r="P1109" i="20"/>
  <c r="Q839" i="20"/>
  <c r="X804" i="20"/>
  <c r="R838" i="20"/>
  <c r="R840" i="20" s="1"/>
  <c r="O824" i="20"/>
  <c r="M249" i="20"/>
  <c r="M252" i="20" s="1"/>
  <c r="M175" i="10" s="1"/>
  <c r="M319" i="10" s="1"/>
  <c r="N826" i="20"/>
  <c r="N166" i="20" s="1"/>
  <c r="N1195" i="20" s="1"/>
  <c r="N163" i="20"/>
  <c r="N825" i="20"/>
  <c r="M164" i="20"/>
  <c r="O1153" i="20"/>
  <c r="O646" i="20"/>
  <c r="O647" i="20" s="1"/>
  <c r="O113" i="20" s="1"/>
  <c r="O1194" i="20" s="1"/>
  <c r="N111" i="20"/>
  <c r="X342" i="20"/>
  <c r="S77" i="20"/>
  <c r="S1191" i="20" s="1"/>
  <c r="Q556" i="20"/>
  <c r="P75" i="20"/>
  <c r="T557" i="20"/>
  <c r="U555" i="20"/>
  <c r="K379" i="10"/>
  <c r="K378" i="10" s="1"/>
  <c r="X811" i="20"/>
  <c r="P1080" i="20"/>
  <c r="P1152" i="20"/>
  <c r="Q1060" i="20"/>
  <c r="S1058" i="20"/>
  <c r="S1060" i="20" s="1"/>
  <c r="Q1059" i="20"/>
  <c r="R1059" i="20" s="1"/>
  <c r="P1173" i="20"/>
  <c r="P1175" i="20" s="1"/>
  <c r="R1100" i="20"/>
  <c r="R1102" i="20" s="1"/>
  <c r="P1081" i="20"/>
  <c r="Q1079" i="20"/>
  <c r="P1101" i="20"/>
  <c r="Q1101" i="20" s="1"/>
  <c r="O1174" i="20"/>
  <c r="M200" i="20"/>
  <c r="P1145" i="20"/>
  <c r="P1147" i="20" s="1"/>
  <c r="O1146" i="20"/>
  <c r="L255" i="20"/>
  <c r="L258" i="20" s="1"/>
  <c r="L236" i="10" s="1"/>
  <c r="P1131" i="20"/>
  <c r="P1133" i="20" s="1"/>
  <c r="O1182" i="20"/>
  <c r="P1180" i="20"/>
  <c r="Q1180" i="20" s="1"/>
  <c r="Q1182" i="20" s="1"/>
  <c r="O1181" i="20"/>
  <c r="O1133" i="20"/>
  <c r="O1124" i="20"/>
  <c r="O1126" i="20" s="1"/>
  <c r="N1126" i="20"/>
  <c r="N202" i="20" s="1"/>
  <c r="N1125" i="20"/>
  <c r="O1087" i="20"/>
  <c r="N199" i="20"/>
  <c r="O1119" i="20"/>
  <c r="P1117" i="20"/>
  <c r="O1118" i="20"/>
  <c r="O1088" i="20"/>
  <c r="O184" i="20" s="1"/>
  <c r="P1086" i="20"/>
  <c r="Q1086" i="20" s="1"/>
  <c r="S1044" i="20"/>
  <c r="S1046" i="20" s="1"/>
  <c r="R1046" i="20"/>
  <c r="Q1066" i="20"/>
  <c r="Q1046" i="20"/>
  <c r="R1065" i="20"/>
  <c r="Q1052" i="20"/>
  <c r="O1045" i="20"/>
  <c r="N182" i="20"/>
  <c r="Q1053" i="20"/>
  <c r="R1051" i="20"/>
  <c r="S315" i="20"/>
  <c r="L1759" i="16"/>
  <c r="Q1730" i="16"/>
  <c r="M2204" i="16"/>
  <c r="X985" i="20"/>
  <c r="X987" i="20" s="1"/>
  <c r="W987" i="20"/>
  <c r="L1758" i="16"/>
  <c r="W986" i="20"/>
  <c r="L2205" i="16"/>
  <c r="V1695" i="16"/>
  <c r="M1757" i="16"/>
  <c r="N1757" i="16" s="1"/>
  <c r="O1757" i="16" s="1"/>
  <c r="P1757" i="16" s="1"/>
  <c r="R1729" i="16"/>
  <c r="Q2201" i="16"/>
  <c r="P1036" i="20"/>
  <c r="W1694" i="16"/>
  <c r="V2196" i="16"/>
  <c r="R1034" i="20"/>
  <c r="Q1036" i="20"/>
  <c r="P1736" i="16"/>
  <c r="P2202" i="16" s="1"/>
  <c r="P1035" i="20"/>
  <c r="Q1035" i="20" s="1"/>
  <c r="T1020" i="20"/>
  <c r="S1021" i="20"/>
  <c r="S1022" i="20" s="1"/>
  <c r="X1001" i="20"/>
  <c r="S1029" i="20"/>
  <c r="M1751" i="16"/>
  <c r="N1751" i="16" s="1"/>
  <c r="Q1028" i="20"/>
  <c r="O1737" i="16"/>
  <c r="O1738" i="16" s="1"/>
  <c r="X1007" i="20"/>
  <c r="X1008" i="20" s="1"/>
  <c r="T1029" i="20"/>
  <c r="U1000" i="20"/>
  <c r="L1764" i="16"/>
  <c r="O1750" i="16"/>
  <c r="P1750" i="16" s="1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7" i="16" s="1"/>
  <c r="D1778" i="16" s="1"/>
  <c r="N1781" i="16"/>
  <c r="V1781" i="16"/>
  <c r="D1776" i="16"/>
  <c r="O1781" i="16"/>
  <c r="W1781" i="16"/>
  <c r="K1781" i="16"/>
  <c r="S1781" i="16"/>
  <c r="L1781" i="16"/>
  <c r="E1776" i="16"/>
  <c r="F1776" i="16" s="1"/>
  <c r="D1782" i="16"/>
  <c r="P1781" i="16"/>
  <c r="X1781" i="16"/>
  <c r="T1781" i="16"/>
  <c r="U1781" i="16"/>
  <c r="B1775" i="16"/>
  <c r="Q1781" i="16"/>
  <c r="R1781" i="16"/>
  <c r="M1781" i="16"/>
  <c r="T2198" i="16"/>
  <c r="K1765" i="16"/>
  <c r="K1766" i="16" s="1"/>
  <c r="K2206" i="16"/>
  <c r="N2204" i="16"/>
  <c r="S2200" i="16"/>
  <c r="U200" i="10"/>
  <c r="W1543" i="16"/>
  <c r="W688" i="20"/>
  <c r="W689" i="20" s="1"/>
  <c r="X695" i="20"/>
  <c r="T1120" i="16" l="1"/>
  <c r="T2111" i="16" s="1"/>
  <c r="R1122" i="16"/>
  <c r="S1121" i="16"/>
  <c r="P54" i="20"/>
  <c r="P1190" i="20" s="1"/>
  <c r="P1189" i="20" s="1"/>
  <c r="Q54" i="20"/>
  <c r="Q1190" i="20" s="1"/>
  <c r="Q1189" i="20" s="1"/>
  <c r="T1127" i="16"/>
  <c r="T2112" i="16" s="1"/>
  <c r="S218" i="16"/>
  <c r="R1128" i="16"/>
  <c r="Q219" i="16"/>
  <c r="O193" i="10"/>
  <c r="O192" i="10" s="1"/>
  <c r="O787" i="16"/>
  <c r="P220" i="16"/>
  <c r="P788" i="16" s="1"/>
  <c r="Q1129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U344" i="20"/>
  <c r="H1795" i="16"/>
  <c r="I1788" i="16" a="1"/>
  <c r="I1788" i="16" s="1"/>
  <c r="O52" i="20"/>
  <c r="T1072" i="20"/>
  <c r="T1074" i="20" s="1"/>
  <c r="U1024" i="16"/>
  <c r="V1024" i="16" s="1"/>
  <c r="M1050" i="16"/>
  <c r="N1050" i="16" s="1"/>
  <c r="O1050" i="16" s="1"/>
  <c r="R1074" i="20"/>
  <c r="R1073" i="20"/>
  <c r="S1073" i="20" s="1"/>
  <c r="P1161" i="20"/>
  <c r="P1160" i="20"/>
  <c r="Q1160" i="20" s="1"/>
  <c r="R323" i="20"/>
  <c r="V1696" i="16"/>
  <c r="R51" i="20"/>
  <c r="Q1731" i="16"/>
  <c r="X19" i="16"/>
  <c r="T1717" i="16"/>
  <c r="T1710" i="16"/>
  <c r="Q322" i="20"/>
  <c r="Q52" i="20" s="1"/>
  <c r="S1724" i="16"/>
  <c r="W1703" i="16"/>
  <c r="W1522" i="16"/>
  <c r="W1508" i="16" s="1"/>
  <c r="W371" i="16" s="1"/>
  <c r="W792" i="16" s="1"/>
  <c r="X1521" i="16"/>
  <c r="W1507" i="16"/>
  <c r="W370" i="16" s="1"/>
  <c r="X2170" i="16"/>
  <c r="X1506" i="16"/>
  <c r="V1008" i="16"/>
  <c r="W1963" i="16"/>
  <c r="M202" i="20"/>
  <c r="M1197" i="20" s="1"/>
  <c r="M1192" i="20" s="1"/>
  <c r="S1014" i="20"/>
  <c r="O1745" i="16"/>
  <c r="P1745" i="16" s="1"/>
  <c r="M1752" i="16"/>
  <c r="N1752" i="16" s="1"/>
  <c r="S966" i="20"/>
  <c r="T964" i="20"/>
  <c r="S965" i="20"/>
  <c r="T1013" i="20"/>
  <c r="S1015" i="20"/>
  <c r="U602" i="20"/>
  <c r="V600" i="20"/>
  <c r="R609" i="20"/>
  <c r="R90" i="20" s="1"/>
  <c r="R1193" i="20" s="1"/>
  <c r="R87" i="20"/>
  <c r="V594" i="20"/>
  <c r="Q601" i="20"/>
  <c r="P88" i="20"/>
  <c r="Q609" i="20"/>
  <c r="Q90" i="20" s="1"/>
  <c r="Q1193" i="20" s="1"/>
  <c r="Q87" i="20"/>
  <c r="S607" i="20"/>
  <c r="V1876" i="16"/>
  <c r="Q608" i="20"/>
  <c r="R608" i="20" s="1"/>
  <c r="W1996" i="16"/>
  <c r="X1996" i="16" s="1"/>
  <c r="F1777" i="16"/>
  <c r="X1962" i="16"/>
  <c r="W1875" i="16"/>
  <c r="X1874" i="16"/>
  <c r="W2220" i="16"/>
  <c r="V1997" i="16"/>
  <c r="V1998" i="16" s="1"/>
  <c r="X2269" i="16"/>
  <c r="W343" i="20"/>
  <c r="X343" i="20" s="1"/>
  <c r="X344" i="20" s="1"/>
  <c r="X1002" i="16"/>
  <c r="X20" i="16"/>
  <c r="X81" i="16" s="1"/>
  <c r="X2281" i="16"/>
  <c r="N255" i="20"/>
  <c r="N258" i="20" s="1"/>
  <c r="N236" i="10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10" i="20"/>
  <c r="X888" i="20"/>
  <c r="S645" i="20"/>
  <c r="S110" i="20" s="1"/>
  <c r="S316" i="20"/>
  <c r="T321" i="20"/>
  <c r="S51" i="20"/>
  <c r="W314" i="20"/>
  <c r="L175" i="10"/>
  <c r="L319" i="10" s="1"/>
  <c r="R1095" i="20"/>
  <c r="R1094" i="20"/>
  <c r="S1094" i="20" s="1"/>
  <c r="X1166" i="20"/>
  <c r="X1168" i="20" s="1"/>
  <c r="W1167" i="20"/>
  <c r="Q1108" i="20"/>
  <c r="R1107" i="20"/>
  <c r="U548" i="20"/>
  <c r="U550" i="20" s="1"/>
  <c r="N200" i="20"/>
  <c r="T549" i="20"/>
  <c r="O1139" i="20"/>
  <c r="P1138" i="20"/>
  <c r="P1140" i="20" s="1"/>
  <c r="T74" i="20"/>
  <c r="R839" i="20"/>
  <c r="S838" i="20"/>
  <c r="S840" i="20" s="1"/>
  <c r="M227" i="11"/>
  <c r="M228" i="11" s="1"/>
  <c r="M247" i="11" s="1"/>
  <c r="M174" i="10" s="1"/>
  <c r="M318" i="10" s="1"/>
  <c r="P824" i="20"/>
  <c r="Q824" i="20" s="1"/>
  <c r="O826" i="20"/>
  <c r="O166" i="20" s="1"/>
  <c r="O1195" i="20" s="1"/>
  <c r="O163" i="20"/>
  <c r="N249" i="20"/>
  <c r="N252" i="20" s="1"/>
  <c r="N175" i="10" s="1"/>
  <c r="N319" i="10" s="1"/>
  <c r="O825" i="20"/>
  <c r="N164" i="20"/>
  <c r="P646" i="20"/>
  <c r="P647" i="20" s="1"/>
  <c r="P113" i="20" s="1"/>
  <c r="P1194" i="20" s="1"/>
  <c r="O111" i="20"/>
  <c r="T77" i="20"/>
  <c r="T1191" i="20" s="1"/>
  <c r="P1174" i="20"/>
  <c r="R556" i="20"/>
  <c r="Q75" i="20"/>
  <c r="U557" i="20"/>
  <c r="V555" i="20"/>
  <c r="Q1161" i="20"/>
  <c r="R1159" i="20"/>
  <c r="R1161" i="20" s="1"/>
  <c r="Q1173" i="20"/>
  <c r="Q1175" i="20" s="1"/>
  <c r="Q1152" i="20"/>
  <c r="P1154" i="20"/>
  <c r="P1153" i="20"/>
  <c r="S1059" i="20"/>
  <c r="T1058" i="20"/>
  <c r="T1060" i="20" s="1"/>
  <c r="S1100" i="20"/>
  <c r="S1102" i="20" s="1"/>
  <c r="R1101" i="20"/>
  <c r="Q1145" i="20"/>
  <c r="R1145" i="20" s="1"/>
  <c r="Q1081" i="20"/>
  <c r="R1079" i="20"/>
  <c r="Q1080" i="20"/>
  <c r="P1146" i="20"/>
  <c r="O199" i="20"/>
  <c r="Q1131" i="20"/>
  <c r="Q1133" i="20" s="1"/>
  <c r="P1181" i="20"/>
  <c r="Q1181" i="20" s="1"/>
  <c r="P1124" i="20"/>
  <c r="P1132" i="20"/>
  <c r="L379" i="10"/>
  <c r="L378" i="10" s="1"/>
  <c r="L235" i="10"/>
  <c r="O1125" i="20"/>
  <c r="P1182" i="20"/>
  <c r="R1180" i="20"/>
  <c r="R1182" i="20" s="1"/>
  <c r="O202" i="20"/>
  <c r="O1197" i="20" s="1"/>
  <c r="N1197" i="20"/>
  <c r="N1192" i="20" s="1"/>
  <c r="P1118" i="20"/>
  <c r="P1119" i="20"/>
  <c r="Q1117" i="20"/>
  <c r="O1196" i="20"/>
  <c r="Q1088" i="20"/>
  <c r="Q181" i="20"/>
  <c r="P1087" i="20"/>
  <c r="Q1087" i="20" s="1"/>
  <c r="P1088" i="20"/>
  <c r="P184" i="20" s="1"/>
  <c r="P1196" i="20" s="1"/>
  <c r="R1086" i="20"/>
  <c r="R1088" i="20" s="1"/>
  <c r="P181" i="20"/>
  <c r="T1093" i="20"/>
  <c r="T1044" i="20"/>
  <c r="T1046" i="20" s="1"/>
  <c r="R1067" i="20"/>
  <c r="S1065" i="20"/>
  <c r="R1066" i="20"/>
  <c r="S1051" i="20"/>
  <c r="T1051" i="20" s="1"/>
  <c r="P1045" i="20"/>
  <c r="O182" i="20"/>
  <c r="R1053" i="20"/>
  <c r="R1052" i="20"/>
  <c r="T315" i="20"/>
  <c r="M1758" i="16"/>
  <c r="N1758" i="16" s="1"/>
  <c r="M2205" i="16"/>
  <c r="X986" i="20"/>
  <c r="Q1736" i="16"/>
  <c r="Q2202" i="16" s="1"/>
  <c r="P1737" i="16"/>
  <c r="P1738" i="16" s="1"/>
  <c r="R2201" i="16"/>
  <c r="R1730" i="16"/>
  <c r="S1729" i="16"/>
  <c r="T1729" i="16" s="1"/>
  <c r="X1694" i="16"/>
  <c r="X2196" i="16" s="1"/>
  <c r="W2196" i="16"/>
  <c r="W1695" i="16"/>
  <c r="R1035" i="20"/>
  <c r="U1020" i="20"/>
  <c r="T1021" i="20"/>
  <c r="T1022" i="20" s="1"/>
  <c r="S1034" i="20"/>
  <c r="R1036" i="20"/>
  <c r="V1000" i="20"/>
  <c r="R1028" i="20"/>
  <c r="U1029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Q1750" i="16"/>
  <c r="X1702" i="16"/>
  <c r="R2203" i="16"/>
  <c r="Q1744" i="16"/>
  <c r="U1716" i="16"/>
  <c r="T1723" i="16"/>
  <c r="P2204" i="16"/>
  <c r="N2205" i="16"/>
  <c r="K1788" i="16"/>
  <c r="S1788" i="16"/>
  <c r="L1788" i="16"/>
  <c r="T1788" i="16"/>
  <c r="B1782" i="16"/>
  <c r="V1788" i="16"/>
  <c r="D1789" i="16"/>
  <c r="M1788" i="16"/>
  <c r="U1788" i="16"/>
  <c r="N1788" i="16"/>
  <c r="E1784" i="16"/>
  <c r="D1784" i="16" s="1"/>
  <c r="D1785" i="16" s="1"/>
  <c r="O1788" i="16"/>
  <c r="W1788" i="16"/>
  <c r="E1783" i="16"/>
  <c r="F1783" i="16" s="1"/>
  <c r="Q1788" i="16"/>
  <c r="D1783" i="16"/>
  <c r="P1788" i="16"/>
  <c r="X1788" i="16"/>
  <c r="R1788" i="16"/>
  <c r="U2198" i="16"/>
  <c r="V2198" i="16"/>
  <c r="O2204" i="16"/>
  <c r="U1709" i="16"/>
  <c r="V1709" i="16" s="1"/>
  <c r="O1751" i="16"/>
  <c r="P1751" i="16" s="1"/>
  <c r="T2200" i="16"/>
  <c r="S323" i="20"/>
  <c r="V200" i="10"/>
  <c r="X1543" i="16"/>
  <c r="X688" i="20"/>
  <c r="X689" i="20" s="1"/>
  <c r="U1120" i="16" l="1"/>
  <c r="U2111" i="16" s="1"/>
  <c r="S1122" i="16"/>
  <c r="T1121" i="16"/>
  <c r="S54" i="20"/>
  <c r="S1190" i="20" s="1"/>
  <c r="S1189" i="20" s="1"/>
  <c r="R54" i="20"/>
  <c r="R1190" i="20" s="1"/>
  <c r="R1189" i="20" s="1"/>
  <c r="T218" i="16"/>
  <c r="U1127" i="16"/>
  <c r="Q220" i="16"/>
  <c r="Q788" i="16" s="1"/>
  <c r="R1129" i="16"/>
  <c r="P193" i="10"/>
  <c r="P192" i="10" s="1"/>
  <c r="P787" i="16"/>
  <c r="S1128" i="16"/>
  <c r="R219" i="16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W344" i="20"/>
  <c r="H1802" i="16"/>
  <c r="I1795" i="16" a="1"/>
  <c r="I1795" i="16" s="1"/>
  <c r="X369" i="16"/>
  <c r="U1072" i="20"/>
  <c r="U1074" i="20" s="1"/>
  <c r="T1073" i="20"/>
  <c r="X80" i="16"/>
  <c r="O1066" i="16"/>
  <c r="P1066" i="16" s="1"/>
  <c r="M1072" i="16"/>
  <c r="R1731" i="16"/>
  <c r="W1696" i="16"/>
  <c r="U1717" i="16"/>
  <c r="T1724" i="16"/>
  <c r="R322" i="20"/>
  <c r="R52" i="20" s="1"/>
  <c r="X1703" i="16"/>
  <c r="X1522" i="16"/>
  <c r="X1508" i="16" s="1"/>
  <c r="X371" i="16" s="1"/>
  <c r="X792" i="16" s="1"/>
  <c r="X200" i="10" s="1"/>
  <c r="X1507" i="16"/>
  <c r="M255" i="20"/>
  <c r="M258" i="20" s="1"/>
  <c r="M236" i="10" s="1"/>
  <c r="M235" i="10" s="1"/>
  <c r="M1062" i="16"/>
  <c r="N1062" i="16" s="1"/>
  <c r="Q1745" i="16"/>
  <c r="T1014" i="20"/>
  <c r="X1963" i="16"/>
  <c r="M1759" i="16"/>
  <c r="N1759" i="16" s="1"/>
  <c r="U1710" i="16"/>
  <c r="V1710" i="16" s="1"/>
  <c r="O1752" i="16"/>
  <c r="P1752" i="16" s="1"/>
  <c r="W2240" i="16"/>
  <c r="U1013" i="20"/>
  <c r="T1015" i="20"/>
  <c r="T965" i="20"/>
  <c r="U964" i="20"/>
  <c r="T966" i="20"/>
  <c r="W1876" i="16"/>
  <c r="S609" i="20"/>
  <c r="S90" i="20" s="1"/>
  <c r="S1193" i="20" s="1"/>
  <c r="S87" i="20"/>
  <c r="W594" i="20"/>
  <c r="S608" i="20"/>
  <c r="V602" i="20"/>
  <c r="W600" i="20"/>
  <c r="T607" i="20"/>
  <c r="R601" i="20"/>
  <c r="Q88" i="20"/>
  <c r="F1784" i="16"/>
  <c r="X1875" i="16"/>
  <c r="X2220" i="16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J1098" i="16"/>
  <c r="E1095" i="16"/>
  <c r="D1094" i="16"/>
  <c r="E1094" i="16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45" i="20"/>
  <c r="T110" i="20" s="1"/>
  <c r="R1108" i="20"/>
  <c r="O200" i="20"/>
  <c r="T316" i="20"/>
  <c r="X314" i="20"/>
  <c r="T51" i="20"/>
  <c r="U321" i="20"/>
  <c r="U323" i="20" s="1"/>
  <c r="P199" i="20"/>
  <c r="R1109" i="20"/>
  <c r="S1107" i="20"/>
  <c r="X1167" i="20"/>
  <c r="V548" i="20"/>
  <c r="V74" i="20" s="1"/>
  <c r="U74" i="20"/>
  <c r="U549" i="20"/>
  <c r="P1139" i="20"/>
  <c r="Q1138" i="20"/>
  <c r="Q1140" i="20" s="1"/>
  <c r="U1058" i="20"/>
  <c r="U1060" i="20" s="1"/>
  <c r="T838" i="20"/>
  <c r="T840" i="20" s="1"/>
  <c r="O1192" i="20"/>
  <c r="N227" i="11"/>
  <c r="N228" i="11" s="1"/>
  <c r="N247" i="11" s="1"/>
  <c r="N174" i="10" s="1"/>
  <c r="N318" i="10" s="1"/>
  <c r="O249" i="20"/>
  <c r="S839" i="20"/>
  <c r="Q826" i="20"/>
  <c r="Q166" i="20" s="1"/>
  <c r="Q1195" i="20" s="1"/>
  <c r="Q163" i="20"/>
  <c r="R824" i="20"/>
  <c r="P825" i="20"/>
  <c r="O164" i="20"/>
  <c r="P826" i="20"/>
  <c r="P166" i="20" s="1"/>
  <c r="P1195" i="20" s="1"/>
  <c r="P163" i="20"/>
  <c r="Q184" i="20"/>
  <c r="Q1196" i="20" s="1"/>
  <c r="Q646" i="20"/>
  <c r="Q647" i="20" s="1"/>
  <c r="Q113" i="20" s="1"/>
  <c r="Q1194" i="20" s="1"/>
  <c r="P111" i="20"/>
  <c r="R1173" i="20"/>
  <c r="S1173" i="20" s="1"/>
  <c r="Q1147" i="20"/>
  <c r="U77" i="20"/>
  <c r="U1191" i="20" s="1"/>
  <c r="S556" i="20"/>
  <c r="R75" i="20"/>
  <c r="Q1174" i="20"/>
  <c r="V557" i="20"/>
  <c r="W555" i="20"/>
  <c r="R1160" i="20"/>
  <c r="T1100" i="20"/>
  <c r="T1102" i="20" s="1"/>
  <c r="S1159" i="20"/>
  <c r="R1152" i="20"/>
  <c r="Q1154" i="20"/>
  <c r="Q1153" i="20"/>
  <c r="S1101" i="20"/>
  <c r="Q1146" i="20"/>
  <c r="R1146" i="20" s="1"/>
  <c r="T1059" i="20"/>
  <c r="R1080" i="20"/>
  <c r="Q1132" i="20"/>
  <c r="S1079" i="20"/>
  <c r="R1081" i="20"/>
  <c r="R1131" i="20"/>
  <c r="S1131" i="20" s="1"/>
  <c r="S1133" i="20" s="1"/>
  <c r="Q1124" i="20"/>
  <c r="P1126" i="20"/>
  <c r="P202" i="20" s="1"/>
  <c r="P1197" i="20" s="1"/>
  <c r="P1125" i="20"/>
  <c r="R1147" i="20"/>
  <c r="S1145" i="20"/>
  <c r="O255" i="20"/>
  <c r="O258" i="20" s="1"/>
  <c r="O236" i="10" s="1"/>
  <c r="O235" i="10" s="1"/>
  <c r="R1181" i="20"/>
  <c r="S1180" i="20"/>
  <c r="N379" i="10"/>
  <c r="N378" i="10" s="1"/>
  <c r="N235" i="10"/>
  <c r="R1087" i="20"/>
  <c r="T1094" i="20"/>
  <c r="U1044" i="20"/>
  <c r="U1046" i="20" s="1"/>
  <c r="Q1119" i="20"/>
  <c r="Q1118" i="20"/>
  <c r="R1117" i="20"/>
  <c r="T1095" i="20"/>
  <c r="U1093" i="20"/>
  <c r="R181" i="20"/>
  <c r="S1086" i="20"/>
  <c r="S1053" i="20"/>
  <c r="S1052" i="20"/>
  <c r="T1052" i="20" s="1"/>
  <c r="S1067" i="20"/>
  <c r="T1065" i="20"/>
  <c r="S1066" i="20"/>
  <c r="U1051" i="20"/>
  <c r="V1051" i="20" s="1"/>
  <c r="T1053" i="20"/>
  <c r="P182" i="20"/>
  <c r="Q1045" i="20"/>
  <c r="U315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Q1738" i="16" s="1"/>
  <c r="S2201" i="16"/>
  <c r="X1695" i="16"/>
  <c r="V1020" i="20"/>
  <c r="M1765" i="16"/>
  <c r="N1765" i="16" s="1"/>
  <c r="L1772" i="16"/>
  <c r="M1772" i="16" s="1"/>
  <c r="N1772" i="16" s="1"/>
  <c r="T1034" i="20"/>
  <c r="S1036" i="20"/>
  <c r="L1773" i="16"/>
  <c r="L2207" i="16"/>
  <c r="U1021" i="20"/>
  <c r="U1022" i="20" s="1"/>
  <c r="S1035" i="20"/>
  <c r="O1764" i="16"/>
  <c r="P1764" i="16" s="1"/>
  <c r="V1029" i="20"/>
  <c r="M2206" i="16"/>
  <c r="L1778" i="16"/>
  <c r="M1778" i="16" s="1"/>
  <c r="M2208" i="16" s="1"/>
  <c r="S1028" i="20"/>
  <c r="W1000" i="20"/>
  <c r="K2208" i="16"/>
  <c r="N2207" i="16"/>
  <c r="O1771" i="16"/>
  <c r="P1771" i="16" s="1"/>
  <c r="R1750" i="16"/>
  <c r="R1757" i="16"/>
  <c r="R1744" i="16"/>
  <c r="V2199" i="16"/>
  <c r="V1716" i="16"/>
  <c r="W1709" i="16"/>
  <c r="M2207" i="16"/>
  <c r="O1758" i="16"/>
  <c r="W2198" i="16"/>
  <c r="Q2204" i="16"/>
  <c r="O2205" i="16"/>
  <c r="K1785" i="16"/>
  <c r="D1790" i="16"/>
  <c r="P1795" i="16"/>
  <c r="X1795" i="16"/>
  <c r="D1796" i="16"/>
  <c r="Q1795" i="16"/>
  <c r="B1789" i="16"/>
  <c r="R1795" i="16"/>
  <c r="W1795" i="16"/>
  <c r="K1795" i="16"/>
  <c r="S1795" i="16"/>
  <c r="L1795" i="16"/>
  <c r="T1795" i="16"/>
  <c r="E1791" i="16"/>
  <c r="M1795" i="16"/>
  <c r="U1795" i="16"/>
  <c r="O1795" i="16"/>
  <c r="E1790" i="16"/>
  <c r="F1790" i="16" s="1"/>
  <c r="N1795" i="16"/>
  <c r="V1795" i="16"/>
  <c r="Q1751" i="16"/>
  <c r="U2200" i="16"/>
  <c r="U1723" i="16"/>
  <c r="T323" i="20"/>
  <c r="W200" i="10"/>
  <c r="V1120" i="16" l="1"/>
  <c r="V2111" i="16" s="1"/>
  <c r="U218" i="16"/>
  <c r="U1121" i="16"/>
  <c r="T1122" i="16"/>
  <c r="T54" i="20"/>
  <c r="T1190" i="20" s="1"/>
  <c r="T1189" i="20" s="1"/>
  <c r="U2112" i="16"/>
  <c r="V1127" i="16"/>
  <c r="V2112" i="16" s="1"/>
  <c r="T1128" i="16"/>
  <c r="S219" i="16"/>
  <c r="R220" i="16"/>
  <c r="R788" i="16" s="1"/>
  <c r="S1129" i="16"/>
  <c r="Q787" i="16"/>
  <c r="Q193" i="10"/>
  <c r="Q192" i="10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072" i="20"/>
  <c r="V1074" i="20" s="1"/>
  <c r="H1809" i="16"/>
  <c r="I1802" i="16" a="1"/>
  <c r="I1802" i="16" s="1"/>
  <c r="X370" i="16"/>
  <c r="U1073" i="20"/>
  <c r="Q1066" i="16"/>
  <c r="R1066" i="16" s="1"/>
  <c r="N1072" i="16"/>
  <c r="V1025" i="16"/>
  <c r="M1073" i="16"/>
  <c r="X1696" i="16"/>
  <c r="V1717" i="16"/>
  <c r="U1724" i="16"/>
  <c r="S322" i="20"/>
  <c r="S52" i="20" s="1"/>
  <c r="R1745" i="16"/>
  <c r="O1759" i="16"/>
  <c r="M379" i="10"/>
  <c r="M378" i="10" s="1"/>
  <c r="W1710" i="16"/>
  <c r="U1014" i="20"/>
  <c r="S1032" i="16"/>
  <c r="X1008" i="16"/>
  <c r="L1074" i="16"/>
  <c r="M1773" i="16"/>
  <c r="N1773" i="16" s="1"/>
  <c r="Q1752" i="16"/>
  <c r="S1731" i="16"/>
  <c r="T1731" i="16" s="1"/>
  <c r="M1766" i="16"/>
  <c r="N1766" i="16" s="1"/>
  <c r="V964" i="20"/>
  <c r="U966" i="20"/>
  <c r="X1876" i="16"/>
  <c r="U965" i="20"/>
  <c r="V1013" i="20"/>
  <c r="U1015" i="20"/>
  <c r="W602" i="20"/>
  <c r="X600" i="20"/>
  <c r="T608" i="20"/>
  <c r="X594" i="20"/>
  <c r="S601" i="20"/>
  <c r="R88" i="20"/>
  <c r="U607" i="20"/>
  <c r="T609" i="20"/>
  <c r="T90" i="20" s="1"/>
  <c r="T1193" i="20" s="1"/>
  <c r="T87" i="20"/>
  <c r="D1845" i="16"/>
  <c r="D1846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B1099" i="16"/>
  <c r="B1843" i="16" s="1"/>
  <c r="E1101" i="16"/>
  <c r="D1105" i="16"/>
  <c r="C1102" i="16"/>
  <c r="J1104" i="16"/>
  <c r="E1100" i="16"/>
  <c r="U1030" i="16"/>
  <c r="X1024" i="16"/>
  <c r="V1036" i="16"/>
  <c r="T1031" i="16"/>
  <c r="U1037" i="16"/>
  <c r="U645" i="20"/>
  <c r="S1108" i="20"/>
  <c r="W548" i="20"/>
  <c r="W550" i="20" s="1"/>
  <c r="U316" i="20"/>
  <c r="U54" i="20" s="1"/>
  <c r="V1058" i="20"/>
  <c r="W1058" i="20" s="1"/>
  <c r="R184" i="20"/>
  <c r="R1196" i="20" s="1"/>
  <c r="P249" i="20"/>
  <c r="P252" i="20" s="1"/>
  <c r="P227" i="11" s="1"/>
  <c r="P228" i="11" s="1"/>
  <c r="P247" i="11" s="1"/>
  <c r="P174" i="10" s="1"/>
  <c r="P318" i="10" s="1"/>
  <c r="V550" i="20"/>
  <c r="V77" i="20" s="1"/>
  <c r="V1191" i="20" s="1"/>
  <c r="T1107" i="20"/>
  <c r="U1107" i="20" s="1"/>
  <c r="S1109" i="20"/>
  <c r="V321" i="20"/>
  <c r="V323" i="20" s="1"/>
  <c r="U51" i="20"/>
  <c r="V549" i="20"/>
  <c r="R1138" i="20"/>
  <c r="R1140" i="20" s="1"/>
  <c r="Q199" i="20"/>
  <c r="Q249" i="20" s="1"/>
  <c r="Q252" i="20" s="1"/>
  <c r="P1192" i="20"/>
  <c r="U1059" i="20"/>
  <c r="Q1139" i="20"/>
  <c r="R1174" i="20"/>
  <c r="S1174" i="20" s="1"/>
  <c r="R1175" i="20"/>
  <c r="T839" i="20"/>
  <c r="U838" i="20"/>
  <c r="O252" i="20"/>
  <c r="Q825" i="20"/>
  <c r="P164" i="20"/>
  <c r="R826" i="20"/>
  <c r="R166" i="20" s="1"/>
  <c r="R1195" i="20" s="1"/>
  <c r="S824" i="20"/>
  <c r="R163" i="20"/>
  <c r="R646" i="20"/>
  <c r="R647" i="20" s="1"/>
  <c r="R113" i="20" s="1"/>
  <c r="R1194" i="20" s="1"/>
  <c r="Q111" i="20"/>
  <c r="T556" i="20"/>
  <c r="S75" i="20"/>
  <c r="U1100" i="20"/>
  <c r="V1100" i="20" s="1"/>
  <c r="T1101" i="20"/>
  <c r="W557" i="20"/>
  <c r="X555" i="20"/>
  <c r="S1161" i="20"/>
  <c r="T1159" i="20"/>
  <c r="S1160" i="20"/>
  <c r="R1153" i="20"/>
  <c r="S1152" i="20"/>
  <c r="R1154" i="20"/>
  <c r="R1124" i="20"/>
  <c r="R1126" i="20" s="1"/>
  <c r="Q1126" i="20"/>
  <c r="Q202" i="20" s="1"/>
  <c r="Q1197" i="20" s="1"/>
  <c r="Q1192" i="20" s="1"/>
  <c r="T1131" i="20"/>
  <c r="T1133" i="20" s="1"/>
  <c r="R1132" i="20"/>
  <c r="S1132" i="20" s="1"/>
  <c r="S1081" i="20"/>
  <c r="R1133" i="20"/>
  <c r="S1080" i="20"/>
  <c r="T1079" i="20"/>
  <c r="U1079" i="20" s="1"/>
  <c r="U1081" i="20" s="1"/>
  <c r="Q1125" i="20"/>
  <c r="P200" i="20"/>
  <c r="P255" i="20"/>
  <c r="P258" i="20" s="1"/>
  <c r="P236" i="10" s="1"/>
  <c r="P379" i="10" s="1"/>
  <c r="P378" i="10" s="1"/>
  <c r="V1044" i="20"/>
  <c r="W1044" i="20" s="1"/>
  <c r="U1094" i="20"/>
  <c r="O379" i="10"/>
  <c r="O378" i="10" s="1"/>
  <c r="S1147" i="20"/>
  <c r="T1145" i="20"/>
  <c r="S1181" i="20"/>
  <c r="S1146" i="20"/>
  <c r="S1182" i="20"/>
  <c r="T1180" i="20"/>
  <c r="S1175" i="20"/>
  <c r="T1173" i="20"/>
  <c r="R1119" i="20"/>
  <c r="S1117" i="20"/>
  <c r="R1118" i="20"/>
  <c r="U1095" i="20"/>
  <c r="V1093" i="20"/>
  <c r="S1088" i="20"/>
  <c r="T1086" i="20"/>
  <c r="T1088" i="20" s="1"/>
  <c r="S181" i="20"/>
  <c r="S1087" i="20"/>
  <c r="T1067" i="20"/>
  <c r="U1065" i="20"/>
  <c r="U1052" i="20"/>
  <c r="V1052" i="20" s="1"/>
  <c r="T1066" i="20"/>
  <c r="V1053" i="20"/>
  <c r="U1053" i="20"/>
  <c r="W1051" i="20"/>
  <c r="Q182" i="20"/>
  <c r="R1045" i="20"/>
  <c r="V315" i="20"/>
  <c r="S1736" i="16"/>
  <c r="S2202" i="16" s="1"/>
  <c r="R1737" i="16"/>
  <c r="R1738" i="16" s="1"/>
  <c r="W1729" i="16"/>
  <c r="V2201" i="16"/>
  <c r="U1730" i="16"/>
  <c r="V1730" i="16" s="1"/>
  <c r="V1021" i="20"/>
  <c r="V1022" i="20" s="1"/>
  <c r="U2201" i="16"/>
  <c r="Q1764" i="16"/>
  <c r="R1764" i="16" s="1"/>
  <c r="S1764" i="16" s="1"/>
  <c r="W1020" i="20"/>
  <c r="L2208" i="16"/>
  <c r="U1034" i="20"/>
  <c r="T1036" i="20"/>
  <c r="T1035" i="20"/>
  <c r="L1780" i="16"/>
  <c r="Q1771" i="16"/>
  <c r="R1771" i="16" s="1"/>
  <c r="O2207" i="16"/>
  <c r="T1028" i="20"/>
  <c r="W1029" i="20"/>
  <c r="X1029" i="20"/>
  <c r="N1778" i="16"/>
  <c r="O1778" i="16" s="1"/>
  <c r="X1000" i="20"/>
  <c r="L1779" i="16"/>
  <c r="M1779" i="16" s="1"/>
  <c r="S1750" i="16"/>
  <c r="T1750" i="16" s="1"/>
  <c r="U1750" i="16" s="1"/>
  <c r="V1750" i="16" s="1"/>
  <c r="W1750" i="16" s="1"/>
  <c r="X1750" i="16" s="1"/>
  <c r="S1757" i="16"/>
  <c r="T1757" i="16" s="1"/>
  <c r="U1757" i="16" s="1"/>
  <c r="V1757" i="16" s="1"/>
  <c r="W1757" i="16" s="1"/>
  <c r="X1757" i="16" s="1"/>
  <c r="L1785" i="16"/>
  <c r="W1716" i="16"/>
  <c r="X2199" i="16"/>
  <c r="S1744" i="16"/>
  <c r="W2199" i="16"/>
  <c r="S2203" i="16"/>
  <c r="O1765" i="16"/>
  <c r="P1765" i="16" s="1"/>
  <c r="P2207" i="16"/>
  <c r="O1772" i="16"/>
  <c r="V1723" i="16"/>
  <c r="R1751" i="16"/>
  <c r="P2205" i="16"/>
  <c r="X2198" i="16"/>
  <c r="K1786" i="16"/>
  <c r="K2209" i="16"/>
  <c r="P2206" i="16"/>
  <c r="D1803" i="16"/>
  <c r="N1802" i="16"/>
  <c r="V1802" i="16"/>
  <c r="P1802" i="16"/>
  <c r="X1802" i="16"/>
  <c r="D1797" i="16"/>
  <c r="O1802" i="16"/>
  <c r="W1802" i="16"/>
  <c r="B1796" i="16"/>
  <c r="Q1802" i="16"/>
  <c r="M1802" i="16"/>
  <c r="E1798" i="16"/>
  <c r="D1798" i="16" s="1"/>
  <c r="R1802" i="16"/>
  <c r="L1802" i="16"/>
  <c r="T1802" i="16"/>
  <c r="K1802" i="16"/>
  <c r="S1802" i="16"/>
  <c r="E1797" i="16"/>
  <c r="F1797" i="16" s="1"/>
  <c r="U1802" i="16"/>
  <c r="P1758" i="16"/>
  <c r="O2206" i="16"/>
  <c r="R2204" i="16"/>
  <c r="D1791" i="16"/>
  <c r="D1792" i="16" s="1"/>
  <c r="K1787" i="16"/>
  <c r="X1709" i="16"/>
  <c r="V2200" i="16"/>
  <c r="W1120" i="16" l="1"/>
  <c r="W2111" i="16" s="1"/>
  <c r="U1122" i="16"/>
  <c r="V1121" i="16"/>
  <c r="W1127" i="16"/>
  <c r="W2112" i="16" s="1"/>
  <c r="V218" i="16"/>
  <c r="S220" i="16"/>
  <c r="S788" i="16" s="1"/>
  <c r="T1129" i="16"/>
  <c r="R787" i="16"/>
  <c r="R193" i="10"/>
  <c r="R192" i="10" s="1"/>
  <c r="T219" i="16"/>
  <c r="U1128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072" i="20"/>
  <c r="W1074" i="20" s="1"/>
  <c r="V1073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T322" i="20"/>
  <c r="T52" i="20" s="1"/>
  <c r="S1745" i="16"/>
  <c r="P1759" i="16"/>
  <c r="V1014" i="20"/>
  <c r="X1710" i="16"/>
  <c r="P1062" i="16"/>
  <c r="R1752" i="16"/>
  <c r="U1731" i="16"/>
  <c r="V1731" i="16" s="1"/>
  <c r="O1773" i="16"/>
  <c r="O1766" i="16"/>
  <c r="P1766" i="16" s="1"/>
  <c r="M1780" i="16"/>
  <c r="D1799" i="16"/>
  <c r="F1798" i="16" s="1"/>
  <c r="W1013" i="20"/>
  <c r="V1015" i="20"/>
  <c r="V965" i="20"/>
  <c r="W964" i="20"/>
  <c r="V966" i="20"/>
  <c r="T601" i="20"/>
  <c r="S88" i="20"/>
  <c r="U608" i="20"/>
  <c r="X602" i="20"/>
  <c r="U609" i="20"/>
  <c r="U90" i="20" s="1"/>
  <c r="U1193" i="20" s="1"/>
  <c r="U87" i="20"/>
  <c r="V607" i="20"/>
  <c r="F1845" i="16"/>
  <c r="K1846" i="16" s="1"/>
  <c r="K2216" i="16" s="1"/>
  <c r="F1100" i="16"/>
  <c r="D1851" i="16"/>
  <c r="E1851" i="16"/>
  <c r="F1851" i="16" s="1"/>
  <c r="D1858" i="16"/>
  <c r="E1858" i="16"/>
  <c r="F1858" i="16" s="1"/>
  <c r="D1852" i="16"/>
  <c r="D1853" i="16" s="1"/>
  <c r="W1014" i="16"/>
  <c r="U1190" i="20"/>
  <c r="U1189" i="20" s="1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/>
  <c r="D1101" i="16"/>
  <c r="T1054" i="16"/>
  <c r="S1055" i="16"/>
  <c r="S1066" i="16"/>
  <c r="U1031" i="16"/>
  <c r="W1036" i="16"/>
  <c r="V1037" i="16"/>
  <c r="U1048" i="16"/>
  <c r="V1030" i="16"/>
  <c r="V645" i="20"/>
  <c r="U110" i="20"/>
  <c r="P175" i="10"/>
  <c r="P319" i="10" s="1"/>
  <c r="X548" i="20"/>
  <c r="X550" i="20" s="1"/>
  <c r="W549" i="20"/>
  <c r="W74" i="20"/>
  <c r="V1060" i="20"/>
  <c r="V1059" i="20"/>
  <c r="W1059" i="20" s="1"/>
  <c r="S1138" i="20"/>
  <c r="S1140" i="20" s="1"/>
  <c r="T1109" i="20"/>
  <c r="T1108" i="20"/>
  <c r="U1108" i="20" s="1"/>
  <c r="V316" i="20"/>
  <c r="V54" i="20" s="1"/>
  <c r="R1139" i="20"/>
  <c r="W321" i="20"/>
  <c r="V51" i="20"/>
  <c r="U1131" i="20"/>
  <c r="U1133" i="20" s="1"/>
  <c r="V838" i="20"/>
  <c r="U840" i="20"/>
  <c r="U839" i="20"/>
  <c r="O175" i="10"/>
  <c r="O319" i="10" s="1"/>
  <c r="O227" i="11"/>
  <c r="O228" i="11" s="1"/>
  <c r="O247" i="11" s="1"/>
  <c r="O174" i="10" s="1"/>
  <c r="O318" i="10" s="1"/>
  <c r="V1046" i="20"/>
  <c r="R825" i="20"/>
  <c r="Q164" i="20"/>
  <c r="S826" i="20"/>
  <c r="S166" i="20" s="1"/>
  <c r="S1195" i="20" s="1"/>
  <c r="T824" i="20"/>
  <c r="S163" i="20"/>
  <c r="U1101" i="20"/>
  <c r="V1101" i="20" s="1"/>
  <c r="R199" i="20"/>
  <c r="R249" i="20" s="1"/>
  <c r="R252" i="20" s="1"/>
  <c r="R227" i="11" s="1"/>
  <c r="R228" i="11" s="1"/>
  <c r="R247" i="11" s="1"/>
  <c r="R174" i="10" s="1"/>
  <c r="R318" i="10" s="1"/>
  <c r="U1102" i="20"/>
  <c r="S646" i="20"/>
  <c r="S647" i="20" s="1"/>
  <c r="S113" i="20" s="1"/>
  <c r="S1194" i="20" s="1"/>
  <c r="R111" i="20"/>
  <c r="S1124" i="20"/>
  <c r="S1126" i="20" s="1"/>
  <c r="W77" i="20"/>
  <c r="W1191" i="20" s="1"/>
  <c r="X557" i="20"/>
  <c r="U556" i="20"/>
  <c r="T75" i="20"/>
  <c r="T1160" i="20"/>
  <c r="T1161" i="20"/>
  <c r="U1159" i="20"/>
  <c r="U1161" i="20" s="1"/>
  <c r="S184" i="20"/>
  <c r="S1196" i="20" s="1"/>
  <c r="T1132" i="20"/>
  <c r="S1154" i="20"/>
  <c r="T1152" i="20"/>
  <c r="R1125" i="20"/>
  <c r="S1153" i="20"/>
  <c r="R202" i="20"/>
  <c r="R1197" i="20" s="1"/>
  <c r="R1192" i="20" s="1"/>
  <c r="T1146" i="20"/>
  <c r="Q200" i="20"/>
  <c r="T1081" i="20"/>
  <c r="T1080" i="20"/>
  <c r="U1080" i="20" s="1"/>
  <c r="V1079" i="20"/>
  <c r="P235" i="10"/>
  <c r="V1094" i="20"/>
  <c r="U1109" i="20"/>
  <c r="V1107" i="20"/>
  <c r="T1087" i="20"/>
  <c r="Q255" i="20"/>
  <c r="Q258" i="20" s="1"/>
  <c r="Q236" i="10" s="1"/>
  <c r="T1147" i="20"/>
  <c r="U1145" i="20"/>
  <c r="T1182" i="20"/>
  <c r="U1180" i="20"/>
  <c r="T1181" i="20"/>
  <c r="T1175" i="20"/>
  <c r="U1173" i="20"/>
  <c r="T1174" i="20"/>
  <c r="T181" i="20"/>
  <c r="V1102" i="20"/>
  <c r="W1100" i="20"/>
  <c r="T1117" i="20"/>
  <c r="S1119" i="20"/>
  <c r="S1118" i="20"/>
  <c r="Q227" i="11"/>
  <c r="Q228" i="11" s="1"/>
  <c r="Q247" i="11" s="1"/>
  <c r="Q174" i="10" s="1"/>
  <c r="Q318" i="10" s="1"/>
  <c r="Q175" i="10"/>
  <c r="Q319" i="10" s="1"/>
  <c r="V1095" i="20"/>
  <c r="W1093" i="20"/>
  <c r="U1086" i="20"/>
  <c r="V1086" i="20" s="1"/>
  <c r="V1088" i="20" s="1"/>
  <c r="W1046" i="20"/>
  <c r="X1044" i="20"/>
  <c r="X1046" i="20" s="1"/>
  <c r="U1067" i="20"/>
  <c r="V1065" i="20"/>
  <c r="X1051" i="20"/>
  <c r="X1053" i="20" s="1"/>
  <c r="U1066" i="20"/>
  <c r="W1060" i="20"/>
  <c r="X1058" i="20"/>
  <c r="X1060" i="20" s="1"/>
  <c r="W1053" i="20"/>
  <c r="W1052" i="20"/>
  <c r="S1045" i="20"/>
  <c r="R182" i="20"/>
  <c r="W315" i="20"/>
  <c r="T1736" i="16"/>
  <c r="T2202" i="16" s="1"/>
  <c r="T2204" i="16"/>
  <c r="S1737" i="16"/>
  <c r="S1738" i="16" s="1"/>
  <c r="N2208" i="16"/>
  <c r="U1035" i="20"/>
  <c r="W1730" i="16"/>
  <c r="X1729" i="16"/>
  <c r="W2201" i="16"/>
  <c r="N1779" i="16"/>
  <c r="O1779" i="16" s="1"/>
  <c r="P1778" i="16"/>
  <c r="O2208" i="16"/>
  <c r="S1751" i="16"/>
  <c r="T1751" i="16" s="1"/>
  <c r="U1751" i="16" s="1"/>
  <c r="V1034" i="20"/>
  <c r="U1036" i="20"/>
  <c r="X1020" i="20"/>
  <c r="S2204" i="16"/>
  <c r="W1021" i="20"/>
  <c r="W1022" i="20" s="1"/>
  <c r="L1786" i="16"/>
  <c r="S1771" i="16"/>
  <c r="T1771" i="16" s="1"/>
  <c r="U1771" i="16" s="1"/>
  <c r="L1787" i="16"/>
  <c r="U1028" i="20"/>
  <c r="U2204" i="16"/>
  <c r="T1764" i="16"/>
  <c r="L2209" i="16"/>
  <c r="M1785" i="16"/>
  <c r="M2209" i="16" s="1"/>
  <c r="X1716" i="16"/>
  <c r="T2203" i="16"/>
  <c r="T1744" i="16"/>
  <c r="U1744" i="16" s="1"/>
  <c r="P1772" i="16"/>
  <c r="W1723" i="16"/>
  <c r="U2203" i="16"/>
  <c r="S2205" i="16"/>
  <c r="F1791" i="16"/>
  <c r="K1792" i="16" s="1"/>
  <c r="K1793" i="16" s="1"/>
  <c r="Q1758" i="16"/>
  <c r="R1758" i="16" s="1"/>
  <c r="E1805" i="16"/>
  <c r="D1805" i="16" s="1"/>
  <c r="D1806" i="16" s="1"/>
  <c r="R1809" i="16"/>
  <c r="K1809" i="16"/>
  <c r="S1809" i="16"/>
  <c r="B1803" i="16"/>
  <c r="L1809" i="16"/>
  <c r="T1809" i="16"/>
  <c r="Q1809" i="16"/>
  <c r="M1809" i="16"/>
  <c r="U1809" i="16"/>
  <c r="E1804" i="16"/>
  <c r="F1804" i="16" s="1"/>
  <c r="N1809" i="16"/>
  <c r="V1809" i="16"/>
  <c r="D1810" i="16"/>
  <c r="P1809" i="16"/>
  <c r="X1809" i="16"/>
  <c r="D1804" i="16"/>
  <c r="O1809" i="16"/>
  <c r="W1809" i="16"/>
  <c r="Q2205" i="16"/>
  <c r="K1799" i="16"/>
  <c r="R2205" i="16"/>
  <c r="Q2206" i="16"/>
  <c r="Q1765" i="16"/>
  <c r="W2200" i="16"/>
  <c r="X1120" i="16" l="1"/>
  <c r="X2111" i="16" s="1"/>
  <c r="W1121" i="16"/>
  <c r="V1122" i="16"/>
  <c r="W218" i="16"/>
  <c r="X1127" i="16"/>
  <c r="X2112" i="16" s="1"/>
  <c r="V1128" i="16"/>
  <c r="U219" i="16"/>
  <c r="U1129" i="16"/>
  <c r="T220" i="16"/>
  <c r="T788" i="16" s="1"/>
  <c r="S193" i="10"/>
  <c r="S192" i="10" s="1"/>
  <c r="S78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1" i="16"/>
  <c r="K178" i="16" s="1"/>
  <c r="K51" i="10" s="1"/>
  <c r="K339" i="10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K2210" i="16"/>
  <c r="K1794" i="16"/>
  <c r="L1792" i="16"/>
  <c r="L1793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073" i="20"/>
  <c r="X1072" i="20"/>
  <c r="X1074" i="20" s="1"/>
  <c r="H1823" i="16"/>
  <c r="I1816" i="16" a="1"/>
  <c r="I1816" i="16" s="1"/>
  <c r="Q1072" i="16"/>
  <c r="N1074" i="16"/>
  <c r="O1073" i="16"/>
  <c r="L1091" i="16"/>
  <c r="W1724" i="16"/>
  <c r="X1717" i="16"/>
  <c r="U322" i="20"/>
  <c r="U52" i="20" s="1"/>
  <c r="Q1062" i="16"/>
  <c r="W1014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64" i="20"/>
  <c r="X966" i="20" s="1"/>
  <c r="W966" i="20"/>
  <c r="W965" i="20"/>
  <c r="X1013" i="20"/>
  <c r="X1015" i="20" s="1"/>
  <c r="W1015" i="20"/>
  <c r="V608" i="20"/>
  <c r="V609" i="20"/>
  <c r="V90" i="20" s="1"/>
  <c r="V1193" i="20" s="1"/>
  <c r="W607" i="20"/>
  <c r="V87" i="20"/>
  <c r="U601" i="20"/>
  <c r="T88" i="20"/>
  <c r="F1805" i="16"/>
  <c r="K1847" i="16"/>
  <c r="K1848" i="16" s="1"/>
  <c r="F1852" i="16"/>
  <c r="K1853" i="16" s="1"/>
  <c r="K2217" i="16" s="1"/>
  <c r="L1846" i="16"/>
  <c r="D1102" i="16"/>
  <c r="E1866" i="16" s="1"/>
  <c r="E1859" i="16"/>
  <c r="R1856" i="16"/>
  <c r="M1856" i="16"/>
  <c r="L1856" i="16"/>
  <c r="O1856" i="16"/>
  <c r="S1856" i="16"/>
  <c r="Q1856" i="16"/>
  <c r="N1856" i="16"/>
  <c r="P1856" i="16"/>
  <c r="K1856" i="16"/>
  <c r="T1856" i="16"/>
  <c r="U1856" i="16"/>
  <c r="V1856" i="16"/>
  <c r="W1856" i="16"/>
  <c r="X1856" i="16"/>
  <c r="S1056" i="16"/>
  <c r="X1014" i="16"/>
  <c r="V1190" i="20"/>
  <c r="V1189" i="20" s="1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10" i="20"/>
  <c r="W645" i="20"/>
  <c r="W110" i="20" s="1"/>
  <c r="X74" i="20"/>
  <c r="X77" i="20"/>
  <c r="X1191" i="20" s="1"/>
  <c r="X549" i="20"/>
  <c r="T1138" i="20"/>
  <c r="T1140" i="20" s="1"/>
  <c r="T184" i="20"/>
  <c r="T1196" i="20" s="1"/>
  <c r="S1139" i="20"/>
  <c r="R200" i="20"/>
  <c r="W316" i="20"/>
  <c r="V1131" i="20"/>
  <c r="V1133" i="20" s="1"/>
  <c r="U1132" i="20"/>
  <c r="W51" i="20"/>
  <c r="X321" i="20"/>
  <c r="W323" i="20"/>
  <c r="T1124" i="20"/>
  <c r="T1126" i="20" s="1"/>
  <c r="V839" i="20"/>
  <c r="V840" i="20"/>
  <c r="W838" i="20"/>
  <c r="S199" i="20"/>
  <c r="S249" i="20" s="1"/>
  <c r="U1146" i="20"/>
  <c r="S202" i="20"/>
  <c r="S1197" i="20" s="1"/>
  <c r="S1192" i="20" s="1"/>
  <c r="T826" i="20"/>
  <c r="T166" i="20" s="1"/>
  <c r="T1195" i="20" s="1"/>
  <c r="T163" i="20"/>
  <c r="U824" i="20"/>
  <c r="R175" i="10"/>
  <c r="R319" i="10" s="1"/>
  <c r="S825" i="20"/>
  <c r="S164" i="20" s="1"/>
  <c r="R164" i="20"/>
  <c r="S1125" i="20"/>
  <c r="T646" i="20"/>
  <c r="T647" i="20" s="1"/>
  <c r="T113" i="20" s="1"/>
  <c r="T1194" i="20" s="1"/>
  <c r="S111" i="20"/>
  <c r="V556" i="20"/>
  <c r="U75" i="20"/>
  <c r="T1153" i="20"/>
  <c r="V1159" i="20"/>
  <c r="U1160" i="20"/>
  <c r="T1154" i="20"/>
  <c r="U1152" i="20"/>
  <c r="R255" i="20"/>
  <c r="R258" i="20" s="1"/>
  <c r="R236" i="10" s="1"/>
  <c r="R379" i="10" s="1"/>
  <c r="R378" i="10" s="1"/>
  <c r="W1094" i="20"/>
  <c r="V1081" i="20"/>
  <c r="V1080" i="20"/>
  <c r="W1079" i="20"/>
  <c r="W1081" i="20" s="1"/>
  <c r="U1181" i="20"/>
  <c r="Q235" i="10"/>
  <c r="Q379" i="10"/>
  <c r="Q378" i="10" s="1"/>
  <c r="W1107" i="20"/>
  <c r="V1109" i="20"/>
  <c r="V1108" i="20"/>
  <c r="U1174" i="20"/>
  <c r="U1147" i="20"/>
  <c r="V1145" i="20"/>
  <c r="U1182" i="20"/>
  <c r="V1180" i="20"/>
  <c r="W1102" i="20"/>
  <c r="X1100" i="20"/>
  <c r="X1102" i="20" s="1"/>
  <c r="U1175" i="20"/>
  <c r="V1173" i="20"/>
  <c r="W1101" i="20"/>
  <c r="T1118" i="20"/>
  <c r="T1119" i="20"/>
  <c r="U1117" i="20"/>
  <c r="W1086" i="20"/>
  <c r="W1088" i="20" s="1"/>
  <c r="U1088" i="20"/>
  <c r="U184" i="20" s="1"/>
  <c r="U1196" i="20" s="1"/>
  <c r="U181" i="20"/>
  <c r="U1087" i="20"/>
  <c r="V1087" i="20" s="1"/>
  <c r="W1095" i="20"/>
  <c r="X1093" i="20"/>
  <c r="X1095" i="20" s="1"/>
  <c r="X315" i="20"/>
  <c r="X316" i="20" s="1"/>
  <c r="V1066" i="20"/>
  <c r="X1052" i="20"/>
  <c r="V1067" i="20"/>
  <c r="W1065" i="20"/>
  <c r="V181" i="20"/>
  <c r="X1059" i="20"/>
  <c r="S182" i="20"/>
  <c r="T1045" i="20"/>
  <c r="U1736" i="16"/>
  <c r="U2202" i="16" s="1"/>
  <c r="T1737" i="16"/>
  <c r="T1738" i="16" s="1"/>
  <c r="X1021" i="20"/>
  <c r="X1022" i="20" s="1"/>
  <c r="V1035" i="20"/>
  <c r="X2201" i="16"/>
  <c r="X1730" i="16"/>
  <c r="Q1778" i="16"/>
  <c r="R1778" i="16" s="1"/>
  <c r="P2208" i="16"/>
  <c r="P1779" i="16"/>
  <c r="W1034" i="20"/>
  <c r="V1036" i="20"/>
  <c r="V1771" i="16"/>
  <c r="W1771" i="16" s="1"/>
  <c r="V1028" i="20"/>
  <c r="N1785" i="16"/>
  <c r="N2209" i="16" s="1"/>
  <c r="U1764" i="16"/>
  <c r="V1764" i="16" s="1"/>
  <c r="W1764" i="16" s="1"/>
  <c r="X1764" i="16" s="1"/>
  <c r="K1806" i="16"/>
  <c r="K1807" i="16" s="1"/>
  <c r="M1786" i="16"/>
  <c r="M1787" i="16" s="1"/>
  <c r="L1799" i="16"/>
  <c r="L2211" i="16" s="1"/>
  <c r="X1723" i="16"/>
  <c r="T2205" i="16"/>
  <c r="S1758" i="16"/>
  <c r="Q2207" i="16"/>
  <c r="Q1772" i="16"/>
  <c r="V1751" i="16"/>
  <c r="V2204" i="16"/>
  <c r="V1744" i="16"/>
  <c r="V2203" i="16"/>
  <c r="W2204" i="16"/>
  <c r="R1765" i="16"/>
  <c r="R2206" i="16"/>
  <c r="D1811" i="16"/>
  <c r="O1816" i="16"/>
  <c r="W1816" i="16"/>
  <c r="L1816" i="16"/>
  <c r="B1810" i="16"/>
  <c r="P1816" i="16"/>
  <c r="X1816" i="16"/>
  <c r="K1816" i="16"/>
  <c r="D1817" i="16"/>
  <c r="Q1816" i="16"/>
  <c r="R1816" i="16"/>
  <c r="T1816" i="16"/>
  <c r="E1812" i="16"/>
  <c r="D1812" i="16" s="1"/>
  <c r="M1816" i="16"/>
  <c r="U1816" i="16"/>
  <c r="S1816" i="16"/>
  <c r="E1811" i="16"/>
  <c r="F1811" i="16" s="1"/>
  <c r="N1816" i="16"/>
  <c r="V1816" i="16"/>
  <c r="K1800" i="16"/>
  <c r="K1801" i="16" s="1"/>
  <c r="K2211" i="16"/>
  <c r="X2200" i="16"/>
  <c r="X1121" i="16" l="1"/>
  <c r="W1122" i="16"/>
  <c r="X1122" i="16" s="1"/>
  <c r="W54" i="20"/>
  <c r="W1190" i="20" s="1"/>
  <c r="W1189" i="20" s="1"/>
  <c r="X218" i="16"/>
  <c r="T193" i="10"/>
  <c r="T192" i="10" s="1"/>
  <c r="T787" i="16"/>
  <c r="V1129" i="16"/>
  <c r="U220" i="16"/>
  <c r="U788" i="16" s="1"/>
  <c r="W1128" i="16"/>
  <c r="V219" i="16"/>
  <c r="M50" i="10"/>
  <c r="M338" i="10" s="1"/>
  <c r="M181" i="16"/>
  <c r="K55" i="10"/>
  <c r="M176" i="16"/>
  <c r="M49" i="10" s="1"/>
  <c r="L176" i="16"/>
  <c r="L49" i="10" s="1"/>
  <c r="N1085" i="16"/>
  <c r="O1085" i="16" s="1"/>
  <c r="M1792" i="16"/>
  <c r="N1792" i="16" s="1"/>
  <c r="N2210" i="16" s="1"/>
  <c r="L2210" i="16"/>
  <c r="L1794" i="16"/>
  <c r="W2005" i="16"/>
  <c r="W629" i="16" s="1"/>
  <c r="W795" i="16" s="1"/>
  <c r="W203" i="10" s="1"/>
  <c r="V628" i="16"/>
  <c r="W2004" i="16"/>
  <c r="X627" i="16"/>
  <c r="X2241" i="16"/>
  <c r="X1073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V322" i="20"/>
  <c r="V52" i="20" s="1"/>
  <c r="Q1773" i="16"/>
  <c r="R1766" i="16"/>
  <c r="L1853" i="16"/>
  <c r="M1853" i="16" s="1"/>
  <c r="X1731" i="16"/>
  <c r="V1752" i="16"/>
  <c r="S1759" i="16"/>
  <c r="V1745" i="16"/>
  <c r="P1780" i="16"/>
  <c r="X1014" i="20"/>
  <c r="X965" i="20"/>
  <c r="V601" i="20"/>
  <c r="U88" i="20"/>
  <c r="W609" i="20"/>
  <c r="W90" i="20" s="1"/>
  <c r="W1193" i="20" s="1"/>
  <c r="X607" i="20"/>
  <c r="W87" i="20"/>
  <c r="W608" i="20"/>
  <c r="F1101" i="16"/>
  <c r="K1102" i="16" s="1"/>
  <c r="K1103" i="16" s="1"/>
  <c r="K1104" i="16" s="1"/>
  <c r="L1847" i="16"/>
  <c r="K1854" i="16"/>
  <c r="K1855" i="16" s="1"/>
  <c r="L1848" i="16"/>
  <c r="M1846" i="16"/>
  <c r="N1846" i="16" s="1"/>
  <c r="O1846" i="16" s="1"/>
  <c r="O2216" i="16" s="1"/>
  <c r="L2216" i="16"/>
  <c r="K1863" i="16"/>
  <c r="L1863" i="16"/>
  <c r="M1863" i="16"/>
  <c r="N1863" i="16"/>
  <c r="O1863" i="16"/>
  <c r="P1863" i="16"/>
  <c r="Q1863" i="16"/>
  <c r="R1863" i="16"/>
  <c r="S1863" i="16"/>
  <c r="T1863" i="16"/>
  <c r="U1863" i="16"/>
  <c r="V1863" i="16"/>
  <c r="W1863" i="16"/>
  <c r="X1863" i="16"/>
  <c r="D1859" i="16"/>
  <c r="D1860" i="16" s="1"/>
  <c r="D1866" i="16"/>
  <c r="D1813" i="16"/>
  <c r="F1812" i="16" s="1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45" i="20"/>
  <c r="T1139" i="20"/>
  <c r="U1138" i="20"/>
  <c r="V1138" i="20" s="1"/>
  <c r="W1131" i="20"/>
  <c r="W1133" i="20" s="1"/>
  <c r="V1132" i="20"/>
  <c r="T199" i="20"/>
  <c r="T249" i="20" s="1"/>
  <c r="U1124" i="20"/>
  <c r="U1126" i="20" s="1"/>
  <c r="S255" i="20"/>
  <c r="S258" i="20" s="1"/>
  <c r="S236" i="10" s="1"/>
  <c r="S379" i="10" s="1"/>
  <c r="S378" i="10" s="1"/>
  <c r="X51" i="20"/>
  <c r="X323" i="20"/>
  <c r="X54" i="20" s="1"/>
  <c r="T1125" i="20"/>
  <c r="S252" i="20"/>
  <c r="S227" i="11" s="1"/>
  <c r="S228" i="11" s="1"/>
  <c r="S247" i="11" s="1"/>
  <c r="S174" i="10" s="1"/>
  <c r="S318" i="10" s="1"/>
  <c r="T825" i="20"/>
  <c r="U825" i="20" s="1"/>
  <c r="W840" i="20"/>
  <c r="X838" i="20"/>
  <c r="X840" i="20" s="1"/>
  <c r="W839" i="20"/>
  <c r="V1146" i="20"/>
  <c r="S200" i="20"/>
  <c r="U826" i="20"/>
  <c r="U166" i="20" s="1"/>
  <c r="U1195" i="20" s="1"/>
  <c r="V824" i="20"/>
  <c r="U163" i="20"/>
  <c r="U646" i="20"/>
  <c r="U647" i="20" s="1"/>
  <c r="U113" i="20" s="1"/>
  <c r="U1194" i="20" s="1"/>
  <c r="T111" i="20"/>
  <c r="W556" i="20"/>
  <c r="V75" i="20"/>
  <c r="T202" i="20"/>
  <c r="T255" i="20" s="1"/>
  <c r="T258" i="20" s="1"/>
  <c r="T236" i="10" s="1"/>
  <c r="V1160" i="20"/>
  <c r="V1161" i="20"/>
  <c r="W1159" i="20"/>
  <c r="W1161" i="20" s="1"/>
  <c r="U1154" i="20"/>
  <c r="V1152" i="20"/>
  <c r="U1153" i="20"/>
  <c r="R235" i="10"/>
  <c r="V184" i="20"/>
  <c r="V1196" i="20" s="1"/>
  <c r="X1079" i="20"/>
  <c r="X1081" i="20" s="1"/>
  <c r="W1080" i="20"/>
  <c r="V1181" i="20"/>
  <c r="W1108" i="20"/>
  <c r="W1109" i="20"/>
  <c r="X1107" i="20"/>
  <c r="X1109" i="20" s="1"/>
  <c r="V1147" i="20"/>
  <c r="W1145" i="20"/>
  <c r="X1101" i="20"/>
  <c r="V1182" i="20"/>
  <c r="W1180" i="20"/>
  <c r="V1175" i="20"/>
  <c r="W1173" i="20"/>
  <c r="V1174" i="20"/>
  <c r="U1119" i="20"/>
  <c r="V1117" i="20"/>
  <c r="X1086" i="20"/>
  <c r="X1088" i="20" s="1"/>
  <c r="W1087" i="20"/>
  <c r="U1118" i="20"/>
  <c r="W1066" i="20"/>
  <c r="X1094" i="20"/>
  <c r="W1067" i="20"/>
  <c r="X1065" i="20"/>
  <c r="W181" i="20"/>
  <c r="U1045" i="20"/>
  <c r="T182" i="20"/>
  <c r="V1736" i="16"/>
  <c r="V2202" i="16" s="1"/>
  <c r="U1737" i="16"/>
  <c r="U1738" i="16" s="1"/>
  <c r="Q1779" i="16"/>
  <c r="R1779" i="16" s="1"/>
  <c r="Q2208" i="16"/>
  <c r="S1778" i="16"/>
  <c r="W1035" i="20"/>
  <c r="K2212" i="16"/>
  <c r="K1808" i="16"/>
  <c r="X1034" i="20"/>
  <c r="W1036" i="20"/>
  <c r="L1806" i="16"/>
  <c r="L2212" i="16" s="1"/>
  <c r="N1786" i="16"/>
  <c r="N1787" i="16" s="1"/>
  <c r="X1771" i="16"/>
  <c r="W1028" i="20"/>
  <c r="M1799" i="16"/>
  <c r="M2211" i="16" s="1"/>
  <c r="O1785" i="16"/>
  <c r="O2209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P1823" i="16"/>
  <c r="X1823" i="16"/>
  <c r="K1823" i="16"/>
  <c r="S1823" i="16"/>
  <c r="O1823" i="16"/>
  <c r="D1824" i="16"/>
  <c r="Q1823" i="16"/>
  <c r="B1817" i="16"/>
  <c r="U1823" i="16"/>
  <c r="E1818" i="16"/>
  <c r="F1818" i="16" s="1"/>
  <c r="E1819" i="16"/>
  <c r="D1819" i="16" s="1"/>
  <c r="R1823" i="16"/>
  <c r="N1823" i="16"/>
  <c r="L1823" i="16"/>
  <c r="T1823" i="16"/>
  <c r="M1823" i="16"/>
  <c r="V1823" i="16"/>
  <c r="W1823" i="16"/>
  <c r="S2206" i="16"/>
  <c r="S1765" i="16"/>
  <c r="R2208" i="16"/>
  <c r="X1128" i="16" l="1"/>
  <c r="X219" i="16" s="1"/>
  <c r="W219" i="16"/>
  <c r="U193" i="10"/>
  <c r="U192" i="10" s="1"/>
  <c r="U787" i="16"/>
  <c r="W1129" i="16"/>
  <c r="V220" i="16"/>
  <c r="V788" i="16" s="1"/>
  <c r="M56" i="10"/>
  <c r="M344" i="10" s="1"/>
  <c r="M55" i="10"/>
  <c r="M343" i="10" s="1"/>
  <c r="K167" i="16"/>
  <c r="K184" i="16" s="1"/>
  <c r="K58" i="10" s="1"/>
  <c r="K346" i="10" s="1"/>
  <c r="K343" i="10"/>
  <c r="L337" i="10"/>
  <c r="N1086" i="16"/>
  <c r="O1086" i="16" s="1"/>
  <c r="M2210" i="16"/>
  <c r="M1793" i="16"/>
  <c r="N1793" i="16" s="1"/>
  <c r="O1792" i="16"/>
  <c r="P1792" i="16" s="1"/>
  <c r="K138" i="16"/>
  <c r="L1102" i="16"/>
  <c r="M1102" i="16" s="1"/>
  <c r="X2005" i="16"/>
  <c r="X629" i="16" s="1"/>
  <c r="X795" i="16" s="1"/>
  <c r="X203" i="10" s="1"/>
  <c r="K1110" i="16"/>
  <c r="K159" i="16" s="1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W322" i="20"/>
  <c r="W52" i="20" s="1"/>
  <c r="L1854" i="16"/>
  <c r="M1854" i="16" s="1"/>
  <c r="S1766" i="16"/>
  <c r="W1745" i="16"/>
  <c r="L2217" i="16"/>
  <c r="W1752" i="16"/>
  <c r="T1759" i="16"/>
  <c r="S1062" i="16"/>
  <c r="L1098" i="16"/>
  <c r="L166" i="16" s="1"/>
  <c r="L183" i="16" s="1"/>
  <c r="L57" i="10" s="1"/>
  <c r="Q1780" i="16"/>
  <c r="R1780" i="16" s="1"/>
  <c r="D1820" i="16"/>
  <c r="F1819" i="16" s="1"/>
  <c r="R1773" i="16"/>
  <c r="S1773" i="16" s="1"/>
  <c r="M1794" i="16"/>
  <c r="N1794" i="16" s="1"/>
  <c r="X608" i="20"/>
  <c r="X609" i="20"/>
  <c r="X90" i="20" s="1"/>
  <c r="X1193" i="20" s="1"/>
  <c r="X87" i="20"/>
  <c r="W601" i="20"/>
  <c r="V88" i="20"/>
  <c r="M1847" i="16"/>
  <c r="M1848" i="16" s="1"/>
  <c r="P1079" i="16"/>
  <c r="M2216" i="16"/>
  <c r="F1859" i="16"/>
  <c r="K1860" i="16" s="1"/>
  <c r="K1861" i="16" s="1"/>
  <c r="N2216" i="16"/>
  <c r="P1846" i="16"/>
  <c r="D1867" i="16"/>
  <c r="M2217" i="16"/>
  <c r="N1853" i="16"/>
  <c r="L1855" i="16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10" i="20"/>
  <c r="U1140" i="20"/>
  <c r="U202" i="20" s="1"/>
  <c r="U1197" i="20" s="1"/>
  <c r="U1192" i="20" s="1"/>
  <c r="T200" i="20"/>
  <c r="U1139" i="20"/>
  <c r="V1139" i="20" s="1"/>
  <c r="W1132" i="20"/>
  <c r="X1131" i="20"/>
  <c r="X1133" i="20" s="1"/>
  <c r="U199" i="20"/>
  <c r="U249" i="20" s="1"/>
  <c r="U252" i="20" s="1"/>
  <c r="S235" i="10"/>
  <c r="U1125" i="20"/>
  <c r="V1124" i="20"/>
  <c r="V1126" i="20" s="1"/>
  <c r="X1190" i="20"/>
  <c r="X1189" i="20" s="1"/>
  <c r="T252" i="20"/>
  <c r="T227" i="11" s="1"/>
  <c r="T228" i="11" s="1"/>
  <c r="T247" i="11" s="1"/>
  <c r="T174" i="10" s="1"/>
  <c r="T318" i="10" s="1"/>
  <c r="S175" i="10"/>
  <c r="S319" i="10" s="1"/>
  <c r="T164" i="20"/>
  <c r="T1197" i="20"/>
  <c r="T1192" i="20" s="1"/>
  <c r="W1146" i="20"/>
  <c r="X839" i="20"/>
  <c r="V826" i="20"/>
  <c r="V166" i="20" s="1"/>
  <c r="V1195" i="20" s="1"/>
  <c r="W824" i="20"/>
  <c r="V163" i="20"/>
  <c r="V825" i="20"/>
  <c r="U164" i="20"/>
  <c r="V646" i="20"/>
  <c r="V647" i="20" s="1"/>
  <c r="V113" i="20" s="1"/>
  <c r="V1194" i="20" s="1"/>
  <c r="U111" i="20"/>
  <c r="X556" i="20"/>
  <c r="X75" i="20" s="1"/>
  <c r="W75" i="20"/>
  <c r="V1153" i="20"/>
  <c r="W1160" i="20"/>
  <c r="X1159" i="20"/>
  <c r="X1161" i="20" s="1"/>
  <c r="V1154" i="20"/>
  <c r="W1152" i="20"/>
  <c r="V1140" i="20"/>
  <c r="W1138" i="20"/>
  <c r="X1080" i="20"/>
  <c r="X1108" i="20"/>
  <c r="W184" i="20"/>
  <c r="W1196" i="20" s="1"/>
  <c r="W1182" i="20"/>
  <c r="X1180" i="20"/>
  <c r="X1182" i="20" s="1"/>
  <c r="W1147" i="20"/>
  <c r="X1145" i="20"/>
  <c r="X1147" i="20" s="1"/>
  <c r="W1181" i="20"/>
  <c r="W1174" i="20"/>
  <c r="W1175" i="20"/>
  <c r="X1173" i="20"/>
  <c r="X1175" i="20" s="1"/>
  <c r="V1118" i="20"/>
  <c r="T379" i="10"/>
  <c r="T378" i="10" s="1"/>
  <c r="T235" i="10"/>
  <c r="X1087" i="20"/>
  <c r="V1119" i="20"/>
  <c r="W1117" i="20"/>
  <c r="X1067" i="20"/>
  <c r="X184" i="20" s="1"/>
  <c r="X181" i="20"/>
  <c r="X1066" i="20"/>
  <c r="V1045" i="20"/>
  <c r="U182" i="20"/>
  <c r="W1736" i="16"/>
  <c r="V1737" i="16"/>
  <c r="V1738" i="16" s="1"/>
  <c r="L1807" i="16"/>
  <c r="L1808" i="16"/>
  <c r="M1806" i="16"/>
  <c r="N1806" i="16" s="1"/>
  <c r="N2212" i="16" s="1"/>
  <c r="O1786" i="16"/>
  <c r="O1787" i="16" s="1"/>
  <c r="X1035" i="20"/>
  <c r="T1778" i="16"/>
  <c r="U1778" i="16" s="1"/>
  <c r="V1778" i="16" s="1"/>
  <c r="W1778" i="16" s="1"/>
  <c r="X1778" i="16" s="1"/>
  <c r="X1036" i="20"/>
  <c r="X1028" i="20"/>
  <c r="L1813" i="16"/>
  <c r="M1813" i="16" s="1"/>
  <c r="P1785" i="16"/>
  <c r="Q1785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Q1830" i="16"/>
  <c r="E1825" i="16"/>
  <c r="F1825" i="16" s="1"/>
  <c r="B1824" i="16"/>
  <c r="R1830" i="16"/>
  <c r="N1830" i="16"/>
  <c r="X1830" i="16"/>
  <c r="K1830" i="16"/>
  <c r="S1830" i="16"/>
  <c r="V1830" i="16"/>
  <c r="L1830" i="16"/>
  <c r="T1830" i="16"/>
  <c r="M1830" i="16"/>
  <c r="U1830" i="16"/>
  <c r="E1826" i="16"/>
  <c r="D1826" i="16" s="1"/>
  <c r="P1830" i="16"/>
  <c r="D1825" i="16"/>
  <c r="O1830" i="16"/>
  <c r="W1830" i="16"/>
  <c r="T1765" i="16"/>
  <c r="T2206" i="16"/>
  <c r="K2213" i="16"/>
  <c r="K1814" i="16"/>
  <c r="K1815" i="16" s="1"/>
  <c r="K1820" i="16"/>
  <c r="S1779" i="16"/>
  <c r="S2208" i="16"/>
  <c r="V787" i="16" l="1"/>
  <c r="V193" i="10"/>
  <c r="V192" i="10" s="1"/>
  <c r="X1129" i="16"/>
  <c r="X220" i="16" s="1"/>
  <c r="X788" i="16" s="1"/>
  <c r="X193" i="10" s="1"/>
  <c r="X192" i="10" s="1"/>
  <c r="W220" i="16"/>
  <c r="W788" i="16" s="1"/>
  <c r="K165" i="16"/>
  <c r="K168" i="16"/>
  <c r="K185" i="16" s="1"/>
  <c r="K59" i="10" s="1"/>
  <c r="K347" i="10" s="1"/>
  <c r="M337" i="10"/>
  <c r="K139" i="16"/>
  <c r="O2210" i="16"/>
  <c r="O1793" i="16"/>
  <c r="P1793" i="16" s="1"/>
  <c r="Q1792" i="16"/>
  <c r="R1792" i="16" s="1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196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X322" i="20"/>
  <c r="T1766" i="16"/>
  <c r="X1745" i="16"/>
  <c r="X1752" i="16"/>
  <c r="U1759" i="16"/>
  <c r="T1062" i="16"/>
  <c r="L1104" i="16"/>
  <c r="P1080" i="16"/>
  <c r="N1092" i="16"/>
  <c r="N165" i="16" s="1"/>
  <c r="N182" i="16" s="1"/>
  <c r="O1794" i="16"/>
  <c r="T1773" i="16"/>
  <c r="S1780" i="16"/>
  <c r="D1827" i="16"/>
  <c r="F1826" i="16" s="1"/>
  <c r="X601" i="20"/>
  <c r="X88" i="20" s="1"/>
  <c r="W88" i="20"/>
  <c r="N1847" i="16"/>
  <c r="N1848" i="16" s="1"/>
  <c r="F1866" i="16"/>
  <c r="K1867" i="16" s="1"/>
  <c r="K1839" i="16" s="1"/>
  <c r="K2218" i="16"/>
  <c r="L1860" i="16"/>
  <c r="L1861" i="16" s="1"/>
  <c r="Q1846" i="16"/>
  <c r="Q2216" i="16" s="1"/>
  <c r="P2216" i="16"/>
  <c r="O1853" i="16"/>
  <c r="P1853" i="16" s="1"/>
  <c r="Q1853" i="16" s="1"/>
  <c r="N2217" i="16"/>
  <c r="K1862" i="16"/>
  <c r="N1854" i="16"/>
  <c r="M1855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00" i="20"/>
  <c r="V199" i="20"/>
  <c r="V249" i="20" s="1"/>
  <c r="W1124" i="20"/>
  <c r="W1126" i="20" s="1"/>
  <c r="X1132" i="20"/>
  <c r="T175" i="10"/>
  <c r="T319" i="10" s="1"/>
  <c r="V1125" i="20"/>
  <c r="W825" i="20"/>
  <c r="V164" i="20"/>
  <c r="W826" i="20"/>
  <c r="W166" i="20" s="1"/>
  <c r="W1195" i="20" s="1"/>
  <c r="X824" i="20"/>
  <c r="W163" i="20"/>
  <c r="W646" i="20"/>
  <c r="W647" i="20" s="1"/>
  <c r="W113" i="20" s="1"/>
  <c r="W1194" i="20" s="1"/>
  <c r="V111" i="20"/>
  <c r="U255" i="20"/>
  <c r="U258" i="20" s="1"/>
  <c r="U236" i="10" s="1"/>
  <c r="U235" i="10" s="1"/>
  <c r="V202" i="20"/>
  <c r="V255" i="20" s="1"/>
  <c r="V258" i="20" s="1"/>
  <c r="V236" i="10" s="1"/>
  <c r="X1160" i="20"/>
  <c r="W1154" i="20"/>
  <c r="X1152" i="20"/>
  <c r="X1154" i="20" s="1"/>
  <c r="W1153" i="20"/>
  <c r="W1140" i="20"/>
  <c r="X1138" i="20"/>
  <c r="X1140" i="20" s="1"/>
  <c r="W1139" i="20"/>
  <c r="X1181" i="20"/>
  <c r="X1146" i="20"/>
  <c r="X1174" i="20"/>
  <c r="W1119" i="20"/>
  <c r="X1117" i="20"/>
  <c r="U227" i="11"/>
  <c r="U228" i="11" s="1"/>
  <c r="U247" i="11" s="1"/>
  <c r="U174" i="10" s="1"/>
  <c r="U318" i="10" s="1"/>
  <c r="U175" i="10"/>
  <c r="U319" i="10" s="1"/>
  <c r="W1118" i="20"/>
  <c r="W1045" i="20"/>
  <c r="V182" i="20"/>
  <c r="W2202" i="16"/>
  <c r="W1737" i="16"/>
  <c r="M2212" i="16"/>
  <c r="O1806" i="16"/>
  <c r="O2212" i="16" s="1"/>
  <c r="M1807" i="16"/>
  <c r="N1807" i="16" s="1"/>
  <c r="P1786" i="16"/>
  <c r="Q1786" i="16" s="1"/>
  <c r="N1813" i="16"/>
  <c r="O1813" i="16" s="1"/>
  <c r="P2209" i="16"/>
  <c r="Q2209" i="16"/>
  <c r="R1785" i="16"/>
  <c r="R2209" i="16" s="1"/>
  <c r="O1799" i="16"/>
  <c r="O2211" i="16" s="1"/>
  <c r="P1787" i="16"/>
  <c r="Q1787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2210" i="16"/>
  <c r="T2208" i="16"/>
  <c r="T1779" i="16"/>
  <c r="X787" i="16" l="1"/>
  <c r="W787" i="16"/>
  <c r="W193" i="10"/>
  <c r="W192" i="10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S1792" i="16"/>
  <c r="T1792" i="16" s="1"/>
  <c r="U1792" i="16" s="1"/>
  <c r="V1792" i="16" s="1"/>
  <c r="W1792" i="16" s="1"/>
  <c r="X1792" i="16" s="1"/>
  <c r="Q2210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52" i="20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L1827" i="16"/>
  <c r="M1827" i="16" s="1"/>
  <c r="V1759" i="16"/>
  <c r="U1766" i="16"/>
  <c r="L1867" i="16"/>
  <c r="L2219" i="16" s="1"/>
  <c r="P1794" i="16"/>
  <c r="T1780" i="16"/>
  <c r="V1068" i="16"/>
  <c r="M1808" i="16"/>
  <c r="N1808" i="16" s="1"/>
  <c r="U1773" i="16"/>
  <c r="V1773" i="16" s="1"/>
  <c r="W1773" i="16" s="1"/>
  <c r="W1738" i="16"/>
  <c r="O1847" i="16"/>
  <c r="O1848" i="16" s="1"/>
  <c r="K1868" i="16"/>
  <c r="K1869" i="16" s="1"/>
  <c r="K2219" i="16"/>
  <c r="M1860" i="16"/>
  <c r="N1860" i="16" s="1"/>
  <c r="O1860" i="16" s="1"/>
  <c r="O2218" i="16" s="1"/>
  <c r="L2218" i="16"/>
  <c r="R1846" i="16"/>
  <c r="O1854" i="16"/>
  <c r="P1854" i="16" s="1"/>
  <c r="Q1854" i="16" s="1"/>
  <c r="L1862" i="16"/>
  <c r="Q2217" i="16"/>
  <c r="P2217" i="16"/>
  <c r="N1855" i="16"/>
  <c r="R1853" i="16"/>
  <c r="O2217" i="16"/>
  <c r="W1056" i="16"/>
  <c r="V252" i="20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24" i="20"/>
  <c r="X1126" i="20" s="1"/>
  <c r="W1125" i="20"/>
  <c r="W200" i="20" s="1"/>
  <c r="V200" i="20"/>
  <c r="W199" i="20"/>
  <c r="W249" i="20" s="1"/>
  <c r="V1197" i="20"/>
  <c r="V1192" i="20" s="1"/>
  <c r="U379" i="10"/>
  <c r="U378" i="10" s="1"/>
  <c r="X826" i="20"/>
  <c r="X166" i="20" s="1"/>
  <c r="X1195" i="20" s="1"/>
  <c r="X163" i="20"/>
  <c r="X825" i="20"/>
  <c r="X164" i="20" s="1"/>
  <c r="W164" i="20"/>
  <c r="X646" i="20"/>
  <c r="X647" i="20" s="1"/>
  <c r="X113" i="20" s="1"/>
  <c r="X1194" i="20" s="1"/>
  <c r="W111" i="20"/>
  <c r="X1153" i="20"/>
  <c r="W202" i="20"/>
  <c r="W1197" i="20" s="1"/>
  <c r="W1192" i="20" s="1"/>
  <c r="X1139" i="20"/>
  <c r="V379" i="10"/>
  <c r="V378" i="10" s="1"/>
  <c r="V235" i="10"/>
  <c r="X1118" i="20"/>
  <c r="X1119" i="20"/>
  <c r="X1045" i="20"/>
  <c r="X182" i="20" s="1"/>
  <c r="W182" i="20"/>
  <c r="P1806" i="16"/>
  <c r="P2212" i="16" s="1"/>
  <c r="O1807" i="16"/>
  <c r="O1800" i="16"/>
  <c r="O1801" i="16" s="1"/>
  <c r="R1786" i="16"/>
  <c r="R1787" i="16" s="1"/>
  <c r="S1785" i="16"/>
  <c r="T1785" i="16" s="1"/>
  <c r="U1785" i="16" s="1"/>
  <c r="V1785" i="16" s="1"/>
  <c r="W1785" i="16" s="1"/>
  <c r="X1785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U1779" i="16"/>
  <c r="Q1793" i="16"/>
  <c r="X2206" i="16"/>
  <c r="M1814" i="16"/>
  <c r="M1815" i="16" s="1"/>
  <c r="K1828" i="16"/>
  <c r="K1829" i="16" s="1"/>
  <c r="K2215" i="16"/>
  <c r="K464" i="16"/>
  <c r="K798" i="16" s="1"/>
  <c r="W2206" i="16"/>
  <c r="M2214" i="16"/>
  <c r="N2213" i="16"/>
  <c r="M2213" i="16"/>
  <c r="U2208" i="16"/>
  <c r="L56" i="10" l="1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11" i="20"/>
  <c r="W1228" i="20" s="1" a="1"/>
  <c r="W1228" i="20" s="1"/>
  <c r="W1254" i="20" s="1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L2215" i="16"/>
  <c r="K26" i="18"/>
  <c r="K66" i="10" s="1"/>
  <c r="L1839" i="16"/>
  <c r="L464" i="16" s="1"/>
  <c r="M1867" i="16"/>
  <c r="M2219" i="16" s="1"/>
  <c r="L1869" i="16"/>
  <c r="L1841" i="16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P1848" i="16" s="1"/>
  <c r="K1840" i="16"/>
  <c r="K465" i="16" s="1"/>
  <c r="L1868" i="16"/>
  <c r="K1841" i="16"/>
  <c r="K466" i="16" s="1"/>
  <c r="K793" i="16" s="1"/>
  <c r="O1855" i="16"/>
  <c r="P1855" i="16" s="1"/>
  <c r="Q1855" i="16" s="1"/>
  <c r="M2218" i="16"/>
  <c r="M1861" i="16"/>
  <c r="N2218" i="16"/>
  <c r="R2216" i="16"/>
  <c r="S1846" i="16"/>
  <c r="P1860" i="16"/>
  <c r="P2218" i="16" s="1"/>
  <c r="R1854" i="16"/>
  <c r="S1853" i="16"/>
  <c r="R2217" i="16"/>
  <c r="X1056" i="16"/>
  <c r="W252" i="20"/>
  <c r="V227" i="11"/>
  <c r="V228" i="11" s="1"/>
  <c r="V247" i="11" s="1"/>
  <c r="V174" i="10" s="1"/>
  <c r="V318" i="10" s="1"/>
  <c r="V175" i="10"/>
  <c r="V319" i="10" s="1"/>
  <c r="N1109" i="16"/>
  <c r="N138" i="16" s="1"/>
  <c r="X1044" i="16"/>
  <c r="P1098" i="16"/>
  <c r="K151" i="10"/>
  <c r="T1085" i="16"/>
  <c r="Q1097" i="16"/>
  <c r="X1067" i="16"/>
  <c r="U1084" i="16"/>
  <c r="R1096" i="16"/>
  <c r="X1125" i="20"/>
  <c r="X202" i="20"/>
  <c r="X1197" i="20" s="1"/>
  <c r="X1192" i="20" s="1"/>
  <c r="X199" i="20"/>
  <c r="X249" i="20" s="1"/>
  <c r="W255" i="20"/>
  <c r="W258" i="20" s="1"/>
  <c r="W236" i="10" s="1"/>
  <c r="W379" i="10" s="1"/>
  <c r="W378" i="10" s="1"/>
  <c r="Q1806" i="16"/>
  <c r="Q2212" i="16" s="1"/>
  <c r="P1807" i="16"/>
  <c r="S1786" i="16"/>
  <c r="T1786" i="16" s="1"/>
  <c r="U1786" i="16" s="1"/>
  <c r="S2209" i="16"/>
  <c r="T2209" i="16"/>
  <c r="R1799" i="16"/>
  <c r="S1799" i="16" s="1"/>
  <c r="T1799" i="16" s="1"/>
  <c r="U1799" i="16" s="1"/>
  <c r="V1799" i="16" s="1"/>
  <c r="W1799" i="16" s="1"/>
  <c r="X1799" i="16" s="1"/>
  <c r="N1827" i="16"/>
  <c r="P1820" i="16"/>
  <c r="Q1820" i="16" s="1"/>
  <c r="P1800" i="16"/>
  <c r="Q1800" i="16" s="1"/>
  <c r="P2211" i="16"/>
  <c r="Q1813" i="16"/>
  <c r="R1793" i="16"/>
  <c r="S1793" i="16" s="1"/>
  <c r="U2209" i="16"/>
  <c r="R2210" i="16"/>
  <c r="S2210" i="16"/>
  <c r="O2214" i="16"/>
  <c r="L1828" i="16"/>
  <c r="N1814" i="16"/>
  <c r="N1815" i="16" s="1"/>
  <c r="L1829" i="16"/>
  <c r="N1821" i="16"/>
  <c r="O1821" i="16" s="1"/>
  <c r="N2214" i="16"/>
  <c r="K604" i="12"/>
  <c r="K612" i="12" s="1"/>
  <c r="K165" i="10"/>
  <c r="K815" i="16"/>
  <c r="Q2211" i="16"/>
  <c r="M2215" i="16"/>
  <c r="V2208" i="16"/>
  <c r="V1779" i="16"/>
  <c r="P58" i="10" l="1"/>
  <c r="P346" i="10" s="1"/>
  <c r="N167" i="16"/>
  <c r="N184" i="16" s="1"/>
  <c r="S1080" i="16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336" i="10" s="1"/>
  <c r="L48" i="10"/>
  <c r="M139" i="16"/>
  <c r="M161" i="16"/>
  <c r="K48" i="10"/>
  <c r="K337" i="10"/>
  <c r="K336" i="10" s="1"/>
  <c r="O1226" i="20" a="1"/>
  <c r="O1226" i="20" s="1"/>
  <c r="O1252" i="20" s="1"/>
  <c r="K1227" i="20" a="1"/>
  <c r="K1227" i="20" s="1"/>
  <c r="K1253" i="20" s="1"/>
  <c r="X1227" i="20" a="1"/>
  <c r="X1227" i="20" s="1"/>
  <c r="X1253" i="20" s="1"/>
  <c r="X1228" i="20" a="1"/>
  <c r="X1228" i="20" s="1"/>
  <c r="X1254" i="20" s="1"/>
  <c r="X1225" i="20" a="1"/>
  <c r="X1225" i="20" s="1"/>
  <c r="X1251" i="20" s="1"/>
  <c r="X1223" i="20" a="1"/>
  <c r="X1223" i="20" s="1"/>
  <c r="X1249" i="20" s="1"/>
  <c r="P129" i="25" s="1" a="1"/>
  <c r="P129" i="25" s="1"/>
  <c r="W1226" i="20" a="1"/>
  <c r="W1226" i="20" s="1"/>
  <c r="W1252" i="20" s="1"/>
  <c r="X1229" i="20" a="1"/>
  <c r="X1229" i="20" s="1"/>
  <c r="X1255" i="20" s="1"/>
  <c r="W1227" i="20" a="1"/>
  <c r="W1227" i="20" s="1"/>
  <c r="W1253" i="20" s="1"/>
  <c r="W1224" i="20" a="1"/>
  <c r="W1224" i="20" s="1"/>
  <c r="W1250" i="20" s="1"/>
  <c r="O211" i="25" s="1" a="1"/>
  <c r="O211" i="25" s="1"/>
  <c r="W1229" i="20" a="1"/>
  <c r="W1229" i="20" s="1"/>
  <c r="W1255" i="20" s="1"/>
  <c r="W1225" i="20" a="1"/>
  <c r="W1225" i="20" s="1"/>
  <c r="W1251" i="20" s="1"/>
  <c r="X1224" i="20" a="1"/>
  <c r="X1224" i="20" s="1"/>
  <c r="X1250" i="20" s="1"/>
  <c r="P211" i="25" s="1" a="1"/>
  <c r="P211" i="25" s="1"/>
  <c r="X1226" i="20" a="1"/>
  <c r="X1226" i="20" s="1"/>
  <c r="X1252" i="20" s="1"/>
  <c r="W1223" i="20" a="1"/>
  <c r="W1223" i="20" s="1"/>
  <c r="W1249" i="20" s="1"/>
  <c r="O129" i="25" s="1" a="1"/>
  <c r="O129" i="25" s="1"/>
  <c r="M1227" i="20" a="1"/>
  <c r="M1227" i="20" s="1"/>
  <c r="M1253" i="20" s="1"/>
  <c r="P1227" i="20" a="1"/>
  <c r="P1227" i="20" s="1"/>
  <c r="P1253" i="20" s="1"/>
  <c r="U1228" i="20" a="1"/>
  <c r="U1228" i="20" s="1"/>
  <c r="U1254" i="20" s="1"/>
  <c r="O1224" i="20" a="1"/>
  <c r="O1224" i="20" s="1"/>
  <c r="O1250" i="20" s="1"/>
  <c r="G211" i="25" s="1" a="1"/>
  <c r="G211" i="25" s="1"/>
  <c r="T1225" i="20" a="1"/>
  <c r="T1225" i="20" s="1"/>
  <c r="T1251" i="20" s="1"/>
  <c r="R1228" i="20" a="1"/>
  <c r="R1228" i="20" s="1"/>
  <c r="R1254" i="20" s="1"/>
  <c r="T1229" i="20" a="1"/>
  <c r="T1229" i="20" s="1"/>
  <c r="T1255" i="20" s="1"/>
  <c r="P1225" i="20" a="1"/>
  <c r="P1225" i="20" s="1"/>
  <c r="P1251" i="20" s="1"/>
  <c r="V1226" i="20" a="1"/>
  <c r="V1226" i="20" s="1"/>
  <c r="V1252" i="20" s="1"/>
  <c r="Q1226" i="20" a="1"/>
  <c r="Q1226" i="20" s="1"/>
  <c r="Q1252" i="20" s="1"/>
  <c r="Q1225" i="20" a="1"/>
  <c r="Q1225" i="20" s="1"/>
  <c r="Q1251" i="20" s="1"/>
  <c r="K1225" i="20" a="1"/>
  <c r="K1225" i="20" s="1"/>
  <c r="K1251" i="20" s="1"/>
  <c r="K1226" i="20" a="1"/>
  <c r="K1226" i="20" s="1"/>
  <c r="K1252" i="20" s="1"/>
  <c r="R1227" i="20" a="1"/>
  <c r="R1227" i="20" s="1"/>
  <c r="R1253" i="20" s="1"/>
  <c r="N1226" i="20" a="1"/>
  <c r="N1226" i="20" s="1"/>
  <c r="N1252" i="20" s="1"/>
  <c r="P1226" i="20" a="1"/>
  <c r="P1226" i="20" s="1"/>
  <c r="P1252" i="20" s="1"/>
  <c r="N1229" i="20" a="1"/>
  <c r="N1229" i="20" s="1"/>
  <c r="N1255" i="20" s="1"/>
  <c r="N1225" i="20" a="1"/>
  <c r="N1225" i="20" s="1"/>
  <c r="N1251" i="20" s="1"/>
  <c r="M1224" i="20" a="1"/>
  <c r="M1224" i="20" s="1"/>
  <c r="M1250" i="20" s="1"/>
  <c r="E211" i="25" s="1" a="1"/>
  <c r="E211" i="25" s="1"/>
  <c r="P1228" i="20" a="1"/>
  <c r="P1228" i="20" s="1"/>
  <c r="P1254" i="20" s="1"/>
  <c r="M1228" i="20" a="1"/>
  <c r="M1228" i="20" s="1"/>
  <c r="M1254" i="20" s="1"/>
  <c r="R1224" i="20" a="1"/>
  <c r="R1224" i="20" s="1"/>
  <c r="R1250" i="20" s="1"/>
  <c r="J211" i="25" s="1" a="1"/>
  <c r="J211" i="25" s="1"/>
  <c r="U1224" i="20" a="1"/>
  <c r="U1224" i="20" s="1"/>
  <c r="U1250" i="20" s="1"/>
  <c r="M211" i="25" s="1" a="1"/>
  <c r="M211" i="25" s="1"/>
  <c r="R1225" i="20" a="1"/>
  <c r="R1225" i="20" s="1"/>
  <c r="R1251" i="20" s="1"/>
  <c r="K1229" i="20" a="1"/>
  <c r="K1229" i="20" s="1"/>
  <c r="K1255" i="20" s="1"/>
  <c r="Q1224" i="20" a="1"/>
  <c r="Q1224" i="20" s="1"/>
  <c r="Q1250" i="20" s="1"/>
  <c r="I211" i="25" s="1" a="1"/>
  <c r="I211" i="25" s="1"/>
  <c r="S1226" i="20" a="1"/>
  <c r="S1226" i="20" s="1"/>
  <c r="S1252" i="20" s="1"/>
  <c r="L1224" i="20" a="1"/>
  <c r="L1224" i="20" s="1"/>
  <c r="L1250" i="20" s="1"/>
  <c r="D211" i="25" s="1" a="1"/>
  <c r="D211" i="25" s="1"/>
  <c r="L1226" i="20" a="1"/>
  <c r="L1226" i="20" s="1"/>
  <c r="L1252" i="20" s="1"/>
  <c r="P1224" i="20" a="1"/>
  <c r="P1224" i="20" s="1"/>
  <c r="P1250" i="20" s="1"/>
  <c r="H211" i="25" s="1" a="1"/>
  <c r="H211" i="25" s="1"/>
  <c r="L1228" i="20" a="1"/>
  <c r="L1228" i="20" s="1"/>
  <c r="L1254" i="20" s="1"/>
  <c r="T1226" i="20" a="1"/>
  <c r="T1226" i="20" s="1"/>
  <c r="T1252" i="20" s="1"/>
  <c r="S1224" i="20" a="1"/>
  <c r="S1224" i="20" s="1"/>
  <c r="S1250" i="20" s="1"/>
  <c r="K211" i="25" s="1" a="1"/>
  <c r="K211" i="25" s="1"/>
  <c r="M1225" i="20" a="1"/>
  <c r="M1225" i="20" s="1"/>
  <c r="M1251" i="20" s="1"/>
  <c r="S1225" i="20" a="1"/>
  <c r="S1225" i="20" s="1"/>
  <c r="S1251" i="20" s="1"/>
  <c r="L1227" i="20" a="1"/>
  <c r="L1227" i="20" s="1"/>
  <c r="L1253" i="20" s="1"/>
  <c r="O1227" i="20" a="1"/>
  <c r="O1227" i="20" s="1"/>
  <c r="O1253" i="20" s="1"/>
  <c r="K1224" i="20" a="1"/>
  <c r="K1224" i="20" s="1"/>
  <c r="K1250" i="20" s="1"/>
  <c r="C211" i="25" s="1" a="1"/>
  <c r="C211" i="25" s="1"/>
  <c r="T1228" i="20" a="1"/>
  <c r="T1228" i="20" s="1"/>
  <c r="T1254" i="20" s="1"/>
  <c r="N1224" i="20" a="1"/>
  <c r="N1224" i="20" s="1"/>
  <c r="N1250" i="20" s="1"/>
  <c r="F211" i="25" s="1" a="1"/>
  <c r="F211" i="25" s="1"/>
  <c r="L1225" i="20" a="1"/>
  <c r="L1225" i="20" s="1"/>
  <c r="L1251" i="20" s="1"/>
  <c r="P1229" i="20" a="1"/>
  <c r="P1229" i="20" s="1"/>
  <c r="P1255" i="20" s="1"/>
  <c r="R1226" i="20" a="1"/>
  <c r="R1226" i="20" s="1"/>
  <c r="R1252" i="20" s="1"/>
  <c r="M1229" i="20" a="1"/>
  <c r="M1229" i="20" s="1"/>
  <c r="M1255" i="20" s="1"/>
  <c r="T1224" i="20" a="1"/>
  <c r="T1224" i="20" s="1"/>
  <c r="T1250" i="20" s="1"/>
  <c r="L211" i="25" s="1" a="1"/>
  <c r="L211" i="25" s="1"/>
  <c r="O1225" i="20" a="1"/>
  <c r="O1225" i="20" s="1"/>
  <c r="O1251" i="20" s="1"/>
  <c r="N1228" i="20" a="1"/>
  <c r="N1228" i="20" s="1"/>
  <c r="N1254" i="20" s="1"/>
  <c r="O1229" i="20" a="1"/>
  <c r="O1229" i="20" s="1"/>
  <c r="O1255" i="20" s="1"/>
  <c r="V1228" i="20" a="1"/>
  <c r="V1228" i="20" s="1"/>
  <c r="V1254" i="20" s="1"/>
  <c r="M1226" i="20" a="1"/>
  <c r="M1226" i="20" s="1"/>
  <c r="M1252" i="20" s="1"/>
  <c r="L1229" i="20" a="1"/>
  <c r="L1229" i="20" s="1"/>
  <c r="L1255" i="20" s="1"/>
  <c r="S1229" i="20" a="1"/>
  <c r="S1229" i="20" s="1"/>
  <c r="S1255" i="20" s="1"/>
  <c r="R1229" i="20" a="1"/>
  <c r="R1229" i="20" s="1"/>
  <c r="R1255" i="20" s="1"/>
  <c r="Q1227" i="20" a="1"/>
  <c r="Q1227" i="20" s="1"/>
  <c r="Q1253" i="20" s="1"/>
  <c r="O1228" i="20" a="1"/>
  <c r="O1228" i="20" s="1"/>
  <c r="O1254" i="20" s="1"/>
  <c r="N1227" i="20" a="1"/>
  <c r="N1227" i="20" s="1"/>
  <c r="N1253" i="20" s="1"/>
  <c r="T1227" i="20" a="1"/>
  <c r="T1227" i="20" s="1"/>
  <c r="T1253" i="20" s="1"/>
  <c r="V1224" i="20" a="1"/>
  <c r="V1224" i="20" s="1"/>
  <c r="V1250" i="20" s="1"/>
  <c r="N211" i="25" s="1" a="1"/>
  <c r="N211" i="25" s="1"/>
  <c r="S1227" i="20" a="1"/>
  <c r="S1227" i="20" s="1"/>
  <c r="S1253" i="20" s="1"/>
  <c r="U1227" i="20" a="1"/>
  <c r="U1227" i="20" s="1"/>
  <c r="U1253" i="20" s="1"/>
  <c r="U1225" i="20" a="1"/>
  <c r="U1225" i="20" s="1"/>
  <c r="U1251" i="20" s="1"/>
  <c r="Q1228" i="20" a="1"/>
  <c r="Q1228" i="20" s="1"/>
  <c r="Q1254" i="20" s="1"/>
  <c r="Q1229" i="20" a="1"/>
  <c r="Q1229" i="20" s="1"/>
  <c r="Q1255" i="20" s="1"/>
  <c r="V1229" i="20" a="1"/>
  <c r="V1229" i="20" s="1"/>
  <c r="V1255" i="20" s="1"/>
  <c r="U1226" i="20" a="1"/>
  <c r="U1226" i="20" s="1"/>
  <c r="U1252" i="20" s="1"/>
  <c r="S1228" i="20" a="1"/>
  <c r="S1228" i="20" s="1"/>
  <c r="S1254" i="20" s="1"/>
  <c r="V1227" i="20" a="1"/>
  <c r="V1227" i="20" s="1"/>
  <c r="V1253" i="20" s="1"/>
  <c r="K1228" i="20" a="1"/>
  <c r="K1228" i="20" s="1"/>
  <c r="K1254" i="20" s="1"/>
  <c r="U1229" i="20" a="1"/>
  <c r="U1229" i="20" s="1"/>
  <c r="U1255" i="20" s="1"/>
  <c r="V1225" i="20" a="1"/>
  <c r="V1225" i="20" s="1"/>
  <c r="V1251" i="20" s="1"/>
  <c r="P1223" i="20" a="1"/>
  <c r="P1223" i="20" s="1"/>
  <c r="P1249" i="20" s="1"/>
  <c r="H129" i="25" s="1" a="1"/>
  <c r="H129" i="25" s="1"/>
  <c r="U1223" i="20" a="1"/>
  <c r="U1223" i="20" s="1"/>
  <c r="U1249" i="20" s="1"/>
  <c r="M129" i="25" s="1" a="1"/>
  <c r="M129" i="25" s="1"/>
  <c r="L1223" i="20" a="1"/>
  <c r="L1223" i="20" s="1"/>
  <c r="L1249" i="20" s="1"/>
  <c r="D129" i="25" s="1" a="1"/>
  <c r="D129" i="25" s="1"/>
  <c r="V1223" i="20" a="1"/>
  <c r="V1223" i="20" s="1"/>
  <c r="V1249" i="20" s="1"/>
  <c r="N129" i="25" s="1" a="1"/>
  <c r="N129" i="25" s="1"/>
  <c r="R1223" i="20" a="1"/>
  <c r="R1223" i="20" s="1"/>
  <c r="R1249" i="20" s="1"/>
  <c r="J129" i="25" s="1" a="1"/>
  <c r="J129" i="25" s="1"/>
  <c r="K1223" i="20" a="1"/>
  <c r="K1223" i="20" s="1"/>
  <c r="K1249" i="20" s="1"/>
  <c r="C129" i="25" s="1" a="1"/>
  <c r="C129" i="25" s="1"/>
  <c r="M1223" i="20" a="1"/>
  <c r="M1223" i="20" s="1"/>
  <c r="M1249" i="20" s="1"/>
  <c r="E129" i="25" s="1" a="1"/>
  <c r="E129" i="25" s="1"/>
  <c r="S1223" i="20" a="1"/>
  <c r="S1223" i="20" s="1"/>
  <c r="S1249" i="20" s="1"/>
  <c r="K129" i="25" s="1" a="1"/>
  <c r="K129" i="25" s="1"/>
  <c r="N1223" i="20" a="1"/>
  <c r="N1223" i="20" s="1"/>
  <c r="N1249" i="20" s="1"/>
  <c r="F129" i="25" s="1" a="1"/>
  <c r="F129" i="25" s="1"/>
  <c r="T1223" i="20" a="1"/>
  <c r="T1223" i="20" s="1"/>
  <c r="T1249" i="20" s="1"/>
  <c r="L129" i="25" s="1" a="1"/>
  <c r="L129" i="25" s="1"/>
  <c r="Q1223" i="20" a="1"/>
  <c r="Q1223" i="20" s="1"/>
  <c r="Q1249" i="20" s="1"/>
  <c r="I129" i="25" s="1" a="1"/>
  <c r="I129" i="25" s="1"/>
  <c r="O1223" i="20" a="1"/>
  <c r="O1223" i="20" s="1"/>
  <c r="O1249" i="20" s="1"/>
  <c r="G129" i="25" s="1" a="1"/>
  <c r="G129" i="25" s="1"/>
  <c r="K147" i="10"/>
  <c r="K47" i="18" s="1"/>
  <c r="V1102" i="16"/>
  <c r="W1102" i="16" s="1"/>
  <c r="X1102" i="16" s="1"/>
  <c r="T1103" i="16"/>
  <c r="U1103" i="16" s="1"/>
  <c r="X200" i="20"/>
  <c r="K145" i="10"/>
  <c r="K17" i="18" s="1"/>
  <c r="W1062" i="16"/>
  <c r="L798" i="16"/>
  <c r="L604" i="12" s="1"/>
  <c r="L612" i="12" s="1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N1867" i="16"/>
  <c r="O1867" i="16" s="1"/>
  <c r="P1867" i="16" s="1"/>
  <c r="P1839" i="16" s="1"/>
  <c r="M1839" i="16"/>
  <c r="M464" i="16" s="1"/>
  <c r="V1780" i="16"/>
  <c r="X1068" i="16"/>
  <c r="N1110" i="16"/>
  <c r="L466" i="16"/>
  <c r="L793" i="16" s="1"/>
  <c r="L201" i="10" s="1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Q1848" i="16" s="1"/>
  <c r="R1855" i="16"/>
  <c r="M1868" i="16"/>
  <c r="L1840" i="16"/>
  <c r="L465" i="16" s="1"/>
  <c r="M1862" i="16"/>
  <c r="N1861" i="16"/>
  <c r="O1861" i="16" s="1"/>
  <c r="Q1860" i="16"/>
  <c r="R1860" i="16" s="1"/>
  <c r="T1846" i="16"/>
  <c r="S2216" i="16"/>
  <c r="S2217" i="16"/>
  <c r="T1853" i="16"/>
  <c r="S1854" i="16"/>
  <c r="X252" i="20"/>
  <c r="W175" i="10"/>
  <c r="W319" i="10" s="1"/>
  <c r="W227" i="11"/>
  <c r="W228" i="11" s="1"/>
  <c r="W247" i="11" s="1"/>
  <c r="W174" i="10" s="1"/>
  <c r="W318" i="10" s="1"/>
  <c r="O1109" i="16"/>
  <c r="O138" i="16" s="1"/>
  <c r="Q1108" i="16"/>
  <c r="T1080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X255" i="20"/>
  <c r="X258" i="20" s="1"/>
  <c r="X236" i="10" s="1"/>
  <c r="X235" i="10" s="1"/>
  <c r="W235" i="10"/>
  <c r="R1806" i="16"/>
  <c r="S1806" i="16" s="1"/>
  <c r="Q1807" i="16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O1827" i="16"/>
  <c r="P1827" i="16" s="1"/>
  <c r="T1793" i="16"/>
  <c r="U1793" i="16" s="1"/>
  <c r="V1793" i="16" s="1"/>
  <c r="T2210" i="16"/>
  <c r="V2209" i="16"/>
  <c r="V1786" i="16"/>
  <c r="V2210" i="16"/>
  <c r="R2211" i="16"/>
  <c r="R1800" i="16"/>
  <c r="P1821" i="16"/>
  <c r="M1828" i="16"/>
  <c r="M1829" i="16" s="1"/>
  <c r="U2210" i="16"/>
  <c r="N2215" i="16"/>
  <c r="K790" i="16"/>
  <c r="K201" i="10"/>
  <c r="W2210" i="16"/>
  <c r="K309" i="10"/>
  <c r="K245" i="10"/>
  <c r="K164" i="10"/>
  <c r="O1814" i="16"/>
  <c r="O1815" i="16" s="1"/>
  <c r="O2213" i="16"/>
  <c r="W1779" i="16"/>
  <c r="W2208" i="16"/>
  <c r="M58" i="10" l="1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X1256" i="20"/>
  <c r="P70" i="25" s="1"/>
  <c r="P74" i="25" s="1"/>
  <c r="X261" i="10" s="1"/>
  <c r="X249" i="10" s="1"/>
  <c r="X392" i="10" s="1"/>
  <c r="W1256" i="20"/>
  <c r="O70" i="25" s="1"/>
  <c r="O74" i="25" s="1"/>
  <c r="W261" i="10" s="1"/>
  <c r="W256" i="10" s="1"/>
  <c r="M1256" i="20"/>
  <c r="E70" i="25" s="1"/>
  <c r="E74" i="25" s="1"/>
  <c r="M261" i="10" s="1"/>
  <c r="Q1256" i="20"/>
  <c r="I70" i="25" s="1"/>
  <c r="I74" i="25" s="1"/>
  <c r="Q261" i="10" s="1"/>
  <c r="L1256" i="20"/>
  <c r="D70" i="25" s="1"/>
  <c r="D74" i="25" s="1"/>
  <c r="L261" i="10" s="1"/>
  <c r="N1256" i="20"/>
  <c r="F70" i="25" s="1"/>
  <c r="F74" i="25" s="1"/>
  <c r="N261" i="10" s="1"/>
  <c r="K1256" i="20"/>
  <c r="C70" i="25" s="1"/>
  <c r="C74" i="25" s="1"/>
  <c r="K261" i="10" s="1"/>
  <c r="S1256" i="20"/>
  <c r="K70" i="25" s="1"/>
  <c r="K74" i="25" s="1"/>
  <c r="S261" i="10" s="1"/>
  <c r="P1256" i="20"/>
  <c r="H70" i="25" s="1"/>
  <c r="H74" i="25" s="1"/>
  <c r="P261" i="10" s="1"/>
  <c r="R1256" i="20"/>
  <c r="J70" i="25" s="1"/>
  <c r="J74" i="25" s="1"/>
  <c r="R261" i="10" s="1"/>
  <c r="O1256" i="20"/>
  <c r="G70" i="25" s="1"/>
  <c r="G74" i="25" s="1"/>
  <c r="O261" i="10" s="1"/>
  <c r="V1256" i="20"/>
  <c r="N70" i="25" s="1"/>
  <c r="N74" i="25" s="1"/>
  <c r="V261" i="10" s="1"/>
  <c r="T1256" i="20"/>
  <c r="L70" i="25" s="1"/>
  <c r="L74" i="25" s="1"/>
  <c r="T261" i="10" s="1"/>
  <c r="U1256" i="20"/>
  <c r="M70" i="25" s="1"/>
  <c r="M74" i="25" s="1"/>
  <c r="U261" i="10" s="1"/>
  <c r="V1103" i="16"/>
  <c r="W1103" i="16" s="1"/>
  <c r="X1103" i="16" s="1"/>
  <c r="P249" i="25"/>
  <c r="G249" i="25"/>
  <c r="L249" i="25"/>
  <c r="N249" i="25"/>
  <c r="C249" i="25"/>
  <c r="M249" i="25"/>
  <c r="I249" i="25"/>
  <c r="J249" i="25"/>
  <c r="K249" i="25"/>
  <c r="F249" i="25"/>
  <c r="D249" i="25"/>
  <c r="H249" i="25"/>
  <c r="E249" i="25"/>
  <c r="O249" i="25"/>
  <c r="L815" i="16"/>
  <c r="W1078" i="16"/>
  <c r="X1062" i="16"/>
  <c r="L165" i="10"/>
  <c r="M798" i="16"/>
  <c r="M604" i="12" s="1"/>
  <c r="M612" i="12" s="1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Q1867" i="16"/>
  <c r="Q2219" i="16" s="1"/>
  <c r="O2219" i="16"/>
  <c r="P2219" i="16"/>
  <c r="N1839" i="16"/>
  <c r="N464" i="16" s="1"/>
  <c r="N798" i="16" s="1"/>
  <c r="N2219" i="16"/>
  <c r="O1839" i="16"/>
  <c r="O464" i="16" s="1"/>
  <c r="O798" i="16" s="1"/>
  <c r="W1780" i="16"/>
  <c r="R1801" i="16"/>
  <c r="O1110" i="16"/>
  <c r="L790" i="16"/>
  <c r="Q1808" i="16"/>
  <c r="V1787" i="16"/>
  <c r="P1822" i="16"/>
  <c r="T1794" i="16"/>
  <c r="U1794" i="16" s="1"/>
  <c r="V1794" i="16" s="1"/>
  <c r="R1847" i="16"/>
  <c r="R1848" i="16" s="1"/>
  <c r="S1855" i="16"/>
  <c r="N1862" i="16"/>
  <c r="O1862" i="16" s="1"/>
  <c r="M1869" i="16"/>
  <c r="N1868" i="16"/>
  <c r="O1868" i="16" s="1"/>
  <c r="P1868" i="16" s="1"/>
  <c r="M1840" i="16"/>
  <c r="M465" i="16" s="1"/>
  <c r="Q2218" i="16"/>
  <c r="U1846" i="16"/>
  <c r="T2216" i="16"/>
  <c r="U1853" i="16"/>
  <c r="T2217" i="16"/>
  <c r="P1861" i="16"/>
  <c r="T1854" i="16"/>
  <c r="S1860" i="16"/>
  <c r="R2218" i="16"/>
  <c r="X227" i="11"/>
  <c r="X228" i="11" s="1"/>
  <c r="X247" i="11" s="1"/>
  <c r="X174" i="10" s="1"/>
  <c r="X318" i="10" s="1"/>
  <c r="X175" i="10"/>
  <c r="X319" i="10" s="1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X379" i="10"/>
  <c r="X378" i="10" s="1"/>
  <c r="R1807" i="16"/>
  <c r="S1807" i="16" s="1"/>
  <c r="R2212" i="16"/>
  <c r="Q1827" i="16"/>
  <c r="T1806" i="16"/>
  <c r="S2212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191" i="10" s="1"/>
  <c r="K345" i="10"/>
  <c r="K342" i="10" s="1"/>
  <c r="K341" i="10" s="1"/>
  <c r="K335" i="10" s="1"/>
  <c r="P2215" i="16"/>
  <c r="P464" i="16"/>
  <c r="P798" i="16" s="1"/>
  <c r="P2213" i="16"/>
  <c r="P1814" i="16"/>
  <c r="P1815" i="16" s="1"/>
  <c r="K173" i="10"/>
  <c r="K87" i="18"/>
  <c r="K69" i="18"/>
  <c r="O2215" i="16"/>
  <c r="N1828" i="16"/>
  <c r="N1829" i="16" s="1"/>
  <c r="L345" i="10"/>
  <c r="L198" i="10"/>
  <c r="L197" i="10" s="1"/>
  <c r="L191" i="10" s="1"/>
  <c r="K308" i="10"/>
  <c r="K317" i="10" s="1"/>
  <c r="K388" i="10"/>
  <c r="S2211" i="16"/>
  <c r="Q1821" i="16"/>
  <c r="X1779" i="16"/>
  <c r="X2208" i="16"/>
  <c r="Q58" i="10" l="1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342" i="10"/>
  <c r="L341" i="10" s="1"/>
  <c r="L335" i="10" s="1"/>
  <c r="L108" i="10"/>
  <c r="L396" i="10"/>
  <c r="L395" i="10" s="1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K123" i="10" s="1"/>
  <c r="K396" i="10"/>
  <c r="K395" i="10" s="1"/>
  <c r="W404" i="10"/>
  <c r="W399" i="10" s="1"/>
  <c r="W249" i="10"/>
  <c r="W392" i="10" s="1"/>
  <c r="K404" i="10"/>
  <c r="K399" i="10" s="1"/>
  <c r="K256" i="10"/>
  <c r="K249" i="10"/>
  <c r="K392" i="10" s="1"/>
  <c r="L256" i="10"/>
  <c r="L404" i="10"/>
  <c r="L399" i="10" s="1"/>
  <c r="L249" i="10"/>
  <c r="L392" i="10" s="1"/>
  <c r="R404" i="10"/>
  <c r="R399" i="10" s="1"/>
  <c r="R256" i="10"/>
  <c r="R249" i="10"/>
  <c r="R392" i="10" s="1"/>
  <c r="S404" i="10"/>
  <c r="S399" i="10" s="1"/>
  <c r="S256" i="10"/>
  <c r="S249" i="10"/>
  <c r="S392" i="10" s="1"/>
  <c r="U249" i="10"/>
  <c r="U392" i="10" s="1"/>
  <c r="U404" i="10"/>
  <c r="U399" i="10" s="1"/>
  <c r="U256" i="10"/>
  <c r="N404" i="10"/>
  <c r="N399" i="10" s="1"/>
  <c r="N249" i="10"/>
  <c r="N392" i="10" s="1"/>
  <c r="N256" i="10"/>
  <c r="P256" i="10"/>
  <c r="P249" i="10"/>
  <c r="P392" i="10" s="1"/>
  <c r="P404" i="10"/>
  <c r="P399" i="10" s="1"/>
  <c r="T256" i="10"/>
  <c r="T249" i="10"/>
  <c r="T392" i="10" s="1"/>
  <c r="T404" i="10"/>
  <c r="T399" i="10" s="1"/>
  <c r="V249" i="10"/>
  <c r="V392" i="10" s="1"/>
  <c r="V404" i="10"/>
  <c r="V399" i="10" s="1"/>
  <c r="V256" i="10"/>
  <c r="Q404" i="10"/>
  <c r="Q399" i="10" s="1"/>
  <c r="Q249" i="10"/>
  <c r="Q392" i="10" s="1"/>
  <c r="Q256" i="10"/>
  <c r="O256" i="10"/>
  <c r="O249" i="10"/>
  <c r="O392" i="10" s="1"/>
  <c r="O404" i="10"/>
  <c r="O399" i="10" s="1"/>
  <c r="M404" i="10"/>
  <c r="M399" i="10" s="1"/>
  <c r="M249" i="10"/>
  <c r="M392" i="10" s="1"/>
  <c r="M256" i="10"/>
  <c r="L164" i="10"/>
  <c r="L69" i="18" s="1"/>
  <c r="L102" i="18" s="1"/>
  <c r="L309" i="10"/>
  <c r="L308" i="10" s="1"/>
  <c r="L317" i="10" s="1"/>
  <c r="L416" i="10" s="1"/>
  <c r="L245" i="10"/>
  <c r="M19" i="18"/>
  <c r="M24" i="18" s="1"/>
  <c r="M21" i="18" s="1"/>
  <c r="M815" i="16"/>
  <c r="N815" i="16" s="1"/>
  <c r="O815" i="16" s="1"/>
  <c r="P815" i="16" s="1"/>
  <c r="M165" i="10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R1867" i="16"/>
  <c r="R1839" i="16" s="1"/>
  <c r="Q1839" i="16"/>
  <c r="Q464" i="16" s="1"/>
  <c r="Q798" i="16" s="1"/>
  <c r="N604" i="12"/>
  <c r="N612" i="12" s="1"/>
  <c r="Q1868" i="16"/>
  <c r="N165" i="10"/>
  <c r="X1780" i="16"/>
  <c r="S1801" i="16"/>
  <c r="P1110" i="16"/>
  <c r="Q1822" i="16"/>
  <c r="W1787" i="16"/>
  <c r="W1794" i="16"/>
  <c r="R1808" i="16"/>
  <c r="S1808" i="16" s="1"/>
  <c r="S1847" i="16"/>
  <c r="S1848" i="16" s="1"/>
  <c r="T1855" i="16"/>
  <c r="P1862" i="16"/>
  <c r="N1869" i="16"/>
  <c r="N1840" i="16"/>
  <c r="N465" i="16" s="1"/>
  <c r="O1840" i="16"/>
  <c r="M1841" i="16"/>
  <c r="M466" i="16" s="1"/>
  <c r="M793" i="16" s="1"/>
  <c r="U1854" i="16"/>
  <c r="V1846" i="16"/>
  <c r="V2216" i="16" s="1"/>
  <c r="U2216" i="16"/>
  <c r="T1860" i="16"/>
  <c r="S2218" i="16"/>
  <c r="Q1861" i="16"/>
  <c r="P1840" i="16"/>
  <c r="V1853" i="16"/>
  <c r="U2217" i="16"/>
  <c r="X404" i="10"/>
  <c r="X399" i="10" s="1"/>
  <c r="X256" i="10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T2212" i="16"/>
  <c r="U1806" i="16"/>
  <c r="T1807" i="16"/>
  <c r="X2210" i="16"/>
  <c r="X1793" i="16"/>
  <c r="X1786" i="16"/>
  <c r="X2209" i="16"/>
  <c r="T2211" i="16"/>
  <c r="R1821" i="16"/>
  <c r="S1821" i="16" s="1"/>
  <c r="K120" i="18"/>
  <c r="K84" i="18"/>
  <c r="K89" i="18" s="1"/>
  <c r="T1800" i="16"/>
  <c r="R2213" i="16"/>
  <c r="S2214" i="16"/>
  <c r="K416" i="10"/>
  <c r="K321" i="10"/>
  <c r="R2214" i="16"/>
  <c r="K274" i="10"/>
  <c r="K177" i="10"/>
  <c r="P165" i="10"/>
  <c r="P604" i="12"/>
  <c r="P612" i="12" s="1"/>
  <c r="O604" i="12"/>
  <c r="O612" i="12" s="1"/>
  <c r="O165" i="10"/>
  <c r="K66" i="18"/>
  <c r="K71" i="18" s="1"/>
  <c r="K102" i="18"/>
  <c r="O1828" i="16"/>
  <c r="O1829" i="16" s="1"/>
  <c r="Q1814" i="16"/>
  <c r="R1814" i="16" s="1"/>
  <c r="Q2215" i="16"/>
  <c r="Q2213" i="16"/>
  <c r="L102" i="10" l="1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336" i="10" s="1"/>
  <c r="M48" i="10"/>
  <c r="N175" i="16"/>
  <c r="O158" i="16"/>
  <c r="O176" i="16"/>
  <c r="O49" i="10" s="1"/>
  <c r="L66" i="18"/>
  <c r="L71" i="18" s="1"/>
  <c r="L99" i="18" s="1"/>
  <c r="L87" i="18"/>
  <c r="L84" i="18" s="1"/>
  <c r="L89" i="18" s="1"/>
  <c r="L173" i="10"/>
  <c r="L274" i="10" s="1"/>
  <c r="M245" i="10"/>
  <c r="K70" i="10"/>
  <c r="L122" i="10"/>
  <c r="L388" i="10"/>
  <c r="M16" i="18"/>
  <c r="M26" i="18" s="1"/>
  <c r="M66" i="10" s="1"/>
  <c r="L321" i="10"/>
  <c r="L437" i="10" s="1"/>
  <c r="M309" i="10"/>
  <c r="M388" i="10" s="1"/>
  <c r="M130" i="10"/>
  <c r="M164" i="10"/>
  <c r="M173" i="10" s="1"/>
  <c r="M177" i="10" s="1"/>
  <c r="M295" i="10" s="1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R2219" i="16"/>
  <c r="S1867" i="16"/>
  <c r="S2219" i="16" s="1"/>
  <c r="R1868" i="16"/>
  <c r="N164" i="10"/>
  <c r="N87" i="18" s="1"/>
  <c r="N245" i="10"/>
  <c r="N309" i="10"/>
  <c r="N308" i="10" s="1"/>
  <c r="N317" i="10" s="1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T1848" i="16" s="1"/>
  <c r="U1855" i="16"/>
  <c r="Q1862" i="16"/>
  <c r="V1854" i="16"/>
  <c r="M201" i="10"/>
  <c r="M790" i="16"/>
  <c r="O1869" i="16"/>
  <c r="N1841" i="16"/>
  <c r="N466" i="16" s="1"/>
  <c r="N793" i="16" s="1"/>
  <c r="W1846" i="16"/>
  <c r="W2216" i="16" s="1"/>
  <c r="U1860" i="16"/>
  <c r="T2218" i="16"/>
  <c r="R1861" i="16"/>
  <c r="Q1840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U1807" i="16"/>
  <c r="V1806" i="16"/>
  <c r="U2212" i="16"/>
  <c r="T1821" i="16"/>
  <c r="S2213" i="16"/>
  <c r="S1814" i="16"/>
  <c r="T1814" i="16" s="1"/>
  <c r="K181" i="10"/>
  <c r="K183" i="10" s="1"/>
  <c r="K184" i="10" s="1"/>
  <c r="K186" i="10" s="1"/>
  <c r="K295" i="10"/>
  <c r="T2214" i="16"/>
  <c r="R2215" i="16"/>
  <c r="R464" i="16"/>
  <c r="R798" i="16" s="1"/>
  <c r="P245" i="10"/>
  <c r="P309" i="10"/>
  <c r="P164" i="10"/>
  <c r="K210" i="10"/>
  <c r="K92" i="18"/>
  <c r="K99" i="18"/>
  <c r="Q165" i="10"/>
  <c r="Q604" i="12"/>
  <c r="Q612" i="12" s="1"/>
  <c r="U1800" i="16"/>
  <c r="U2211" i="16"/>
  <c r="O309" i="10"/>
  <c r="O245" i="10"/>
  <c r="O164" i="10"/>
  <c r="K325" i="10"/>
  <c r="K327" i="10" s="1"/>
  <c r="K328" i="10" s="1"/>
  <c r="K330" i="10" s="1"/>
  <c r="K437" i="10"/>
  <c r="T2213" i="16"/>
  <c r="P1828" i="16"/>
  <c r="P1829" i="16" s="1"/>
  <c r="O465" i="16"/>
  <c r="K232" i="10"/>
  <c r="K117" i="18"/>
  <c r="Q815" i="16"/>
  <c r="N46" i="18" l="1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N337" i="10"/>
  <c r="N336" i="10" s="1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L210" i="10"/>
  <c r="L289" i="10" s="1"/>
  <c r="L92" i="18"/>
  <c r="L93" i="18" s="1"/>
  <c r="L232" i="10"/>
  <c r="L291" i="10" s="1"/>
  <c r="L120" i="18"/>
  <c r="L117" i="18"/>
  <c r="L122" i="18" s="1"/>
  <c r="L375" i="10" s="1"/>
  <c r="L177" i="10"/>
  <c r="L295" i="10" s="1"/>
  <c r="L27" i="22"/>
  <c r="L29" i="22" s="1"/>
  <c r="L105" i="11" s="1"/>
  <c r="L110" i="11" s="1"/>
  <c r="L121" i="11" s="1"/>
  <c r="K69" i="10"/>
  <c r="L79" i="22"/>
  <c r="L81" i="22" s="1"/>
  <c r="L78" i="10" s="1"/>
  <c r="M145" i="10"/>
  <c r="M17" i="18" s="1"/>
  <c r="M59" i="18"/>
  <c r="M60" i="18" s="1"/>
  <c r="M87" i="18"/>
  <c r="M120" i="18" s="1"/>
  <c r="M308" i="10"/>
  <c r="M317" i="10" s="1"/>
  <c r="M416" i="10" s="1"/>
  <c r="M274" i="10"/>
  <c r="M69" i="18"/>
  <c r="M66" i="18" s="1"/>
  <c r="M71" i="18" s="1"/>
  <c r="M210" i="10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N173" i="10"/>
  <c r="N177" i="10" s="1"/>
  <c r="N295" i="10" s="1"/>
  <c r="N69" i="18"/>
  <c r="N102" i="18" s="1"/>
  <c r="N388" i="10"/>
  <c r="S1868" i="16"/>
  <c r="S1839" i="16"/>
  <c r="S464" i="16" s="1"/>
  <c r="S798" i="16" s="1"/>
  <c r="T1867" i="16"/>
  <c r="T1839" i="16" s="1"/>
  <c r="T464" i="16" s="1"/>
  <c r="T798" i="16" s="1"/>
  <c r="U1801" i="16"/>
  <c r="R1110" i="16"/>
  <c r="U1808" i="16"/>
  <c r="T1822" i="16"/>
  <c r="S1815" i="16"/>
  <c r="T1815" i="16" s="1"/>
  <c r="U1847" i="16"/>
  <c r="V1847" i="16" s="1"/>
  <c r="V1855" i="16"/>
  <c r="R1862" i="16"/>
  <c r="N790" i="16"/>
  <c r="N201" i="10"/>
  <c r="M198" i="10"/>
  <c r="M197" i="10" s="1"/>
  <c r="M191" i="10" s="1"/>
  <c r="M345" i="10"/>
  <c r="M342" i="10" s="1"/>
  <c r="M341" i="10" s="1"/>
  <c r="M335" i="10" s="1"/>
  <c r="P1869" i="16"/>
  <c r="O1841" i="16"/>
  <c r="O466" i="16" s="1"/>
  <c r="O793" i="16" s="1"/>
  <c r="X1846" i="16"/>
  <c r="X2216" i="16" s="1"/>
  <c r="S1861" i="16"/>
  <c r="R1840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V1807" i="16"/>
  <c r="U1821" i="16"/>
  <c r="U1814" i="16"/>
  <c r="V1814" i="16" s="1"/>
  <c r="W1814" i="16" s="1"/>
  <c r="X1814" i="16" s="1"/>
  <c r="U2213" i="16"/>
  <c r="R815" i="16"/>
  <c r="V1800" i="16"/>
  <c r="W1800" i="16" s="1"/>
  <c r="V2211" i="16"/>
  <c r="X2211" i="16"/>
  <c r="W2211" i="16"/>
  <c r="T2215" i="16"/>
  <c r="K244" i="10"/>
  <c r="K275" i="10"/>
  <c r="K282" i="10"/>
  <c r="K225" i="10"/>
  <c r="V2213" i="16"/>
  <c r="O69" i="18"/>
  <c r="O173" i="10"/>
  <c r="O87" i="18"/>
  <c r="N321" i="10"/>
  <c r="N437" i="10" s="1"/>
  <c r="N416" i="10"/>
  <c r="K289" i="10"/>
  <c r="K246" i="10"/>
  <c r="N84" i="18"/>
  <c r="N89" i="18" s="1"/>
  <c r="N120" i="18"/>
  <c r="K100" i="18"/>
  <c r="K104" i="18"/>
  <c r="K118" i="18"/>
  <c r="K122" i="18"/>
  <c r="K375" i="10" s="1"/>
  <c r="P173" i="10"/>
  <c r="P69" i="18"/>
  <c r="P87" i="18"/>
  <c r="S2215" i="16"/>
  <c r="K387" i="10"/>
  <c r="K491" i="10"/>
  <c r="L494" i="10" s="1"/>
  <c r="L367" i="10" s="1"/>
  <c r="K417" i="10"/>
  <c r="K368" i="10"/>
  <c r="K364" i="10" s="1"/>
  <c r="K422" i="10" s="1"/>
  <c r="K424" i="10"/>
  <c r="K93" i="18"/>
  <c r="L104" i="18"/>
  <c r="L100" i="18"/>
  <c r="W2213" i="16"/>
  <c r="K291" i="10"/>
  <c r="K231" i="10"/>
  <c r="Q245" i="10"/>
  <c r="Q309" i="10"/>
  <c r="Q164" i="10"/>
  <c r="O388" i="10"/>
  <c r="O308" i="10"/>
  <c r="O317" i="10" s="1"/>
  <c r="U2214" i="16"/>
  <c r="P388" i="10"/>
  <c r="P308" i="10"/>
  <c r="P317" i="10" s="1"/>
  <c r="R604" i="12"/>
  <c r="R612" i="12" s="1"/>
  <c r="R165" i="10"/>
  <c r="Q1828" i="16"/>
  <c r="Q1829" i="16" s="1"/>
  <c r="P465" i="16"/>
  <c r="X2213" i="16"/>
  <c r="N109" i="10" l="1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L34" i="10"/>
  <c r="L37" i="10" s="1"/>
  <c r="L39" i="10" s="1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O337" i="10"/>
  <c r="O336" i="10" s="1"/>
  <c r="M396" i="10"/>
  <c r="M395" i="10" s="1"/>
  <c r="M108" i="10"/>
  <c r="Q158" i="16"/>
  <c r="Q176" i="16"/>
  <c r="Q49" i="10" s="1"/>
  <c r="N47" i="10"/>
  <c r="D620" i="25"/>
  <c r="C620" i="25"/>
  <c r="L246" i="10"/>
  <c r="L118" i="18"/>
  <c r="L231" i="10"/>
  <c r="L248" i="10" s="1"/>
  <c r="L222" i="10"/>
  <c r="M81" i="22"/>
  <c r="M78" i="10" s="1"/>
  <c r="K65" i="10"/>
  <c r="K124" i="10"/>
  <c r="K125" i="10"/>
  <c r="N145" i="10"/>
  <c r="N17" i="18" s="1"/>
  <c r="M84" i="18"/>
  <c r="M89" i="18" s="1"/>
  <c r="M232" i="10" s="1"/>
  <c r="M291" i="10" s="1"/>
  <c r="M99" i="18"/>
  <c r="M104" i="18" s="1"/>
  <c r="M102" i="18"/>
  <c r="M321" i="10"/>
  <c r="M437" i="10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N66" i="18"/>
  <c r="N71" i="18" s="1"/>
  <c r="N99" i="18" s="1"/>
  <c r="N274" i="10"/>
  <c r="T2219" i="16"/>
  <c r="U1867" i="16"/>
  <c r="U2219" i="16" s="1"/>
  <c r="T1868" i="16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N345" i="10"/>
  <c r="N342" i="10" s="1"/>
  <c r="N341" i="10" s="1"/>
  <c r="N335" i="10" s="1"/>
  <c r="N198" i="10"/>
  <c r="N197" i="10" s="1"/>
  <c r="N191" i="10" s="1"/>
  <c r="O201" i="10"/>
  <c r="O790" i="16"/>
  <c r="W1860" i="16"/>
  <c r="V2218" i="16"/>
  <c r="T1861" i="16"/>
  <c r="S1840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S815" i="16"/>
  <c r="T815" i="16" s="1"/>
  <c r="X1800" i="16"/>
  <c r="W2215" i="16"/>
  <c r="V2215" i="16"/>
  <c r="R309" i="10"/>
  <c r="R245" i="10"/>
  <c r="R164" i="10"/>
  <c r="Q388" i="10"/>
  <c r="Q308" i="10"/>
  <c r="Q317" i="10" s="1"/>
  <c r="S165" i="10"/>
  <c r="S604" i="12"/>
  <c r="S612" i="12" s="1"/>
  <c r="L433" i="10"/>
  <c r="L374" i="10"/>
  <c r="W2214" i="16"/>
  <c r="V2214" i="16"/>
  <c r="Q87" i="18"/>
  <c r="Q69" i="18"/>
  <c r="Q173" i="10"/>
  <c r="K220" i="10"/>
  <c r="L85" i="22"/>
  <c r="L87" i="22" s="1"/>
  <c r="L224" i="10" s="1"/>
  <c r="O321" i="10"/>
  <c r="O437" i="10" s="1"/>
  <c r="O416" i="10"/>
  <c r="P84" i="18"/>
  <c r="P89" i="18" s="1"/>
  <c r="P120" i="18"/>
  <c r="O120" i="18"/>
  <c r="O84" i="18"/>
  <c r="O89" i="18" s="1"/>
  <c r="P416" i="10"/>
  <c r="P321" i="10"/>
  <c r="P437" i="10" s="1"/>
  <c r="K248" i="10"/>
  <c r="K243" i="10" s="1"/>
  <c r="K265" i="10" s="1"/>
  <c r="K267" i="10" s="1"/>
  <c r="K226" i="10"/>
  <c r="P102" i="18"/>
  <c r="P66" i="18"/>
  <c r="P71" i="18" s="1"/>
  <c r="O177" i="10"/>
  <c r="O295" i="10" s="1"/>
  <c r="O274" i="10"/>
  <c r="P274" i="10"/>
  <c r="P177" i="10"/>
  <c r="P295" i="10" s="1"/>
  <c r="N232" i="10"/>
  <c r="N117" i="18"/>
  <c r="O102" i="18"/>
  <c r="O66" i="18"/>
  <c r="O71" i="18" s="1"/>
  <c r="R1828" i="16"/>
  <c r="R1829" i="16" s="1"/>
  <c r="Q465" i="16"/>
  <c r="K433" i="10"/>
  <c r="K374" i="10"/>
  <c r="U2215" i="16"/>
  <c r="M246" i="10"/>
  <c r="M289" i="10"/>
  <c r="T165" i="10"/>
  <c r="T604" i="12"/>
  <c r="T612" i="12" s="1"/>
  <c r="L125" i="18"/>
  <c r="L354" i="10"/>
  <c r="L431" i="10" s="1"/>
  <c r="K354" i="10"/>
  <c r="K125" i="18"/>
  <c r="N396" i="10" l="1"/>
  <c r="N395" i="10" s="1"/>
  <c r="O109" i="10"/>
  <c r="O396" i="10" s="1"/>
  <c r="O395" i="10" s="1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L40" i="10"/>
  <c r="L42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P337" i="10"/>
  <c r="P336" i="10" s="1"/>
  <c r="S139" i="16"/>
  <c r="S161" i="16"/>
  <c r="S178" i="16" s="1"/>
  <c r="S159" i="16"/>
  <c r="S160" i="16"/>
  <c r="S177" i="16" s="1"/>
  <c r="R158" i="16"/>
  <c r="R176" i="16"/>
  <c r="R49" i="10" s="1"/>
  <c r="L226" i="10"/>
  <c r="K73" i="10"/>
  <c r="K142" i="10"/>
  <c r="K141" i="10"/>
  <c r="M222" i="10"/>
  <c r="N81" i="22"/>
  <c r="N78" i="10" s="1"/>
  <c r="O145" i="10"/>
  <c r="O17" i="18" s="1"/>
  <c r="M231" i="10"/>
  <c r="M248" i="10" s="1"/>
  <c r="M117" i="18"/>
  <c r="M122" i="18" s="1"/>
  <c r="M375" i="10" s="1"/>
  <c r="M433" i="10" s="1"/>
  <c r="M92" i="18"/>
  <c r="M93" i="18" s="1"/>
  <c r="M100" i="18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N92" i="18"/>
  <c r="N210" i="10"/>
  <c r="N289" i="10" s="1"/>
  <c r="V1867" i="16"/>
  <c r="V2219" i="16" s="1"/>
  <c r="U1839" i="16"/>
  <c r="U464" i="16" s="1"/>
  <c r="U1868" i="16"/>
  <c r="W1808" i="16"/>
  <c r="V1822" i="16"/>
  <c r="T1110" i="16"/>
  <c r="X1855" i="16"/>
  <c r="X1801" i="16"/>
  <c r="W1848" i="16"/>
  <c r="T1862" i="16"/>
  <c r="O345" i="10"/>
  <c r="O342" i="10" s="1"/>
  <c r="O341" i="10" s="1"/>
  <c r="O335" i="10" s="1"/>
  <c r="O198" i="10"/>
  <c r="O197" i="10" s="1"/>
  <c r="O191" i="10" s="1"/>
  <c r="R1869" i="16"/>
  <c r="Q1841" i="16"/>
  <c r="Q466" i="16" s="1"/>
  <c r="Q793" i="16" s="1"/>
  <c r="P790" i="16"/>
  <c r="P201" i="10"/>
  <c r="X1847" i="16"/>
  <c r="U1861" i="16"/>
  <c r="T1840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K391" i="10"/>
  <c r="K369" i="10"/>
  <c r="O92" i="18"/>
  <c r="O210" i="10"/>
  <c r="O99" i="18"/>
  <c r="S309" i="10"/>
  <c r="S164" i="10"/>
  <c r="S245" i="10"/>
  <c r="N104" i="18"/>
  <c r="N100" i="18"/>
  <c r="L369" i="10"/>
  <c r="L391" i="10"/>
  <c r="Q416" i="10"/>
  <c r="Q321" i="10"/>
  <c r="Q437" i="10" s="1"/>
  <c r="W1821" i="16"/>
  <c r="L266" i="10"/>
  <c r="K214" i="10"/>
  <c r="N118" i="18"/>
  <c r="N122" i="18"/>
  <c r="N375" i="10" s="1"/>
  <c r="K280" i="10"/>
  <c r="K431" i="10"/>
  <c r="L389" i="10"/>
  <c r="K389" i="10"/>
  <c r="T245" i="10"/>
  <c r="T164" i="10"/>
  <c r="P117" i="18"/>
  <c r="P232" i="10"/>
  <c r="N231" i="10"/>
  <c r="N291" i="10"/>
  <c r="P99" i="18"/>
  <c r="P210" i="10"/>
  <c r="P92" i="18"/>
  <c r="O117" i="18"/>
  <c r="O232" i="10"/>
  <c r="Q274" i="10"/>
  <c r="Q177" i="10"/>
  <c r="Q295" i="10" s="1"/>
  <c r="R87" i="18"/>
  <c r="R69" i="18"/>
  <c r="R173" i="10"/>
  <c r="M354" i="10"/>
  <c r="Q66" i="18"/>
  <c r="Q71" i="18" s="1"/>
  <c r="Q102" i="18"/>
  <c r="K126" i="18"/>
  <c r="L126" i="18"/>
  <c r="S1828" i="16"/>
  <c r="S1829" i="16" s="1"/>
  <c r="R465" i="16"/>
  <c r="K238" i="10"/>
  <c r="K281" i="10" s="1"/>
  <c r="K294" i="10"/>
  <c r="Q120" i="18"/>
  <c r="Q84" i="18"/>
  <c r="Q89" i="18" s="1"/>
  <c r="R308" i="10"/>
  <c r="R317" i="10" s="1"/>
  <c r="R388" i="10"/>
  <c r="W58" i="10" l="1"/>
  <c r="W346" i="10" s="1"/>
  <c r="X58" i="10"/>
  <c r="X346" i="10" s="1"/>
  <c r="O108" i="10"/>
  <c r="P109" i="10"/>
  <c r="R102" i="10"/>
  <c r="P82" i="10"/>
  <c r="P104" i="10"/>
  <c r="L81" i="10"/>
  <c r="L100" i="10"/>
  <c r="L99" i="10" s="1"/>
  <c r="L121" i="10" s="1"/>
  <c r="L123" i="10" s="1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L131" i="10"/>
  <c r="L138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Q337" i="10"/>
  <c r="Q336" i="10" s="1"/>
  <c r="T139" i="16"/>
  <c r="T161" i="16"/>
  <c r="T178" i="16" s="1"/>
  <c r="T159" i="16"/>
  <c r="T160" i="16"/>
  <c r="T177" i="16" s="1"/>
  <c r="S158" i="16"/>
  <c r="S176" i="16"/>
  <c r="S49" i="10" s="1"/>
  <c r="E620" i="25"/>
  <c r="N222" i="10"/>
  <c r="O81" i="22"/>
  <c r="O78" i="10" s="1"/>
  <c r="K96" i="10"/>
  <c r="K132" i="10"/>
  <c r="K95" i="10"/>
  <c r="R46" i="18"/>
  <c r="R56" i="18" s="1"/>
  <c r="M374" i="10"/>
  <c r="M391" i="10" s="1"/>
  <c r="N93" i="18"/>
  <c r="M226" i="10"/>
  <c r="M118" i="18"/>
  <c r="M125" i="18"/>
  <c r="M12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U798" i="16"/>
  <c r="U165" i="10" s="1"/>
  <c r="T20" i="10"/>
  <c r="T29" i="10" s="1"/>
  <c r="T33" i="10" s="1"/>
  <c r="T309" i="10"/>
  <c r="T308" i="10" s="1"/>
  <c r="T317" i="10" s="1"/>
  <c r="Q59" i="18"/>
  <c r="Q60" i="18" s="1"/>
  <c r="V1109" i="16"/>
  <c r="U188" i="16"/>
  <c r="U21" i="10" s="1"/>
  <c r="U101" i="10" s="1"/>
  <c r="Q147" i="10"/>
  <c r="Q47" i="18" s="1"/>
  <c r="Q87" i="10"/>
  <c r="N246" i="10"/>
  <c r="O93" i="18"/>
  <c r="V1839" i="16"/>
  <c r="V464" i="16" s="1"/>
  <c r="W1867" i="16"/>
  <c r="W1839" i="16" s="1"/>
  <c r="W464" i="16" s="1"/>
  <c r="V1868" i="16"/>
  <c r="X1808" i="16"/>
  <c r="W1822" i="16"/>
  <c r="U1110" i="16"/>
  <c r="X1848" i="16"/>
  <c r="U1862" i="16"/>
  <c r="P345" i="10"/>
  <c r="P342" i="10" s="1"/>
  <c r="P341" i="10" s="1"/>
  <c r="P335" i="10" s="1"/>
  <c r="P198" i="10"/>
  <c r="P197" i="10" s="1"/>
  <c r="P191" i="10" s="1"/>
  <c r="Q790" i="16"/>
  <c r="Q201" i="10"/>
  <c r="S1869" i="16"/>
  <c r="R1841" i="16"/>
  <c r="R466" i="16" s="1"/>
  <c r="R793" i="16" s="1"/>
  <c r="V1861" i="16"/>
  <c r="U1840" i="16"/>
  <c r="X2218" i="16"/>
  <c r="X1108" i="16"/>
  <c r="X1098" i="16"/>
  <c r="X1821" i="16"/>
  <c r="K386" i="10"/>
  <c r="K407" i="10" s="1"/>
  <c r="K409" i="10" s="1"/>
  <c r="K358" i="10" s="1"/>
  <c r="K357" i="10" s="1"/>
  <c r="K353" i="10" s="1"/>
  <c r="M431" i="10"/>
  <c r="M389" i="10"/>
  <c r="N433" i="10"/>
  <c r="N374" i="10"/>
  <c r="O104" i="18"/>
  <c r="O100" i="18"/>
  <c r="O289" i="10"/>
  <c r="P246" i="10"/>
  <c r="Q117" i="18"/>
  <c r="Q232" i="10"/>
  <c r="R66" i="18"/>
  <c r="R71" i="18" s="1"/>
  <c r="R102" i="18"/>
  <c r="P100" i="18"/>
  <c r="P104" i="18"/>
  <c r="S87" i="18"/>
  <c r="S173" i="10"/>
  <c r="S69" i="18"/>
  <c r="P93" i="18"/>
  <c r="R120" i="18"/>
  <c r="R84" i="18"/>
  <c r="R89" i="18" s="1"/>
  <c r="P231" i="10"/>
  <c r="P291" i="10"/>
  <c r="S308" i="10"/>
  <c r="S317" i="10" s="1"/>
  <c r="S388" i="10"/>
  <c r="K381" i="10"/>
  <c r="K436" i="10"/>
  <c r="R416" i="10"/>
  <c r="R321" i="10"/>
  <c r="R437" i="10" s="1"/>
  <c r="N248" i="10"/>
  <c r="N226" i="10"/>
  <c r="P122" i="18"/>
  <c r="P375" i="10" s="1"/>
  <c r="P118" i="18"/>
  <c r="Q99" i="18"/>
  <c r="Q210" i="10"/>
  <c r="Q246" i="10" s="1"/>
  <c r="Q92" i="18"/>
  <c r="Q93" i="18" s="1"/>
  <c r="T87" i="18"/>
  <c r="T69" i="18"/>
  <c r="T173" i="10"/>
  <c r="K279" i="10"/>
  <c r="K213" i="10"/>
  <c r="L91" i="22"/>
  <c r="L93" i="22" s="1"/>
  <c r="L232" i="11" s="1"/>
  <c r="L237" i="11" s="1"/>
  <c r="L248" i="11" s="1"/>
  <c r="L178" i="10" s="1"/>
  <c r="N125" i="18"/>
  <c r="N354" i="10"/>
  <c r="P289" i="10"/>
  <c r="O231" i="10"/>
  <c r="O291" i="10"/>
  <c r="O246" i="10"/>
  <c r="R274" i="10"/>
  <c r="R177" i="10"/>
  <c r="R295" i="10" s="1"/>
  <c r="S465" i="16"/>
  <c r="T1828" i="16"/>
  <c r="T1829" i="16" s="1"/>
  <c r="O122" i="18"/>
  <c r="O375" i="10" s="1"/>
  <c r="O118" i="18"/>
  <c r="S16" i="18" l="1"/>
  <c r="S26" i="18" s="1"/>
  <c r="S66" i="10" s="1"/>
  <c r="S102" i="10" s="1"/>
  <c r="Q109" i="10"/>
  <c r="Q82" i="10"/>
  <c r="Q104" i="10"/>
  <c r="R88" i="10"/>
  <c r="R87" i="10" s="1"/>
  <c r="R104" i="10" s="1"/>
  <c r="S130" i="10"/>
  <c r="M122" i="10"/>
  <c r="L70" i="10"/>
  <c r="L69" i="10" s="1"/>
  <c r="T58" i="10"/>
  <c r="T346" i="10" s="1"/>
  <c r="T56" i="10"/>
  <c r="T344" i="10" s="1"/>
  <c r="M21" i="22"/>
  <c r="M23" i="22" s="1"/>
  <c r="M80" i="10" s="1"/>
  <c r="L76" i="10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R337" i="10"/>
  <c r="R336" i="10" s="1"/>
  <c r="P108" i="10"/>
  <c r="P396" i="10"/>
  <c r="P395" i="10" s="1"/>
  <c r="T158" i="16"/>
  <c r="T176" i="16"/>
  <c r="T49" i="10" s="1"/>
  <c r="I620" i="25"/>
  <c r="G620" i="25"/>
  <c r="H620" i="25"/>
  <c r="F620" i="25"/>
  <c r="O222" i="10"/>
  <c r="P81" i="22"/>
  <c r="P78" i="10" s="1"/>
  <c r="R59" i="18"/>
  <c r="R60" i="18" s="1"/>
  <c r="M369" i="10"/>
  <c r="V49" i="18"/>
  <c r="V46" i="18" s="1"/>
  <c r="V56" i="18" s="1"/>
  <c r="V88" i="10" s="1"/>
  <c r="U815" i="16"/>
  <c r="S151" i="10"/>
  <c r="S46" i="18"/>
  <c r="S56" i="18" s="1"/>
  <c r="T388" i="10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798" i="16"/>
  <c r="W165" i="10" s="1"/>
  <c r="V798" i="16"/>
  <c r="V165" i="10" s="1"/>
  <c r="W1109" i="16"/>
  <c r="W138" i="16" s="1"/>
  <c r="V138" i="16"/>
  <c r="U245" i="10"/>
  <c r="U309" i="10"/>
  <c r="U388" i="10" s="1"/>
  <c r="U164" i="10"/>
  <c r="U69" i="18" s="1"/>
  <c r="U20" i="10"/>
  <c r="U604" i="12"/>
  <c r="U612" i="12" s="1"/>
  <c r="Q145" i="10"/>
  <c r="Q17" i="18" s="1"/>
  <c r="T49" i="18"/>
  <c r="T19" i="18"/>
  <c r="T102" i="18" s="1"/>
  <c r="R145" i="10"/>
  <c r="R17" i="18" s="1"/>
  <c r="W2219" i="16"/>
  <c r="X1867" i="16"/>
  <c r="X2219" i="16" s="1"/>
  <c r="W1868" i="16"/>
  <c r="V1110" i="16"/>
  <c r="X1822" i="16"/>
  <c r="V1862" i="16"/>
  <c r="S1841" i="16"/>
  <c r="S466" i="16" s="1"/>
  <c r="S793" i="16" s="1"/>
  <c r="T1869" i="16"/>
  <c r="Q198" i="10"/>
  <c r="Q197" i="10" s="1"/>
  <c r="Q191" i="10" s="1"/>
  <c r="Q345" i="10"/>
  <c r="Q342" i="10" s="1"/>
  <c r="Q341" i="10" s="1"/>
  <c r="Q335" i="10" s="1"/>
  <c r="R790" i="16"/>
  <c r="R201" i="10"/>
  <c r="W1861" i="16"/>
  <c r="V1840" i="16"/>
  <c r="V151" i="10"/>
  <c r="V130" i="10"/>
  <c r="L408" i="10"/>
  <c r="T274" i="10"/>
  <c r="T177" i="10"/>
  <c r="T295" i="10" s="1"/>
  <c r="K411" i="10"/>
  <c r="T66" i="18"/>
  <c r="T71" i="18" s="1"/>
  <c r="P433" i="10"/>
  <c r="P374" i="10"/>
  <c r="S416" i="10"/>
  <c r="S321" i="10"/>
  <c r="S437" i="10" s="1"/>
  <c r="S102" i="18"/>
  <c r="S66" i="18"/>
  <c r="S71" i="18" s="1"/>
  <c r="R92" i="18"/>
  <c r="R93" i="18" s="1"/>
  <c r="R99" i="18"/>
  <c r="R210" i="10"/>
  <c r="R246" i="10" s="1"/>
  <c r="O354" i="10"/>
  <c r="O389" i="10" s="1"/>
  <c r="O125" i="18"/>
  <c r="O126" i="18" s="1"/>
  <c r="T465" i="16"/>
  <c r="U1828" i="16"/>
  <c r="U1829" i="16" s="1"/>
  <c r="N431" i="10"/>
  <c r="N389" i="10"/>
  <c r="S84" i="18"/>
  <c r="S89" i="18" s="1"/>
  <c r="S120" i="18"/>
  <c r="Q118" i="18"/>
  <c r="Q122" i="18"/>
  <c r="Q375" i="10" s="1"/>
  <c r="O226" i="10"/>
  <c r="O248" i="10"/>
  <c r="N126" i="18"/>
  <c r="Q289" i="10"/>
  <c r="T321" i="10"/>
  <c r="T437" i="10" s="1"/>
  <c r="T416" i="10"/>
  <c r="L322" i="10"/>
  <c r="L325" i="10" s="1"/>
  <c r="L327" i="10" s="1"/>
  <c r="L328" i="10" s="1"/>
  <c r="L330" i="10" s="1"/>
  <c r="L181" i="10"/>
  <c r="L183" i="10" s="1"/>
  <c r="L184" i="10" s="1"/>
  <c r="L186" i="10" s="1"/>
  <c r="Q104" i="18"/>
  <c r="Q100" i="18"/>
  <c r="P226" i="10"/>
  <c r="P248" i="10"/>
  <c r="O433" i="10"/>
  <c r="O374" i="10"/>
  <c r="T84" i="18"/>
  <c r="T89" i="18" s="1"/>
  <c r="S274" i="10"/>
  <c r="S177" i="10"/>
  <c r="S295" i="10" s="1"/>
  <c r="Q291" i="10"/>
  <c r="Q231" i="10"/>
  <c r="N391" i="10"/>
  <c r="N369" i="10"/>
  <c r="K269" i="10"/>
  <c r="K209" i="10"/>
  <c r="K268" i="10"/>
  <c r="R117" i="18"/>
  <c r="R232" i="10"/>
  <c r="P354" i="10"/>
  <c r="P125" i="18"/>
  <c r="K427" i="10"/>
  <c r="K361" i="10"/>
  <c r="K428" i="10"/>
  <c r="K423" i="10"/>
  <c r="K421" i="10"/>
  <c r="K410" i="10"/>
  <c r="S145" i="10" l="1"/>
  <c r="S17" i="18" s="1"/>
  <c r="R109" i="10"/>
  <c r="R108" i="10" s="1"/>
  <c r="R147" i="10"/>
  <c r="R47" i="18" s="1"/>
  <c r="R82" i="10"/>
  <c r="S88" i="10"/>
  <c r="S147" i="10" s="1"/>
  <c r="S47" i="18" s="1"/>
  <c r="M79" i="22"/>
  <c r="U59" i="10"/>
  <c r="U347" i="10" s="1"/>
  <c r="U56" i="10"/>
  <c r="U344" i="10" s="1"/>
  <c r="U19" i="18"/>
  <c r="U24" i="18" s="1"/>
  <c r="U21" i="18" s="1"/>
  <c r="U29" i="10"/>
  <c r="U33" i="10" s="1"/>
  <c r="L94" i="10"/>
  <c r="L136" i="10"/>
  <c r="L150" i="10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S337" i="10"/>
  <c r="S336" i="10" s="1"/>
  <c r="Q108" i="10"/>
  <c r="Q396" i="10"/>
  <c r="Q395" i="10" s="1"/>
  <c r="U158" i="16"/>
  <c r="U176" i="16"/>
  <c r="U49" i="10" s="1"/>
  <c r="R47" i="10"/>
  <c r="J620" i="25"/>
  <c r="N118" i="25" a="1"/>
  <c r="N118" i="25" s="1"/>
  <c r="N117" i="25" s="1"/>
  <c r="P118" i="25" a="1"/>
  <c r="P118" i="25" s="1"/>
  <c r="P117" i="25" s="1"/>
  <c r="P200" i="25" a="1"/>
  <c r="P200" i="25" s="1"/>
  <c r="P199" i="25" s="1"/>
  <c r="O118" i="25" a="1"/>
  <c r="O118" i="25" s="1"/>
  <c r="O117" i="25" s="1"/>
  <c r="O200" i="25" a="1"/>
  <c r="O200" i="25" s="1"/>
  <c r="O199" i="25" s="1"/>
  <c r="N200" i="25" a="1"/>
  <c r="N200" i="25" s="1"/>
  <c r="N199" i="25" s="1"/>
  <c r="C200" i="25" a="1"/>
  <c r="C200" i="25" s="1"/>
  <c r="C199" i="25" s="1"/>
  <c r="G200" i="25" a="1"/>
  <c r="G200" i="25" s="1"/>
  <c r="G199" i="25" s="1"/>
  <c r="F200" i="25" a="1"/>
  <c r="F200" i="25" s="1"/>
  <c r="F199" i="25" s="1"/>
  <c r="M200" i="25" a="1"/>
  <c r="M200" i="25" s="1"/>
  <c r="M199" i="25" s="1"/>
  <c r="J200" i="25" a="1"/>
  <c r="J200" i="25" s="1"/>
  <c r="J199" i="25" s="1"/>
  <c r="H200" i="25" a="1"/>
  <c r="H200" i="25" s="1"/>
  <c r="H199" i="25" s="1"/>
  <c r="I200" i="25" a="1"/>
  <c r="I200" i="25" s="1"/>
  <c r="I199" i="25" s="1"/>
  <c r="K200" i="25" a="1"/>
  <c r="K200" i="25" s="1"/>
  <c r="K199" i="25" s="1"/>
  <c r="D200" i="25" a="1"/>
  <c r="D200" i="25" s="1"/>
  <c r="D199" i="25" s="1"/>
  <c r="E200" i="25" a="1"/>
  <c r="E200" i="25" s="1"/>
  <c r="E199" i="25" s="1"/>
  <c r="L200" i="25" a="1"/>
  <c r="L200" i="25" s="1"/>
  <c r="L199" i="25" s="1"/>
  <c r="C118" i="25" a="1"/>
  <c r="C118" i="25" s="1"/>
  <c r="C117" i="25" s="1"/>
  <c r="E118" i="25" a="1"/>
  <c r="E118" i="25" s="1"/>
  <c r="E117" i="25" s="1"/>
  <c r="L118" i="25" a="1"/>
  <c r="L118" i="25" s="1"/>
  <c r="L117" i="25" s="1"/>
  <c r="J118" i="25" a="1"/>
  <c r="J118" i="25" s="1"/>
  <c r="J117" i="25" s="1"/>
  <c r="M118" i="25" a="1"/>
  <c r="M118" i="25" s="1"/>
  <c r="M117" i="25" s="1"/>
  <c r="D118" i="25" a="1"/>
  <c r="D118" i="25" s="1"/>
  <c r="D117" i="25" s="1"/>
  <c r="I118" i="25" a="1"/>
  <c r="I118" i="25" s="1"/>
  <c r="I117" i="25" s="1"/>
  <c r="H118" i="25" a="1"/>
  <c r="H118" i="25" s="1"/>
  <c r="H117" i="25" s="1"/>
  <c r="K118" i="25" a="1"/>
  <c r="K118" i="25" s="1"/>
  <c r="K117" i="25" s="1"/>
  <c r="F118" i="25" a="1"/>
  <c r="F118" i="25" s="1"/>
  <c r="F117" i="25" s="1"/>
  <c r="G118" i="25" a="1"/>
  <c r="G118" i="25" s="1"/>
  <c r="G117" i="25" s="1"/>
  <c r="L125" i="10"/>
  <c r="M27" i="22"/>
  <c r="M29" i="22" s="1"/>
  <c r="M105" i="11" s="1"/>
  <c r="M110" i="11" s="1"/>
  <c r="M121" i="11" s="1"/>
  <c r="P222" i="10"/>
  <c r="Q81" i="22"/>
  <c r="Q78" i="10" s="1"/>
  <c r="V54" i="18"/>
  <c r="V815" i="16"/>
  <c r="W815" i="16" s="1"/>
  <c r="W33" i="10"/>
  <c r="W151" i="10" s="1"/>
  <c r="W19" i="18"/>
  <c r="W16" i="18" s="1"/>
  <c r="V16" i="18"/>
  <c r="V26" i="18" s="1"/>
  <c r="V66" i="10" s="1"/>
  <c r="W49" i="18"/>
  <c r="W46" i="18" s="1"/>
  <c r="W56" i="18" s="1"/>
  <c r="W604" i="12"/>
  <c r="W612" i="12" s="1"/>
  <c r="V604" i="12"/>
  <c r="V612" i="12" s="1"/>
  <c r="U308" i="10"/>
  <c r="U317" i="10" s="1"/>
  <c r="U321" i="10" s="1"/>
  <c r="U437" i="10" s="1"/>
  <c r="U173" i="10"/>
  <c r="U177" i="10" s="1"/>
  <c r="U295" i="10" s="1"/>
  <c r="X1109" i="16"/>
  <c r="X138" i="16" s="1"/>
  <c r="U87" i="18"/>
  <c r="U84" i="18" s="1"/>
  <c r="U89" i="18" s="1"/>
  <c r="V245" i="10"/>
  <c r="V164" i="10"/>
  <c r="V173" i="10" s="1"/>
  <c r="V274" i="10" s="1"/>
  <c r="X20" i="10"/>
  <c r="X29" i="10" s="1"/>
  <c r="X33" i="10" s="1"/>
  <c r="S59" i="18"/>
  <c r="S60" i="18" s="1"/>
  <c r="U49" i="18"/>
  <c r="W245" i="10"/>
  <c r="W309" i="10"/>
  <c r="W388" i="10" s="1"/>
  <c r="W164" i="10"/>
  <c r="W173" i="10" s="1"/>
  <c r="W274" i="10" s="1"/>
  <c r="V309" i="10"/>
  <c r="V388" i="10" s="1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T120" i="18"/>
  <c r="X1868" i="16"/>
  <c r="X1839" i="16"/>
  <c r="X464" i="16" s="1"/>
  <c r="W1862" i="16"/>
  <c r="R345" i="10"/>
  <c r="R342" i="10" s="1"/>
  <c r="R341" i="10" s="1"/>
  <c r="R335" i="10" s="1"/>
  <c r="R198" i="10"/>
  <c r="R197" i="10" s="1"/>
  <c r="R191" i="10" s="1"/>
  <c r="T1841" i="16"/>
  <c r="T466" i="16" s="1"/>
  <c r="T793" i="16" s="1"/>
  <c r="U1869" i="16"/>
  <c r="S790" i="16"/>
  <c r="S201" i="10"/>
  <c r="X1861" i="16"/>
  <c r="W1840" i="16"/>
  <c r="C465" i="25" a="1"/>
  <c r="C465" i="25" s="1"/>
  <c r="C464" i="25" s="1"/>
  <c r="C611" i="25" s="1"/>
  <c r="G512" i="25" a="1"/>
  <c r="G512" i="25" s="1"/>
  <c r="C512" i="25" a="1"/>
  <c r="C512" i="25" s="1"/>
  <c r="O369" i="25" a="1"/>
  <c r="O369" i="25" s="1"/>
  <c r="O368" i="25" s="1"/>
  <c r="O609" i="25" s="1"/>
  <c r="J322" i="25" a="1"/>
  <c r="J322" i="25" s="1"/>
  <c r="J321" i="25" s="1"/>
  <c r="J608" i="25" s="1"/>
  <c r="J512" i="25" a="1"/>
  <c r="J512" i="25" s="1"/>
  <c r="D322" i="25" a="1"/>
  <c r="D322" i="25" s="1"/>
  <c r="D321" i="25" s="1"/>
  <c r="D608" i="25" s="1"/>
  <c r="C417" i="25" a="1"/>
  <c r="C417" i="25" s="1"/>
  <c r="C416" i="25" s="1"/>
  <c r="I512" i="25" a="1"/>
  <c r="I512" i="25" s="1"/>
  <c r="F512" i="25" a="1"/>
  <c r="F512" i="25" s="1"/>
  <c r="J369" i="25" a="1"/>
  <c r="J369" i="25" s="1"/>
  <c r="J368" i="25" s="1"/>
  <c r="J609" i="25" s="1"/>
  <c r="P512" i="25" a="1"/>
  <c r="P512" i="25" s="1"/>
  <c r="G369" i="25" a="1"/>
  <c r="G369" i="25" s="1"/>
  <c r="G368" i="25" s="1"/>
  <c r="G609" i="25" s="1"/>
  <c r="P465" i="25" a="1"/>
  <c r="P465" i="25" s="1"/>
  <c r="P464" i="25" s="1"/>
  <c r="P611" i="25" s="1"/>
  <c r="K322" i="25" a="1"/>
  <c r="K322" i="25" s="1"/>
  <c r="K321" i="25" s="1"/>
  <c r="K608" i="25" s="1"/>
  <c r="K512" i="25" a="1"/>
  <c r="K512" i="25" s="1"/>
  <c r="N369" i="25" a="1"/>
  <c r="N369" i="25" s="1"/>
  <c r="N368" i="25" s="1"/>
  <c r="N609" i="25" s="1"/>
  <c r="K417" i="25" a="1"/>
  <c r="K417" i="25" s="1"/>
  <c r="K416" i="25" s="1"/>
  <c r="G465" i="25" a="1"/>
  <c r="G465" i="25" s="1"/>
  <c r="G464" i="25" s="1"/>
  <c r="G611" i="25" s="1"/>
  <c r="F465" i="25" a="1"/>
  <c r="F465" i="25" s="1"/>
  <c r="F464" i="25" s="1"/>
  <c r="F611" i="25" s="1"/>
  <c r="E322" i="25" a="1"/>
  <c r="E322" i="25" s="1"/>
  <c r="E321" i="25" s="1"/>
  <c r="E608" i="25" s="1"/>
  <c r="L369" i="25" a="1"/>
  <c r="L369" i="25" s="1"/>
  <c r="L368" i="25" s="1"/>
  <c r="L609" i="25" s="1"/>
  <c r="O512" i="25" a="1"/>
  <c r="O512" i="25" s="1"/>
  <c r="H322" i="25" a="1"/>
  <c r="H322" i="25" s="1"/>
  <c r="H321" i="25" s="1"/>
  <c r="H608" i="25" s="1"/>
  <c r="E465" i="25" a="1"/>
  <c r="E465" i="25" s="1"/>
  <c r="E464" i="25" s="1"/>
  <c r="E611" i="25" s="1"/>
  <c r="D465" i="25" a="1"/>
  <c r="D465" i="25" s="1"/>
  <c r="D464" i="25" s="1"/>
  <c r="D611" i="25" s="1"/>
  <c r="N417" i="25" a="1"/>
  <c r="N417" i="25" s="1"/>
  <c r="N416" i="25" s="1"/>
  <c r="D369" i="25" a="1"/>
  <c r="D369" i="25" s="1"/>
  <c r="D368" i="25" s="1"/>
  <c r="D609" i="25" s="1"/>
  <c r="P417" i="25" a="1"/>
  <c r="P417" i="25" s="1"/>
  <c r="P416" i="25" s="1"/>
  <c r="O417" i="25" a="1"/>
  <c r="O417" i="25" s="1"/>
  <c r="O416" i="25" s="1"/>
  <c r="P369" i="25" a="1"/>
  <c r="P369" i="25" s="1"/>
  <c r="P368" i="25" s="1"/>
  <c r="P609" i="25" s="1"/>
  <c r="C369" i="25" a="1"/>
  <c r="C369" i="25" s="1"/>
  <c r="C368" i="25" s="1"/>
  <c r="C609" i="25" s="1"/>
  <c r="D417" i="25" a="1"/>
  <c r="D417" i="25" s="1"/>
  <c r="D416" i="25" s="1"/>
  <c r="H465" i="25" a="1"/>
  <c r="H465" i="25" s="1"/>
  <c r="H464" i="25" s="1"/>
  <c r="H611" i="25" s="1"/>
  <c r="L465" i="25" a="1"/>
  <c r="L465" i="25" s="1"/>
  <c r="L464" i="25" s="1"/>
  <c r="L611" i="25" s="1"/>
  <c r="I322" i="25" a="1"/>
  <c r="I322" i="25" s="1"/>
  <c r="I321" i="25" s="1"/>
  <c r="I608" i="25" s="1"/>
  <c r="M465" i="25" a="1"/>
  <c r="M465" i="25" s="1"/>
  <c r="M464" i="25" s="1"/>
  <c r="M611" i="25" s="1"/>
  <c r="E369" i="25" a="1"/>
  <c r="E369" i="25" s="1"/>
  <c r="E368" i="25" s="1"/>
  <c r="E609" i="25" s="1"/>
  <c r="J417" i="25" a="1"/>
  <c r="J417" i="25" s="1"/>
  <c r="J416" i="25" s="1"/>
  <c r="L512" i="25" a="1"/>
  <c r="L512" i="25" s="1"/>
  <c r="G322" i="25" a="1"/>
  <c r="G322" i="25" s="1"/>
  <c r="G321" i="25" s="1"/>
  <c r="G608" i="25" s="1"/>
  <c r="O322" i="25" a="1"/>
  <c r="O322" i="25" s="1"/>
  <c r="O321" i="25" s="1"/>
  <c r="O608" i="25" s="1"/>
  <c r="F369" i="25" a="1"/>
  <c r="F369" i="25" s="1"/>
  <c r="F368" i="25" s="1"/>
  <c r="F609" i="25" s="1"/>
  <c r="O465" i="25" a="1"/>
  <c r="O465" i="25" s="1"/>
  <c r="O464" i="25" s="1"/>
  <c r="O611" i="25" s="1"/>
  <c r="H417" i="25" a="1"/>
  <c r="H417" i="25" s="1"/>
  <c r="H416" i="25" s="1"/>
  <c r="G417" i="25" a="1"/>
  <c r="G417" i="25" s="1"/>
  <c r="G416" i="25" s="1"/>
  <c r="M417" i="25" a="1"/>
  <c r="M417" i="25" s="1"/>
  <c r="M416" i="25" s="1"/>
  <c r="N465" i="25" a="1"/>
  <c r="N465" i="25" s="1"/>
  <c r="N464" i="25" s="1"/>
  <c r="N611" i="25" s="1"/>
  <c r="P322" i="25" a="1"/>
  <c r="P322" i="25" s="1"/>
  <c r="P321" i="25" s="1"/>
  <c r="P608" i="25" s="1"/>
  <c r="M322" i="25" a="1"/>
  <c r="M322" i="25" s="1"/>
  <c r="M321" i="25" s="1"/>
  <c r="M608" i="25" s="1"/>
  <c r="F417" i="25" a="1"/>
  <c r="F417" i="25" s="1"/>
  <c r="F416" i="25" s="1"/>
  <c r="D512" i="25" a="1"/>
  <c r="D512" i="25" s="1"/>
  <c r="H512" i="25" a="1"/>
  <c r="H512" i="25" s="1"/>
  <c r="M369" i="25" a="1"/>
  <c r="M369" i="25" s="1"/>
  <c r="M368" i="25" s="1"/>
  <c r="M609" i="25" s="1"/>
  <c r="E417" i="25" a="1"/>
  <c r="E417" i="25" s="1"/>
  <c r="E416" i="25" s="1"/>
  <c r="J465" i="25" a="1"/>
  <c r="J465" i="25" s="1"/>
  <c r="J464" i="25" s="1"/>
  <c r="J611" i="25" s="1"/>
  <c r="L322" i="25" a="1"/>
  <c r="L322" i="25" s="1"/>
  <c r="L321" i="25" s="1"/>
  <c r="L608" i="25" s="1"/>
  <c r="K369" i="25" a="1"/>
  <c r="K369" i="25" s="1"/>
  <c r="K368" i="25" s="1"/>
  <c r="K609" i="25" s="1"/>
  <c r="L417" i="25" a="1"/>
  <c r="L417" i="25" s="1"/>
  <c r="L416" i="25" s="1"/>
  <c r="C322" i="25" a="1"/>
  <c r="C322" i="25" s="1"/>
  <c r="C321" i="25" s="1"/>
  <c r="C608" i="25" s="1"/>
  <c r="E512" i="25" a="1"/>
  <c r="E512" i="25" s="1"/>
  <c r="H369" i="25" a="1"/>
  <c r="H369" i="25" s="1"/>
  <c r="H368" i="25" s="1"/>
  <c r="H609" i="25" s="1"/>
  <c r="K465" i="25" a="1"/>
  <c r="K465" i="25" s="1"/>
  <c r="K464" i="25" s="1"/>
  <c r="K611" i="25" s="1"/>
  <c r="I465" i="25" a="1"/>
  <c r="I465" i="25" s="1"/>
  <c r="I464" i="25" s="1"/>
  <c r="I611" i="25" s="1"/>
  <c r="M512" i="25" a="1"/>
  <c r="M512" i="25" s="1"/>
  <c r="N322" i="25" a="1"/>
  <c r="N322" i="25" s="1"/>
  <c r="N321" i="25" s="1"/>
  <c r="N608" i="25" s="1"/>
  <c r="N512" i="25" a="1"/>
  <c r="N512" i="25" s="1"/>
  <c r="I369" i="25" a="1"/>
  <c r="I369" i="25" s="1"/>
  <c r="I368" i="25" s="1"/>
  <c r="I609" i="25" s="1"/>
  <c r="I417" i="25" a="1"/>
  <c r="I417" i="25" s="1"/>
  <c r="I416" i="25" s="1"/>
  <c r="F322" i="25" a="1"/>
  <c r="F322" i="25" s="1"/>
  <c r="F321" i="25" s="1"/>
  <c r="F608" i="25" s="1"/>
  <c r="V87" i="10"/>
  <c r="V147" i="10"/>
  <c r="V47" i="18" s="1"/>
  <c r="Q125" i="18"/>
  <c r="Q126" i="18" s="1"/>
  <c r="Q354" i="10"/>
  <c r="Q431" i="10" s="1"/>
  <c r="K217" i="10"/>
  <c r="K286" i="10"/>
  <c r="K285" i="10"/>
  <c r="O431" i="10"/>
  <c r="P389" i="10"/>
  <c r="P391" i="10"/>
  <c r="P369" i="10"/>
  <c r="P126" i="18"/>
  <c r="P431" i="10"/>
  <c r="K382" i="10"/>
  <c r="K418" i="10"/>
  <c r="K383" i="10"/>
  <c r="Q374" i="10"/>
  <c r="Q433" i="10"/>
  <c r="R289" i="10"/>
  <c r="T232" i="10"/>
  <c r="L417" i="10"/>
  <c r="L387" i="10"/>
  <c r="L386" i="10" s="1"/>
  <c r="L407" i="10" s="1"/>
  <c r="L409" i="10" s="1"/>
  <c r="L491" i="10"/>
  <c r="M494" i="10" s="1"/>
  <c r="M367" i="10" s="1"/>
  <c r="L368" i="10"/>
  <c r="L364" i="10" s="1"/>
  <c r="L424" i="10"/>
  <c r="S117" i="18"/>
  <c r="S232" i="10"/>
  <c r="S210" i="10"/>
  <c r="S289" i="10" s="1"/>
  <c r="S99" i="18"/>
  <c r="S92" i="18"/>
  <c r="L282" i="10"/>
  <c r="L244" i="10"/>
  <c r="L243" i="10" s="1"/>
  <c r="L265" i="10" s="1"/>
  <c r="L267" i="10" s="1"/>
  <c r="L225" i="10"/>
  <c r="L275" i="10"/>
  <c r="O391" i="10"/>
  <c r="O369" i="10"/>
  <c r="R231" i="10"/>
  <c r="R291" i="10"/>
  <c r="U465" i="16"/>
  <c r="V1828" i="16"/>
  <c r="V1829" i="16" s="1"/>
  <c r="U66" i="18"/>
  <c r="U71" i="18" s="1"/>
  <c r="R104" i="18"/>
  <c r="R100" i="18"/>
  <c r="R118" i="18"/>
  <c r="R122" i="18"/>
  <c r="R375" i="10" s="1"/>
  <c r="Q248" i="10"/>
  <c r="Q226" i="10"/>
  <c r="T210" i="10"/>
  <c r="T92" i="18"/>
  <c r="S87" i="10" l="1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U102" i="18"/>
  <c r="T99" i="18"/>
  <c r="T104" i="18" s="1"/>
  <c r="T66" i="10"/>
  <c r="V59" i="10"/>
  <c r="V347" i="10" s="1"/>
  <c r="V56" i="10"/>
  <c r="V344" i="10" s="1"/>
  <c r="M34" i="10"/>
  <c r="M37" i="10" s="1"/>
  <c r="M39" i="10" s="1"/>
  <c r="L135" i="10"/>
  <c r="L137" i="10"/>
  <c r="V51" i="10"/>
  <c r="V339" i="10" s="1"/>
  <c r="V50" i="10"/>
  <c r="V338" i="10" s="1"/>
  <c r="R396" i="10"/>
  <c r="R395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T337" i="10"/>
  <c r="T336" i="10" s="1"/>
  <c r="U175" i="16"/>
  <c r="W139" i="16"/>
  <c r="W161" i="16"/>
  <c r="W178" i="16" s="1"/>
  <c r="W159" i="16"/>
  <c r="W160" i="16"/>
  <c r="W177" i="16" s="1"/>
  <c r="V158" i="16"/>
  <c r="V176" i="16"/>
  <c r="V49" i="10" s="1"/>
  <c r="O601" i="25"/>
  <c r="O602" i="25" s="1"/>
  <c r="O607" i="25" s="1"/>
  <c r="O595" i="25"/>
  <c r="O596" i="25" s="1"/>
  <c r="O606" i="25" s="1"/>
  <c r="P601" i="25"/>
  <c r="P602" i="25" s="1"/>
  <c r="P607" i="25" s="1"/>
  <c r="P595" i="25"/>
  <c r="P596" i="25" s="1"/>
  <c r="P606" i="25" s="1"/>
  <c r="D601" i="25"/>
  <c r="D602" i="25" s="1"/>
  <c r="D607" i="25" s="1"/>
  <c r="K601" i="25"/>
  <c r="K602" i="25" s="1"/>
  <c r="K607" i="25" s="1"/>
  <c r="N601" i="25"/>
  <c r="N602" i="25" s="1"/>
  <c r="N607" i="25" s="1"/>
  <c r="I601" i="25"/>
  <c r="I602" i="25" s="1"/>
  <c r="I607" i="25" s="1"/>
  <c r="H601" i="25"/>
  <c r="H602" i="25" s="1"/>
  <c r="H607" i="25" s="1"/>
  <c r="J601" i="25"/>
  <c r="J602" i="25" s="1"/>
  <c r="J607" i="25" s="1"/>
  <c r="M601" i="25"/>
  <c r="M602" i="25" s="1"/>
  <c r="M607" i="25" s="1"/>
  <c r="L601" i="25"/>
  <c r="L602" i="25" s="1"/>
  <c r="L607" i="25" s="1"/>
  <c r="F601" i="25"/>
  <c r="F602" i="25" s="1"/>
  <c r="F607" i="25" s="1"/>
  <c r="E601" i="25"/>
  <c r="E602" i="25" s="1"/>
  <c r="E607" i="25" s="1"/>
  <c r="G601" i="25"/>
  <c r="G602" i="25" s="1"/>
  <c r="G607" i="25" s="1"/>
  <c r="C601" i="25"/>
  <c r="C602" i="25" s="1"/>
  <c r="C607" i="25" s="1"/>
  <c r="C617" i="25" s="1"/>
  <c r="M595" i="25"/>
  <c r="M596" i="25" s="1"/>
  <c r="M606" i="25" s="1"/>
  <c r="D595" i="25"/>
  <c r="D596" i="25" s="1"/>
  <c r="D606" i="25" s="1"/>
  <c r="J595" i="25"/>
  <c r="J596" i="25" s="1"/>
  <c r="J606" i="25" s="1"/>
  <c r="G595" i="25"/>
  <c r="G596" i="25" s="1"/>
  <c r="G606" i="25" s="1"/>
  <c r="L595" i="25"/>
  <c r="L596" i="25" s="1"/>
  <c r="L606" i="25" s="1"/>
  <c r="F595" i="25"/>
  <c r="F596" i="25" s="1"/>
  <c r="F606" i="25" s="1"/>
  <c r="E595" i="25"/>
  <c r="E596" i="25" s="1"/>
  <c r="E606" i="25" s="1"/>
  <c r="K595" i="25"/>
  <c r="K596" i="25" s="1"/>
  <c r="K606" i="25" s="1"/>
  <c r="H595" i="25"/>
  <c r="H596" i="25" s="1"/>
  <c r="H606" i="25" s="1"/>
  <c r="N595" i="25"/>
  <c r="N596" i="25" s="1"/>
  <c r="N606" i="25" s="1"/>
  <c r="I595" i="25"/>
  <c r="I596" i="25" s="1"/>
  <c r="I606" i="25" s="1"/>
  <c r="C595" i="25"/>
  <c r="C596" i="25" s="1"/>
  <c r="C606" i="25" s="1"/>
  <c r="C616" i="25" s="1"/>
  <c r="N138" i="25"/>
  <c r="J138" i="25"/>
  <c r="P138" i="25"/>
  <c r="E138" i="25"/>
  <c r="O138" i="25"/>
  <c r="N57" i="25"/>
  <c r="N56" i="25" s="1"/>
  <c r="O57" i="25"/>
  <c r="O56" i="25" s="1"/>
  <c r="P57" i="25"/>
  <c r="P56" i="25" s="1"/>
  <c r="L138" i="25"/>
  <c r="G138" i="25"/>
  <c r="M138" i="25"/>
  <c r="I138" i="25"/>
  <c r="K138" i="25"/>
  <c r="H138" i="25"/>
  <c r="D138" i="25"/>
  <c r="F138" i="25"/>
  <c r="D57" i="25"/>
  <c r="D56" i="25" s="1"/>
  <c r="I57" i="25"/>
  <c r="I56" i="25" s="1"/>
  <c r="H57" i="25"/>
  <c r="H56" i="25" s="1"/>
  <c r="M57" i="25"/>
  <c r="M56" i="25" s="1"/>
  <c r="J57" i="25"/>
  <c r="J56" i="25" s="1"/>
  <c r="G57" i="25"/>
  <c r="G56" i="25" s="1"/>
  <c r="F57" i="25"/>
  <c r="F56" i="25" s="1"/>
  <c r="K57" i="25"/>
  <c r="K56" i="25" s="1"/>
  <c r="L57" i="25"/>
  <c r="L56" i="25" s="1"/>
  <c r="E57" i="25"/>
  <c r="E56" i="25" s="1"/>
  <c r="C57" i="25"/>
  <c r="C56" i="25" s="1"/>
  <c r="U416" i="10"/>
  <c r="M220" i="25"/>
  <c r="I220" i="25"/>
  <c r="N220" i="25"/>
  <c r="F220" i="25"/>
  <c r="L220" i="25"/>
  <c r="O220" i="25"/>
  <c r="K220" i="25"/>
  <c r="G220" i="25"/>
  <c r="J220" i="25"/>
  <c r="C220" i="25"/>
  <c r="P220" i="25"/>
  <c r="H220" i="25"/>
  <c r="E220" i="25"/>
  <c r="D220" i="25"/>
  <c r="L124" i="10"/>
  <c r="C138" i="25"/>
  <c r="L65" i="10"/>
  <c r="Q222" i="10"/>
  <c r="R81" i="22"/>
  <c r="R78" i="10" s="1"/>
  <c r="V145" i="10"/>
  <c r="V17" i="18" s="1"/>
  <c r="W54" i="18"/>
  <c r="W24" i="18"/>
  <c r="W21" i="18" s="1"/>
  <c r="W177" i="10"/>
  <c r="W295" i="10" s="1"/>
  <c r="U274" i="10"/>
  <c r="W69" i="18"/>
  <c r="V87" i="18"/>
  <c r="V84" i="18" s="1"/>
  <c r="V89" i="18" s="1"/>
  <c r="V232" i="10" s="1"/>
  <c r="V291" i="10" s="1"/>
  <c r="W308" i="10"/>
  <c r="W317" i="10" s="1"/>
  <c r="X1110" i="16"/>
  <c r="U120" i="18"/>
  <c r="T117" i="18"/>
  <c r="T118" i="18" s="1"/>
  <c r="V59" i="18"/>
  <c r="U54" i="18"/>
  <c r="U46" i="18"/>
  <c r="U56" i="18" s="1"/>
  <c r="U88" i="10" s="1"/>
  <c r="V177" i="10"/>
  <c r="V295" i="10" s="1"/>
  <c r="V69" i="18"/>
  <c r="V102" i="18" s="1"/>
  <c r="X19" i="18"/>
  <c r="X49" i="18"/>
  <c r="V308" i="10"/>
  <c r="V317" i="10" s="1"/>
  <c r="V416" i="10" s="1"/>
  <c r="X798" i="16"/>
  <c r="X165" i="10" s="1"/>
  <c r="W87" i="18"/>
  <c r="U151" i="10"/>
  <c r="U130" i="10"/>
  <c r="T147" i="10"/>
  <c r="T47" i="18" s="1"/>
  <c r="T87" i="10"/>
  <c r="T59" i="18"/>
  <c r="T60" i="18" s="1"/>
  <c r="W26" i="18"/>
  <c r="W66" i="10" s="1"/>
  <c r="X1840" i="16"/>
  <c r="S198" i="10"/>
  <c r="S197" i="10" s="1"/>
  <c r="S191" i="10" s="1"/>
  <c r="S345" i="10"/>
  <c r="S342" i="10" s="1"/>
  <c r="S341" i="10" s="1"/>
  <c r="S335" i="10" s="1"/>
  <c r="U1841" i="16"/>
  <c r="U466" i="16" s="1"/>
  <c r="U793" i="16" s="1"/>
  <c r="V1869" i="16"/>
  <c r="T201" i="10"/>
  <c r="T790" i="16"/>
  <c r="X1862" i="16"/>
  <c r="O511" i="25"/>
  <c r="O48" i="25" s="1"/>
  <c r="O16" i="25" s="1"/>
  <c r="F511" i="25"/>
  <c r="F48" i="25" s="1"/>
  <c r="F16" i="25" s="1"/>
  <c r="E511" i="25"/>
  <c r="E48" i="25" s="1"/>
  <c r="E16" i="25" s="1"/>
  <c r="I511" i="25"/>
  <c r="I48" i="25" s="1"/>
  <c r="I16" i="25" s="1"/>
  <c r="H511" i="25"/>
  <c r="H48" i="25" s="1"/>
  <c r="H16" i="25" s="1"/>
  <c r="K511" i="25"/>
  <c r="K48" i="25" s="1"/>
  <c r="K16" i="25" s="1"/>
  <c r="N511" i="25"/>
  <c r="N48" i="25" s="1"/>
  <c r="N16" i="25" s="1"/>
  <c r="D511" i="25"/>
  <c r="D48" i="25" s="1"/>
  <c r="D16" i="25" s="1"/>
  <c r="L511" i="25"/>
  <c r="L48" i="25" s="1"/>
  <c r="L16" i="25" s="1"/>
  <c r="C511" i="25"/>
  <c r="C48" i="25" s="1"/>
  <c r="C16" i="25" s="1"/>
  <c r="M511" i="25"/>
  <c r="M48" i="25" s="1"/>
  <c r="M16" i="25" s="1"/>
  <c r="P511" i="25"/>
  <c r="P48" i="25" s="1"/>
  <c r="P16" i="25" s="1"/>
  <c r="J511" i="25"/>
  <c r="J48" i="25" s="1"/>
  <c r="J16" i="25" s="1"/>
  <c r="G511" i="25"/>
  <c r="G48" i="25" s="1"/>
  <c r="G16" i="25" s="1"/>
  <c r="Q389" i="10"/>
  <c r="L422" i="10"/>
  <c r="L436" i="10"/>
  <c r="L381" i="10"/>
  <c r="S246" i="10"/>
  <c r="U232" i="10"/>
  <c r="R374" i="10"/>
  <c r="R433" i="10"/>
  <c r="S93" i="18"/>
  <c r="T93" i="18"/>
  <c r="S100" i="18"/>
  <c r="S104" i="18"/>
  <c r="U210" i="10"/>
  <c r="U92" i="18"/>
  <c r="U93" i="18" s="1"/>
  <c r="R226" i="10"/>
  <c r="R248" i="10"/>
  <c r="L358" i="10"/>
  <c r="L357" i="10" s="1"/>
  <c r="L411" i="10" s="1"/>
  <c r="M408" i="10"/>
  <c r="T246" i="10"/>
  <c r="T289" i="10"/>
  <c r="M85" i="22"/>
  <c r="M87" i="22" s="1"/>
  <c r="M224" i="10" s="1"/>
  <c r="L220" i="10"/>
  <c r="S231" i="10"/>
  <c r="S291" i="10"/>
  <c r="W1828" i="16"/>
  <c r="W1829" i="16" s="1"/>
  <c r="V465" i="16"/>
  <c r="K239" i="10"/>
  <c r="K240" i="10"/>
  <c r="K276" i="10"/>
  <c r="Q369" i="10"/>
  <c r="Q391" i="10"/>
  <c r="R125" i="18"/>
  <c r="R354" i="10"/>
  <c r="M266" i="10"/>
  <c r="L214" i="10"/>
  <c r="S122" i="18"/>
  <c r="S375" i="10" s="1"/>
  <c r="S118" i="18"/>
  <c r="T231" i="10"/>
  <c r="T291" i="10"/>
  <c r="S104" i="10" l="1"/>
  <c r="S396" i="10"/>
  <c r="S395" i="10" s="1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100" i="18"/>
  <c r="T82" i="10"/>
  <c r="T104" i="10"/>
  <c r="U102" i="10"/>
  <c r="T102" i="10"/>
  <c r="U99" i="18"/>
  <c r="U100" i="18" s="1"/>
  <c r="M40" i="10"/>
  <c r="M42" i="10" s="1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U337" i="10"/>
  <c r="U336" i="10" s="1"/>
  <c r="V175" i="16"/>
  <c r="X139" i="16"/>
  <c r="X161" i="16"/>
  <c r="X178" i="16" s="1"/>
  <c r="X159" i="16"/>
  <c r="X160" i="16"/>
  <c r="X177" i="16" s="1"/>
  <c r="D613" i="25"/>
  <c r="D616" i="25" s="1"/>
  <c r="N613" i="25"/>
  <c r="G613" i="25"/>
  <c r="K613" i="25"/>
  <c r="J613" i="25"/>
  <c r="H613" i="25"/>
  <c r="P613" i="25"/>
  <c r="P616" i="25" s="1"/>
  <c r="I613" i="25"/>
  <c r="M613" i="25"/>
  <c r="E613" i="25"/>
  <c r="F613" i="25"/>
  <c r="L613" i="25"/>
  <c r="O613" i="25"/>
  <c r="O616" i="25" s="1"/>
  <c r="C613" i="25"/>
  <c r="C618" i="25"/>
  <c r="C623" i="25"/>
  <c r="K620" i="25"/>
  <c r="L620" i="25"/>
  <c r="M620" i="25"/>
  <c r="L258" i="25"/>
  <c r="P258" i="25"/>
  <c r="J258" i="25"/>
  <c r="M258" i="25"/>
  <c r="I258" i="25"/>
  <c r="G258" i="25"/>
  <c r="F258" i="25"/>
  <c r="E258" i="25"/>
  <c r="H258" i="25"/>
  <c r="N258" i="25"/>
  <c r="C258" i="25"/>
  <c r="K258" i="25"/>
  <c r="D258" i="25"/>
  <c r="O258" i="25"/>
  <c r="L141" i="10"/>
  <c r="L142" i="10"/>
  <c r="L73" i="10"/>
  <c r="R222" i="10"/>
  <c r="S81" i="22"/>
  <c r="S78" i="10" s="1"/>
  <c r="T122" i="18"/>
  <c r="T375" i="10" s="1"/>
  <c r="T374" i="10" s="1"/>
  <c r="V66" i="18"/>
  <c r="V71" i="18" s="1"/>
  <c r="V99" i="18" s="1"/>
  <c r="V104" i="18" s="1"/>
  <c r="V354" i="10" s="1"/>
  <c r="X815" i="16"/>
  <c r="V321" i="10"/>
  <c r="V437" i="10" s="1"/>
  <c r="W102" i="18"/>
  <c r="W66" i="18"/>
  <c r="W71" i="18" s="1"/>
  <c r="W210" i="10" s="1"/>
  <c r="W289" i="10" s="1"/>
  <c r="V231" i="10"/>
  <c r="V226" i="10" s="1"/>
  <c r="V117" i="18"/>
  <c r="V122" i="18" s="1"/>
  <c r="V375" i="10" s="1"/>
  <c r="V374" i="10" s="1"/>
  <c r="V369" i="10" s="1"/>
  <c r="V120" i="18"/>
  <c r="X604" i="12"/>
  <c r="X612" i="12" s="1"/>
  <c r="W416" i="10"/>
  <c r="W321" i="10"/>
  <c r="W437" i="10" s="1"/>
  <c r="X309" i="10"/>
  <c r="X388" i="10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U117" i="18"/>
  <c r="U122" i="18" s="1"/>
  <c r="U375" i="10" s="1"/>
  <c r="X130" i="10"/>
  <c r="X151" i="10"/>
  <c r="U59" i="18"/>
  <c r="V60" i="18" s="1"/>
  <c r="X245" i="10"/>
  <c r="W84" i="18"/>
  <c r="W89" i="18" s="1"/>
  <c r="W120" i="18"/>
  <c r="X164" i="10"/>
  <c r="X87" i="18" s="1"/>
  <c r="X120" i="18" s="1"/>
  <c r="T145" i="10"/>
  <c r="T17" i="18" s="1"/>
  <c r="W59" i="18"/>
  <c r="W60" i="18" s="1"/>
  <c r="T345" i="10"/>
  <c r="T342" i="10" s="1"/>
  <c r="T341" i="10" s="1"/>
  <c r="T335" i="10" s="1"/>
  <c r="T198" i="10"/>
  <c r="T197" i="10" s="1"/>
  <c r="T191" i="10" s="1"/>
  <c r="V1841" i="16"/>
  <c r="V466" i="16" s="1"/>
  <c r="V793" i="16" s="1"/>
  <c r="W1869" i="16"/>
  <c r="U790" i="16"/>
  <c r="U201" i="10"/>
  <c r="L294" i="10"/>
  <c r="L238" i="10"/>
  <c r="L280" i="10"/>
  <c r="L353" i="10"/>
  <c r="L410" i="10"/>
  <c r="U246" i="10"/>
  <c r="U289" i="10"/>
  <c r="R369" i="10"/>
  <c r="R391" i="10"/>
  <c r="R389" i="10"/>
  <c r="R431" i="10"/>
  <c r="W465" i="16"/>
  <c r="X1828" i="16"/>
  <c r="X465" i="16" s="1"/>
  <c r="U231" i="10"/>
  <c r="U291" i="10"/>
  <c r="S125" i="18"/>
  <c r="S354" i="10"/>
  <c r="M91" i="22"/>
  <c r="M93" i="22" s="1"/>
  <c r="M232" i="11" s="1"/>
  <c r="M237" i="11" s="1"/>
  <c r="M248" i="11" s="1"/>
  <c r="M178" i="10" s="1"/>
  <c r="L213" i="10"/>
  <c r="T354" i="10"/>
  <c r="T431" i="10" s="1"/>
  <c r="L421" i="10"/>
  <c r="L423" i="10"/>
  <c r="R126" i="18"/>
  <c r="T226" i="10"/>
  <c r="T248" i="10"/>
  <c r="S433" i="10"/>
  <c r="S374" i="10"/>
  <c r="S248" i="10"/>
  <c r="S226" i="10"/>
  <c r="W104" i="10" l="1"/>
  <c r="U104" i="18"/>
  <c r="U354" i="10" s="1"/>
  <c r="V389" i="10" s="1"/>
  <c r="O617" i="25"/>
  <c r="O618" i="25" s="1"/>
  <c r="P617" i="25"/>
  <c r="P618" i="25" s="1"/>
  <c r="X50" i="10"/>
  <c r="X338" i="10" s="1"/>
  <c r="X56" i="10"/>
  <c r="X344" i="10" s="1"/>
  <c r="X59" i="10"/>
  <c r="X347" i="10" s="1"/>
  <c r="X51" i="10"/>
  <c r="X339" i="10" s="1"/>
  <c r="U109" i="10"/>
  <c r="M81" i="10"/>
  <c r="M100" i="10"/>
  <c r="M99" i="10" s="1"/>
  <c r="M121" i="10" s="1"/>
  <c r="M123" i="10" s="1"/>
  <c r="M70" i="10" s="1"/>
  <c r="M69" i="10" s="1"/>
  <c r="U82" i="10"/>
  <c r="U104" i="10"/>
  <c r="V104" i="10"/>
  <c r="M131" i="10"/>
  <c r="M138" i="10"/>
  <c r="D617" i="25"/>
  <c r="D618" i="25" s="1"/>
  <c r="V343" i="10"/>
  <c r="V54" i="10"/>
  <c r="V53" i="10" s="1"/>
  <c r="W180" i="16"/>
  <c r="X181" i="16"/>
  <c r="X55" i="10" s="1"/>
  <c r="X163" i="16"/>
  <c r="V48" i="10"/>
  <c r="V337" i="10"/>
  <c r="V336" i="10" s="1"/>
  <c r="U47" i="10"/>
  <c r="X158" i="16"/>
  <c r="X176" i="16"/>
  <c r="X49" i="10" s="1"/>
  <c r="W175" i="16"/>
  <c r="T396" i="10"/>
  <c r="T395" i="10" s="1"/>
  <c r="T108" i="10"/>
  <c r="D623" i="25"/>
  <c r="D141" i="25" s="1"/>
  <c r="D148" i="25" s="1"/>
  <c r="D150" i="25" s="1"/>
  <c r="M616" i="25"/>
  <c r="M623" i="25" s="1"/>
  <c r="M617" i="25"/>
  <c r="K616" i="25"/>
  <c r="K623" i="25" s="1"/>
  <c r="K617" i="25"/>
  <c r="I617" i="25"/>
  <c r="I616" i="25"/>
  <c r="I623" i="25" s="1"/>
  <c r="H616" i="25"/>
  <c r="H623" i="25" s="1"/>
  <c r="H624" i="25" s="1"/>
  <c r="H617" i="25"/>
  <c r="J616" i="25"/>
  <c r="J623" i="25" s="1"/>
  <c r="J624" i="25" s="1"/>
  <c r="J617" i="25"/>
  <c r="E616" i="25"/>
  <c r="E623" i="25" s="1"/>
  <c r="E624" i="25" s="1"/>
  <c r="E617" i="25"/>
  <c r="G617" i="25"/>
  <c r="G616" i="25"/>
  <c r="G623" i="25" s="1"/>
  <c r="G624" i="25" s="1"/>
  <c r="L616" i="25"/>
  <c r="L623" i="25" s="1"/>
  <c r="L617" i="25"/>
  <c r="N616" i="25"/>
  <c r="N617" i="25"/>
  <c r="F616" i="25"/>
  <c r="F623" i="25" s="1"/>
  <c r="F624" i="25" s="1"/>
  <c r="F617" i="25"/>
  <c r="C624" i="25"/>
  <c r="C223" i="25" s="1"/>
  <c r="C141" i="25"/>
  <c r="C148" i="25" s="1"/>
  <c r="C150" i="25" s="1"/>
  <c r="C151" i="25" s="1"/>
  <c r="L132" i="10"/>
  <c r="L96" i="10"/>
  <c r="L95" i="10"/>
  <c r="S222" i="10"/>
  <c r="T81" i="22"/>
  <c r="T78" i="10" s="1"/>
  <c r="X145" i="10"/>
  <c r="X17" i="18" s="1"/>
  <c r="V100" i="18"/>
  <c r="V92" i="18"/>
  <c r="V93" i="18" s="1"/>
  <c r="T125" i="18"/>
  <c r="T126" i="18" s="1"/>
  <c r="T433" i="10"/>
  <c r="V210" i="10"/>
  <c r="V289" i="10" s="1"/>
  <c r="V433" i="10"/>
  <c r="V248" i="10"/>
  <c r="X173" i="10"/>
  <c r="X274" i="10" s="1"/>
  <c r="X84" i="18"/>
  <c r="X89" i="18" s="1"/>
  <c r="X232" i="10" s="1"/>
  <c r="X231" i="10" s="1"/>
  <c r="W99" i="18"/>
  <c r="V118" i="18"/>
  <c r="V125" i="18"/>
  <c r="U118" i="18"/>
  <c r="X59" i="18"/>
  <c r="X60" i="18" s="1"/>
  <c r="U60" i="18"/>
  <c r="X87" i="10"/>
  <c r="X147" i="10"/>
  <c r="X47" i="18" s="1"/>
  <c r="X308" i="10"/>
  <c r="X317" i="10" s="1"/>
  <c r="X416" i="10" s="1"/>
  <c r="W117" i="18"/>
  <c r="W232" i="10"/>
  <c r="W92" i="18"/>
  <c r="X69" i="18"/>
  <c r="X66" i="18" s="1"/>
  <c r="X71" i="18" s="1"/>
  <c r="X210" i="10" s="1"/>
  <c r="X289" i="10" s="1"/>
  <c r="W145" i="10"/>
  <c r="W17" i="18" s="1"/>
  <c r="V790" i="16"/>
  <c r="V201" i="10"/>
  <c r="X1829" i="16"/>
  <c r="U345" i="10"/>
  <c r="U342" i="10" s="1"/>
  <c r="U341" i="10" s="1"/>
  <c r="U335" i="10" s="1"/>
  <c r="U198" i="10"/>
  <c r="U197" i="10" s="1"/>
  <c r="U191" i="10" s="1"/>
  <c r="W1841" i="16"/>
  <c r="W466" i="16" s="1"/>
  <c r="W793" i="16" s="1"/>
  <c r="X1869" i="16"/>
  <c r="S369" i="10"/>
  <c r="S391" i="10"/>
  <c r="S431" i="10"/>
  <c r="T389" i="10"/>
  <c r="U374" i="10"/>
  <c r="V391" i="10" s="1"/>
  <c r="U433" i="10"/>
  <c r="L428" i="10"/>
  <c r="L427" i="10"/>
  <c r="L361" i="10"/>
  <c r="T391" i="10"/>
  <c r="T369" i="10"/>
  <c r="L269" i="10"/>
  <c r="L268" i="10"/>
  <c r="L209" i="10"/>
  <c r="S126" i="18"/>
  <c r="L279" i="10"/>
  <c r="L281" i="10"/>
  <c r="U226" i="10"/>
  <c r="U248" i="10"/>
  <c r="M181" i="10"/>
  <c r="M183" i="10" s="1"/>
  <c r="M184" i="10" s="1"/>
  <c r="M186" i="10" s="1"/>
  <c r="M322" i="10"/>
  <c r="M325" i="10" s="1"/>
  <c r="M327" i="10" s="1"/>
  <c r="M328" i="10" s="1"/>
  <c r="M330" i="10" s="1"/>
  <c r="S389" i="10"/>
  <c r="V431" i="10"/>
  <c r="D151" i="25" l="1"/>
  <c r="U125" i="18"/>
  <c r="U126" i="18" s="1"/>
  <c r="O214" i="25" a="1"/>
  <c r="O214" i="25" s="1"/>
  <c r="P132" i="25" a="1"/>
  <c r="P132" i="25" s="1"/>
  <c r="O132" i="25" a="1"/>
  <c r="O132" i="25" s="1"/>
  <c r="P214" i="25" a="1"/>
  <c r="P214" i="25" s="1"/>
  <c r="X82" i="10"/>
  <c r="X104" i="10"/>
  <c r="V109" i="10"/>
  <c r="N21" i="22"/>
  <c r="N23" i="22" s="1"/>
  <c r="N80" i="10" s="1"/>
  <c r="M76" i="10"/>
  <c r="N122" i="10"/>
  <c r="D214" i="25" a="1"/>
  <c r="D214" i="25" s="1"/>
  <c r="N132" i="25" a="1"/>
  <c r="N132" i="25" s="1"/>
  <c r="X180" i="16"/>
  <c r="W343" i="10"/>
  <c r="W54" i="10"/>
  <c r="W53" i="10" s="1"/>
  <c r="V47" i="10"/>
  <c r="W48" i="10"/>
  <c r="W337" i="10"/>
  <c r="W336" i="10" s="1"/>
  <c r="U108" i="10"/>
  <c r="U396" i="10"/>
  <c r="U395" i="10" s="1"/>
  <c r="X175" i="16"/>
  <c r="D624" i="25"/>
  <c r="D223" i="25" s="1"/>
  <c r="D230" i="25" s="1"/>
  <c r="D232" i="25" s="1"/>
  <c r="C230" i="25"/>
  <c r="C234" i="25" s="1"/>
  <c r="C261" i="25"/>
  <c r="C268" i="25" s="1"/>
  <c r="C152" i="25"/>
  <c r="D152" i="25"/>
  <c r="C149" i="25"/>
  <c r="D149" i="25" s="1"/>
  <c r="N618" i="25"/>
  <c r="J618" i="25"/>
  <c r="M618" i="25"/>
  <c r="E141" i="25"/>
  <c r="E148" i="25" s="1"/>
  <c r="E150" i="25" s="1"/>
  <c r="E151" i="25" s="1"/>
  <c r="L618" i="25"/>
  <c r="H618" i="25"/>
  <c r="H141" i="25"/>
  <c r="H148" i="25" s="1"/>
  <c r="H150" i="25" s="1"/>
  <c r="F141" i="25"/>
  <c r="F148" i="25" s="1"/>
  <c r="F150" i="25" s="1"/>
  <c r="I618" i="25"/>
  <c r="G618" i="25"/>
  <c r="J141" i="25"/>
  <c r="J148" i="25" s="1"/>
  <c r="J150" i="25" s="1"/>
  <c r="G141" i="25"/>
  <c r="G148" i="25" s="1"/>
  <c r="G150" i="25" s="1"/>
  <c r="F618" i="25"/>
  <c r="E618" i="25"/>
  <c r="K618" i="25"/>
  <c r="F223" i="25"/>
  <c r="H223" i="25"/>
  <c r="E223" i="25"/>
  <c r="J223" i="25"/>
  <c r="G223" i="25"/>
  <c r="L624" i="25"/>
  <c r="L141" i="25"/>
  <c r="L148" i="25" s="1"/>
  <c r="L150" i="25" s="1"/>
  <c r="K624" i="25"/>
  <c r="K141" i="25"/>
  <c r="K148" i="25" s="1"/>
  <c r="K150" i="25" s="1"/>
  <c r="M624" i="25"/>
  <c r="M141" i="25"/>
  <c r="M148" i="25" s="1"/>
  <c r="M150" i="25" s="1"/>
  <c r="I624" i="25"/>
  <c r="I141" i="25"/>
  <c r="I148" i="25" s="1"/>
  <c r="N620" i="25"/>
  <c r="X1841" i="16"/>
  <c r="L132" i="25" s="1" a="1"/>
  <c r="L132" i="25" s="1"/>
  <c r="T222" i="10"/>
  <c r="U81" i="22"/>
  <c r="U78" i="10" s="1"/>
  <c r="X177" i="10"/>
  <c r="X295" i="10" s="1"/>
  <c r="W93" i="18"/>
  <c r="O620" i="25" s="1"/>
  <c r="X117" i="18"/>
  <c r="X118" i="18" s="1"/>
  <c r="V246" i="10"/>
  <c r="W246" i="10"/>
  <c r="X291" i="10"/>
  <c r="W104" i="18"/>
  <c r="W354" i="10" s="1"/>
  <c r="W431" i="10" s="1"/>
  <c r="W100" i="18"/>
  <c r="X321" i="10"/>
  <c r="X437" i="10" s="1"/>
  <c r="X92" i="18"/>
  <c r="X93" i="18" s="1"/>
  <c r="P620" i="25" s="1"/>
  <c r="P623" i="25" s="1"/>
  <c r="X102" i="18"/>
  <c r="W118" i="18"/>
  <c r="W122" i="18"/>
  <c r="X246" i="10"/>
  <c r="X99" i="18"/>
  <c r="X104" i="18" s="1"/>
  <c r="X354" i="10" s="1"/>
  <c r="X431" i="10" s="1"/>
  <c r="W291" i="10"/>
  <c r="W231" i="10"/>
  <c r="W790" i="16"/>
  <c r="W201" i="10"/>
  <c r="V198" i="10"/>
  <c r="V197" i="10" s="1"/>
  <c r="V191" i="10" s="1"/>
  <c r="V345" i="10"/>
  <c r="V342" i="10" s="1"/>
  <c r="V341" i="10" s="1"/>
  <c r="V335" i="10" s="1"/>
  <c r="M387" i="10"/>
  <c r="M386" i="10" s="1"/>
  <c r="M407" i="10" s="1"/>
  <c r="M409" i="10" s="1"/>
  <c r="M424" i="10"/>
  <c r="M417" i="10"/>
  <c r="M491" i="10"/>
  <c r="N494" i="10" s="1"/>
  <c r="N367" i="10" s="1"/>
  <c r="M368" i="10"/>
  <c r="M364" i="10" s="1"/>
  <c r="M225" i="10"/>
  <c r="M282" i="10"/>
  <c r="M244" i="10"/>
  <c r="M243" i="10" s="1"/>
  <c r="M265" i="10" s="1"/>
  <c r="M267" i="10" s="1"/>
  <c r="M275" i="10"/>
  <c r="L285" i="10"/>
  <c r="L286" i="10"/>
  <c r="L217" i="10"/>
  <c r="U389" i="10"/>
  <c r="U431" i="10"/>
  <c r="L382" i="10"/>
  <c r="L383" i="10"/>
  <c r="L418" i="10"/>
  <c r="U369" i="10"/>
  <c r="U391" i="10"/>
  <c r="X226" i="10"/>
  <c r="F151" i="25" l="1"/>
  <c r="G151" i="25"/>
  <c r="H151" i="25"/>
  <c r="V126" i="18"/>
  <c r="W109" i="10"/>
  <c r="N79" i="22"/>
  <c r="N27" i="22"/>
  <c r="N29" i="22" s="1"/>
  <c r="N105" i="11" s="1"/>
  <c r="N110" i="11" s="1"/>
  <c r="N121" i="11" s="1"/>
  <c r="N34" i="10" s="1"/>
  <c r="N37" i="10" s="1"/>
  <c r="N39" i="10" s="1"/>
  <c r="M150" i="10"/>
  <c r="M136" i="10"/>
  <c r="M94" i="10"/>
  <c r="J132" i="25" a="1"/>
  <c r="J132" i="25" s="1"/>
  <c r="J133" i="25" s="1"/>
  <c r="J140" i="25" s="1"/>
  <c r="L214" i="25" a="1"/>
  <c r="L214" i="25" s="1"/>
  <c r="G214" i="25" a="1"/>
  <c r="G214" i="25" s="1"/>
  <c r="E132" i="25" a="1"/>
  <c r="E132" i="25" s="1"/>
  <c r="E133" i="25" s="1"/>
  <c r="E140" i="25" s="1"/>
  <c r="F214" i="25" a="1"/>
  <c r="F214" i="25" s="1"/>
  <c r="C132" i="25" a="1"/>
  <c r="C132" i="25" s="1"/>
  <c r="C133" i="25" s="1"/>
  <c r="C140" i="25" s="1"/>
  <c r="E214" i="25" a="1"/>
  <c r="E214" i="25" s="1"/>
  <c r="C214" i="25" a="1"/>
  <c r="C214" i="25" s="1"/>
  <c r="J214" i="25" a="1"/>
  <c r="J214" i="25" s="1"/>
  <c r="K214" i="25" a="1"/>
  <c r="K214" i="25" s="1"/>
  <c r="H214" i="25" a="1"/>
  <c r="H214" i="25" s="1"/>
  <c r="N214" i="25" a="1"/>
  <c r="N214" i="25" s="1"/>
  <c r="I214" i="25" a="1"/>
  <c r="I214" i="25" s="1"/>
  <c r="M214" i="25" a="1"/>
  <c r="M214" i="25" s="1"/>
  <c r="K132" i="25" a="1"/>
  <c r="K132" i="25" s="1"/>
  <c r="K133" i="25" s="1"/>
  <c r="K140" i="25" s="1"/>
  <c r="M132" i="25" a="1"/>
  <c r="M132" i="25" s="1"/>
  <c r="M133" i="25" s="1"/>
  <c r="M140" i="25" s="1"/>
  <c r="H132" i="25" a="1"/>
  <c r="H132" i="25" s="1"/>
  <c r="H133" i="25" s="1"/>
  <c r="H140" i="25" s="1"/>
  <c r="I132" i="25" a="1"/>
  <c r="I132" i="25" s="1"/>
  <c r="I133" i="25" s="1"/>
  <c r="I140" i="25" s="1"/>
  <c r="F132" i="25" a="1"/>
  <c r="F132" i="25" s="1"/>
  <c r="D132" i="25" a="1"/>
  <c r="D132" i="25" s="1"/>
  <c r="D133" i="25" s="1"/>
  <c r="D140" i="25" s="1"/>
  <c r="D156" i="25" s="1"/>
  <c r="G132" i="25" a="1"/>
  <c r="G132" i="25" s="1"/>
  <c r="G133" i="25" s="1"/>
  <c r="G140" i="25" s="1"/>
  <c r="X343" i="10"/>
  <c r="X54" i="10"/>
  <c r="X53" i="10" s="1"/>
  <c r="V108" i="10"/>
  <c r="V396" i="10"/>
  <c r="V395" i="10" s="1"/>
  <c r="X48" i="10"/>
  <c r="X337" i="10"/>
  <c r="X336" i="10" s="1"/>
  <c r="W47" i="10"/>
  <c r="D261" i="25"/>
  <c r="D268" i="25" s="1"/>
  <c r="D270" i="25" s="1"/>
  <c r="D234" i="25"/>
  <c r="C231" i="25"/>
  <c r="D231" i="25" s="1"/>
  <c r="C232" i="25"/>
  <c r="C233" i="25" s="1"/>
  <c r="P624" i="25"/>
  <c r="P223" i="25" s="1"/>
  <c r="P141" i="25"/>
  <c r="P148" i="25" s="1"/>
  <c r="G230" i="25"/>
  <c r="G232" i="25" s="1"/>
  <c r="G261" i="25"/>
  <c r="G268" i="25" s="1"/>
  <c r="G270" i="25" s="1"/>
  <c r="J230" i="25"/>
  <c r="J232" i="25" s="1"/>
  <c r="J261" i="25"/>
  <c r="J268" i="25" s="1"/>
  <c r="J270" i="25" s="1"/>
  <c r="E230" i="25"/>
  <c r="E261" i="25"/>
  <c r="E268" i="25" s="1"/>
  <c r="C272" i="25"/>
  <c r="C269" i="25"/>
  <c r="C270" i="25"/>
  <c r="C271" i="25" s="1"/>
  <c r="H230" i="25"/>
  <c r="H232" i="25" s="1"/>
  <c r="H261" i="25"/>
  <c r="H268" i="25" s="1"/>
  <c r="H270" i="25" s="1"/>
  <c r="F230" i="25"/>
  <c r="F232" i="25" s="1"/>
  <c r="F261" i="25"/>
  <c r="F268" i="25" s="1"/>
  <c r="F270" i="25" s="1"/>
  <c r="E149" i="25"/>
  <c r="F149" i="25" s="1"/>
  <c r="G149" i="25" s="1"/>
  <c r="E152" i="25"/>
  <c r="H152" i="25"/>
  <c r="F152" i="25"/>
  <c r="G152" i="25"/>
  <c r="I223" i="25"/>
  <c r="L223" i="25"/>
  <c r="M223" i="25"/>
  <c r="K223" i="25"/>
  <c r="I150" i="25"/>
  <c r="K152" i="25"/>
  <c r="M152" i="25"/>
  <c r="L152" i="25"/>
  <c r="I152" i="25"/>
  <c r="J152" i="25"/>
  <c r="O623" i="25"/>
  <c r="N623" i="25"/>
  <c r="L133" i="25"/>
  <c r="L140" i="25" s="1"/>
  <c r="N133" i="25"/>
  <c r="N140" i="25" s="1"/>
  <c r="O133" i="25"/>
  <c r="O140" i="25" s="1"/>
  <c r="P133" i="25"/>
  <c r="P140" i="25" s="1"/>
  <c r="X466" i="16"/>
  <c r="X793" i="16" s="1"/>
  <c r="X790" i="16" s="1"/>
  <c r="U222" i="10"/>
  <c r="V81" i="22"/>
  <c r="V78" i="10" s="1"/>
  <c r="X122" i="18"/>
  <c r="X375" i="10" s="1"/>
  <c r="X433" i="10" s="1"/>
  <c r="W389" i="10"/>
  <c r="X100" i="18"/>
  <c r="W375" i="10"/>
  <c r="W125" i="18"/>
  <c r="W126" i="18" s="1"/>
  <c r="W226" i="10"/>
  <c r="W248" i="10"/>
  <c r="X248" i="10"/>
  <c r="W198" i="10"/>
  <c r="W197" i="10" s="1"/>
  <c r="W191" i="10" s="1"/>
  <c r="W345" i="10"/>
  <c r="W342" i="10" s="1"/>
  <c r="W341" i="10" s="1"/>
  <c r="W335" i="10" s="1"/>
  <c r="N408" i="10"/>
  <c r="M358" i="10"/>
  <c r="M357" i="10" s="1"/>
  <c r="M353" i="10" s="1"/>
  <c r="N266" i="10"/>
  <c r="M214" i="10"/>
  <c r="L240" i="10"/>
  <c r="L276" i="10"/>
  <c r="L239" i="10"/>
  <c r="N85" i="22"/>
  <c r="N87" i="22" s="1"/>
  <c r="N224" i="10" s="1"/>
  <c r="M220" i="10"/>
  <c r="M436" i="10"/>
  <c r="M422" i="10"/>
  <c r="M381" i="10"/>
  <c r="X389" i="10"/>
  <c r="D271" i="25" l="1"/>
  <c r="D233" i="25"/>
  <c r="M151" i="25"/>
  <c r="L151" i="25"/>
  <c r="J151" i="25"/>
  <c r="I151" i="25"/>
  <c r="K151" i="25"/>
  <c r="X109" i="10"/>
  <c r="X108" i="10" s="1"/>
  <c r="M135" i="10"/>
  <c r="M137" i="10"/>
  <c r="N40" i="10"/>
  <c r="N42" i="10" s="1"/>
  <c r="M125" i="10"/>
  <c r="M65" i="10"/>
  <c r="M124" i="10"/>
  <c r="F252" i="25"/>
  <c r="F253" i="25" s="1"/>
  <c r="F260" i="25" s="1"/>
  <c r="F276" i="25" s="1"/>
  <c r="F278" i="25" s="1"/>
  <c r="F133" i="25"/>
  <c r="F140" i="25" s="1"/>
  <c r="F156" i="25" s="1"/>
  <c r="F158" i="25" s="1"/>
  <c r="X47" i="10"/>
  <c r="W108" i="10"/>
  <c r="W396" i="10"/>
  <c r="W395" i="10" s="1"/>
  <c r="D272" i="25"/>
  <c r="D269" i="25"/>
  <c r="E269" i="25" s="1"/>
  <c r="F269" i="25" s="1"/>
  <c r="G269" i="25" s="1"/>
  <c r="H269" i="25" s="1"/>
  <c r="E272" i="25"/>
  <c r="P261" i="25"/>
  <c r="P268" i="25" s="1"/>
  <c r="P270" i="25" s="1"/>
  <c r="P230" i="25"/>
  <c r="P232" i="25" s="1"/>
  <c r="O624" i="25"/>
  <c r="O223" i="25" s="1"/>
  <c r="O230" i="25" s="1"/>
  <c r="O232" i="25" s="1"/>
  <c r="O141" i="25"/>
  <c r="O148" i="25" s="1"/>
  <c r="O150" i="25" s="1"/>
  <c r="G234" i="25"/>
  <c r="M230" i="25"/>
  <c r="M232" i="25" s="1"/>
  <c r="M261" i="25"/>
  <c r="M268" i="25" s="1"/>
  <c r="M270" i="25" s="1"/>
  <c r="E232" i="25"/>
  <c r="H233" i="25" s="1"/>
  <c r="E270" i="25"/>
  <c r="G271" i="25" s="1"/>
  <c r="L230" i="25"/>
  <c r="L232" i="25" s="1"/>
  <c r="L261" i="25"/>
  <c r="L268" i="25" s="1"/>
  <c r="L270" i="25" s="1"/>
  <c r="I230" i="25"/>
  <c r="I232" i="25" s="1"/>
  <c r="I261" i="25"/>
  <c r="I268" i="25" s="1"/>
  <c r="I270" i="25" s="1"/>
  <c r="E231" i="25"/>
  <c r="F231" i="25" s="1"/>
  <c r="G231" i="25" s="1"/>
  <c r="H231" i="25" s="1"/>
  <c r="F234" i="25"/>
  <c r="F272" i="25"/>
  <c r="E234" i="25"/>
  <c r="H234" i="25"/>
  <c r="K230" i="25"/>
  <c r="K232" i="25" s="1"/>
  <c r="K261" i="25"/>
  <c r="K268" i="25" s="1"/>
  <c r="K270" i="25" s="1"/>
  <c r="G272" i="25"/>
  <c r="H272" i="25"/>
  <c r="N624" i="25"/>
  <c r="N141" i="25"/>
  <c r="N148" i="25" s="1"/>
  <c r="P156" i="25"/>
  <c r="P158" i="25" s="1"/>
  <c r="G156" i="25"/>
  <c r="G158" i="25" s="1"/>
  <c r="E156" i="25"/>
  <c r="M156" i="25"/>
  <c r="M158" i="25" s="1"/>
  <c r="K156" i="25"/>
  <c r="K158" i="25" s="1"/>
  <c r="J156" i="25"/>
  <c r="J158" i="25" s="1"/>
  <c r="L156" i="25"/>
  <c r="L158" i="25" s="1"/>
  <c r="H156" i="25"/>
  <c r="I156" i="25"/>
  <c r="I158" i="25" s="1"/>
  <c r="C156" i="25"/>
  <c r="D160" i="25" s="1"/>
  <c r="O252" i="25"/>
  <c r="O253" i="25" s="1"/>
  <c r="O260" i="25" s="1"/>
  <c r="D252" i="25"/>
  <c r="D253" i="25" s="1"/>
  <c r="D260" i="25" s="1"/>
  <c r="P252" i="25"/>
  <c r="P253" i="25" s="1"/>
  <c r="P260" i="25" s="1"/>
  <c r="G252" i="25"/>
  <c r="G253" i="25" s="1"/>
  <c r="G260" i="25" s="1"/>
  <c r="L252" i="25"/>
  <c r="L253" i="25" s="1"/>
  <c r="L260" i="25" s="1"/>
  <c r="C252" i="25"/>
  <c r="C253" i="25" s="1"/>
  <c r="C260" i="25" s="1"/>
  <c r="E252" i="25"/>
  <c r="E253" i="25" s="1"/>
  <c r="E260" i="25" s="1"/>
  <c r="E276" i="25" s="1"/>
  <c r="M252" i="25"/>
  <c r="M253" i="25" s="1"/>
  <c r="M260" i="25" s="1"/>
  <c r="J252" i="25"/>
  <c r="J253" i="25" s="1"/>
  <c r="J260" i="25" s="1"/>
  <c r="I252" i="25"/>
  <c r="I253" i="25" s="1"/>
  <c r="I260" i="25" s="1"/>
  <c r="N252" i="25"/>
  <c r="N253" i="25" s="1"/>
  <c r="N260" i="25" s="1"/>
  <c r="K252" i="25"/>
  <c r="K253" i="25" s="1"/>
  <c r="K260" i="25" s="1"/>
  <c r="H252" i="25"/>
  <c r="H253" i="25" s="1"/>
  <c r="H260" i="25" s="1"/>
  <c r="H149" i="25"/>
  <c r="P150" i="25"/>
  <c r="F215" i="25"/>
  <c r="F222" i="25" s="1"/>
  <c r="F238" i="25" s="1"/>
  <c r="E215" i="25"/>
  <c r="E222" i="25" s="1"/>
  <c r="E238" i="25" s="1"/>
  <c r="M215" i="25"/>
  <c r="M222" i="25" s="1"/>
  <c r="M238" i="25" s="1"/>
  <c r="J215" i="25"/>
  <c r="J222" i="25" s="1"/>
  <c r="J238" i="25" s="1"/>
  <c r="I215" i="25"/>
  <c r="I222" i="25" s="1"/>
  <c r="I238" i="25" s="1"/>
  <c r="N215" i="25"/>
  <c r="N222" i="25" s="1"/>
  <c r="D215" i="25"/>
  <c r="D222" i="25" s="1"/>
  <c r="D238" i="25" s="1"/>
  <c r="K215" i="25"/>
  <c r="K222" i="25" s="1"/>
  <c r="K238" i="25" s="1"/>
  <c r="O215" i="25"/>
  <c r="O222" i="25" s="1"/>
  <c r="G215" i="25"/>
  <c r="G222" i="25" s="1"/>
  <c r="G238" i="25" s="1"/>
  <c r="L215" i="25"/>
  <c r="L222" i="25" s="1"/>
  <c r="L238" i="25" s="1"/>
  <c r="H215" i="25"/>
  <c r="H222" i="25" s="1"/>
  <c r="H238" i="25" s="1"/>
  <c r="P215" i="25"/>
  <c r="P222" i="25" s="1"/>
  <c r="C215" i="25"/>
  <c r="C222" i="25" s="1"/>
  <c r="X201" i="10"/>
  <c r="X345" i="10" s="1"/>
  <c r="X342" i="10" s="1"/>
  <c r="X341" i="10" s="1"/>
  <c r="X335" i="10" s="1"/>
  <c r="D158" i="25"/>
  <c r="V222" i="10"/>
  <c r="W81" i="22"/>
  <c r="W78" i="10" s="1"/>
  <c r="X374" i="10"/>
  <c r="X369" i="10" s="1"/>
  <c r="X125" i="18"/>
  <c r="X126" i="18" s="1"/>
  <c r="W374" i="10"/>
  <c r="W433" i="10"/>
  <c r="M411" i="10"/>
  <c r="M410" i="10"/>
  <c r="M213" i="10"/>
  <c r="N91" i="22"/>
  <c r="N93" i="22" s="1"/>
  <c r="N232" i="11" s="1"/>
  <c r="N237" i="11" s="1"/>
  <c r="N248" i="11" s="1"/>
  <c r="N178" i="10" s="1"/>
  <c r="M421" i="10"/>
  <c r="M423" i="10"/>
  <c r="M361" i="10"/>
  <c r="M428" i="10"/>
  <c r="M427" i="10"/>
  <c r="M238" i="10"/>
  <c r="M294" i="10"/>
  <c r="M280" i="10"/>
  <c r="E233" i="25" l="1"/>
  <c r="F271" i="25"/>
  <c r="E271" i="25"/>
  <c r="F233" i="25"/>
  <c r="I233" i="25"/>
  <c r="J233" i="25"/>
  <c r="G233" i="25"/>
  <c r="M233" i="25"/>
  <c r="K233" i="25"/>
  <c r="L233" i="25"/>
  <c r="M271" i="25"/>
  <c r="H271" i="25"/>
  <c r="L271" i="25"/>
  <c r="I271" i="25"/>
  <c r="J271" i="25"/>
  <c r="K271" i="25"/>
  <c r="O156" i="25"/>
  <c r="O158" i="25" s="1"/>
  <c r="O238" i="25"/>
  <c r="O240" i="25" s="1"/>
  <c r="P152" i="25"/>
  <c r="N81" i="10"/>
  <c r="N100" i="10"/>
  <c r="N99" i="10" s="1"/>
  <c r="N121" i="10" s="1"/>
  <c r="N123" i="10" s="1"/>
  <c r="N70" i="10" s="1"/>
  <c r="N69" i="10" s="1"/>
  <c r="M141" i="10"/>
  <c r="M73" i="10"/>
  <c r="M142" i="10"/>
  <c r="N131" i="10"/>
  <c r="N138" i="10"/>
  <c r="X396" i="10"/>
  <c r="X395" i="10" s="1"/>
  <c r="J234" i="25"/>
  <c r="I234" i="25"/>
  <c r="O261" i="25"/>
  <c r="O268" i="25" s="1"/>
  <c r="O270" i="25" s="1"/>
  <c r="J272" i="25"/>
  <c r="K234" i="25"/>
  <c r="I272" i="25"/>
  <c r="I269" i="25"/>
  <c r="J269" i="25" s="1"/>
  <c r="K269" i="25" s="1"/>
  <c r="L269" i="25" s="1"/>
  <c r="M269" i="25" s="1"/>
  <c r="L234" i="25"/>
  <c r="M234" i="25"/>
  <c r="L272" i="25"/>
  <c r="K272" i="25"/>
  <c r="M272" i="25"/>
  <c r="C157" i="25"/>
  <c r="D157" i="25" s="1"/>
  <c r="C160" i="25"/>
  <c r="O152" i="25"/>
  <c r="N223" i="25"/>
  <c r="N156" i="25"/>
  <c r="N158" i="25" s="1"/>
  <c r="N150" i="25"/>
  <c r="N152" i="25"/>
  <c r="P276" i="25"/>
  <c r="P278" i="25" s="1"/>
  <c r="P238" i="25"/>
  <c r="P240" i="25" s="1"/>
  <c r="I276" i="25"/>
  <c r="I278" i="25" s="1"/>
  <c r="D276" i="25"/>
  <c r="D278" i="25" s="1"/>
  <c r="M276" i="25"/>
  <c r="M278" i="25" s="1"/>
  <c r="J276" i="25"/>
  <c r="J278" i="25" s="1"/>
  <c r="H276" i="25"/>
  <c r="H278" i="25" s="1"/>
  <c r="L276" i="25"/>
  <c r="L278" i="25" s="1"/>
  <c r="K276" i="25"/>
  <c r="K278" i="25" s="1"/>
  <c r="G276" i="25"/>
  <c r="C276" i="25"/>
  <c r="C277" i="25" s="1"/>
  <c r="F240" i="25"/>
  <c r="D240" i="25"/>
  <c r="G160" i="25"/>
  <c r="E240" i="25"/>
  <c r="I240" i="25"/>
  <c r="H240" i="25"/>
  <c r="J240" i="25"/>
  <c r="L240" i="25"/>
  <c r="M240" i="25"/>
  <c r="G240" i="25"/>
  <c r="K240" i="25"/>
  <c r="C238" i="25"/>
  <c r="C242" i="25" s="1"/>
  <c r="C158" i="25"/>
  <c r="C159" i="25" s="1"/>
  <c r="E160" i="25"/>
  <c r="L160" i="25"/>
  <c r="I160" i="25"/>
  <c r="J160" i="25"/>
  <c r="H160" i="25"/>
  <c r="H158" i="25"/>
  <c r="K160" i="25"/>
  <c r="M160" i="25"/>
  <c r="E158" i="25"/>
  <c r="F160" i="25"/>
  <c r="E278" i="25"/>
  <c r="I231" i="25"/>
  <c r="I149" i="25"/>
  <c r="X198" i="10"/>
  <c r="X197" i="10" s="1"/>
  <c r="X191" i="10" s="1"/>
  <c r="W222" i="10"/>
  <c r="X81" i="22"/>
  <c r="X78" i="10" s="1"/>
  <c r="W369" i="10"/>
  <c r="W391" i="10"/>
  <c r="X391" i="10"/>
  <c r="M382" i="10"/>
  <c r="M383" i="10"/>
  <c r="M418" i="10"/>
  <c r="N322" i="10"/>
  <c r="N325" i="10" s="1"/>
  <c r="N327" i="10" s="1"/>
  <c r="N328" i="10" s="1"/>
  <c r="N330" i="10" s="1"/>
  <c r="N181" i="10"/>
  <c r="N183" i="10" s="1"/>
  <c r="N184" i="10" s="1"/>
  <c r="N186" i="10" s="1"/>
  <c r="M281" i="10"/>
  <c r="M279" i="10"/>
  <c r="M268" i="10"/>
  <c r="M209" i="10"/>
  <c r="M269" i="10"/>
  <c r="D159" i="25" l="1"/>
  <c r="E159" i="25"/>
  <c r="F159" i="25"/>
  <c r="O159" i="25"/>
  <c r="P159" i="25"/>
  <c r="N151" i="25"/>
  <c r="P151" i="25"/>
  <c r="O151" i="25"/>
  <c r="G159" i="25"/>
  <c r="M159" i="25"/>
  <c r="N159" i="25"/>
  <c r="I159" i="25"/>
  <c r="H159" i="25"/>
  <c r="J159" i="25"/>
  <c r="K159" i="25"/>
  <c r="L159" i="25"/>
  <c r="O21" i="22"/>
  <c r="O23" i="22" s="1"/>
  <c r="O80" i="10" s="1"/>
  <c r="N76" i="10"/>
  <c r="O122" i="10"/>
  <c r="M96" i="10"/>
  <c r="M95" i="10"/>
  <c r="M132" i="10"/>
  <c r="O276" i="25"/>
  <c r="O278" i="25" s="1"/>
  <c r="D277" i="25"/>
  <c r="E277" i="25" s="1"/>
  <c r="F277" i="25" s="1"/>
  <c r="G277" i="25" s="1"/>
  <c r="H277" i="25" s="1"/>
  <c r="I277" i="25" s="1"/>
  <c r="J277" i="25" s="1"/>
  <c r="K277" i="25" s="1"/>
  <c r="L277" i="25" s="1"/>
  <c r="M277" i="25" s="1"/>
  <c r="N238" i="25"/>
  <c r="N240" i="25" s="1"/>
  <c r="N261" i="25"/>
  <c r="D280" i="25"/>
  <c r="C239" i="25"/>
  <c r="D239" i="25" s="1"/>
  <c r="D242" i="25"/>
  <c r="C280" i="25"/>
  <c r="O160" i="25"/>
  <c r="P160" i="25"/>
  <c r="N160" i="25"/>
  <c r="N230" i="25"/>
  <c r="F280" i="25"/>
  <c r="E280" i="25"/>
  <c r="C278" i="25"/>
  <c r="C279" i="25" s="1"/>
  <c r="G278" i="25"/>
  <c r="K280" i="25"/>
  <c r="G280" i="25"/>
  <c r="I280" i="25"/>
  <c r="I242" i="25"/>
  <c r="C240" i="25"/>
  <c r="C241" i="25" s="1"/>
  <c r="L280" i="25"/>
  <c r="M280" i="25"/>
  <c r="J280" i="25"/>
  <c r="H280" i="25"/>
  <c r="J242" i="25"/>
  <c r="G242" i="25"/>
  <c r="H242" i="25"/>
  <c r="M242" i="25"/>
  <c r="E242" i="25"/>
  <c r="K242" i="25"/>
  <c r="L242" i="25"/>
  <c r="F242" i="25"/>
  <c r="J231" i="25"/>
  <c r="J149" i="25"/>
  <c r="E157" i="25"/>
  <c r="X222" i="10"/>
  <c r="N368" i="10"/>
  <c r="N364" i="10" s="1"/>
  <c r="N417" i="10"/>
  <c r="N387" i="10"/>
  <c r="N386" i="10" s="1"/>
  <c r="N407" i="10" s="1"/>
  <c r="N409" i="10" s="1"/>
  <c r="N424" i="10"/>
  <c r="N491" i="10"/>
  <c r="O494" i="10" s="1"/>
  <c r="O367" i="10" s="1"/>
  <c r="N244" i="10"/>
  <c r="N243" i="10" s="1"/>
  <c r="N265" i="10" s="1"/>
  <c r="N267" i="10" s="1"/>
  <c r="N225" i="10"/>
  <c r="N282" i="10"/>
  <c r="N275" i="10"/>
  <c r="M286" i="10"/>
  <c r="M217" i="10"/>
  <c r="M285" i="10"/>
  <c r="D279" i="25" l="1"/>
  <c r="E279" i="25"/>
  <c r="F279" i="25"/>
  <c r="G241" i="25"/>
  <c r="D241" i="25"/>
  <c r="E241" i="25"/>
  <c r="F241" i="25"/>
  <c r="O241" i="25"/>
  <c r="P241" i="25"/>
  <c r="G279" i="25"/>
  <c r="M279" i="25"/>
  <c r="L279" i="25"/>
  <c r="H279" i="25"/>
  <c r="I279" i="25"/>
  <c r="J279" i="25"/>
  <c r="K279" i="25"/>
  <c r="N241" i="25"/>
  <c r="H241" i="25"/>
  <c r="I241" i="25"/>
  <c r="K241" i="25"/>
  <c r="J241" i="25"/>
  <c r="M241" i="25"/>
  <c r="L241" i="25"/>
  <c r="O242" i="25"/>
  <c r="O79" i="22"/>
  <c r="O27" i="22"/>
  <c r="O29" i="22" s="1"/>
  <c r="O105" i="11" s="1"/>
  <c r="O110" i="11" s="1"/>
  <c r="O121" i="11" s="1"/>
  <c r="N150" i="10"/>
  <c r="N94" i="10"/>
  <c r="N135" i="10" s="1"/>
  <c r="N136" i="10"/>
  <c r="N242" i="25"/>
  <c r="P242" i="25"/>
  <c r="N268" i="25"/>
  <c r="N276" i="25"/>
  <c r="N232" i="25"/>
  <c r="P234" i="25"/>
  <c r="O234" i="25"/>
  <c r="N234" i="25"/>
  <c r="K231" i="25"/>
  <c r="F157" i="25"/>
  <c r="K149" i="25"/>
  <c r="E239" i="25"/>
  <c r="N381" i="10"/>
  <c r="N422" i="10"/>
  <c r="N436" i="10"/>
  <c r="N220" i="10"/>
  <c r="O85" i="22"/>
  <c r="O87" i="22" s="1"/>
  <c r="O224" i="10" s="1"/>
  <c r="O266" i="10"/>
  <c r="N214" i="10"/>
  <c r="M240" i="10"/>
  <c r="M276" i="10"/>
  <c r="M239" i="10"/>
  <c r="N358" i="10"/>
  <c r="N357" i="10" s="1"/>
  <c r="O408" i="10"/>
  <c r="N233" i="25" l="1"/>
  <c r="P233" i="25"/>
  <c r="O233" i="25"/>
  <c r="N137" i="10"/>
  <c r="N65" i="10"/>
  <c r="N124" i="10"/>
  <c r="N125" i="10"/>
  <c r="O34" i="10"/>
  <c r="O37" i="10" s="1"/>
  <c r="O39" i="10" s="1"/>
  <c r="N278" i="25"/>
  <c r="O280" i="25"/>
  <c r="N280" i="25"/>
  <c r="P280" i="25"/>
  <c r="N270" i="25"/>
  <c r="N269" i="25"/>
  <c r="O269" i="25" s="1"/>
  <c r="P269" i="25" s="1"/>
  <c r="P272" i="25"/>
  <c r="N272" i="25"/>
  <c r="O272" i="25"/>
  <c r="N277" i="25"/>
  <c r="O277" i="25" s="1"/>
  <c r="P277" i="25" s="1"/>
  <c r="F239" i="25"/>
  <c r="L231" i="25"/>
  <c r="G157" i="25"/>
  <c r="L149" i="25"/>
  <c r="N280" i="10"/>
  <c r="N294" i="10"/>
  <c r="N238" i="10"/>
  <c r="N421" i="10"/>
  <c r="N423" i="10"/>
  <c r="N213" i="10"/>
  <c r="O91" i="22"/>
  <c r="O93" i="22" s="1"/>
  <c r="O232" i="11" s="1"/>
  <c r="O237" i="11" s="1"/>
  <c r="O248" i="11" s="1"/>
  <c r="O178" i="10" s="1"/>
  <c r="N353" i="10"/>
  <c r="N411" i="10"/>
  <c r="N410" i="10"/>
  <c r="N271" i="25" l="1"/>
  <c r="P271" i="25"/>
  <c r="O271" i="25"/>
  <c r="N279" i="25"/>
  <c r="O279" i="25"/>
  <c r="P279" i="25"/>
  <c r="O40" i="10"/>
  <c r="O42" i="10" s="1"/>
  <c r="N141" i="10"/>
  <c r="N142" i="10"/>
  <c r="N73" i="10"/>
  <c r="G239" i="25"/>
  <c r="M231" i="25"/>
  <c r="H157" i="25"/>
  <c r="M149" i="25"/>
  <c r="O181" i="10"/>
  <c r="O183" i="10" s="1"/>
  <c r="O184" i="10" s="1"/>
  <c r="O186" i="10" s="1"/>
  <c r="O322" i="10"/>
  <c r="O325" i="10" s="1"/>
  <c r="O327" i="10" s="1"/>
  <c r="O328" i="10" s="1"/>
  <c r="O330" i="10" s="1"/>
  <c r="N269" i="10"/>
  <c r="N268" i="10"/>
  <c r="N209" i="10"/>
  <c r="N279" i="10"/>
  <c r="N281" i="10"/>
  <c r="N427" i="10"/>
  <c r="N428" i="10"/>
  <c r="N361" i="10"/>
  <c r="O81" i="10" l="1"/>
  <c r="O100" i="10"/>
  <c r="O99" i="10" s="1"/>
  <c r="O121" i="10" s="1"/>
  <c r="O123" i="10" s="1"/>
  <c r="O70" i="10" s="1"/>
  <c r="O69" i="10" s="1"/>
  <c r="O138" i="10"/>
  <c r="O131" i="10"/>
  <c r="N132" i="10"/>
  <c r="N96" i="10"/>
  <c r="N95" i="10"/>
  <c r="H239" i="25"/>
  <c r="N231" i="25"/>
  <c r="I157" i="25"/>
  <c r="N149" i="25"/>
  <c r="N285" i="10"/>
  <c r="N217" i="10"/>
  <c r="N286" i="10"/>
  <c r="O275" i="10"/>
  <c r="O282" i="10"/>
  <c r="O244" i="10"/>
  <c r="O243" i="10" s="1"/>
  <c r="O265" i="10" s="1"/>
  <c r="O267" i="10" s="1"/>
  <c r="O225" i="10"/>
  <c r="N383" i="10"/>
  <c r="N418" i="10"/>
  <c r="N382" i="10"/>
  <c r="O424" i="10"/>
  <c r="O368" i="10"/>
  <c r="O364" i="10" s="1"/>
  <c r="O387" i="10"/>
  <c r="O386" i="10" s="1"/>
  <c r="O407" i="10" s="1"/>
  <c r="O409" i="10" s="1"/>
  <c r="O417" i="10"/>
  <c r="O491" i="10"/>
  <c r="P494" i="10" s="1"/>
  <c r="P367" i="10" s="1"/>
  <c r="P122" i="10" l="1"/>
  <c r="O76" i="10"/>
  <c r="P21" i="22"/>
  <c r="P23" i="22" s="1"/>
  <c r="P80" i="10" s="1"/>
  <c r="I239" i="25"/>
  <c r="O231" i="25"/>
  <c r="J157" i="25"/>
  <c r="O149" i="25"/>
  <c r="O220" i="10"/>
  <c r="P85" i="22"/>
  <c r="P87" i="22" s="1"/>
  <c r="P224" i="10" s="1"/>
  <c r="O358" i="10"/>
  <c r="O357" i="10" s="1"/>
  <c r="O353" i="10" s="1"/>
  <c r="P408" i="10"/>
  <c r="P266" i="10"/>
  <c r="O214" i="10"/>
  <c r="O422" i="10"/>
  <c r="O436" i="10"/>
  <c r="O381" i="10"/>
  <c r="O423" i="10" s="1"/>
  <c r="N240" i="10"/>
  <c r="N276" i="10"/>
  <c r="N239" i="10"/>
  <c r="O150" i="10" l="1"/>
  <c r="O136" i="10"/>
  <c r="O94" i="10"/>
  <c r="P27" i="22"/>
  <c r="P29" i="22" s="1"/>
  <c r="P105" i="11" s="1"/>
  <c r="P110" i="11" s="1"/>
  <c r="P121" i="11" s="1"/>
  <c r="P79" i="22"/>
  <c r="J239" i="25"/>
  <c r="P231" i="25"/>
  <c r="K157" i="25"/>
  <c r="P149" i="25"/>
  <c r="O421" i="10"/>
  <c r="P91" i="22"/>
  <c r="P93" i="22" s="1"/>
  <c r="P232" i="11" s="1"/>
  <c r="P237" i="11" s="1"/>
  <c r="P248" i="11" s="1"/>
  <c r="P178" i="10" s="1"/>
  <c r="O213" i="10"/>
  <c r="O427" i="10"/>
  <c r="O361" i="10"/>
  <c r="O428" i="10"/>
  <c r="O411" i="10"/>
  <c r="O238" i="10"/>
  <c r="O280" i="10"/>
  <c r="O294" i="10"/>
  <c r="O410" i="10"/>
  <c r="O65" i="10" l="1"/>
  <c r="O124" i="10"/>
  <c r="O125" i="10"/>
  <c r="P34" i="10"/>
  <c r="P37" i="10" s="1"/>
  <c r="P39" i="10" s="1"/>
  <c r="O135" i="10"/>
  <c r="O137" i="10"/>
  <c r="K239" i="25"/>
  <c r="L157" i="25"/>
  <c r="O281" i="10"/>
  <c r="O279" i="10"/>
  <c r="O418" i="10"/>
  <c r="O383" i="10"/>
  <c r="O382" i="10"/>
  <c r="O269" i="10"/>
  <c r="O209" i="10"/>
  <c r="O268" i="10"/>
  <c r="P181" i="10"/>
  <c r="P183" i="10" s="1"/>
  <c r="P184" i="10" s="1"/>
  <c r="P186" i="10" s="1"/>
  <c r="P40" i="10" l="1"/>
  <c r="P42" i="10" s="1"/>
  <c r="P322" i="10"/>
  <c r="P325" i="10" s="1"/>
  <c r="P327" i="10" s="1"/>
  <c r="P328" i="10" s="1"/>
  <c r="P330" i="10" s="1"/>
  <c r="P491" i="10" s="1"/>
  <c r="Q494" i="10" s="1"/>
  <c r="Q367" i="10" s="1"/>
  <c r="O73" i="10"/>
  <c r="O142" i="10"/>
  <c r="O141" i="10"/>
  <c r="L239" i="25"/>
  <c r="M157" i="25"/>
  <c r="O285" i="10"/>
  <c r="O286" i="10"/>
  <c r="O217" i="10"/>
  <c r="P244" i="10"/>
  <c r="P243" i="10" s="1"/>
  <c r="P265" i="10" s="1"/>
  <c r="P267" i="10" s="1"/>
  <c r="P275" i="10"/>
  <c r="P282" i="10"/>
  <c r="P225" i="10"/>
  <c r="P81" i="10" l="1"/>
  <c r="P100" i="10"/>
  <c r="P99" i="10" s="1"/>
  <c r="P121" i="10" s="1"/>
  <c r="P123" i="10" s="1"/>
  <c r="P70" i="10" s="1"/>
  <c r="P69" i="10" s="1"/>
  <c r="P424" i="10"/>
  <c r="P368" i="10"/>
  <c r="P364" i="10" s="1"/>
  <c r="P436" i="10" s="1"/>
  <c r="P387" i="10"/>
  <c r="P386" i="10" s="1"/>
  <c r="P407" i="10" s="1"/>
  <c r="P409" i="10" s="1"/>
  <c r="P358" i="10" s="1"/>
  <c r="P357" i="10" s="1"/>
  <c r="P353" i="10" s="1"/>
  <c r="P417" i="10"/>
  <c r="O96" i="10"/>
  <c r="O132" i="10"/>
  <c r="O95" i="10"/>
  <c r="P131" i="10"/>
  <c r="P138" i="10"/>
  <c r="M239" i="25"/>
  <c r="N157" i="25"/>
  <c r="Q266" i="10"/>
  <c r="P214" i="10"/>
  <c r="O240" i="10"/>
  <c r="O276" i="10"/>
  <c r="O239" i="10"/>
  <c r="Q85" i="22"/>
  <c r="Q87" i="22" s="1"/>
  <c r="Q224" i="10" s="1"/>
  <c r="P220" i="10"/>
  <c r="P381" i="10" l="1"/>
  <c r="P423" i="10" s="1"/>
  <c r="P422" i="10"/>
  <c r="Q408" i="10"/>
  <c r="Q122" i="10"/>
  <c r="P76" i="10"/>
  <c r="Q21" i="22"/>
  <c r="Q23" i="22" s="1"/>
  <c r="Q80" i="10" s="1"/>
  <c r="N239" i="25"/>
  <c r="O157" i="25"/>
  <c r="P411" i="10"/>
  <c r="P294" i="10"/>
  <c r="P280" i="10"/>
  <c r="P238" i="10"/>
  <c r="P281" i="10" s="1"/>
  <c r="P213" i="10"/>
  <c r="Q91" i="22"/>
  <c r="Q93" i="22" s="1"/>
  <c r="Q232" i="11" s="1"/>
  <c r="Q237" i="11" s="1"/>
  <c r="Q248" i="11" s="1"/>
  <c r="Q178" i="10" s="1"/>
  <c r="P428" i="10"/>
  <c r="P361" i="10"/>
  <c r="P427" i="10"/>
  <c r="P410" i="10"/>
  <c r="P421" i="10" l="1"/>
  <c r="P94" i="10"/>
  <c r="P136" i="10"/>
  <c r="P150" i="10"/>
  <c r="Q79" i="22"/>
  <c r="Q27" i="22"/>
  <c r="Q29" i="22" s="1"/>
  <c r="Q105" i="11" s="1"/>
  <c r="Q110" i="11" s="1"/>
  <c r="Q121" i="11" s="1"/>
  <c r="O239" i="25"/>
  <c r="P157" i="25"/>
  <c r="P418" i="10"/>
  <c r="P382" i="10"/>
  <c r="P383" i="10"/>
  <c r="P269" i="10"/>
  <c r="P268" i="10"/>
  <c r="P209" i="10"/>
  <c r="Q181" i="10"/>
  <c r="Q183" i="10" s="1"/>
  <c r="Q184" i="10" s="1"/>
  <c r="Q186" i="10" s="1"/>
  <c r="P279" i="10"/>
  <c r="Q34" i="10" l="1"/>
  <c r="P65" i="10"/>
  <c r="P124" i="10"/>
  <c r="P125" i="10"/>
  <c r="P135" i="10"/>
  <c r="P137" i="10"/>
  <c r="P239" i="25"/>
  <c r="Q282" i="10"/>
  <c r="Q225" i="10"/>
  <c r="Q244" i="10"/>
  <c r="Q243" i="10" s="1"/>
  <c r="Q265" i="10" s="1"/>
  <c r="Q267" i="10" s="1"/>
  <c r="Q275" i="10"/>
  <c r="P217" i="10"/>
  <c r="P286" i="10"/>
  <c r="P285" i="10"/>
  <c r="P142" i="10" l="1"/>
  <c r="P141" i="10"/>
  <c r="P73" i="10"/>
  <c r="Q37" i="10"/>
  <c r="Q39" i="10" s="1"/>
  <c r="Q322" i="10"/>
  <c r="Q325" i="10" s="1"/>
  <c r="Q327" i="10" s="1"/>
  <c r="Q328" i="10" s="1"/>
  <c r="Q330" i="10" s="1"/>
  <c r="Q214" i="10"/>
  <c r="R266" i="10"/>
  <c r="P240" i="10"/>
  <c r="P276" i="10"/>
  <c r="P239" i="10"/>
  <c r="R85" i="22"/>
  <c r="R87" i="22" s="1"/>
  <c r="R224" i="10" s="1"/>
  <c r="Q220" i="10"/>
  <c r="Q424" i="10" l="1"/>
  <c r="Q491" i="10"/>
  <c r="R494" i="10" s="1"/>
  <c r="R367" i="10" s="1"/>
  <c r="Q368" i="10"/>
  <c r="Q364" i="10" s="1"/>
  <c r="Q387" i="10"/>
  <c r="Q386" i="10" s="1"/>
  <c r="Q407" i="10" s="1"/>
  <c r="Q409" i="10" s="1"/>
  <c r="Q417" i="10"/>
  <c r="Q40" i="10"/>
  <c r="Q42" i="10" s="1"/>
  <c r="P96" i="10"/>
  <c r="P132" i="10"/>
  <c r="P95" i="10"/>
  <c r="Q213" i="10"/>
  <c r="R91" i="22"/>
  <c r="R93" i="22" s="1"/>
  <c r="R232" i="11" s="1"/>
  <c r="R237" i="11" s="1"/>
  <c r="R248" i="11" s="1"/>
  <c r="R178" i="10" s="1"/>
  <c r="Q294" i="10"/>
  <c r="Q238" i="10"/>
  <c r="Q281" i="10" s="1"/>
  <c r="Q280" i="10"/>
  <c r="Q81" i="10" l="1"/>
  <c r="Q100" i="10"/>
  <c r="Q99" i="10" s="1"/>
  <c r="Q121" i="10" s="1"/>
  <c r="Q123" i="10" s="1"/>
  <c r="Q70" i="10" s="1"/>
  <c r="Q69" i="10" s="1"/>
  <c r="Q131" i="10"/>
  <c r="Q138" i="10"/>
  <c r="Q436" i="10"/>
  <c r="Q422" i="10"/>
  <c r="Q381" i="10"/>
  <c r="Q358" i="10"/>
  <c r="Q357" i="10" s="1"/>
  <c r="Q353" i="10" s="1"/>
  <c r="R408" i="10"/>
  <c r="Q279" i="10"/>
  <c r="R181" i="10"/>
  <c r="R183" i="10" s="1"/>
  <c r="R184" i="10" s="1"/>
  <c r="R186" i="10" s="1"/>
  <c r="Q268" i="10"/>
  <c r="Q269" i="10"/>
  <c r="Q209" i="10"/>
  <c r="Q410" i="10" l="1"/>
  <c r="Q411" i="10"/>
  <c r="R122" i="10"/>
  <c r="Q428" i="10"/>
  <c r="Q427" i="10"/>
  <c r="Q361" i="10"/>
  <c r="R21" i="22"/>
  <c r="R23" i="22" s="1"/>
  <c r="R80" i="10" s="1"/>
  <c r="Q76" i="10"/>
  <c r="Q421" i="10"/>
  <c r="Q423" i="10"/>
  <c r="Q217" i="10"/>
  <c r="Q285" i="10"/>
  <c r="Q286" i="10"/>
  <c r="R275" i="10"/>
  <c r="R225" i="10"/>
  <c r="R282" i="10"/>
  <c r="R244" i="10"/>
  <c r="R243" i="10" s="1"/>
  <c r="R265" i="10" s="1"/>
  <c r="R267" i="10" s="1"/>
  <c r="Q418" i="10" l="1"/>
  <c r="Q383" i="10"/>
  <c r="Q382" i="10"/>
  <c r="R27" i="22"/>
  <c r="R29" i="22" s="1"/>
  <c r="R105" i="11" s="1"/>
  <c r="R110" i="11" s="1"/>
  <c r="R121" i="11" s="1"/>
  <c r="R34" i="10" s="1"/>
  <c r="R79" i="22"/>
  <c r="Q150" i="10"/>
  <c r="Q94" i="10"/>
  <c r="Q136" i="10"/>
  <c r="R214" i="10"/>
  <c r="S266" i="10"/>
  <c r="R220" i="10"/>
  <c r="S85" i="22"/>
  <c r="S87" i="22" s="1"/>
  <c r="S224" i="10" s="1"/>
  <c r="Q240" i="10"/>
  <c r="Q276" i="10"/>
  <c r="Q239" i="10"/>
  <c r="Q65" i="10" l="1"/>
  <c r="Q125" i="10"/>
  <c r="Q124" i="10"/>
  <c r="R37" i="10"/>
  <c r="R39" i="10" s="1"/>
  <c r="R322" i="10"/>
  <c r="R325" i="10" s="1"/>
  <c r="R327" i="10" s="1"/>
  <c r="R328" i="10" s="1"/>
  <c r="R330" i="10" s="1"/>
  <c r="Q135" i="10"/>
  <c r="Q137" i="10"/>
  <c r="S91" i="22"/>
  <c r="S93" i="22" s="1"/>
  <c r="S232" i="11" s="1"/>
  <c r="S237" i="11" s="1"/>
  <c r="S248" i="11" s="1"/>
  <c r="S178" i="10" s="1"/>
  <c r="R213" i="10"/>
  <c r="R294" i="10"/>
  <c r="R238" i="10"/>
  <c r="R281" i="10" s="1"/>
  <c r="R280" i="10"/>
  <c r="R368" i="10" l="1"/>
  <c r="R364" i="10" s="1"/>
  <c r="R491" i="10"/>
  <c r="S494" i="10" s="1"/>
  <c r="S367" i="10" s="1"/>
  <c r="R417" i="10"/>
  <c r="R387" i="10"/>
  <c r="R386" i="10" s="1"/>
  <c r="R407" i="10" s="1"/>
  <c r="R409" i="10" s="1"/>
  <c r="R424" i="10"/>
  <c r="R40" i="10"/>
  <c r="R42" i="10" s="1"/>
  <c r="Q73" i="10"/>
  <c r="Q142" i="10"/>
  <c r="Q141" i="10"/>
  <c r="R279" i="10"/>
  <c r="R268" i="10"/>
  <c r="R269" i="10"/>
  <c r="R209" i="10"/>
  <c r="S181" i="10"/>
  <c r="S183" i="10" s="1"/>
  <c r="S184" i="10" s="1"/>
  <c r="S186" i="10" s="1"/>
  <c r="R81" i="10" l="1"/>
  <c r="R100" i="10"/>
  <c r="R99" i="10" s="1"/>
  <c r="R121" i="10" s="1"/>
  <c r="R123" i="10" s="1"/>
  <c r="R70" i="10" s="1"/>
  <c r="R69" i="10" s="1"/>
  <c r="R138" i="10"/>
  <c r="R131" i="10"/>
  <c r="Q96" i="10"/>
  <c r="Q132" i="10"/>
  <c r="Q95" i="10"/>
  <c r="S408" i="10"/>
  <c r="R358" i="10"/>
  <c r="R357" i="10" s="1"/>
  <c r="R353" i="10" s="1"/>
  <c r="R381" i="10"/>
  <c r="R423" i="10" s="1"/>
  <c r="R436" i="10"/>
  <c r="R422" i="10"/>
  <c r="S282" i="10"/>
  <c r="S244" i="10"/>
  <c r="S243" i="10" s="1"/>
  <c r="S265" i="10" s="1"/>
  <c r="S267" i="10" s="1"/>
  <c r="S225" i="10"/>
  <c r="S275" i="10"/>
  <c r="R217" i="10"/>
  <c r="R286" i="10"/>
  <c r="R285" i="10"/>
  <c r="R411" i="10" l="1"/>
  <c r="R421" i="10"/>
  <c r="S21" i="22"/>
  <c r="S23" i="22" s="1"/>
  <c r="S80" i="10" s="1"/>
  <c r="R76" i="10"/>
  <c r="R410" i="10"/>
  <c r="R361" i="10"/>
  <c r="R428" i="10"/>
  <c r="R427" i="10"/>
  <c r="S122" i="10"/>
  <c r="T85" i="22"/>
  <c r="T87" i="22" s="1"/>
  <c r="T224" i="10" s="1"/>
  <c r="S220" i="10"/>
  <c r="R240" i="10"/>
  <c r="R276" i="10"/>
  <c r="R239" i="10"/>
  <c r="S214" i="10"/>
  <c r="T266" i="10"/>
  <c r="S79" i="22" l="1"/>
  <c r="S27" i="22"/>
  <c r="S29" i="22" s="1"/>
  <c r="S105" i="11" s="1"/>
  <c r="S110" i="11" s="1"/>
  <c r="S121" i="11" s="1"/>
  <c r="R382" i="10"/>
  <c r="R383" i="10"/>
  <c r="R418" i="10"/>
  <c r="R94" i="10"/>
  <c r="R150" i="10"/>
  <c r="R136" i="10"/>
  <c r="S280" i="10"/>
  <c r="S294" i="10"/>
  <c r="S238" i="10"/>
  <c r="S281" i="10" s="1"/>
  <c r="T91" i="22"/>
  <c r="T93" i="22" s="1"/>
  <c r="T232" i="11" s="1"/>
  <c r="T237" i="11" s="1"/>
  <c r="T248" i="11" s="1"/>
  <c r="T178" i="10" s="1"/>
  <c r="S213" i="10"/>
  <c r="R137" i="10" l="1"/>
  <c r="S34" i="10"/>
  <c r="R135" i="10"/>
  <c r="R65" i="10"/>
  <c r="R124" i="10"/>
  <c r="R125" i="10"/>
  <c r="T181" i="10"/>
  <c r="T183" i="10" s="1"/>
  <c r="T184" i="10" s="1"/>
  <c r="T186" i="10" s="1"/>
  <c r="S209" i="10"/>
  <c r="S269" i="10"/>
  <c r="S268" i="10"/>
  <c r="S279" i="10"/>
  <c r="R73" i="10" l="1"/>
  <c r="R142" i="10"/>
  <c r="R141" i="10"/>
  <c r="S37" i="10"/>
  <c r="S39" i="10" s="1"/>
  <c r="S322" i="10"/>
  <c r="S325" i="10" s="1"/>
  <c r="S327" i="10" s="1"/>
  <c r="S328" i="10" s="1"/>
  <c r="S330" i="10" s="1"/>
  <c r="S286" i="10"/>
  <c r="S217" i="10"/>
  <c r="S285" i="10"/>
  <c r="T225" i="10"/>
  <c r="T282" i="10"/>
  <c r="T275" i="10"/>
  <c r="T244" i="10"/>
  <c r="T243" i="10" s="1"/>
  <c r="T265" i="10" s="1"/>
  <c r="T267" i="10" s="1"/>
  <c r="S424" i="10" l="1"/>
  <c r="S368" i="10"/>
  <c r="S364" i="10" s="1"/>
  <c r="S491" i="10"/>
  <c r="T494" i="10" s="1"/>
  <c r="T367" i="10" s="1"/>
  <c r="S417" i="10"/>
  <c r="S387" i="10"/>
  <c r="S386" i="10" s="1"/>
  <c r="S407" i="10" s="1"/>
  <c r="S409" i="10" s="1"/>
  <c r="S40" i="10"/>
  <c r="S42" i="10" s="1"/>
  <c r="R96" i="10"/>
  <c r="R132" i="10"/>
  <c r="R95" i="10"/>
  <c r="T214" i="10"/>
  <c r="U266" i="10"/>
  <c r="U85" i="22"/>
  <c r="U87" i="22" s="1"/>
  <c r="U224" i="10" s="1"/>
  <c r="T220" i="10"/>
  <c r="S240" i="10"/>
  <c r="S276" i="10"/>
  <c r="S239" i="10"/>
  <c r="S81" i="10" l="1"/>
  <c r="S100" i="10"/>
  <c r="S99" i="10" s="1"/>
  <c r="S121" i="10" s="1"/>
  <c r="S123" i="10" s="1"/>
  <c r="S70" i="10" s="1"/>
  <c r="S69" i="10" s="1"/>
  <c r="S138" i="10"/>
  <c r="S131" i="10"/>
  <c r="T408" i="10"/>
  <c r="S358" i="10"/>
  <c r="S357" i="10" s="1"/>
  <c r="S353" i="10" s="1"/>
  <c r="S436" i="10"/>
  <c r="S422" i="10"/>
  <c r="S381" i="10"/>
  <c r="S423" i="10" s="1"/>
  <c r="T238" i="10"/>
  <c r="T281" i="10" s="1"/>
  <c r="T280" i="10"/>
  <c r="T294" i="10"/>
  <c r="T213" i="10"/>
  <c r="U91" i="22"/>
  <c r="U93" i="22" s="1"/>
  <c r="U232" i="11" s="1"/>
  <c r="U237" i="11" s="1"/>
  <c r="U248" i="11" s="1"/>
  <c r="U178" i="10" s="1"/>
  <c r="S421" i="10" l="1"/>
  <c r="S427" i="10"/>
  <c r="S361" i="10"/>
  <c r="S428" i="10"/>
  <c r="S410" i="10"/>
  <c r="T21" i="22"/>
  <c r="T23" i="22" s="1"/>
  <c r="T80" i="10" s="1"/>
  <c r="S76" i="10"/>
  <c r="T122" i="10"/>
  <c r="S411" i="10"/>
  <c r="T279" i="10"/>
  <c r="U181" i="10"/>
  <c r="U183" i="10" s="1"/>
  <c r="U184" i="10" s="1"/>
  <c r="U186" i="10" s="1"/>
  <c r="T209" i="10"/>
  <c r="T269" i="10"/>
  <c r="T268" i="10"/>
  <c r="T27" i="22" l="1"/>
  <c r="T29" i="22" s="1"/>
  <c r="T105" i="11" s="1"/>
  <c r="T110" i="11" s="1"/>
  <c r="T121" i="11" s="1"/>
  <c r="T79" i="22"/>
  <c r="S136" i="10"/>
  <c r="S94" i="10"/>
  <c r="S150" i="10"/>
  <c r="S382" i="10"/>
  <c r="S383" i="10"/>
  <c r="S418" i="10"/>
  <c r="T286" i="10"/>
  <c r="T285" i="10"/>
  <c r="T217" i="10"/>
  <c r="U244" i="10"/>
  <c r="U243" i="10" s="1"/>
  <c r="U265" i="10" s="1"/>
  <c r="U267" i="10" s="1"/>
  <c r="U225" i="10"/>
  <c r="U275" i="10"/>
  <c r="U282" i="10"/>
  <c r="S135" i="10" l="1"/>
  <c r="S137" i="10"/>
  <c r="T34" i="10"/>
  <c r="S65" i="10"/>
  <c r="S124" i="10"/>
  <c r="S125" i="10"/>
  <c r="V266" i="10"/>
  <c r="U214" i="10"/>
  <c r="V85" i="22"/>
  <c r="V87" i="22" s="1"/>
  <c r="V224" i="10" s="1"/>
  <c r="U220" i="10"/>
  <c r="T240" i="10"/>
  <c r="T276" i="10"/>
  <c r="T239" i="10"/>
  <c r="S73" i="10" l="1"/>
  <c r="S142" i="10"/>
  <c r="S141" i="10"/>
  <c r="T37" i="10"/>
  <c r="T39" i="10" s="1"/>
  <c r="T322" i="10"/>
  <c r="T325" i="10" s="1"/>
  <c r="T327" i="10" s="1"/>
  <c r="T328" i="10" s="1"/>
  <c r="T330" i="10" s="1"/>
  <c r="U238" i="10"/>
  <c r="U281" i="10" s="1"/>
  <c r="U294" i="10"/>
  <c r="U280" i="10"/>
  <c r="V91" i="22"/>
  <c r="V93" i="22" s="1"/>
  <c r="V232" i="11" s="1"/>
  <c r="V237" i="11" s="1"/>
  <c r="V248" i="11" s="1"/>
  <c r="V178" i="10" s="1"/>
  <c r="U213" i="10"/>
  <c r="T40" i="10" l="1"/>
  <c r="T42" i="10" s="1"/>
  <c r="T368" i="10"/>
  <c r="T364" i="10" s="1"/>
  <c r="T424" i="10"/>
  <c r="T387" i="10"/>
  <c r="T386" i="10" s="1"/>
  <c r="T407" i="10" s="1"/>
  <c r="T409" i="10" s="1"/>
  <c r="T491" i="10"/>
  <c r="U494" i="10" s="1"/>
  <c r="U367" i="10" s="1"/>
  <c r="T417" i="10"/>
  <c r="S96" i="10"/>
  <c r="S132" i="10"/>
  <c r="S95" i="10"/>
  <c r="U279" i="10"/>
  <c r="U209" i="10"/>
  <c r="U268" i="10"/>
  <c r="U269" i="10"/>
  <c r="V181" i="10"/>
  <c r="V183" i="10" s="1"/>
  <c r="V184" i="10" s="1"/>
  <c r="V186" i="10" s="1"/>
  <c r="T81" i="10" l="1"/>
  <c r="T100" i="10"/>
  <c r="T99" i="10" s="1"/>
  <c r="T121" i="10" s="1"/>
  <c r="T123" i="10" s="1"/>
  <c r="T70" i="10" s="1"/>
  <c r="T69" i="10" s="1"/>
  <c r="T131" i="10"/>
  <c r="T138" i="10"/>
  <c r="T422" i="10"/>
  <c r="T381" i="10"/>
  <c r="T436" i="10"/>
  <c r="U408" i="10"/>
  <c r="T358" i="10"/>
  <c r="T357" i="10" s="1"/>
  <c r="T353" i="10" s="1"/>
  <c r="V225" i="10"/>
  <c r="V244" i="10"/>
  <c r="V243" i="10" s="1"/>
  <c r="V265" i="10" s="1"/>
  <c r="V267" i="10" s="1"/>
  <c r="V275" i="10"/>
  <c r="V282" i="10"/>
  <c r="U285" i="10"/>
  <c r="U286" i="10"/>
  <c r="U217" i="10"/>
  <c r="T423" i="10" l="1"/>
  <c r="T410" i="10"/>
  <c r="U122" i="10"/>
  <c r="T411" i="10"/>
  <c r="T427" i="10"/>
  <c r="T428" i="10"/>
  <c r="T361" i="10"/>
  <c r="T421" i="10"/>
  <c r="T76" i="10"/>
  <c r="U21" i="22"/>
  <c r="U23" i="22" s="1"/>
  <c r="U80" i="10" s="1"/>
  <c r="W266" i="10"/>
  <c r="V214" i="10"/>
  <c r="U239" i="10"/>
  <c r="U240" i="10"/>
  <c r="U276" i="10"/>
  <c r="W85" i="22"/>
  <c r="W87" i="22" s="1"/>
  <c r="W224" i="10" s="1"/>
  <c r="V220" i="10"/>
  <c r="T94" i="10" l="1"/>
  <c r="T135" i="10" s="1"/>
  <c r="T150" i="10"/>
  <c r="T136" i="10"/>
  <c r="U27" i="22"/>
  <c r="U29" i="22" s="1"/>
  <c r="U105" i="11" s="1"/>
  <c r="U110" i="11" s="1"/>
  <c r="U121" i="11" s="1"/>
  <c r="U34" i="10" s="1"/>
  <c r="U79" i="22"/>
  <c r="T383" i="10"/>
  <c r="T418" i="10"/>
  <c r="T382" i="10"/>
  <c r="W91" i="22"/>
  <c r="W93" i="22" s="1"/>
  <c r="W232" i="11" s="1"/>
  <c r="W237" i="11" s="1"/>
  <c r="W248" i="11" s="1"/>
  <c r="W178" i="10" s="1"/>
  <c r="V213" i="10"/>
  <c r="V280" i="10"/>
  <c r="V238" i="10"/>
  <c r="V294" i="10"/>
  <c r="T65" i="10" l="1"/>
  <c r="T124" i="10"/>
  <c r="T125" i="10"/>
  <c r="U37" i="10"/>
  <c r="U39" i="10" s="1"/>
  <c r="U322" i="10"/>
  <c r="U325" i="10" s="1"/>
  <c r="U327" i="10" s="1"/>
  <c r="U328" i="10" s="1"/>
  <c r="U330" i="10" s="1"/>
  <c r="T137" i="10"/>
  <c r="W181" i="10"/>
  <c r="W183" i="10" s="1"/>
  <c r="W184" i="10" s="1"/>
  <c r="W186" i="10" s="1"/>
  <c r="V279" i="10"/>
  <c r="V281" i="10"/>
  <c r="V268" i="10"/>
  <c r="V269" i="10"/>
  <c r="V209" i="10"/>
  <c r="U40" i="10" l="1"/>
  <c r="U42" i="10" s="1"/>
  <c r="U387" i="10"/>
  <c r="U386" i="10" s="1"/>
  <c r="U407" i="10" s="1"/>
  <c r="U409" i="10" s="1"/>
  <c r="U368" i="10"/>
  <c r="U364" i="10" s="1"/>
  <c r="U424" i="10"/>
  <c r="U417" i="10"/>
  <c r="U491" i="10"/>
  <c r="V494" i="10" s="1"/>
  <c r="V367" i="10" s="1"/>
  <c r="T73" i="10"/>
  <c r="T142" i="10"/>
  <c r="T141" i="10"/>
  <c r="V217" i="10"/>
  <c r="V286" i="10"/>
  <c r="V285" i="10"/>
  <c r="W225" i="10"/>
  <c r="W244" i="10"/>
  <c r="W243" i="10" s="1"/>
  <c r="W265" i="10" s="1"/>
  <c r="W267" i="10" s="1"/>
  <c r="W282" i="10"/>
  <c r="W275" i="10"/>
  <c r="U81" i="10" l="1"/>
  <c r="U100" i="10"/>
  <c r="U99" i="10" s="1"/>
  <c r="U121" i="10" s="1"/>
  <c r="U123" i="10" s="1"/>
  <c r="U70" i="10" s="1"/>
  <c r="U69" i="10" s="1"/>
  <c r="U131" i="10"/>
  <c r="U138" i="10"/>
  <c r="U381" i="10"/>
  <c r="U422" i="10"/>
  <c r="U436" i="10"/>
  <c r="V408" i="10"/>
  <c r="U358" i="10"/>
  <c r="U357" i="10" s="1"/>
  <c r="U353" i="10" s="1"/>
  <c r="T96" i="10"/>
  <c r="T132" i="10"/>
  <c r="T95" i="10"/>
  <c r="W214" i="10"/>
  <c r="X266" i="10"/>
  <c r="X85" i="22"/>
  <c r="X87" i="22" s="1"/>
  <c r="X224" i="10" s="1"/>
  <c r="W220" i="10"/>
  <c r="V276" i="10"/>
  <c r="V240" i="10"/>
  <c r="V239" i="10"/>
  <c r="U423" i="10" l="1"/>
  <c r="U411" i="10"/>
  <c r="U410" i="10"/>
  <c r="U428" i="10"/>
  <c r="U427" i="10"/>
  <c r="U361" i="10"/>
  <c r="U382" i="10" s="1"/>
  <c r="U421" i="10"/>
  <c r="V21" i="22"/>
  <c r="V23" i="22" s="1"/>
  <c r="V80" i="10" s="1"/>
  <c r="U76" i="10"/>
  <c r="V122" i="10"/>
  <c r="W238" i="10"/>
  <c r="W281" i="10" s="1"/>
  <c r="W280" i="10"/>
  <c r="W294" i="10"/>
  <c r="W213" i="10"/>
  <c r="X91" i="22"/>
  <c r="X93" i="22" s="1"/>
  <c r="X232" i="11" s="1"/>
  <c r="X237" i="11" s="1"/>
  <c r="X248" i="11" s="1"/>
  <c r="X178" i="10" s="1"/>
  <c r="V27" i="22" l="1"/>
  <c r="V29" i="22" s="1"/>
  <c r="V105" i="11" s="1"/>
  <c r="V110" i="11" s="1"/>
  <c r="V121" i="11" s="1"/>
  <c r="V79" i="22"/>
  <c r="U383" i="10"/>
  <c r="U418" i="10"/>
  <c r="U136" i="10"/>
  <c r="U150" i="10"/>
  <c r="U94" i="10"/>
  <c r="W279" i="10"/>
  <c r="W268" i="10"/>
  <c r="W269" i="10"/>
  <c r="W209" i="10"/>
  <c r="X181" i="10"/>
  <c r="X183" i="10" s="1"/>
  <c r="X184" i="10" s="1"/>
  <c r="X186" i="10" s="1"/>
  <c r="U135" i="10" l="1"/>
  <c r="U137" i="10"/>
  <c r="V34" i="10"/>
  <c r="U65" i="10"/>
  <c r="U124" i="10"/>
  <c r="U125" i="10"/>
  <c r="X275" i="10"/>
  <c r="X225" i="10"/>
  <c r="X220" i="10" s="1"/>
  <c r="X282" i="10"/>
  <c r="X244" i="10"/>
  <c r="X243" i="10" s="1"/>
  <c r="X265" i="10" s="1"/>
  <c r="X267" i="10" s="1"/>
  <c r="X214" i="10" s="1"/>
  <c r="X213" i="10" s="1"/>
  <c r="X209" i="10" s="1"/>
  <c r="X217" i="10" s="1"/>
  <c r="W217" i="10"/>
  <c r="W285" i="10"/>
  <c r="W286" i="10"/>
  <c r="U142" i="10" l="1"/>
  <c r="U141" i="10"/>
  <c r="U73" i="10"/>
  <c r="V37" i="10"/>
  <c r="V39" i="10" s="1"/>
  <c r="V322" i="10"/>
  <c r="V325" i="10" s="1"/>
  <c r="V327" i="10" s="1"/>
  <c r="V328" i="10" s="1"/>
  <c r="V330" i="10" s="1"/>
  <c r="X269" i="10"/>
  <c r="W240" i="10"/>
  <c r="W276" i="10"/>
  <c r="W239" i="10"/>
  <c r="X280" i="10"/>
  <c r="X238" i="10"/>
  <c r="X239" i="10" s="1"/>
  <c r="X294" i="10"/>
  <c r="X268" i="10"/>
  <c r="X286" i="10"/>
  <c r="X285" i="10"/>
  <c r="X276" i="10"/>
  <c r="V491" i="10" l="1"/>
  <c r="W494" i="10" s="1"/>
  <c r="V368" i="10"/>
  <c r="V364" i="10" s="1"/>
  <c r="V424" i="10"/>
  <c r="V387" i="10"/>
  <c r="V386" i="10" s="1"/>
  <c r="V407" i="10" s="1"/>
  <c r="V409" i="10" s="1"/>
  <c r="W408" i="10" s="1"/>
  <c r="V417" i="10"/>
  <c r="V40" i="10"/>
  <c r="V42" i="10" s="1"/>
  <c r="U96" i="10"/>
  <c r="U132" i="10"/>
  <c r="U95" i="10"/>
  <c r="X281" i="10"/>
  <c r="X279" i="10"/>
  <c r="X240" i="10"/>
  <c r="V81" i="10" l="1"/>
  <c r="V100" i="10"/>
  <c r="V99" i="10" s="1"/>
  <c r="V121" i="10" s="1"/>
  <c r="V123" i="10" s="1"/>
  <c r="V70" i="10" s="1"/>
  <c r="V138" i="10"/>
  <c r="V131" i="10"/>
  <c r="V358" i="10"/>
  <c r="V357" i="10" s="1"/>
  <c r="V353" i="10" s="1"/>
  <c r="V436" i="10"/>
  <c r="V422" i="10"/>
  <c r="V381" i="10"/>
  <c r="V421" i="10" s="1"/>
  <c r="W367" i="10"/>
  <c r="V69" i="10" l="1"/>
  <c r="W79" i="22"/>
  <c r="V410" i="10"/>
  <c r="V411" i="10"/>
  <c r="V428" i="10"/>
  <c r="V361" i="10"/>
  <c r="V382" i="10" s="1"/>
  <c r="V427" i="10"/>
  <c r="V423" i="10"/>
  <c r="V76" i="10"/>
  <c r="W21" i="22"/>
  <c r="W23" i="22" s="1"/>
  <c r="W80" i="10" s="1"/>
  <c r="W122" i="10"/>
  <c r="V150" i="10" l="1"/>
  <c r="V94" i="10"/>
  <c r="V136" i="10"/>
  <c r="V383" i="10"/>
  <c r="V418" i="10"/>
  <c r="W27" i="22"/>
  <c r="W29" i="22" s="1"/>
  <c r="W105" i="11" s="1"/>
  <c r="W110" i="11" s="1"/>
  <c r="W121" i="11" s="1"/>
  <c r="W34" i="10" l="1"/>
  <c r="W322" i="10" s="1"/>
  <c r="W325" i="10" s="1"/>
  <c r="W327" i="10" s="1"/>
  <c r="W328" i="10" s="1"/>
  <c r="W330" i="10" s="1"/>
  <c r="V65" i="10"/>
  <c r="V124" i="10"/>
  <c r="V125" i="10"/>
  <c r="V135" i="10"/>
  <c r="V137" i="10"/>
  <c r="W424" i="10" l="1"/>
  <c r="W417" i="10"/>
  <c r="W368" i="10"/>
  <c r="W364" i="10" s="1"/>
  <c r="W491" i="10"/>
  <c r="X494" i="10" s="1"/>
  <c r="X367" i="10" s="1"/>
  <c r="W387" i="10"/>
  <c r="W386" i="10" s="1"/>
  <c r="W407" i="10" s="1"/>
  <c r="W409" i="10" s="1"/>
  <c r="W37" i="10"/>
  <c r="W39" i="10" s="1"/>
  <c r="V73" i="10"/>
  <c r="V142" i="10"/>
  <c r="V141" i="10"/>
  <c r="W436" i="10" l="1"/>
  <c r="W422" i="10"/>
  <c r="W381" i="10"/>
  <c r="W421" i="10" s="1"/>
  <c r="W40" i="10"/>
  <c r="W42" i="10" s="1"/>
  <c r="W358" i="10"/>
  <c r="W357" i="10" s="1"/>
  <c r="W353" i="10" s="1"/>
  <c r="X408" i="10"/>
  <c r="V96" i="10"/>
  <c r="V132" i="10"/>
  <c r="V95" i="10"/>
  <c r="W81" i="10" l="1"/>
  <c r="W100" i="10"/>
  <c r="W99" i="10" s="1"/>
  <c r="W121" i="10" s="1"/>
  <c r="W123" i="10" s="1"/>
  <c r="W138" i="10"/>
  <c r="W131" i="10"/>
  <c r="W423" i="10"/>
  <c r="W427" i="10"/>
  <c r="W428" i="10"/>
  <c r="W361" i="10"/>
  <c r="W382" i="10" s="1"/>
  <c r="W411" i="10"/>
  <c r="W410" i="10"/>
  <c r="W70" i="10" l="1"/>
  <c r="X122" i="10"/>
  <c r="W383" i="10"/>
  <c r="W418" i="10"/>
  <c r="W76" i="10"/>
  <c r="X21" i="22"/>
  <c r="X23" i="22" s="1"/>
  <c r="X80" i="10" l="1"/>
  <c r="W150" i="10"/>
  <c r="W94" i="10"/>
  <c r="W136" i="10"/>
  <c r="X79" i="22"/>
  <c r="W69" i="10"/>
  <c r="X27" i="22"/>
  <c r="X29" i="22" s="1"/>
  <c r="X105" i="11" s="1"/>
  <c r="X110" i="11" s="1"/>
  <c r="X121" i="11" s="1"/>
  <c r="W65" i="10" l="1"/>
  <c r="W124" i="10"/>
  <c r="W125" i="10"/>
  <c r="W135" i="10"/>
  <c r="W137" i="10"/>
  <c r="X34" i="10"/>
  <c r="W142" i="10" l="1"/>
  <c r="W73" i="10"/>
  <c r="W141" i="10"/>
  <c r="X37" i="10"/>
  <c r="X39" i="10" s="1"/>
  <c r="X322" i="10"/>
  <c r="X325" i="10" s="1"/>
  <c r="X327" i="10" s="1"/>
  <c r="X328" i="10" s="1"/>
  <c r="X330" i="10" s="1"/>
  <c r="X40" i="10" l="1"/>
  <c r="X42" i="10" s="1"/>
  <c r="X387" i="10"/>
  <c r="X386" i="10" s="1"/>
  <c r="X407" i="10" s="1"/>
  <c r="X409" i="10" s="1"/>
  <c r="X491" i="10"/>
  <c r="X417" i="10"/>
  <c r="X368" i="10"/>
  <c r="X364" i="10" s="1"/>
  <c r="X424" i="10"/>
  <c r="W96" i="10"/>
  <c r="W132" i="10"/>
  <c r="W95" i="10"/>
  <c r="X131" i="10" l="1"/>
  <c r="X81" i="10"/>
  <c r="X76" i="10" s="1"/>
  <c r="X100" i="10"/>
  <c r="X99" i="10" s="1"/>
  <c r="X121" i="10" s="1"/>
  <c r="X123" i="10" s="1"/>
  <c r="X138" i="10"/>
  <c r="X436" i="10"/>
  <c r="X422" i="10"/>
  <c r="X381" i="10"/>
  <c r="X358" i="10"/>
  <c r="X357" i="10" s="1"/>
  <c r="X353" i="10" s="1"/>
  <c r="X423" i="10" l="1"/>
  <c r="X411" i="10"/>
  <c r="X410" i="10"/>
  <c r="X70" i="10"/>
  <c r="X69" i="10" s="1"/>
  <c r="X65" i="10" s="1"/>
  <c r="X136" i="10"/>
  <c r="X150" i="10"/>
  <c r="X94" i="10"/>
  <c r="X137" i="10" s="1"/>
  <c r="X361" i="10"/>
  <c r="X418" i="10" s="1"/>
  <c r="X427" i="10"/>
  <c r="X428" i="10"/>
  <c r="X421" i="10"/>
  <c r="X125" i="10" l="1"/>
  <c r="X141" i="10"/>
  <c r="X73" i="10"/>
  <c r="X142" i="10"/>
  <c r="X135" i="10"/>
  <c r="X124" i="10"/>
  <c r="X382" i="10"/>
  <c r="X383" i="10"/>
  <c r="X95" i="10" l="1"/>
  <c r="X96" i="10"/>
  <c r="X13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<sst xmlns="http://schemas.openxmlformats.org/spreadsheetml/2006/main" count="4200" uniqueCount="809">
  <si>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</si>
  <si>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</si>
  <si>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</si>
  <si>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</si>
  <si>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</si>
  <si>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</si>
  <si>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</si>
  <si>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</si>
  <si>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</si>
  <si>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</si>
  <si>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</si>
  <si>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</si>
  <si>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</si>
  <si>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</si>
  <si>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</si>
  <si>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</si>
  <si>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</si>
  <si>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</si>
  <si>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</si>
  <si>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</si>
  <si>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</si>
  <si>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</si>
  <si>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</si>
  <si>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</si>
  <si>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</si>
  <si>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</si>
  <si>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</si>
  <si>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</si>
  <si>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</si>
  <si>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</si>
  <si>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</si>
  <si>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</si>
  <si>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</si>
  <si>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</si>
  <si>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</si>
  <si>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</si>
  <si>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</si>
  <si>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</si>
  <si>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</si>
  <si>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</si>
  <si>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</si>
  <si>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</si>
  <si>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</si>
  <si>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</si>
  <si>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</si>
  <si>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</si>
  <si>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</si>
  <si>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</si>
  <si>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</si>
  <si>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</si>
  <si>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</si>
  <si>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</si>
  <si>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</si>
  <si>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</si>
  <si>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</si>
  <si>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</si>
  <si>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</si>
  <si>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</si>
  <si>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</si>
  <si>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</si>
  <si>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</si>
  <si>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</si>
  <si>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</si>
  <si>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</si>
  <si>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</si>
  <si>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</si>
  <si>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</si>
  <si>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</si>
  <si>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</si>
  <si>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</si>
  <si>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</si>
  <si>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</si>
  <si>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</si>
  <si>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</si>
  <si>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</si>
  <si>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</si>
  <si>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</si>
  <si>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</si>
  <si>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</si>
  <si>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</si>
  <si>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</si>
  <si>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</si>
  <si>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</si>
  <si>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</si>
  <si>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</si>
  <si>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</si>
  <si>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</si>
  <si>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</si>
  <si>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</si>
  <si>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</si>
  <si>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</si>
  <si>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</si>
  <si>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</si>
  <si>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</si>
  <si>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</si>
  <si>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</si>
  <si>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</si>
  <si>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</si>
  <si>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</si>
  <si>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</si>
  <si>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</si>
  <si>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</si>
  <si>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</si>
  <si>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</si>
  <si>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</si>
  <si>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</si>
  <si>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</si>
  <si>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</si>
  <si>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</si>
  <si>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</si>
  <si>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</si>
  <si>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</si>
  <si>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</si>
  <si>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</si>
  <si>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</si>
  <si>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</si>
  <si>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</si>
  <si>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</si>
  <si>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</si>
  <si>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</si>
  <si>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</si>
  <si>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</si>
  <si>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</si>
  <si>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</si>
  <si>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</si>
  <si>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</si>
  <si>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</si>
  <si>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</si>
  <si>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</si>
  <si>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</si>
  <si>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</si>
  <si>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</si>
  <si>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</si>
  <si>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</si>
  <si>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</si>
  <si>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</si>
  <si>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</si>
  <si>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</si>
  <si>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</si>
  <si>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</si>
  <si>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</si>
  <si>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</si>
  <si>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</si>
  <si>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</si>
  <si>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</si>
  <si>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</si>
  <si>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</si>
  <si>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</si>
  <si>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</si>
  <si>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</si>
  <si>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</si>
  <si>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</si>
  <si>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</si>
  <si>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</si>
  <si>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</si>
  <si>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</si>
  <si>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</si>
  <si>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</si>
  <si>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</si>
  <si>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</si>
  <si>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</si>
  <si>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</si>
  <si>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</si>
  <si>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</si>
  <si>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</si>
  <si>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</si>
  <si>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</si>
  <si>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</si>
  <si>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</si>
  <si>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</si>
  <si>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</si>
  <si>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</si>
  <si>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</si>
  <si>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</si>
  <si>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</si>
  <si>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</si>
  <si>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</si>
  <si>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</si>
  <si>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</si>
  <si>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</si>
  <si>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</si>
  <si>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</si>
  <si>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</si>
  <si>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</si>
  <si>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</si>
  <si>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</si>
  <si>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</si>
  <si>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</si>
  <si>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</si>
  <si>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</si>
  <si>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</si>
  <si>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</si>
  <si>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</si>
  <si>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</si>
  <si>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</si>
  <si>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</si>
  <si>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</si>
  <si>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</si>
  <si>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</si>
  <si>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</si>
  <si>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</si>
  <si>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</si>
  <si>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</si>
  <si>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</si>
  <si>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</si>
  <si>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</si>
  <si>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</si>
  <si>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</si>
  <si>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</si>
  <si>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</si>
  <si>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</si>
  <si>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</si>
  <si>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</si>
  <si>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</si>
  <si>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</si>
  <si>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</si>
  <si>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</si>
  <si>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</si>
  <si>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</si>
  <si>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</si>
  <si>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</si>
  <si>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</si>
  <si>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</si>
  <si>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</si>
  <si>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</si>
  <si>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</si>
  <si>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</si>
  <si>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</si>
  <si>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</si>
  <si>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</si>
  <si>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</si>
  <si>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</si>
  <si>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</si>
  <si>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</si>
  <si>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</si>
  <si>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</si>
  <si>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</si>
  <si>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</si>
  <si>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</si>
  <si>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</si>
  <si>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</si>
  <si>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</si>
  <si>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</si>
  <si>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</si>
  <si>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</si>
  <si>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</si>
  <si>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</si>
  <si>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</si>
  <si>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</si>
  <si>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</si>
  <si>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</si>
  <si>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</si>
  <si>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</si>
  <si>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</si>
  <si>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</si>
  <si>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</si>
  <si>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</si>
  <si>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</si>
  <si>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</si>
  <si>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</si>
  <si>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</si>
  <si>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</si>
  <si>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</si>
  <si>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</si>
  <si>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</si>
  <si>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</si>
  <si>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</si>
  <si>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</si>
  <si>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</si>
  <si>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</si>
  <si>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</si>
  <si>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</si>
  <si>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</si>
  <si>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</si>
  <si>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</si>
  <si>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</si>
  <si>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</si>
  <si>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</si>
  <si>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</si>
  <si>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</si>
  <si>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</si>
  <si>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</si>
  <si>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</si>
  <si>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</si>
  <si>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</si>
  <si>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</si>
  <si>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</si>
  <si>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</si>
  <si>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</si>
  <si>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</si>
  <si>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</si>
  <si>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</si>
  <si>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</si>
  <si>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</si>
  <si>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</si>
  <si>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</si>
  <si>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</si>
  <si>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</si>
  <si>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</si>
  <si>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</si>
  <si>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</si>
  <si>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</si>
  <si>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</si>
  <si>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</si>
  <si>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</si>
  <si>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</si>
  <si>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</si>
  <si>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</si>
  <si>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</si>
  <si>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</si>
  <si>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</si>
  <si>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</si>
  <si>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</si>
  <si>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</si>
  <si>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</si>
  <si>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</si>
  <si>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</si>
  <si>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</si>
  <si>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</si>
  <si>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</si>
  <si>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</si>
  <si>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</si>
  <si>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</si>
  <si>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</si>
  <si>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</si>
  <si>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</si>
  <si>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</si>
  <si>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</si>
  <si>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</si>
  <si>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</si>
  <si>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</si>
  <si>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</si>
  <si>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</si>
  <si>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</si>
  <si>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</si>
  <si>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</si>
  <si>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</si>
  <si>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</si>
  <si>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</si>
  <si>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</si>
  <si>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</si>
  <si>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</si>
  <si>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</si>
  <si>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</si>
  <si>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</si>
  <si>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</si>
  <si>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</si>
  <si>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</si>
  <si>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</si>
  <si>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</si>
  <si>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</si>
  <si>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</si>
  <si>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</si>
  <si>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</si>
  <si>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</si>
  <si>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</si>
  <si>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</si>
  <si>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</si>
  <si>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</si>
  <si>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</si>
  <si>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</si>
  <si>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</si>
  <si>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</si>
  <si>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</si>
  <si>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</si>
  <si>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</si>
  <si>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</si>
  <si>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</si>
  <si>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</si>
  <si>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</si>
  <si>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</si>
  <si>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</si>
  <si>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</si>
  <si>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</si>
  <si>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</si>
  <si>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</si>
  <si>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</si>
  <si>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</si>
  <si>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</si>
  <si>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</si>
  <si>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</si>
  <si>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</si>
  <si>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</si>
  <si>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</si>
  <si>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</si>
  <si>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</si>
  <si>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</si>
  <si>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</si>
  <si>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</si>
  <si>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</si>
  <si>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</si>
  <si>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</si>
  <si>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</si>
  <si>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</si>
  <si>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</si>
  <si>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</si>
  <si>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</si>
  <si>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</si>
  <si>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</si>
  <si>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</si>
  <si>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</si>
  <si>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</si>
  <si>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</si>
  <si>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</si>
  <si>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</si>
  <si>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</si>
  <si>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</si>
  <si>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</si>
  <si>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</si>
  <si>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</si>
  <si>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A&amp;D1</t>
  </si>
  <si>
    <t>ile miesiący do końca roku</t>
  </si>
  <si>
    <t>niekwalifikowalne</t>
  </si>
  <si>
    <t>spr</t>
  </si>
  <si>
    <t>rok zakupu</t>
  </si>
  <si>
    <t>amortyzacja roczna</t>
  </si>
  <si>
    <t>umorzenie</t>
  </si>
  <si>
    <t>A&amp;D2</t>
  </si>
  <si>
    <t>A&amp;3</t>
  </si>
  <si>
    <t>A&amp;D4</t>
  </si>
  <si>
    <t>A&amp;D5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</si>
  <si>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</si>
  <si>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</si>
  <si>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</si>
  <si>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</si>
  <si>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</si>
  <si>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</si>
  <si>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</si>
  <si>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</si>
  <si>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</si>
  <si>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</si>
  <si>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</si>
  <si>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</si>
  <si>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</si>
  <si>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</si>
  <si>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</si>
  <si>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</si>
  <si>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</si>
  <si>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</si>
  <si>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</si>
  <si>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</si>
  <si>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</si>
  <si>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</si>
  <si>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</si>
  <si>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</si>
  <si>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</si>
  <si>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</si>
  <si>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</si>
  <si>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</si>
  <si>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</si>
  <si>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</si>
  <si>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</si>
  <si>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</si>
  <si>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</si>
  <si>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</si>
  <si>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</si>
  <si>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w okresie koszty operacyjne nie będące B+R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</si>
  <si>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</si>
  <si>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</si>
  <si>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</si>
  <si>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</si>
  <si>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</si>
  <si>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</si>
  <si>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</si>
  <si>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</si>
  <si>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</si>
  <si>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</si>
  <si>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</si>
  <si>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</si>
  <si>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</si>
  <si>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</si>
  <si>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</si>
  <si>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</si>
  <si>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</si>
  <si>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</si>
  <si>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</si>
  <si>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</si>
  <si>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</si>
  <si>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</si>
  <si>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</si>
  <si>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</si>
  <si>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</si>
  <si>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</si>
  <si>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</si>
  <si>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</si>
  <si>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</si>
  <si>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</si>
  <si>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</si>
  <si>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</si>
  <si>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</si>
  <si>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</si>
  <si>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</si>
  <si>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</si>
  <si>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</si>
  <si>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</si>
  <si>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</si>
  <si>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</si>
  <si>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</si>
  <si>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</si>
  <si>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</si>
  <si>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</si>
  <si>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</si>
  <si>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</si>
  <si>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</si>
  <si>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</si>
  <si>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</si>
  <si>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</si>
  <si>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</si>
  <si>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</si>
  <si>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</si>
  <si>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</si>
  <si>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</si>
  <si>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</si>
  <si>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</si>
  <si>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</si>
  <si>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</si>
  <si>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</si>
  <si>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</si>
  <si>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</si>
  <si>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</si>
  <si>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</si>
  <si>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</si>
  <si>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</si>
  <si>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</si>
  <si>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</si>
  <si>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</si>
  <si>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</si>
  <si>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</si>
  <si>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</si>
  <si>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</si>
  <si>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</si>
  <si>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</si>
  <si>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</si>
  <si>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</si>
  <si>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</si>
  <si>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</si>
  <si>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</si>
  <si>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</si>
  <si>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</si>
  <si>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</si>
  <si>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</si>
  <si>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</si>
  <si>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</si>
  <si>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</si>
  <si>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</si>
  <si>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</si>
  <si>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</si>
  <si>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</si>
  <si>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</si>
  <si>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</si>
  <si>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</si>
  <si>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</si>
  <si>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</si>
  <si>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</si>
  <si>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</si>
  <si>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</si>
  <si>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</si>
  <si>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</si>
  <si>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</si>
  <si>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</si>
  <si>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</si>
  <si>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</si>
  <si>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</si>
  <si>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</si>
  <si>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</si>
  <si>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</si>
  <si>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</si>
  <si>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</si>
  <si>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</si>
  <si>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</si>
  <si>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</si>
  <si>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</si>
  <si>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</si>
  <si>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</si>
  <si>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</si>
  <si>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</si>
  <si>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</si>
  <si>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</si>
  <si>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</si>
  <si>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</si>
  <si>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</si>
  <si>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</si>
  <si>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</si>
  <si>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</si>
  <si>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</si>
  <si>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</si>
  <si>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</si>
  <si>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</si>
  <si>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</si>
  <si>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</si>
  <si>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</si>
  <si>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</si>
  <si>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</si>
  <si>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</si>
  <si>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</si>
  <si>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</si>
  <si>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</si>
  <si>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</si>
  <si>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</si>
  <si>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</si>
  <si>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</si>
  <si>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</si>
  <si>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</si>
  <si>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</si>
  <si>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</si>
  <si>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</si>
  <si>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</si>
  <si>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</si>
  <si>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</si>
  <si>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</si>
  <si>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</si>
  <si>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</si>
  <si>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</si>
  <si>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</si>
  <si>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</si>
  <si>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</si>
  <si>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</si>
  <si>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</si>
  <si>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</si>
  <si>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</si>
  <si>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</si>
  <si>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</si>
  <si>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</si>
  <si>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</si>
  <si>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</si>
  <si>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</si>
  <si>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</si>
  <si>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</si>
  <si>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</si>
  <si>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</si>
  <si>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</si>
  <si>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</si>
  <si>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</si>
  <si>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</si>
  <si>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</si>
  <si>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</si>
  <si>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</si>
  <si>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</si>
  <si>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</si>
  <si>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</si>
  <si>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</si>
  <si>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</si>
  <si>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</si>
  <si>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</si>
  <si>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</si>
  <si>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</si>
  <si>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</si>
  <si>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</si>
  <si>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</si>
  <si>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</si>
  <si>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</si>
  <si>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</si>
  <si>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</si>
  <si>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</si>
  <si>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</si>
  <si>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</si>
  <si>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</si>
  <si>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</si>
  <si>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</si>
  <si>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</si>
  <si>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</si>
  <si>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</si>
  <si>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</si>
  <si>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</si>
  <si>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</si>
  <si>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</si>
  <si>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</si>
  <si>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</si>
  <si>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</si>
  <si>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</si>
  <si>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</si>
  <si>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</si>
  <si>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</si>
  <si>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</si>
  <si>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</si>
  <si>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</si>
  <si>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</si>
  <si>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</si>
  <si>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</si>
  <si>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</si>
  <si>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</si>
  <si>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</si>
  <si>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</si>
  <si>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</si>
  <si>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</si>
  <si>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</si>
  <si>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</si>
  <si>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</si>
  <si>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</si>
  <si>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</si>
  <si>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</si>
  <si>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</si>
  <si>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</si>
  <si>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</si>
  <si>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</si>
  <si>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</si>
  <si>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</si>
  <si>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</si>
  <si>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</si>
  <si>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</si>
  <si>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</si>
  <si>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Dotacje przyznane w latach poprzednich</t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</si>
  <si>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</si>
  <si>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</si>
  <si>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</si>
  <si>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</si>
  <si>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</si>
  <si>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</si>
  <si>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</si>
  <si>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</si>
  <si>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</si>
  <si>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</si>
  <si>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</si>
  <si>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</si>
  <si>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</si>
  <si>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</si>
  <si>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</si>
  <si>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</si>
  <si>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</si>
  <si>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</si>
  <si>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</si>
  <si>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</si>
  <si>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</si>
  <si>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</si>
  <si>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</si>
  <si>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</si>
  <si>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</si>
  <si>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</si>
  <si>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</si>
  <si>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</si>
  <si>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</si>
  <si>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</si>
  <si>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</si>
  <si>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</si>
  <si>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</si>
  <si>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</si>
  <si>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</si>
  <si>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</si>
  <si>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</si>
  <si>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</si>
  <si>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</si>
  <si>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</si>
  <si>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</si>
  <si>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</si>
  <si>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</si>
  <si>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</si>
  <si>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</si>
  <si>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</si>
  <si>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</si>
  <si>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</si>
  <si>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</si>
  <si>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</si>
  <si>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</si>
  <si>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</si>
  <si>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</si>
  <si>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</si>
  <si>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</si>
  <si>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</si>
  <si>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</si>
  <si>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</si>
  <si>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</si>
  <si>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</si>
  <si>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</si>
  <si>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</si>
  <si>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</si>
  <si>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</si>
  <si>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</si>
  <si>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</si>
  <si>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</si>
  <si>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</si>
  <si>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</si>
  <si>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</si>
  <si>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</si>
  <si>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</si>
  <si>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</si>
  <si>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</si>
  <si>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</si>
  <si>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</si>
  <si>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</si>
  <si>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</si>
  <si>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</si>
  <si>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</si>
  <si>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</si>
  <si>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</si>
  <si>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</si>
  <si>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</si>
  <si>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</si>
  <si>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</si>
  <si>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</si>
  <si>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</si>
  <si>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</si>
  <si>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</si>
  <si>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</si>
  <si>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</si>
  <si>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</si>
  <si>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</si>
  <si>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</si>
  <si>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</si>
  <si>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</si>
  <si>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</si>
  <si>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</si>
  <si>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</si>
  <si>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</si>
  <si>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</si>
  <si>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</si>
  <si>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</si>
  <si>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</si>
  <si>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</si>
  <si>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Model finansowy v. 2.0 [230327111]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</si>
</sst>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83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i/>
      <sz val="6"/>
      <color theme="0" tint="-0.499984740745262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1" fillId="0" borderId="0"/>
    <xf numFmtId="0" fontId="63" fillId="0" borderId="0" applyNumberFormat="0" applyFill="0" applyBorder="0" applyAlignment="0" applyProtection="0"/>
    <xf numFmtId="0" fontId="64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7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1" fillId="7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5" fillId="0" borderId="0" xfId="0" quotePrefix="1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3" fillId="7" borderId="0" xfId="0" applyFont="1" applyFill="1" applyAlignment="1" applyProtection="1">
      <alignment horizontal="center" vertical="center"/>
      <protection hidden="1"/>
    </xf>
    <xf numFmtId="169" fontId="21" fillId="6" borderId="0" xfId="0" applyNumberFormat="1" applyFont="1" applyFill="1" applyAlignment="1" applyProtection="1">
      <alignment horizontal="center" vertical="center"/>
      <protection hidden="1"/>
    </xf>
    <xf numFmtId="169" fontId="21" fillId="7" borderId="0" xfId="0" applyNumberFormat="1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169" fontId="21" fillId="2" borderId="0" xfId="0" applyNumberFormat="1" applyFont="1" applyFill="1" applyAlignment="1" applyProtection="1">
      <alignment horizontal="center" vertical="center"/>
      <protection hidden="1"/>
    </xf>
    <xf numFmtId="0" fontId="23" fillId="5" borderId="0" xfId="0" applyFont="1" applyFill="1" applyProtection="1">
      <protection hidden="1"/>
    </xf>
    <xf numFmtId="3" fontId="23" fillId="5" borderId="0" xfId="0" applyNumberFormat="1" applyFont="1" applyFill="1" applyProtection="1"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6" fillId="0" borderId="0" xfId="0" applyFont="1" applyProtection="1">
      <protection hidden="1"/>
    </xf>
    <xf numFmtId="169" fontId="21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8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5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5" fillId="5" borderId="0" xfId="0" applyFont="1" applyFill="1" applyAlignment="1" applyProtection="1">
      <alignment vertical="top"/>
      <protection hidden="1"/>
    </xf>
    <xf numFmtId="3" fontId="35" fillId="5" borderId="0" xfId="0" applyNumberFormat="1" applyFon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7" fillId="5" borderId="0" xfId="0" applyNumberFormat="1" applyFont="1" applyFill="1" applyProtection="1">
      <protection hidden="1"/>
    </xf>
    <xf numFmtId="3" fontId="31" fillId="5" borderId="0" xfId="0" applyNumberFormat="1" applyFont="1" applyFill="1" applyProtection="1">
      <protection hidden="1"/>
    </xf>
    <xf numFmtId="3" fontId="38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5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/>
      <protection hidden="1"/>
    </xf>
    <xf numFmtId="3" fontId="26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locked="0" hidden="1"/>
    </xf>
    <xf numFmtId="3" fontId="35" fillId="10" borderId="0" xfId="0" applyNumberFormat="1" applyFont="1" applyFill="1" applyAlignment="1" applyProtection="1">
      <alignment vertical="top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49" fillId="0" borderId="0" xfId="0" applyNumberFormat="1" applyFont="1" applyProtection="1">
      <protection hidden="1"/>
    </xf>
    <xf numFmtId="0" fontId="48" fillId="0" borderId="0" xfId="0" applyFont="1" applyProtection="1">
      <protection hidden="1"/>
    </xf>
    <xf numFmtId="3" fontId="48" fillId="0" borderId="0" xfId="0" applyNumberFormat="1" applyFont="1" applyProtection="1">
      <protection hidden="1"/>
    </xf>
    <xf numFmtId="0" fontId="38" fillId="0" borderId="0" xfId="0" applyFont="1" applyProtection="1">
      <protection hidden="1"/>
    </xf>
    <xf numFmtId="3" fontId="38" fillId="0" borderId="0" xfId="0" applyNumberFormat="1" applyFont="1" applyProtection="1">
      <protection hidden="1"/>
    </xf>
    <xf numFmtId="0" fontId="52" fillId="0" borderId="0" xfId="0" applyFont="1" applyProtection="1">
      <protection hidden="1"/>
    </xf>
    <xf numFmtId="3" fontId="52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4" fillId="0" borderId="0" xfId="0" applyFont="1" applyAlignment="1" applyProtection="1">
      <alignment horizontal="right"/>
      <protection hidden="1"/>
    </xf>
    <xf numFmtId="3" fontId="34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5" fillId="0" borderId="5" xfId="0" applyFont="1" applyBorder="1" applyProtection="1">
      <protection hidden="1"/>
    </xf>
    <xf numFmtId="0" fontId="32" fillId="0" borderId="2" xfId="0" applyFont="1" applyBorder="1" applyAlignment="1" applyProtection="1">
      <alignment vertical="center"/>
      <protection hidden="1"/>
    </xf>
    <xf numFmtId="0" fontId="32" fillId="0" borderId="2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3" fillId="0" borderId="2" xfId="0" applyFont="1" applyBorder="1" applyAlignment="1" applyProtection="1">
      <alignment horizontal="right"/>
      <protection hidden="1"/>
    </xf>
    <xf numFmtId="0" fontId="37" fillId="0" borderId="2" xfId="0" applyFont="1" applyBorder="1" applyProtection="1">
      <protection hidden="1"/>
    </xf>
    <xf numFmtId="3" fontId="53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0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4" fillId="0" borderId="14" xfId="0" applyFont="1" applyBorder="1" applyAlignment="1" applyProtection="1">
      <alignment horizontal="center" vertical="center"/>
      <protection hidden="1"/>
    </xf>
    <xf numFmtId="0" fontId="54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5" fillId="0" borderId="17" xfId="0" quotePrefix="1" applyFont="1" applyBorder="1" applyProtection="1">
      <protection hidden="1"/>
    </xf>
    <xf numFmtId="0" fontId="51" fillId="0" borderId="17" xfId="0" applyFont="1" applyBorder="1" applyProtection="1">
      <protection hidden="1"/>
    </xf>
    <xf numFmtId="3" fontId="51" fillId="0" borderId="17" xfId="0" applyNumberFormat="1" applyFont="1" applyBorder="1" applyProtection="1">
      <protection hidden="1"/>
    </xf>
    <xf numFmtId="3" fontId="45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29" fillId="8" borderId="4" xfId="0" applyFont="1" applyFill="1" applyBorder="1" applyProtection="1">
      <protection hidden="1"/>
    </xf>
    <xf numFmtId="1" fontId="41" fillId="0" borderId="0" xfId="0" applyNumberFormat="1" applyFont="1" applyAlignment="1" applyProtection="1">
      <alignment horizontal="center" vertical="center"/>
      <protection hidden="1"/>
    </xf>
    <xf numFmtId="169" fontId="41" fillId="0" borderId="0" xfId="0" applyNumberFormat="1" applyFont="1" applyAlignment="1" applyProtection="1">
      <alignment horizontal="center" vertical="center"/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5" fillId="0" borderId="0" xfId="0" applyFont="1" applyProtection="1"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46" fillId="0" borderId="0" xfId="0" applyNumberFormat="1" applyFont="1" applyAlignment="1" applyProtection="1">
      <alignment horizontal="center" vertical="center"/>
      <protection hidden="1"/>
    </xf>
    <xf numFmtId="169" fontId="46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0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7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3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39" fillId="0" borderId="0" xfId="0" applyNumberFormat="1" applyFont="1" applyProtection="1">
      <protection hidden="1"/>
    </xf>
    <xf numFmtId="168" fontId="39" fillId="5" borderId="0" xfId="0" applyNumberFormat="1" applyFont="1" applyFill="1" applyProtection="1">
      <protection hidden="1"/>
    </xf>
    <xf numFmtId="0" fontId="39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59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7" fillId="10" borderId="19" xfId="0" applyFont="1" applyFill="1" applyBorder="1" applyAlignment="1" applyProtection="1">
      <alignment horizontal="center" vertical="center"/>
      <protection hidden="1"/>
    </xf>
    <xf numFmtId="0" fontId="58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0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5" fillId="0" borderId="5" xfId="0" quotePrefix="1" applyFont="1" applyBorder="1" applyProtection="1">
      <protection hidden="1"/>
    </xf>
    <xf numFmtId="3" fontId="15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7" fillId="3" borderId="0" xfId="0" applyFont="1" applyFill="1" applyProtection="1">
      <protection hidden="1"/>
    </xf>
    <xf numFmtId="0" fontId="0" fillId="3" borderId="0" xfId="0" applyFill="1"/>
    <xf numFmtId="0" fontId="21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4" fillId="3" borderId="0" xfId="0" applyFont="1" applyFill="1" applyProtection="1">
      <protection hidden="1"/>
    </xf>
    <xf numFmtId="3" fontId="24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19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5" fillId="0" borderId="4" xfId="2" applyNumberFormat="1" applyFont="1" applyFill="1" applyBorder="1" applyProtection="1">
      <protection locked="0"/>
    </xf>
    <xf numFmtId="10" fontId="15" fillId="0" borderId="4" xfId="2" applyNumberFormat="1" applyFont="1" applyFill="1" applyBorder="1" applyProtection="1">
      <protection hidden="1"/>
    </xf>
    <xf numFmtId="0" fontId="63" fillId="0" borderId="0" xfId="5" applyProtection="1"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5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0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0" fillId="0" borderId="18" xfId="0" quotePrefix="1" applyFont="1" applyBorder="1" applyProtection="1">
      <protection hidden="1"/>
    </xf>
    <xf numFmtId="3" fontId="50" fillId="0" borderId="18" xfId="0" applyNumberFormat="1" applyFont="1" applyBorder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quotePrefix="1" applyFont="1" applyProtection="1">
      <protection hidden="1"/>
    </xf>
    <xf numFmtId="3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8" fillId="0" borderId="4" xfId="0" applyFont="1" applyBorder="1" applyProtection="1">
      <protection hidden="1"/>
    </xf>
    <xf numFmtId="0" fontId="35" fillId="0" borderId="4" xfId="0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0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4" fillId="3" borderId="0" xfId="0" applyFont="1" applyFill="1" applyProtection="1">
      <protection hidden="1"/>
    </xf>
    <xf numFmtId="0" fontId="54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0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2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5" fillId="0" borderId="16" xfId="0" applyFont="1" applyBorder="1" applyProtection="1">
      <protection hidden="1"/>
    </xf>
    <xf numFmtId="3" fontId="45" fillId="0" borderId="16" xfId="0" applyNumberFormat="1" applyFont="1" applyBorder="1" applyProtection="1">
      <protection hidden="1"/>
    </xf>
    <xf numFmtId="0" fontId="51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5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0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4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29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3" fillId="0" borderId="14" xfId="0" quotePrefix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29" fillId="0" borderId="4" xfId="0" quotePrefix="1" applyFont="1" applyBorder="1" applyProtection="1">
      <protection hidden="1"/>
    </xf>
    <xf numFmtId="0" fontId="29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3" fillId="0" borderId="0" xfId="0" quotePrefix="1" applyFont="1" applyProtection="1">
      <protection hidden="1"/>
    </xf>
    <xf numFmtId="0" fontId="72" fillId="5" borderId="0" xfId="0" applyFont="1" applyFill="1" applyAlignment="1" applyProtection="1">
      <alignment vertical="top"/>
      <protection hidden="1"/>
    </xf>
    <xf numFmtId="0" fontId="72" fillId="5" borderId="0" xfId="0" applyFont="1" applyFill="1" applyAlignment="1" applyProtection="1">
      <alignment vertical="top"/>
      <protection locked="0" hidden="1"/>
    </xf>
    <xf numFmtId="3" fontId="72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8" fillId="5" borderId="0" xfId="0" applyFont="1" applyFill="1" applyAlignment="1" applyProtection="1">
      <alignment horizontal="center" vertical="center"/>
      <protection hidden="1"/>
    </xf>
    <xf numFmtId="0" fontId="73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4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1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5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66" fillId="0" borderId="14" xfId="0" quotePrefix="1" applyFont="1" applyBorder="1" applyProtection="1">
      <protection hidden="1"/>
    </xf>
    <xf numFmtId="3" fontId="66" fillId="0" borderId="14" xfId="0" applyNumberFormat="1" applyFont="1" applyBorder="1" applyProtection="1">
      <protection hidden="1"/>
    </xf>
    <xf numFmtId="0" fontId="66" fillId="0" borderId="14" xfId="0" applyFont="1" applyBorder="1" applyProtection="1">
      <protection hidden="1"/>
    </xf>
    <xf numFmtId="0" fontId="67" fillId="0" borderId="4" xfId="0" quotePrefix="1" applyFont="1" applyBorder="1" applyProtection="1">
      <protection hidden="1"/>
    </xf>
    <xf numFmtId="3" fontId="67" fillId="0" borderId="4" xfId="0" applyNumberFormat="1" applyFont="1" applyBorder="1" applyProtection="1">
      <protection hidden="1"/>
    </xf>
    <xf numFmtId="0" fontId="67" fillId="0" borderId="4" xfId="0" applyFont="1" applyBorder="1" applyProtection="1">
      <protection hidden="1"/>
    </xf>
    <xf numFmtId="0" fontId="15" fillId="0" borderId="13" xfId="0" quotePrefix="1" applyFont="1" applyBorder="1" applyProtection="1">
      <protection hidden="1"/>
    </xf>
    <xf numFmtId="0" fontId="15" fillId="0" borderId="13" xfId="0" applyFont="1" applyBorder="1" applyProtection="1">
      <protection hidden="1"/>
    </xf>
    <xf numFmtId="3" fontId="15" fillId="0" borderId="13" xfId="0" applyNumberFormat="1" applyFont="1" applyBorder="1" applyProtection="1">
      <protection hidden="1"/>
    </xf>
    <xf numFmtId="3" fontId="15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3" fillId="0" borderId="0" xfId="0" applyFont="1"/>
    <xf numFmtId="0" fontId="34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horizontal="center" vertical="center" shrinkToFit="1"/>
      <protection hidden="1"/>
    </xf>
    <xf numFmtId="0" fontId="13" fillId="0" borderId="12" xfId="0" applyFont="1" applyBorder="1" applyProtection="1">
      <protection hidden="1"/>
    </xf>
    <xf numFmtId="0" fontId="13" fillId="0" borderId="14" xfId="0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7" fillId="18" borderId="12" xfId="0" applyFont="1" applyFill="1" applyBorder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0" fontId="7" fillId="32" borderId="0" xfId="0" applyFont="1" applyFill="1" applyProtection="1">
      <protection hidden="1"/>
    </xf>
    <xf numFmtId="0" fontId="7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4" fillId="0" borderId="2" xfId="0" applyFont="1" applyBorder="1" applyProtection="1">
      <protection hidden="1"/>
    </xf>
    <xf numFmtId="0" fontId="29" fillId="0" borderId="14" xfId="0" quotePrefix="1" applyFont="1" applyBorder="1" applyProtection="1">
      <protection hidden="1"/>
    </xf>
    <xf numFmtId="0" fontId="34" fillId="0" borderId="12" xfId="0" applyFont="1" applyBorder="1" applyProtection="1">
      <protection hidden="1"/>
    </xf>
    <xf numFmtId="0" fontId="29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8" fillId="0" borderId="4" xfId="0" applyNumberFormat="1" applyFont="1" applyBorder="1" applyProtection="1">
      <protection hidden="1"/>
    </xf>
    <xf numFmtId="3" fontId="35" fillId="0" borderId="4" xfId="0" applyNumberFormat="1" applyFont="1" applyBorder="1" applyProtection="1">
      <protection hidden="1"/>
    </xf>
    <xf numFmtId="0" fontId="13" fillId="0" borderId="14" xfId="0" applyFont="1" applyBorder="1" applyAlignment="1" applyProtection="1">
      <alignment horizontal="center" shrinkToFit="1"/>
      <protection hidden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0" fillId="0" borderId="4" xfId="0" applyFont="1" applyBorder="1" applyAlignment="1" applyProtection="1">
      <alignment horizontal="center" vertical="center"/>
      <protection hidden="1"/>
    </xf>
    <xf numFmtId="3" fontId="79" fillId="4" borderId="24" xfId="1" applyNumberFormat="1" applyFont="1" applyFill="1" applyBorder="1" applyAlignment="1" applyProtection="1">
      <alignment vertical="center"/>
      <protection locked="0"/>
    </xf>
    <xf numFmtId="3" fontId="79" fillId="4" borderId="25" xfId="1" applyNumberFormat="1" applyFont="1" applyFill="1" applyBorder="1" applyAlignment="1" applyProtection="1">
      <alignment vertical="center"/>
      <protection locked="0"/>
    </xf>
    <xf numFmtId="3" fontId="79" fillId="4" borderId="25" xfId="3" applyNumberFormat="1" applyFont="1" applyFill="1" applyBorder="1" applyAlignment="1" applyProtection="1">
      <alignment vertical="center"/>
      <protection locked="0"/>
    </xf>
    <xf numFmtId="3" fontId="79" fillId="4" borderId="26" xfId="1" applyNumberFormat="1" applyFont="1" applyFill="1" applyBorder="1" applyAlignment="1" applyProtection="1">
      <alignment vertical="center"/>
      <protection locked="0"/>
    </xf>
    <xf numFmtId="3" fontId="50" fillId="4" borderId="23" xfId="1" applyNumberFormat="1" applyFont="1" applyFill="1" applyBorder="1" applyAlignment="1" applyProtection="1">
      <alignment vertical="center"/>
      <protection locked="0"/>
    </xf>
    <xf numFmtId="0" fontId="81" fillId="0" borderId="0" xfId="0" applyFont="1" applyAlignment="1" applyProtection="1">
      <alignment horizontal="right"/>
      <protection hidden="1"/>
    </xf>
    <xf numFmtId="0" fontId="82" fillId="30" borderId="0" xfId="0" applyFont="1" applyFill="1" applyProtection="1">
      <protection hidden="1"/>
    </xf>
    <xf numFmtId="0" fontId="82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11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8" fillId="21" borderId="7" xfId="0" applyFont="1" applyFill="1" applyBorder="1" applyAlignment="1" applyProtection="1">
      <alignment horizontal="center"/>
      <protection hidden="1"/>
    </xf>
    <xf numFmtId="0" fontId="18" fillId="21" borderId="8" xfId="0" applyFont="1" applyFill="1" applyBorder="1" applyAlignment="1" applyProtection="1">
      <alignment horizontal="center"/>
      <protection hidden="1"/>
    </xf>
    <xf numFmtId="0" fontId="18" fillId="21" borderId="9" xfId="0" applyFont="1" applyFill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32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3" fontId="32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415"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auto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 patternType="solid">
          <fgColor auto="1"/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9" tint="-0.499984740745262"/>
      </font>
      <fill>
        <patternFill>
          <bgColor theme="9" tint="0.79998168889431442"/>
        </patternFill>
      </fill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FFCC"/>
      <color rgb="FFFFC7CE"/>
      <color rgb="FFFFBEBE"/>
      <color rgb="FFFF6600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71" lockText="1" noThreeD="1"/>
</file>

<file path=xl/ctrlProps/ctrlProp11.xml><?xml version="1.0" encoding="utf-8"?>
<formControlPr xmlns="http://schemas.microsoft.com/office/spreadsheetml/2009/9/main" objectType="CheckBox" fmlaLink="Moduły!$C$572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66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67" lockText="1" noThreeD="1"/>
</file>

<file path=xl/ctrlProps/ctrlProp7.xml><?xml version="1.0" encoding="utf-8"?>
<formControlPr xmlns="http://schemas.microsoft.com/office/spreadsheetml/2009/9/main" objectType="CheckBox" fmlaLink="Moduły!$C$568" lockText="1" noThreeD="1"/>
</file>

<file path=xl/ctrlProps/ctrlProp8.xml><?xml version="1.0" encoding="utf-8"?>
<formControlPr xmlns="http://schemas.microsoft.com/office/spreadsheetml/2009/9/main" objectType="CheckBox" fmlaLink="Moduły!$C$569" lockText="1" noThreeD="1"/>
</file>

<file path=xl/ctrlProps/ctrlProp9.xml><?xml version="1.0" encoding="utf-8"?>
<formControlPr xmlns="http://schemas.microsoft.com/office/spreadsheetml/2009/9/main" objectType="CheckBox" fmlaLink="Moduły!$C$570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9</xdr:row>
          <xdr:rowOff>6350</xdr:rowOff>
        </xdr:from>
        <xdr:to>
          <xdr:col>6</xdr:col>
          <xdr:colOff>1892300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65100" y="2800803"/>
          <a:ext cx="9172575" cy="926194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1925" y="559253"/>
          <a:ext cx="8178800" cy="990600"/>
          <a:chOff x="161926" y="609599"/>
          <a:chExt cx="9258301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599"/>
                <a:ext cx="9258301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521</xdr:row>
      <xdr:rowOff>0</xdr:rowOff>
    </xdr:from>
    <xdr:to>
      <xdr:col>15</xdr:col>
      <xdr:colOff>704850</xdr:colOff>
      <xdr:row>560</xdr:row>
      <xdr:rowOff>106137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5100" y="576942"/>
          <a:ext cx="9207502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5100" y="511628"/>
          <a:ext cx="9303205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666162" y="1677302"/>
              <a:ext cx="1317945" cy="2050147"/>
              <a:chOff x="8462949" y="1677298"/>
              <a:chExt cx="1317945" cy="2062847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49" y="1677298"/>
                <a:ext cx="1317945" cy="2062847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68514" y="562239"/>
          <a:ext cx="5585733" cy="934548"/>
          <a:chOff x="161922" y="609603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2" y="609603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61925" y="548367"/>
          <a:ext cx="9759044" cy="990600"/>
          <a:chOff x="161925" y="609599"/>
          <a:chExt cx="9258301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1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61925" y="559253"/>
          <a:ext cx="913402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7466" y="538135"/>
          <a:ext cx="9494158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629275" y="3603625"/>
              <a:ext cx="2160000" cy="360000"/>
              <a:chOff x="5619748" y="3609967"/>
              <a:chExt cx="2160001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8" y="3609967"/>
                <a:ext cx="2160001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619750" y="2384425"/>
              <a:ext cx="2160000" cy="360000"/>
              <a:chOff x="5572122" y="2257381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81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619750" y="4813300"/>
              <a:ext cx="2160000" cy="360000"/>
              <a:chOff x="5610222" y="4819525"/>
              <a:chExt cx="2160001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22" y="4819525"/>
                <a:ext cx="2160001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638800" y="6022975"/>
              <a:ext cx="2160000" cy="360000"/>
              <a:chOff x="5629271" y="6029496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71" y="602949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629275" y="7242175"/>
              <a:ext cx="2160000" cy="360000"/>
              <a:chOff x="5619747" y="7248343"/>
              <a:chExt cx="2160000" cy="360002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7" y="7248343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629275" y="8461375"/>
              <a:ext cx="2160000" cy="360000"/>
              <a:chOff x="5619747" y="8467506"/>
              <a:chExt cx="2160000" cy="360002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7" y="8467506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629274" y="9690100"/>
              <a:ext cx="2160000" cy="360000"/>
              <a:chOff x="5619746" y="9696199"/>
              <a:chExt cx="2160000" cy="360002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6" y="9696199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619749" y="10909300"/>
              <a:ext cx="2160000" cy="360000"/>
              <a:chOff x="5610220" y="10915391"/>
              <a:chExt cx="2160000" cy="360002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20" y="10915391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260</xdr:row>
      <xdr:rowOff>0</xdr:rowOff>
    </xdr:from>
    <xdr:to>
      <xdr:col>24</xdr:col>
      <xdr:colOff>1</xdr:colOff>
      <xdr:row>307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61925" y="548367"/>
          <a:ext cx="101509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69875" y="2203450"/>
              <a:ext cx="2400300" cy="390525"/>
              <a:chOff x="180975" y="2209827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27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69875" y="4794250"/>
              <a:ext cx="2400300" cy="390525"/>
              <a:chOff x="180975" y="4800683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683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69875" y="7394575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61925" y="548367"/>
          <a:ext cx="10380436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1925" y="559253"/>
          <a:ext cx="1022078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142</xdr:row>
      <xdr:rowOff>0</xdr:rowOff>
    </xdr:from>
    <xdr:to>
      <xdr:col>23</xdr:col>
      <xdr:colOff>695325</xdr:colOff>
      <xdr:row>199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39"/>
  <sheetViews>
    <sheetView showGridLines="0" tabSelected="1" topLeftCell="B4" zoomScaleNormal="100" workbookViewId="0">
      <selection activeCell="B4" sqref="B4"/>
    </sheetView>
  </sheetViews>
  <sheetFormatPr defaultColWidth="0" defaultRowHeight="14.5" zeroHeight="1"/>
  <cols>
    <col min="1" max="1" width="9.33203125" style="6" hidden="1" customWidth="1"/>
    <col min="2" max="2" width="2.88671875" style="6" customWidth="1"/>
    <col min="3" max="3" width="16.33203125" style="6" bestFit="1" customWidth="1"/>
    <col min="4" max="4" width="75.88671875" style="6" customWidth="1"/>
    <col min="5" max="5" width="9.33203125" style="6" customWidth="1"/>
    <col min="6" max="6" width="19.44140625" style="6" customWidth="1"/>
    <col min="7" max="7" width="40.88671875" style="6" customWidth="1"/>
    <col min="8" max="8" width="2.88671875" style="6" customWidth="1"/>
    <col min="9" max="11" width="0" style="6" hidden="1" customWidth="1"/>
    <col min="12" max="16384" width="9.33203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540"/>
      <c r="E7" s="216"/>
      <c r="F7" s="452" t="s">
        <v>741</v>
      </c>
      <c r="G7" s="290"/>
    </row>
    <row r="8" spans="3:11" ht="15" thickBot="1">
      <c r="C8" s="216" t="s">
        <v>2</v>
      </c>
      <c r="D8" s="290"/>
      <c r="E8" s="216"/>
      <c r="F8" s="452" t="s">
        <v>742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216" t="s">
        <v>6</v>
      </c>
      <c r="G10" s="216"/>
    </row>
    <row r="11" spans="3:11" ht="15" thickBot="1">
      <c r="C11" s="216" t="s">
        <v>7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41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4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548" t="s">
        <v>808</v>
      </c>
    </row>
    <row r="33" s="6" customFormat="1" hidden="1"/>
    <row r="34" s="6" customFormat="1" hidden="1"/>
    <row r="35" s="6" customFormat="1" hidden="1"/>
    <row r="36" s="6" customFormat="1" hidden="1"/>
    <row r="37" s="6" customFormat="1" hidden="1"/>
    <row r="38" s="6" customFormat="1" hidden="1"/>
    <row r="39" s="6" customFormat="1" hidden="1"/>
  </sheetData>
  <sheetProtection algorithmName="SHA-512" hashValue="J0XWZvYda0t+NYCiZPd0ohVp7p7q3LHs6IIUTITksm6dAmrTJ3BzBNbZReeE7yKf0oNSaaGWzIBIBGq/ob1qZQ==" saltValue="k9zB59XnV52U0U+ZbttaFg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387350</xdr:colOff>
                    <xdr:row>9</xdr:row>
                    <xdr:rowOff>6350</xdr:rowOff>
                  </from>
                  <to>
                    <xdr:col>6</xdr:col>
                    <xdr:colOff>1892300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82550</xdr:rowOff>
                  </from>
                  <to>
                    <xdr:col>6</xdr:col>
                    <xdr:colOff>2260600</xdr:colOff>
                    <xdr:row>20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658"/>
  <sheetViews>
    <sheetView showGridLines="0" zoomScaleNormal="100" workbookViewId="0"/>
  </sheetViews>
  <sheetFormatPr defaultColWidth="0" defaultRowHeight="12" zeroHeight="1"/>
  <cols>
    <col min="1" max="1" width="2.88671875" customWidth="1"/>
    <col min="2" max="2" width="64.88671875" style="1" bestFit="1" customWidth="1"/>
    <col min="3" max="16" width="12.88671875" style="1" customWidth="1"/>
    <col min="17" max="17" width="2.88671875" style="1" customWidth="1"/>
    <col min="18" max="18" width="9.33203125" style="1" hidden="1" customWidth="1"/>
    <col min="19" max="19" width="11.33203125" style="1" hidden="1" customWidth="1"/>
    <col min="20" max="27" width="0" style="1" hidden="1" customWidth="1"/>
    <col min="28" max="16384" width="9.33203125" style="1" hidden="1"/>
  </cols>
  <sheetData>
    <row r="1" spans="2:16"/>
    <row r="2" spans="2:16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</row>
    <row r="3" spans="2:16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5">
      <c r="B13" s="32" t="s">
        <v>688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3.9" customHeight="1"/>
    <row r="15" spans="2:16" ht="3.9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3.9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C84+C170+C292+C339+C386+C434+C482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C85+C171+C293+C340+C387+C435+C483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3.9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C88+C174+C296+C343+C390+C438+C486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C89+C175+C297+C344+C391+C439+C487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3.9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C92+C178+C300+C347+C394+C442+C490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C93+C179+C301+C348+C395+C443+C491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3.9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C96+C182+C304+C351+C398+C446+C494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C97+C183+C305+C352+C399+C447+C495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3.9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C100+C186+C308+C355+C402+C450+C498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C101+C187+C309+C356+C403+C451+C499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3.9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C104+C190+C312+C359+C406+C454+C502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C105+C191+C313+C360+C407+C455+C503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3.9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C108+C194+C316+C363+C410+C458+C506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C109+C195+C317+C364+C411+C459+C507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3.9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797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C112</f>
        <v>0</v>
      </c>
      <c r="D49" s="356">
        <f t="shared" ref="D49:P49" si="24">D112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C113</f>
        <v>0</v>
      </c>
      <c r="D50" s="358">
        <f t="shared" ref="D50:P50" si="25">D113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688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3.9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IF(C$66&lt;=Koniec,C115+C197+C319+C366+C414+C462+C509,0)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3.9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IF(C$66&lt;=Koniec,SUM(C57:C64),0)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IF(C$66&lt;=Koniec,C512+C465+C417+C369+C322+C200+C118,0)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IF(C$66&lt;=Koniec,C513+C466+C418+C370+C323+C201+C119,0)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IF(C$66&lt;=Koniec,C514+C467+C419+C371+C324+C202+C120,0)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778</v>
      </c>
      <c r="C60" s="33">
        <f t="shared" ref="C60:P60" si="32">IF(C$66&lt;=Koniec,C515+C468+C420+C372+C325+C203+C121,0)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IF(C$66&lt;=Koniec,C516+C469+C421+C373+C326+C204+C122,0)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IF(C$66&lt;=Koniec,C517+C470+C422+C374+C327+C205+C123,0)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IF(C$66&lt;=Koniec,C518+C471+C423+C375+C328+C206+C124,0)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IF(C$66&lt;=Koniec,C519+C472+C424+C376+C329+C207+C125,0)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C65" s="5"/>
      <c r="D65" s="5"/>
      <c r="E65" s="5"/>
      <c r="F65" s="5"/>
      <c r="G65" s="5"/>
      <c r="H65" s="5"/>
      <c r="I65" s="5"/>
    </row>
    <row r="66" spans="2:18">
      <c r="B66" s="351" t="s">
        <v>688</v>
      </c>
      <c r="C66" s="350" t="str">
        <f>C$13</f>
        <v>Uzupełnij dane</v>
      </c>
      <c r="D66" s="350" t="str">
        <f t="shared" ref="D66:P66" si="37">D$13</f>
        <v/>
      </c>
      <c r="E66" s="350" t="str">
        <f t="shared" si="37"/>
        <v/>
      </c>
      <c r="F66" s="350" t="str">
        <f t="shared" si="37"/>
        <v/>
      </c>
      <c r="G66" s="350" t="str">
        <f t="shared" si="37"/>
        <v/>
      </c>
      <c r="H66" s="350" t="str">
        <f t="shared" si="37"/>
        <v/>
      </c>
      <c r="I66" s="350" t="str">
        <f t="shared" si="37"/>
        <v/>
      </c>
      <c r="J66" s="350" t="str">
        <f t="shared" si="37"/>
        <v/>
      </c>
      <c r="K66" s="350" t="str">
        <f t="shared" si="37"/>
        <v/>
      </c>
      <c r="L66" s="350" t="str">
        <f t="shared" si="37"/>
        <v/>
      </c>
      <c r="M66" s="350" t="str">
        <f t="shared" si="37"/>
        <v/>
      </c>
      <c r="N66" s="350" t="str">
        <f t="shared" si="37"/>
        <v/>
      </c>
      <c r="O66" s="350" t="str">
        <f t="shared" si="37"/>
        <v/>
      </c>
      <c r="P66" s="350" t="str">
        <f t="shared" si="37"/>
        <v/>
      </c>
    </row>
    <row r="67" spans="2:18" ht="3.9" customHeight="1">
      <c r="B67" s="352"/>
      <c r="C67" s="363"/>
      <c r="D67" s="363"/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363"/>
    </row>
    <row r="68" spans="2:18">
      <c r="B68" s="368" t="s">
        <v>687</v>
      </c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</row>
    <row r="69" spans="2:18" ht="3.9" customHeight="1">
      <c r="C69" s="5"/>
      <c r="D69" s="5"/>
      <c r="E69" s="5"/>
      <c r="F69" s="5"/>
      <c r="G69" s="5"/>
      <c r="H69" s="5"/>
      <c r="I69" s="5"/>
    </row>
    <row r="70" spans="2:18">
      <c r="B70" s="103" t="s">
        <v>689</v>
      </c>
      <c r="C70" s="102">
        <f>'Środki trwałe'!K2096+'Rozliczenie dotacji'!K1256</f>
        <v>0</v>
      </c>
      <c r="D70" s="102">
        <f ca="1">'Środki trwałe'!L2096+'Rozliczenie dotacji'!L1256</f>
        <v>0</v>
      </c>
      <c r="E70" s="102">
        <f ca="1">'Środki trwałe'!M2096+'Rozliczenie dotacji'!M1256</f>
        <v>0</v>
      </c>
      <c r="F70" s="102">
        <f ca="1">'Środki trwałe'!N2096+'Rozliczenie dotacji'!N1256</f>
        <v>0</v>
      </c>
      <c r="G70" s="102">
        <f ca="1">'Środki trwałe'!O2096+'Rozliczenie dotacji'!O1256</f>
        <v>0</v>
      </c>
      <c r="H70" s="102">
        <f ca="1">'Środki trwałe'!P2096+'Rozliczenie dotacji'!P1256</f>
        <v>0</v>
      </c>
      <c r="I70" s="102">
        <f ca="1">'Środki trwałe'!Q2096+'Rozliczenie dotacji'!Q1256</f>
        <v>0</v>
      </c>
      <c r="J70" s="102">
        <f ca="1">'Środki trwałe'!R2096+'Rozliczenie dotacji'!R1256</f>
        <v>0</v>
      </c>
      <c r="K70" s="102">
        <f ca="1">'Środki trwałe'!S2096+'Rozliczenie dotacji'!S1256</f>
        <v>0</v>
      </c>
      <c r="L70" s="102">
        <f ca="1">'Środki trwałe'!T2096+'Rozliczenie dotacji'!T1256</f>
        <v>0</v>
      </c>
      <c r="M70" s="102">
        <f ca="1">'Środki trwałe'!U2096+'Rozliczenie dotacji'!U1256</f>
        <v>0</v>
      </c>
      <c r="N70" s="102">
        <f ca="1">'Środki trwałe'!V2096+'Rozliczenie dotacji'!V1256</f>
        <v>0</v>
      </c>
      <c r="O70" s="102">
        <f ca="1">'Środki trwałe'!W2096+'Rozliczenie dotacji'!W1256</f>
        <v>0</v>
      </c>
      <c r="P70" s="102">
        <f ca="1">'Środki trwałe'!X2096+'Rozliczenie dotacji'!X1256</f>
        <v>0</v>
      </c>
    </row>
    <row r="71" spans="2:18">
      <c r="B71" s="37" t="s">
        <v>690</v>
      </c>
      <c r="C71" s="33">
        <f>IF(C$66&lt;=Koniec,('Rozliczenie dotacji'!K250),0)</f>
        <v>0</v>
      </c>
      <c r="D71" s="33">
        <f>IF(D$66&lt;=Koniec,('Rozliczenie dotacji'!L250),0)</f>
        <v>0</v>
      </c>
      <c r="E71" s="33">
        <f>IF(E$66&lt;=Koniec,('Rozliczenie dotacji'!M250),0)</f>
        <v>0</v>
      </c>
      <c r="F71" s="33">
        <f>IF(F$66&lt;=Koniec,('Rozliczenie dotacji'!N250),0)</f>
        <v>0</v>
      </c>
      <c r="G71" s="33">
        <f>IF(G$66&lt;=Koniec,('Rozliczenie dotacji'!O250),0)</f>
        <v>0</v>
      </c>
      <c r="H71" s="33">
        <f>IF(H$66&lt;=Koniec,('Rozliczenie dotacji'!P250),0)</f>
        <v>0</v>
      </c>
      <c r="I71" s="33">
        <f>IF(I$66&lt;=Koniec,('Rozliczenie dotacji'!Q250),0)</f>
        <v>0</v>
      </c>
      <c r="J71" s="33">
        <f>IF(J$66&lt;=Koniec,('Rozliczenie dotacji'!R250),0)</f>
        <v>0</v>
      </c>
      <c r="K71" s="33">
        <f>IF(K$66&lt;=Koniec,('Rozliczenie dotacji'!S250),0)</f>
        <v>0</v>
      </c>
      <c r="L71" s="33">
        <f>IF(L$66&lt;=Koniec,('Rozliczenie dotacji'!T250),0)</f>
        <v>0</v>
      </c>
      <c r="M71" s="33">
        <f>IF(M$66&lt;=Koniec,('Rozliczenie dotacji'!U250),0)</f>
        <v>0</v>
      </c>
      <c r="N71" s="33">
        <f>IF(N$66&lt;=Koniec,('Rozliczenie dotacji'!V250),0)</f>
        <v>0</v>
      </c>
      <c r="O71" s="33">
        <f>IF(O$66&lt;=Koniec,('Rozliczenie dotacji'!W250),0)</f>
        <v>0</v>
      </c>
      <c r="P71" s="33">
        <f>IF(P$66&lt;=Koniec,('Rozliczenie dotacji'!X250),0)</f>
        <v>0</v>
      </c>
    </row>
    <row r="72" spans="2:18">
      <c r="B72" s="37" t="s">
        <v>692</v>
      </c>
      <c r="C72" s="33">
        <f>IF(C$66&lt;=Koniec,('Koszty operacyjne'!K1411),0)</f>
        <v>0</v>
      </c>
      <c r="D72" s="33">
        <f>IF(D$66&lt;=Koniec,('Koszty operacyjne'!L1411),0)</f>
        <v>0</v>
      </c>
      <c r="E72" s="33">
        <f>IF(E$66&lt;=Koniec,('Koszty operacyjne'!M1411),0)</f>
        <v>0</v>
      </c>
      <c r="F72" s="33">
        <f>IF(F$66&lt;=Koniec,('Koszty operacyjne'!N1411),0)</f>
        <v>0</v>
      </c>
      <c r="G72" s="33">
        <f>IF(G$66&lt;=Koniec,('Koszty operacyjne'!O1411),0)</f>
        <v>0</v>
      </c>
      <c r="H72" s="33">
        <f>IF(H$66&lt;=Koniec,('Koszty operacyjne'!P1411),0)</f>
        <v>0</v>
      </c>
      <c r="I72" s="33">
        <f>IF(I$66&lt;=Koniec,('Koszty operacyjne'!Q1411),0)</f>
        <v>0</v>
      </c>
      <c r="J72" s="33">
        <f>IF(J$66&lt;=Koniec,('Koszty operacyjne'!R1411),0)</f>
        <v>0</v>
      </c>
      <c r="K72" s="33">
        <f>IF(K$66&lt;=Koniec,('Koszty operacyjne'!S1411),0)</f>
        <v>0</v>
      </c>
      <c r="L72" s="33">
        <f>IF(L$66&lt;=Koniec,('Koszty operacyjne'!T1411),0)</f>
        <v>0</v>
      </c>
      <c r="M72" s="33">
        <f>IF(M$66&lt;=Koniec,('Koszty operacyjne'!U1411),0)</f>
        <v>0</v>
      </c>
      <c r="N72" s="33">
        <f>IF(N$66&lt;=Koniec,('Koszty operacyjne'!V1411),0)</f>
        <v>0</v>
      </c>
      <c r="O72" s="33">
        <f>IF(O$66&lt;=Koniec,('Koszty operacyjne'!W1411),0)</f>
        <v>0</v>
      </c>
      <c r="P72" s="33">
        <f>IF(P$66&lt;=Koniec,('Koszty operacyjne'!X1411),0)</f>
        <v>0</v>
      </c>
    </row>
    <row r="73" spans="2:18">
      <c r="B73" s="37" t="s">
        <v>691</v>
      </c>
      <c r="C73" s="33">
        <f>IF(C$66&lt;=Koniec,('Rozliczenie dotacji'!K251),0)</f>
        <v>0</v>
      </c>
      <c r="D73" s="33">
        <f>IF(D$66&lt;=Koniec,('Rozliczenie dotacji'!L251),0)</f>
        <v>0</v>
      </c>
      <c r="E73" s="33">
        <f>IF(E$66&lt;=Koniec,('Rozliczenie dotacji'!M251),0)</f>
        <v>0</v>
      </c>
      <c r="F73" s="33">
        <f>IF(F$66&lt;=Koniec,('Rozliczenie dotacji'!N251),0)</f>
        <v>0</v>
      </c>
      <c r="G73" s="33">
        <f>IF(G$66&lt;=Koniec,('Rozliczenie dotacji'!O251),0)</f>
        <v>0</v>
      </c>
      <c r="H73" s="33">
        <f>IF(H$66&lt;=Koniec,('Rozliczenie dotacji'!P251),0)</f>
        <v>0</v>
      </c>
      <c r="I73" s="33">
        <f>IF(I$66&lt;=Koniec,('Rozliczenie dotacji'!Q251),0)</f>
        <v>0</v>
      </c>
      <c r="J73" s="33">
        <f>IF(J$66&lt;=Koniec,('Rozliczenie dotacji'!R251),0)</f>
        <v>0</v>
      </c>
      <c r="K73" s="33">
        <f>IF(K$66&lt;=Koniec,('Rozliczenie dotacji'!S251),0)</f>
        <v>0</v>
      </c>
      <c r="L73" s="33">
        <f>IF(L$66&lt;=Koniec,('Rozliczenie dotacji'!T251),0)</f>
        <v>0</v>
      </c>
      <c r="M73" s="33">
        <f>IF(M$66&lt;=Koniec,('Rozliczenie dotacji'!U251),0)</f>
        <v>0</v>
      </c>
      <c r="N73" s="33">
        <f>IF(N$66&lt;=Koniec,('Rozliczenie dotacji'!V251),0)</f>
        <v>0</v>
      </c>
      <c r="O73" s="33">
        <f>IF(O$66&lt;=Koniec,('Rozliczenie dotacji'!W251),0)</f>
        <v>0</v>
      </c>
      <c r="P73" s="33">
        <f>IF(P$66&lt;=Koniec,('Rozliczenie dotacji'!X251),0)</f>
        <v>0</v>
      </c>
    </row>
    <row r="74" spans="2:18">
      <c r="B74" s="98" t="s">
        <v>335</v>
      </c>
      <c r="C74" s="97">
        <f>SUM(C70:C73)</f>
        <v>0</v>
      </c>
      <c r="D74" s="97">
        <f t="shared" ref="D74:P74" ca="1" si="38">SUM(D70:D73)</f>
        <v>0</v>
      </c>
      <c r="E74" s="97">
        <f t="shared" ca="1" si="38"/>
        <v>0</v>
      </c>
      <c r="F74" s="97">
        <f t="shared" ca="1" si="38"/>
        <v>0</v>
      </c>
      <c r="G74" s="97">
        <f t="shared" ca="1" si="38"/>
        <v>0</v>
      </c>
      <c r="H74" s="97">
        <f t="shared" ca="1" si="38"/>
        <v>0</v>
      </c>
      <c r="I74" s="97">
        <f t="shared" ca="1" si="38"/>
        <v>0</v>
      </c>
      <c r="J74" s="97">
        <f t="shared" ca="1" si="38"/>
        <v>0</v>
      </c>
      <c r="K74" s="97">
        <f t="shared" ca="1" si="38"/>
        <v>0</v>
      </c>
      <c r="L74" s="97">
        <f t="shared" ca="1" si="38"/>
        <v>0</v>
      </c>
      <c r="M74" s="97">
        <f t="shared" ca="1" si="38"/>
        <v>0</v>
      </c>
      <c r="N74" s="97">
        <f t="shared" ca="1" si="38"/>
        <v>0</v>
      </c>
      <c r="O74" s="97">
        <f t="shared" ca="1" si="38"/>
        <v>0</v>
      </c>
      <c r="P74" s="97">
        <f t="shared" ca="1" si="38"/>
        <v>0</v>
      </c>
    </row>
    <row r="75" spans="2:18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2:18">
      <c r="C76" s="5"/>
      <c r="D76" s="5"/>
      <c r="E76" s="5"/>
      <c r="F76" s="5"/>
      <c r="G76" s="5"/>
      <c r="H76" s="5"/>
      <c r="I76" s="5"/>
    </row>
    <row r="77" spans="2:18">
      <c r="B77" s="366" t="s">
        <v>103</v>
      </c>
      <c r="C77" s="366" t="str">
        <f>'Koszty operacyjne'!K114</f>
        <v>Uzupełnij dane</v>
      </c>
      <c r="D77" s="366" t="str">
        <f>'Koszty operacyjne'!L114</f>
        <v/>
      </c>
      <c r="E77" s="366" t="str">
        <f>'Koszty operacyjne'!M114</f>
        <v/>
      </c>
      <c r="F77" s="366" t="str">
        <f>'Koszty operacyjne'!N114</f>
        <v/>
      </c>
      <c r="G77" s="366" t="str">
        <f>'Koszty operacyjne'!O114</f>
        <v/>
      </c>
      <c r="H77" s="366" t="str">
        <f>'Koszty operacyjne'!P114</f>
        <v/>
      </c>
      <c r="I77" s="366" t="str">
        <f>'Koszty operacyjne'!Q114</f>
        <v/>
      </c>
      <c r="J77" s="366" t="str">
        <f>'Koszty operacyjne'!R114</f>
        <v/>
      </c>
      <c r="K77" s="366" t="str">
        <f>'Koszty operacyjne'!S114</f>
        <v/>
      </c>
      <c r="L77" s="366" t="str">
        <f>'Koszty operacyjne'!T114</f>
        <v/>
      </c>
      <c r="M77" s="366" t="str">
        <f>'Koszty operacyjne'!U114</f>
        <v/>
      </c>
      <c r="N77" s="366" t="str">
        <f>'Koszty operacyjne'!V114</f>
        <v/>
      </c>
      <c r="O77" s="366" t="str">
        <f>'Koszty operacyjne'!W114</f>
        <v/>
      </c>
      <c r="P77" s="366" t="str">
        <f>'Koszty operacyjne'!X114</f>
        <v/>
      </c>
      <c r="Q77" s="371"/>
      <c r="R77" s="371"/>
    </row>
    <row r="78" spans="2:18" ht="3.9" customHeight="1"/>
    <row r="79" spans="2:18" ht="12" customHeight="1">
      <c r="B79" s="98" t="s">
        <v>93</v>
      </c>
      <c r="C79" s="97">
        <f>C80+C81</f>
        <v>0</v>
      </c>
      <c r="D79" s="97">
        <f t="shared" ref="D79:P79" si="39">D80+D81</f>
        <v>0</v>
      </c>
      <c r="E79" s="97">
        <f t="shared" si="39"/>
        <v>0</v>
      </c>
      <c r="F79" s="97">
        <f t="shared" si="39"/>
        <v>0</v>
      </c>
      <c r="G79" s="97">
        <f t="shared" si="39"/>
        <v>0</v>
      </c>
      <c r="H79" s="97">
        <f t="shared" si="39"/>
        <v>0</v>
      </c>
      <c r="I79" s="97">
        <f t="shared" si="39"/>
        <v>0</v>
      </c>
      <c r="J79" s="97">
        <f t="shared" si="39"/>
        <v>0</v>
      </c>
      <c r="K79" s="97">
        <f t="shared" si="39"/>
        <v>0</v>
      </c>
      <c r="L79" s="97">
        <f t="shared" si="39"/>
        <v>0</v>
      </c>
      <c r="M79" s="97">
        <f t="shared" si="39"/>
        <v>0</v>
      </c>
      <c r="N79" s="97">
        <f t="shared" si="39"/>
        <v>0</v>
      </c>
      <c r="O79" s="97">
        <f t="shared" si="39"/>
        <v>0</v>
      </c>
      <c r="P79" s="97">
        <f t="shared" si="39"/>
        <v>0</v>
      </c>
    </row>
    <row r="80" spans="2:18">
      <c r="B80" s="460" t="s">
        <v>95</v>
      </c>
      <c r="C80" s="461">
        <f>C84+C88+C92+C96+C100+C104+C108+C112</f>
        <v>0</v>
      </c>
      <c r="D80" s="461">
        <f t="shared" ref="D80:P80" si="40">D84+D88+D92+D96+D100+D104+D108+D112</f>
        <v>0</v>
      </c>
      <c r="E80" s="461">
        <f t="shared" si="40"/>
        <v>0</v>
      </c>
      <c r="F80" s="461">
        <f t="shared" si="40"/>
        <v>0</v>
      </c>
      <c r="G80" s="461">
        <f t="shared" si="40"/>
        <v>0</v>
      </c>
      <c r="H80" s="461">
        <f t="shared" si="40"/>
        <v>0</v>
      </c>
      <c r="I80" s="461">
        <f t="shared" si="40"/>
        <v>0</v>
      </c>
      <c r="J80" s="461">
        <f t="shared" si="40"/>
        <v>0</v>
      </c>
      <c r="K80" s="461">
        <f t="shared" si="40"/>
        <v>0</v>
      </c>
      <c r="L80" s="461">
        <f t="shared" si="40"/>
        <v>0</v>
      </c>
      <c r="M80" s="461">
        <f t="shared" si="40"/>
        <v>0</v>
      </c>
      <c r="N80" s="461">
        <f t="shared" si="40"/>
        <v>0</v>
      </c>
      <c r="O80" s="461">
        <f t="shared" si="40"/>
        <v>0</v>
      </c>
      <c r="P80" s="461">
        <f t="shared" si="40"/>
        <v>0</v>
      </c>
    </row>
    <row r="81" spans="2:25">
      <c r="B81" s="463" t="s">
        <v>96</v>
      </c>
      <c r="C81" s="464">
        <f>C85+C89+C93+C97+C101+C105+C109+C113</f>
        <v>0</v>
      </c>
      <c r="D81" s="464">
        <f t="shared" ref="D81:P81" si="41">D85+D89+D93+D97+D101+D105+D109+D113</f>
        <v>0</v>
      </c>
      <c r="E81" s="464">
        <f t="shared" si="41"/>
        <v>0</v>
      </c>
      <c r="F81" s="464">
        <f t="shared" si="41"/>
        <v>0</v>
      </c>
      <c r="G81" s="464">
        <f t="shared" si="41"/>
        <v>0</v>
      </c>
      <c r="H81" s="464">
        <f t="shared" si="41"/>
        <v>0</v>
      </c>
      <c r="I81" s="464">
        <f t="shared" si="41"/>
        <v>0</v>
      </c>
      <c r="J81" s="464">
        <f t="shared" si="41"/>
        <v>0</v>
      </c>
      <c r="K81" s="464">
        <f t="shared" si="41"/>
        <v>0</v>
      </c>
      <c r="L81" s="464">
        <f t="shared" si="41"/>
        <v>0</v>
      </c>
      <c r="M81" s="464">
        <f t="shared" si="41"/>
        <v>0</v>
      </c>
      <c r="N81" s="464">
        <f t="shared" si="41"/>
        <v>0</v>
      </c>
      <c r="O81" s="464">
        <f t="shared" si="41"/>
        <v>0</v>
      </c>
      <c r="P81" s="464">
        <f t="shared" si="41"/>
        <v>0</v>
      </c>
    </row>
    <row r="82" spans="2:25" ht="3.9" customHeight="1"/>
    <row r="83" spans="2:25" ht="12" customHeight="1">
      <c r="B83" s="353" t="s">
        <v>94</v>
      </c>
      <c r="C83" s="354">
        <f t="shared" ref="C83:P83" si="42">SUM(C84:C85)</f>
        <v>0</v>
      </c>
      <c r="D83" s="354">
        <f t="shared" si="42"/>
        <v>0</v>
      </c>
      <c r="E83" s="354">
        <f t="shared" si="42"/>
        <v>0</v>
      </c>
      <c r="F83" s="354">
        <f t="shared" si="42"/>
        <v>0</v>
      </c>
      <c r="G83" s="354">
        <f t="shared" si="42"/>
        <v>0</v>
      </c>
      <c r="H83" s="354">
        <f t="shared" si="42"/>
        <v>0</v>
      </c>
      <c r="I83" s="354">
        <f t="shared" si="42"/>
        <v>0</v>
      </c>
      <c r="J83" s="354">
        <f t="shared" si="42"/>
        <v>0</v>
      </c>
      <c r="K83" s="354">
        <f t="shared" si="42"/>
        <v>0</v>
      </c>
      <c r="L83" s="354">
        <f t="shared" si="42"/>
        <v>0</v>
      </c>
      <c r="M83" s="354">
        <f t="shared" si="42"/>
        <v>0</v>
      </c>
      <c r="N83" s="354">
        <f t="shared" si="42"/>
        <v>0</v>
      </c>
      <c r="O83" s="354">
        <f t="shared" si="42"/>
        <v>0</v>
      </c>
      <c r="P83" s="354">
        <f t="shared" si="42"/>
        <v>0</v>
      </c>
    </row>
    <row r="84" spans="2:25" ht="12" customHeight="1">
      <c r="B84" s="355" t="s">
        <v>95</v>
      </c>
      <c r="C84" s="356" cm="1">
        <f t="array" ref="C84">SUMPRODUCT(ISNUMBER(MATCH(mod_st_zpr,$B$77,0))*('Koszty operacyjne'!$K$114:$X$114=Moduły!C$77)*ISNUMBER(MATCH(st_zpr_kw,tak,0)),st_zpr)</f>
        <v>0</v>
      </c>
      <c r="D84" s="356" cm="1">
        <f t="array" ref="D84">SUMPRODUCT(ISNUMBER(MATCH(mod_st_zpr,$B$77,0))*('Koszty operacyjne'!$K$114:$X$114=Moduły!D$77)*ISNUMBER(MATCH(st_zpr_kw,tak,0)),st_zpr)</f>
        <v>0</v>
      </c>
      <c r="E84" s="356" cm="1">
        <f t="array" ref="E84">SUMPRODUCT(ISNUMBER(MATCH(mod_st_zpr,$B$77,0))*('Koszty operacyjne'!$K$114:$X$114=Moduły!E$77)*ISNUMBER(MATCH(st_zpr_kw,tak,0)),st_zpr)</f>
        <v>0</v>
      </c>
      <c r="F84" s="356" cm="1">
        <f t="array" ref="F84">SUMPRODUCT(ISNUMBER(MATCH(mod_st_zpr,$B$77,0))*('Koszty operacyjne'!$K$114:$X$114=Moduły!F$77)*ISNUMBER(MATCH(st_zpr_kw,tak,0)),st_zpr)</f>
        <v>0</v>
      </c>
      <c r="G84" s="356" cm="1">
        <f t="array" ref="G84">SUMPRODUCT(ISNUMBER(MATCH(mod_st_zpr,$B$77,0))*('Koszty operacyjne'!$K$114:$X$114=Moduły!G$77)*ISNUMBER(MATCH(st_zpr_kw,tak,0)),st_zpr)</f>
        <v>0</v>
      </c>
      <c r="H84" s="356" cm="1">
        <f t="array" ref="H84">SUMPRODUCT(ISNUMBER(MATCH(mod_st_zpr,$B$77,0))*('Koszty operacyjne'!$K$114:$X$114=Moduły!H$77)*ISNUMBER(MATCH(st_zpr_kw,tak,0)),st_zpr)</f>
        <v>0</v>
      </c>
      <c r="I84" s="356" cm="1">
        <f t="array" ref="I84">SUMPRODUCT(ISNUMBER(MATCH(mod_st_zpr,$B$77,0))*('Koszty operacyjne'!$K$114:$X$114=Moduły!I$77)*ISNUMBER(MATCH(st_zpr_kw,tak,0)),st_zpr)</f>
        <v>0</v>
      </c>
      <c r="J84" s="356" cm="1">
        <f t="array" ref="J84">SUMPRODUCT(ISNUMBER(MATCH(mod_st_zpr,$B$77,0))*('Koszty operacyjne'!$K$114:$X$114=Moduły!J$77)*ISNUMBER(MATCH(st_zpr_kw,tak,0)),st_zpr)</f>
        <v>0</v>
      </c>
      <c r="K84" s="356" cm="1">
        <f t="array" ref="K84">SUMPRODUCT(ISNUMBER(MATCH(mod_st_zpr,$B$77,0))*('Koszty operacyjne'!$K$114:$X$114=Moduły!K$77)*ISNUMBER(MATCH(st_zpr_kw,tak,0)),st_zpr)</f>
        <v>0</v>
      </c>
      <c r="L84" s="356" cm="1">
        <f t="array" ref="L84">SUMPRODUCT(ISNUMBER(MATCH(mod_st_zpr,$B$77,0))*('Koszty operacyjne'!$K$114:$X$114=Moduły!L$77)*ISNUMBER(MATCH(st_zpr_kw,tak,0)),st_zpr)</f>
        <v>0</v>
      </c>
      <c r="M84" s="356" cm="1">
        <f t="array" ref="M84">SUMPRODUCT(ISNUMBER(MATCH(mod_st_zpr,$B$77,0))*('Koszty operacyjne'!$K$114:$X$114=Moduły!M$77)*ISNUMBER(MATCH(st_zpr_kw,tak,0)),st_zpr)</f>
        <v>0</v>
      </c>
      <c r="N84" s="356" cm="1">
        <f t="array" ref="N84">SUMPRODUCT(ISNUMBER(MATCH(mod_st_zpr,$B$77,0))*('Koszty operacyjne'!$K$114:$X$114=Moduły!N$77)*ISNUMBER(MATCH(st_zpr_kw,tak,0)),st_zpr)</f>
        <v>0</v>
      </c>
      <c r="O84" s="356" cm="1">
        <f t="array" ref="O84">SUMPRODUCT(ISNUMBER(MATCH(mod_st_zpr,$B$77,0))*('Koszty operacyjne'!$K$114:$X$114=Moduły!O$77)*ISNUMBER(MATCH(st_zpr_kw,tak,0)),st_zpr)</f>
        <v>0</v>
      </c>
      <c r="P84" s="356" cm="1">
        <f t="array" ref="P84">SUMPRODUCT(ISNUMBER(MATCH(mod_st_zpr,$B$77,0))*('Koszty operacyjne'!$K$114:$X$114=Moduły!P$77)*ISNUMBER(MATCH(st_zpr_kw,tak,0)),st_zpr)</f>
        <v>0</v>
      </c>
      <c r="Q84" s="5"/>
      <c r="R84" s="5"/>
      <c r="S84" s="5"/>
      <c r="T84" s="5"/>
    </row>
    <row r="85" spans="2:25" ht="12" customHeight="1">
      <c r="B85" s="357" t="s">
        <v>96</v>
      </c>
      <c r="C85" s="358" cm="1">
        <f t="array" ref="C85">SUMPRODUCT(ISNUMBER(MATCH(mod_st_zpr,$B$77,0))*('Koszty operacyjne'!$K$114:$X$114=Moduły!C$77)*ISNUMBER(MATCH(st_zpr_kw,nie,0)),st_zpr)</f>
        <v>0</v>
      </c>
      <c r="D85" s="358" cm="1">
        <f t="array" ref="D85">SUMPRODUCT(ISNUMBER(MATCH(mod_st_zpr,$B$77,0))*('Koszty operacyjne'!$K$114:$X$114=Moduły!D$77)*ISNUMBER(MATCH(st_zpr_kw,nie,0)),st_zpr)</f>
        <v>0</v>
      </c>
      <c r="E85" s="358" cm="1">
        <f t="array" ref="E85">SUMPRODUCT(ISNUMBER(MATCH(mod_st_zpr,$B$77,0))*('Koszty operacyjne'!$K$114:$X$114=Moduły!E$77)*ISNUMBER(MATCH(st_zpr_kw,nie,0)),st_zpr)</f>
        <v>0</v>
      </c>
      <c r="F85" s="358" cm="1">
        <f t="array" ref="F85">SUMPRODUCT(ISNUMBER(MATCH(mod_st_zpr,$B$77,0))*('Koszty operacyjne'!$K$114:$X$114=Moduły!F$77)*ISNUMBER(MATCH(st_zpr_kw,nie,0)),st_zpr)</f>
        <v>0</v>
      </c>
      <c r="G85" s="358" cm="1">
        <f t="array" ref="G85">SUMPRODUCT(ISNUMBER(MATCH(mod_st_zpr,$B$77,0))*('Koszty operacyjne'!$K$114:$X$114=Moduły!G$77)*ISNUMBER(MATCH(st_zpr_kw,nie,0)),st_zpr)</f>
        <v>0</v>
      </c>
      <c r="H85" s="358" cm="1">
        <f t="array" ref="H85">SUMPRODUCT(ISNUMBER(MATCH(mod_st_zpr,$B$77,0))*('Koszty operacyjne'!$K$114:$X$114=Moduły!H$77)*ISNUMBER(MATCH(st_zpr_kw,nie,0)),st_zpr)</f>
        <v>0</v>
      </c>
      <c r="I85" s="358" cm="1">
        <f t="array" ref="I85">SUMPRODUCT(ISNUMBER(MATCH(mod_st_zpr,$B$77,0))*('Koszty operacyjne'!$K$114:$X$114=Moduły!I$77)*ISNUMBER(MATCH(st_zpr_kw,nie,0)),st_zpr)</f>
        <v>0</v>
      </c>
      <c r="J85" s="358" cm="1">
        <f t="array" ref="J85">SUMPRODUCT(ISNUMBER(MATCH(mod_st_zpr,$B$77,0))*('Koszty operacyjne'!$K$114:$X$114=Moduły!J$77)*ISNUMBER(MATCH(st_zpr_kw,nie,0)),st_zpr)</f>
        <v>0</v>
      </c>
      <c r="K85" s="359" cm="1">
        <f t="array" ref="K85">SUMPRODUCT(ISNUMBER(MATCH(mod_st_zpr,$B$77,0))*('Koszty operacyjne'!$K$114:$X$114=Moduły!K$77)*ISNUMBER(MATCH(st_zpr_kw,nie,0)),st_zpr)</f>
        <v>0</v>
      </c>
      <c r="L85" s="359" cm="1">
        <f t="array" ref="L85">SUMPRODUCT(ISNUMBER(MATCH(mod_st_zpr,$B$77,0))*('Koszty operacyjne'!$K$114:$X$114=Moduły!L$77)*ISNUMBER(MATCH(st_zpr_kw,nie,0)),st_zpr)</f>
        <v>0</v>
      </c>
      <c r="M85" s="359" cm="1">
        <f t="array" ref="M85">SUMPRODUCT(ISNUMBER(MATCH(mod_st_zpr,$B$77,0))*('Koszty operacyjne'!$K$114:$X$114=Moduły!M$77)*ISNUMBER(MATCH(st_zpr_kw,nie,0)),st_zpr)</f>
        <v>0</v>
      </c>
      <c r="N85" s="359" cm="1">
        <f t="array" ref="N85">SUMPRODUCT(ISNUMBER(MATCH(mod_st_zpr,$B$77,0))*('Koszty operacyjne'!$K$114:$X$114=Moduły!N$77)*ISNUMBER(MATCH(st_zpr_kw,nie,0)),st_zpr)</f>
        <v>0</v>
      </c>
      <c r="O85" s="359" cm="1">
        <f t="array" ref="O85">SUMPRODUCT(ISNUMBER(MATCH(mod_st_zpr,$B$77,0))*('Koszty operacyjne'!$K$114:$X$114=Moduły!O$77)*ISNUMBER(MATCH(st_zpr_kw,nie,0)),st_zpr)</f>
        <v>0</v>
      </c>
      <c r="P85" s="359" cm="1">
        <f t="array" ref="P85">SUMPRODUCT(ISNUMBER(MATCH(mod_st_zpr,$B$77,0))*('Koszty operacyjne'!$K$114:$X$114=Moduły!P$77)*ISNUMBER(MATCH(st_zpr_kw,nie,0)),st_zpr)</f>
        <v>0</v>
      </c>
      <c r="Q85" s="5"/>
      <c r="R85" s="5"/>
      <c r="S85" s="5"/>
      <c r="T85" s="5"/>
    </row>
    <row r="86" spans="2:25" ht="3.9" customHeight="1">
      <c r="B86" s="360"/>
      <c r="C86" s="361"/>
      <c r="D86" s="361"/>
      <c r="E86" s="361"/>
      <c r="F86" s="361"/>
      <c r="G86" s="361"/>
      <c r="H86" s="361"/>
      <c r="I86" s="361"/>
      <c r="J86" s="361"/>
      <c r="K86" s="362"/>
      <c r="L86" s="362"/>
      <c r="M86" s="362"/>
      <c r="N86" s="362"/>
      <c r="O86" s="362"/>
      <c r="P86" s="362"/>
      <c r="Q86" s="5"/>
      <c r="R86" s="5"/>
      <c r="S86" s="5"/>
      <c r="T86" s="5"/>
    </row>
    <row r="87" spans="2:25" ht="12" customHeight="1">
      <c r="B87" s="353" t="s">
        <v>97</v>
      </c>
      <c r="C87" s="354">
        <f t="shared" ref="C87:P87" si="43">SUM(C88:C89)</f>
        <v>0</v>
      </c>
      <c r="D87" s="354">
        <f t="shared" si="43"/>
        <v>0</v>
      </c>
      <c r="E87" s="354">
        <f t="shared" si="43"/>
        <v>0</v>
      </c>
      <c r="F87" s="354">
        <f t="shared" si="43"/>
        <v>0</v>
      </c>
      <c r="G87" s="354">
        <f t="shared" si="43"/>
        <v>0</v>
      </c>
      <c r="H87" s="354">
        <f t="shared" si="43"/>
        <v>0</v>
      </c>
      <c r="I87" s="354">
        <f t="shared" si="43"/>
        <v>0</v>
      </c>
      <c r="J87" s="354">
        <f t="shared" si="43"/>
        <v>0</v>
      </c>
      <c r="K87" s="354">
        <f t="shared" si="43"/>
        <v>0</v>
      </c>
      <c r="L87" s="354">
        <f t="shared" si="43"/>
        <v>0</v>
      </c>
      <c r="M87" s="354">
        <f t="shared" si="43"/>
        <v>0</v>
      </c>
      <c r="N87" s="354">
        <f t="shared" si="43"/>
        <v>0</v>
      </c>
      <c r="O87" s="354">
        <f t="shared" si="43"/>
        <v>0</v>
      </c>
      <c r="P87" s="354">
        <f t="shared" si="43"/>
        <v>0</v>
      </c>
      <c r="Q87" s="5"/>
      <c r="R87" s="5"/>
      <c r="S87" s="5"/>
      <c r="T87" s="5"/>
    </row>
    <row r="88" spans="2:25" ht="12" customHeight="1">
      <c r="B88" s="355" t="s">
        <v>95</v>
      </c>
      <c r="C88" s="356" cm="1">
        <f t="array" ref="C88">SUMPRODUCT(ISNUMBER(MATCH(mod_st_wnp,$B$77,0))*('Koszty operacyjne'!$K$114:$X$114=Moduły!C$77)*ISNUMBER(MATCH(st_wnp_kw,tak,0)),st_wnp)</f>
        <v>0</v>
      </c>
      <c r="D88" s="356" cm="1">
        <f t="array" ref="D88">SUMPRODUCT(ISNUMBER(MATCH(mod_st_wnp,$B$77,0))*('Koszty operacyjne'!$K$114:$X$114=Moduły!D$77)*ISNUMBER(MATCH(st_wnp_kw,tak,0)),st_wnp)</f>
        <v>0</v>
      </c>
      <c r="E88" s="356" cm="1">
        <f t="array" ref="E88">SUMPRODUCT(ISNUMBER(MATCH(mod_st_wnp,$B$77,0))*('Koszty operacyjne'!$K$114:$X$114=Moduły!E$77)*ISNUMBER(MATCH(st_wnp_kw,tak,0)),st_wnp)</f>
        <v>0</v>
      </c>
      <c r="F88" s="356" cm="1">
        <f t="array" ref="F88">SUMPRODUCT(ISNUMBER(MATCH(mod_st_wnp,$B$77,0))*('Koszty operacyjne'!$K$114:$X$114=Moduły!F$77)*ISNUMBER(MATCH(st_wnp_kw,tak,0)),st_wnp)</f>
        <v>0</v>
      </c>
      <c r="G88" s="356" cm="1">
        <f t="array" ref="G88">SUMPRODUCT(ISNUMBER(MATCH(mod_st_wnp,$B$77,0))*('Koszty operacyjne'!$K$114:$X$114=Moduły!G$77)*ISNUMBER(MATCH(st_wnp_kw,tak,0)),st_wnp)</f>
        <v>0</v>
      </c>
      <c r="H88" s="356" cm="1">
        <f t="array" ref="H88">SUMPRODUCT(ISNUMBER(MATCH(mod_st_wnp,$B$77,0))*('Koszty operacyjne'!$K$114:$X$114=Moduły!H$77)*ISNUMBER(MATCH(st_wnp_kw,tak,0)),st_wnp)</f>
        <v>0</v>
      </c>
      <c r="I88" s="356" cm="1">
        <f t="array" ref="I88">SUMPRODUCT(ISNUMBER(MATCH(mod_st_wnp,$B$77,0))*('Koszty operacyjne'!$K$114:$X$114=Moduły!I$77)*ISNUMBER(MATCH(st_wnp_kw,tak,0)),st_wnp)</f>
        <v>0</v>
      </c>
      <c r="J88" s="356" cm="1">
        <f t="array" ref="J88">SUMPRODUCT(ISNUMBER(MATCH(mod_st_wnp,$B$77,0))*('Koszty operacyjne'!$K$114:$X$114=Moduły!J$77)*ISNUMBER(MATCH(st_wnp_kw,tak,0)),st_wnp)</f>
        <v>0</v>
      </c>
      <c r="K88" s="356" cm="1">
        <f t="array" ref="K88">SUMPRODUCT(ISNUMBER(MATCH(mod_st_wnp,$B$77,0))*('Koszty operacyjne'!$K$114:$X$114=Moduły!K$77)*ISNUMBER(MATCH(st_wnp_kw,tak,0)),st_wnp)</f>
        <v>0</v>
      </c>
      <c r="L88" s="356" cm="1">
        <f t="array" ref="L88">SUMPRODUCT(ISNUMBER(MATCH(mod_st_wnp,$B$77,0))*('Koszty operacyjne'!$K$114:$X$114=Moduły!L$77)*ISNUMBER(MATCH(st_wnp_kw,tak,0)),st_wnp)</f>
        <v>0</v>
      </c>
      <c r="M88" s="356" cm="1">
        <f t="array" ref="M88">SUMPRODUCT(ISNUMBER(MATCH(mod_st_wnp,$B$77,0))*('Koszty operacyjne'!$K$114:$X$114=Moduły!M$77)*ISNUMBER(MATCH(st_wnp_kw,tak,0)),st_wnp)</f>
        <v>0</v>
      </c>
      <c r="N88" s="356" cm="1">
        <f t="array" ref="N88">SUMPRODUCT(ISNUMBER(MATCH(mod_st_wnp,$B$77,0))*('Koszty operacyjne'!$K$114:$X$114=Moduły!N$77)*ISNUMBER(MATCH(st_wnp_kw,tak,0)),st_wnp)</f>
        <v>0</v>
      </c>
      <c r="O88" s="356" cm="1">
        <f t="array" ref="O88">SUMPRODUCT(ISNUMBER(MATCH(mod_st_wnp,$B$77,0))*('Koszty operacyjne'!$K$114:$X$114=Moduły!O$77)*ISNUMBER(MATCH(st_wnp_kw,tak,0)),st_wnp)</f>
        <v>0</v>
      </c>
      <c r="P88" s="356" cm="1">
        <f t="array" ref="P88">SUMPRODUCT(ISNUMBER(MATCH(mod_st_wnp,$B$77,0))*('Koszty operacyjne'!$K$114:$X$114=Moduły!P$77)*ISNUMBER(MATCH(st_wnp_kw,tak,0)),st_wnp)</f>
        <v>0</v>
      </c>
      <c r="Q88" s="5"/>
      <c r="R88" s="5"/>
      <c r="S88" s="5"/>
      <c r="T88" s="5"/>
    </row>
    <row r="89" spans="2:25" ht="12" customHeight="1">
      <c r="B89" s="357" t="s">
        <v>96</v>
      </c>
      <c r="C89" s="358" cm="1">
        <f t="array" ref="C89">SUMPRODUCT(ISNUMBER(MATCH(mod_st_wnp,$B$77,0))*('Koszty operacyjne'!$K$114:$X$114=Moduły!C$77)*ISNUMBER(MATCH(st_wnp_kw,nie,0)),st_wnp)</f>
        <v>0</v>
      </c>
      <c r="D89" s="358" cm="1">
        <f t="array" ref="D89">SUMPRODUCT(ISNUMBER(MATCH(mod_st_wnp,$B$77,0))*('Koszty operacyjne'!$K$114:$X$114=Moduły!D$77)*ISNUMBER(MATCH(st_wnp_kw,nie,0)),st_wnp)</f>
        <v>0</v>
      </c>
      <c r="E89" s="358" cm="1">
        <f t="array" ref="E89">SUMPRODUCT(ISNUMBER(MATCH(mod_st_wnp,$B$77,0))*('Koszty operacyjne'!$K$114:$X$114=Moduły!E$77)*ISNUMBER(MATCH(st_wnp_kw,nie,0)),st_wnp)</f>
        <v>0</v>
      </c>
      <c r="F89" s="358" cm="1">
        <f t="array" ref="F89">SUMPRODUCT(ISNUMBER(MATCH(mod_st_wnp,$B$77,0))*('Koszty operacyjne'!$K$114:$X$114=Moduły!F$77)*ISNUMBER(MATCH(st_wnp_kw,nie,0)),st_wnp)</f>
        <v>0</v>
      </c>
      <c r="G89" s="358" cm="1">
        <f t="array" ref="G89">SUMPRODUCT(ISNUMBER(MATCH(mod_st_wnp,$B$77,0))*('Koszty operacyjne'!$K$114:$X$114=Moduły!G$77)*ISNUMBER(MATCH(st_wnp_kw,nie,0)),st_wnp)</f>
        <v>0</v>
      </c>
      <c r="H89" s="358" cm="1">
        <f t="array" ref="H89">SUMPRODUCT(ISNUMBER(MATCH(mod_st_wnp,$B$77,0))*('Koszty operacyjne'!$K$114:$X$114=Moduły!H$77)*ISNUMBER(MATCH(st_wnp_kw,nie,0)),st_wnp)</f>
        <v>0</v>
      </c>
      <c r="I89" s="358" cm="1">
        <f t="array" ref="I89">SUMPRODUCT(ISNUMBER(MATCH(mod_st_wnp,$B$77,0))*('Koszty operacyjne'!$K$114:$X$114=Moduły!I$77)*ISNUMBER(MATCH(st_wnp_kw,nie,0)),st_wnp)</f>
        <v>0</v>
      </c>
      <c r="J89" s="358" cm="1">
        <f t="array" ref="J89">SUMPRODUCT(ISNUMBER(MATCH(mod_st_wnp,$B$77,0))*('Koszty operacyjne'!$K$114:$X$114=Moduły!J$77)*ISNUMBER(MATCH(st_wnp_kw,nie,0)),st_wnp)</f>
        <v>0</v>
      </c>
      <c r="K89" s="359" cm="1">
        <f t="array" ref="K89">SUMPRODUCT(ISNUMBER(MATCH(mod_st_wnp,$B$77,0))*('Koszty operacyjne'!$K$114:$X$114=Moduły!K$77)*ISNUMBER(MATCH(st_wnp_kw,nie,0)),st_wnp)</f>
        <v>0</v>
      </c>
      <c r="L89" s="359" cm="1">
        <f t="array" ref="L89">SUMPRODUCT(ISNUMBER(MATCH(mod_st_wnp,$B$77,0))*('Koszty operacyjne'!$K$114:$X$114=Moduły!L$77)*ISNUMBER(MATCH(st_wnp_kw,nie,0)),st_wnp)</f>
        <v>0</v>
      </c>
      <c r="M89" s="359" cm="1">
        <f t="array" ref="M89">SUMPRODUCT(ISNUMBER(MATCH(mod_st_wnp,$B$77,0))*('Koszty operacyjne'!$K$114:$X$114=Moduły!M$77)*ISNUMBER(MATCH(st_wnp_kw,nie,0)),st_wnp)</f>
        <v>0</v>
      </c>
      <c r="N89" s="359" cm="1">
        <f t="array" ref="N89">SUMPRODUCT(ISNUMBER(MATCH(mod_st_wnp,$B$77,0))*('Koszty operacyjne'!$K$114:$X$114=Moduły!N$77)*ISNUMBER(MATCH(st_wnp_kw,nie,0)),st_wnp)</f>
        <v>0</v>
      </c>
      <c r="O89" s="359" cm="1">
        <f t="array" ref="O89">SUMPRODUCT(ISNUMBER(MATCH(mod_st_wnp,$B$77,0))*('Koszty operacyjne'!$K$114:$X$114=Moduły!O$77)*ISNUMBER(MATCH(st_wnp_kw,nie,0)),st_wnp)</f>
        <v>0</v>
      </c>
      <c r="P89" s="359" cm="1">
        <f t="array" ref="P89">SUMPRODUCT(ISNUMBER(MATCH(mod_st_wnp,$B$77,0))*('Koszty operacyjne'!$K$114:$X$114=Moduły!P$77)*ISNUMBER(MATCH(st_wnp_kw,nie,0)),st_wnp)</f>
        <v>0</v>
      </c>
      <c r="Q89" s="5"/>
      <c r="R89" s="5"/>
      <c r="S89" s="5"/>
      <c r="T89" s="5"/>
    </row>
    <row r="90" spans="2:25" ht="3.9" customHeight="1">
      <c r="B90" s="8"/>
      <c r="C90" s="361"/>
      <c r="D90" s="361"/>
      <c r="E90" s="361"/>
      <c r="F90" s="361"/>
      <c r="G90" s="361"/>
      <c r="H90" s="361"/>
      <c r="I90" s="361"/>
      <c r="J90" s="361"/>
      <c r="K90" s="362"/>
      <c r="L90" s="362"/>
      <c r="M90" s="362"/>
      <c r="N90" s="362"/>
      <c r="O90" s="362"/>
      <c r="P90" s="362"/>
      <c r="Q90" s="5"/>
      <c r="R90" s="5"/>
      <c r="S90" s="5"/>
      <c r="T90" s="5"/>
    </row>
    <row r="91" spans="2:25" ht="12" customHeight="1">
      <c r="B91" s="353" t="s">
        <v>98</v>
      </c>
      <c r="C91" s="354">
        <f t="shared" ref="C91:P91" si="44">SUM(C92:C93)</f>
        <v>0</v>
      </c>
      <c r="D91" s="354">
        <f t="shared" si="44"/>
        <v>0</v>
      </c>
      <c r="E91" s="354">
        <f t="shared" si="44"/>
        <v>0</v>
      </c>
      <c r="F91" s="354">
        <f t="shared" si="44"/>
        <v>0</v>
      </c>
      <c r="G91" s="354">
        <f t="shared" si="44"/>
        <v>0</v>
      </c>
      <c r="H91" s="354">
        <f t="shared" si="44"/>
        <v>0</v>
      </c>
      <c r="I91" s="354">
        <f t="shared" si="44"/>
        <v>0</v>
      </c>
      <c r="J91" s="354">
        <f t="shared" si="44"/>
        <v>0</v>
      </c>
      <c r="K91" s="354">
        <f t="shared" si="44"/>
        <v>0</v>
      </c>
      <c r="L91" s="354">
        <f t="shared" si="44"/>
        <v>0</v>
      </c>
      <c r="M91" s="354">
        <f t="shared" si="44"/>
        <v>0</v>
      </c>
      <c r="N91" s="354">
        <f t="shared" si="44"/>
        <v>0</v>
      </c>
      <c r="O91" s="354">
        <f t="shared" si="44"/>
        <v>0</v>
      </c>
      <c r="P91" s="354">
        <f t="shared" si="44"/>
        <v>0</v>
      </c>
      <c r="Q91" s="5"/>
      <c r="R91" s="5"/>
      <c r="S91" s="5"/>
      <c r="T91" s="5"/>
    </row>
    <row r="92" spans="2:25" ht="12" customHeight="1">
      <c r="B92" s="355" t="s">
        <v>95</v>
      </c>
      <c r="C92" s="356" cm="1">
        <f t="array" ref="C92">SUMPRODUCT(ISNUMBER(MATCH(mod_st_gry,$B$77,0))*('Koszty operacyjne'!$K$114:$X$114=Moduły!C$77)*ISNUMBER(MATCH(st_gry_kw,tak,0)),st_gry)</f>
        <v>0</v>
      </c>
      <c r="D92" s="356" cm="1">
        <f t="array" ref="D92">SUMPRODUCT(ISNUMBER(MATCH(mod_st_gry,$B$77,0))*('Koszty operacyjne'!$K$114:$X$114=Moduły!D$77)*ISNUMBER(MATCH(st_gry_kw,tak,0)),st_gry)</f>
        <v>0</v>
      </c>
      <c r="E92" s="356" cm="1">
        <f t="array" ref="E92">SUMPRODUCT(ISNUMBER(MATCH(mod_st_gry,$B$77,0))*('Koszty operacyjne'!$K$114:$X$114=Moduły!E$77)*ISNUMBER(MATCH(st_gry_kw,tak,0)),st_gry)</f>
        <v>0</v>
      </c>
      <c r="F92" s="356" cm="1">
        <f t="array" ref="F92">SUMPRODUCT(ISNUMBER(MATCH(mod_st_gry,$B$77,0))*('Koszty operacyjne'!$K$114:$X$114=Moduły!F$77)*ISNUMBER(MATCH(st_gry_kw,tak,0)),st_gry)</f>
        <v>0</v>
      </c>
      <c r="G92" s="356" cm="1">
        <f t="array" ref="G92">SUMPRODUCT(ISNUMBER(MATCH(mod_st_gry,$B$77,0))*('Koszty operacyjne'!$K$114:$X$114=Moduły!G$77)*ISNUMBER(MATCH(st_gry_kw,tak,0)),st_gry)</f>
        <v>0</v>
      </c>
      <c r="H92" s="356" cm="1">
        <f t="array" ref="H92">SUMPRODUCT(ISNUMBER(MATCH(mod_st_gry,$B$77,0))*('Koszty operacyjne'!$K$114:$X$114=Moduły!H$77)*ISNUMBER(MATCH(st_gry_kw,tak,0)),st_gry)</f>
        <v>0</v>
      </c>
      <c r="I92" s="356" cm="1">
        <f t="array" ref="I92">SUMPRODUCT(ISNUMBER(MATCH(mod_st_gry,$B$77,0))*('Koszty operacyjne'!$K$114:$X$114=Moduły!I$77)*ISNUMBER(MATCH(st_gry_kw,tak,0)),st_gry)</f>
        <v>0</v>
      </c>
      <c r="J92" s="356" cm="1">
        <f t="array" ref="J92">SUMPRODUCT(ISNUMBER(MATCH(mod_st_gry,$B$77,0))*('Koszty operacyjne'!$K$114:$X$114=Moduły!J$77)*ISNUMBER(MATCH(st_gry_kw,tak,0)),st_gry)</f>
        <v>0</v>
      </c>
      <c r="K92" s="356" cm="1">
        <f t="array" ref="K92">SUMPRODUCT(ISNUMBER(MATCH(mod_st_gry,$B$77,0))*('Koszty operacyjne'!$K$114:$X$114=Moduły!K$77)*ISNUMBER(MATCH(st_gry_kw,tak,0)),st_gry)</f>
        <v>0</v>
      </c>
      <c r="L92" s="356" cm="1">
        <f t="array" ref="L92">SUMPRODUCT(ISNUMBER(MATCH(mod_st_gry,$B$77,0))*('Koszty operacyjne'!$K$114:$X$114=Moduły!L$77)*ISNUMBER(MATCH(st_gry_kw,tak,0)),st_gry)</f>
        <v>0</v>
      </c>
      <c r="M92" s="356" cm="1">
        <f t="array" ref="M92">SUMPRODUCT(ISNUMBER(MATCH(mod_st_gry,$B$77,0))*('Koszty operacyjne'!$K$114:$X$114=Moduły!M$77)*ISNUMBER(MATCH(st_gry_kw,tak,0)),st_gry)</f>
        <v>0</v>
      </c>
      <c r="N92" s="356" cm="1">
        <f t="array" ref="N92">SUMPRODUCT(ISNUMBER(MATCH(mod_st_gry,$B$77,0))*('Koszty operacyjne'!$K$114:$X$114=Moduły!N$77)*ISNUMBER(MATCH(st_gry_kw,tak,0)),st_gry)</f>
        <v>0</v>
      </c>
      <c r="O92" s="356" cm="1">
        <f t="array" ref="O92">SUMPRODUCT(ISNUMBER(MATCH(mod_st_gry,$B$77,0))*('Koszty operacyjne'!$K$114:$X$114=Moduły!O$77)*ISNUMBER(MATCH(st_gry_kw,tak,0)),st_gry)</f>
        <v>0</v>
      </c>
      <c r="P92" s="356" cm="1">
        <f t="array" ref="P92">SUMPRODUCT(ISNUMBER(MATCH(mod_st_gry,$B$77,0))*('Koszty operacyjne'!$K$114:$X$114=Moduły!P$77)*ISNUMBER(MATCH(st_gry_kw,tak,0)),st_gry)</f>
        <v>0</v>
      </c>
      <c r="Q92" s="5"/>
      <c r="R92" s="5"/>
      <c r="S92" s="5"/>
      <c r="T92" s="5"/>
    </row>
    <row r="93" spans="2:25" ht="12" customHeight="1">
      <c r="B93" s="357" t="s">
        <v>96</v>
      </c>
      <c r="C93" s="358" cm="1">
        <f t="array" ref="C93">SUMPRODUCT(ISNUMBER(MATCH(mod_st_gry,$B$77,0))*('Koszty operacyjne'!$K$114:$X$114=Moduły!C$77)*ISNUMBER(MATCH(st_gry_kw,nie,0)),st_gry)</f>
        <v>0</v>
      </c>
      <c r="D93" s="358" cm="1">
        <f t="array" ref="D93">SUMPRODUCT(ISNUMBER(MATCH(mod_st_gry,$B$77,0))*('Koszty operacyjne'!$K$114:$X$114=Moduły!D$77)*ISNUMBER(MATCH(st_gry_kw,nie,0)),st_gry)</f>
        <v>0</v>
      </c>
      <c r="E93" s="358" cm="1">
        <f t="array" ref="E93">SUMPRODUCT(ISNUMBER(MATCH(mod_st_gry,$B$77,0))*('Koszty operacyjne'!$K$114:$X$114=Moduły!E$77)*ISNUMBER(MATCH(st_gry_kw,nie,0)),st_gry)</f>
        <v>0</v>
      </c>
      <c r="F93" s="358" cm="1">
        <f t="array" ref="F93">SUMPRODUCT(ISNUMBER(MATCH(mod_st_gry,$B$77,0))*('Koszty operacyjne'!$K$114:$X$114=Moduły!F$77)*ISNUMBER(MATCH(st_gry_kw,nie,0)),st_gry)</f>
        <v>0</v>
      </c>
      <c r="G93" s="358" cm="1">
        <f t="array" ref="G93">SUMPRODUCT(ISNUMBER(MATCH(mod_st_gry,$B$77,0))*('Koszty operacyjne'!$K$114:$X$114=Moduły!G$77)*ISNUMBER(MATCH(st_gry_kw,nie,0)),st_gry)</f>
        <v>0</v>
      </c>
      <c r="H93" s="358" cm="1">
        <f t="array" ref="H93">SUMPRODUCT(ISNUMBER(MATCH(mod_st_gry,$B$77,0))*('Koszty operacyjne'!$K$114:$X$114=Moduły!H$77)*ISNUMBER(MATCH(st_gry_kw,nie,0)),st_gry)</f>
        <v>0</v>
      </c>
      <c r="I93" s="358" cm="1">
        <f t="array" ref="I93">SUMPRODUCT(ISNUMBER(MATCH(mod_st_gry,$B$77,0))*('Koszty operacyjne'!$K$114:$X$114=Moduły!I$77)*ISNUMBER(MATCH(st_gry_kw,nie,0)),st_gry)</f>
        <v>0</v>
      </c>
      <c r="J93" s="358" cm="1">
        <f t="array" ref="J93">SUMPRODUCT(ISNUMBER(MATCH(mod_st_gry,$B$77,0))*('Koszty operacyjne'!$K$114:$X$114=Moduły!J$77)*ISNUMBER(MATCH(st_gry_kw,nie,0)),st_gry)</f>
        <v>0</v>
      </c>
      <c r="K93" s="359" cm="1">
        <f t="array" ref="K93">SUMPRODUCT(ISNUMBER(MATCH(mod_st_gry,$B$77,0))*('Koszty operacyjne'!$K$114:$X$114=Moduły!K$77)*ISNUMBER(MATCH(st_gry_kw,nie,0)),st_gry)</f>
        <v>0</v>
      </c>
      <c r="L93" s="359" cm="1">
        <f t="array" ref="L93">SUMPRODUCT(ISNUMBER(MATCH(mod_st_gry,$B$77,0))*('Koszty operacyjne'!$K$114:$X$114=Moduły!L$77)*ISNUMBER(MATCH(st_gry_kw,nie,0)),st_gry)</f>
        <v>0</v>
      </c>
      <c r="M93" s="359" cm="1">
        <f t="array" ref="M93">SUMPRODUCT(ISNUMBER(MATCH(mod_st_gry,$B$77,0))*('Koszty operacyjne'!$K$114:$X$114=Moduły!M$77)*ISNUMBER(MATCH(st_gry_kw,nie,0)),st_gry)</f>
        <v>0</v>
      </c>
      <c r="N93" s="359" cm="1">
        <f t="array" ref="N93">SUMPRODUCT(ISNUMBER(MATCH(mod_st_gry,$B$77,0))*('Koszty operacyjne'!$K$114:$X$114=Moduły!N$77)*ISNUMBER(MATCH(st_gry_kw,nie,0)),st_gry)</f>
        <v>0</v>
      </c>
      <c r="O93" s="359" cm="1">
        <f t="array" ref="O93">SUMPRODUCT(ISNUMBER(MATCH(mod_st_gry,$B$77,0))*('Koszty operacyjne'!$K$114:$X$114=Moduły!O$77)*ISNUMBER(MATCH(st_gry_kw,nie,0)),st_gry)</f>
        <v>0</v>
      </c>
      <c r="P93" s="359" cm="1">
        <f t="array" ref="P93">SUMPRODUCT(ISNUMBER(MATCH(mod_st_gry,$B$77,0))*('Koszty operacyjne'!$K$114:$X$114=Moduły!P$77)*ISNUMBER(MATCH(st_gry_kw,nie,0)),st_gry)</f>
        <v>0</v>
      </c>
      <c r="Q93" s="5"/>
      <c r="R93" s="5"/>
      <c r="S93" s="5"/>
      <c r="T93" s="5"/>
    </row>
    <row r="94" spans="2:25" ht="3.9" customHeight="1">
      <c r="B94" s="8"/>
      <c r="C94" s="361"/>
      <c r="D94" s="361"/>
      <c r="E94" s="361"/>
      <c r="F94" s="361"/>
      <c r="G94" s="361"/>
      <c r="H94" s="361"/>
      <c r="I94" s="361"/>
      <c r="J94" s="361"/>
      <c r="K94" s="362"/>
      <c r="L94" s="362"/>
      <c r="M94" s="362"/>
      <c r="N94" s="362"/>
      <c r="O94" s="362"/>
      <c r="P94" s="362"/>
      <c r="Q94" s="5"/>
      <c r="R94" s="5"/>
      <c r="S94" s="5"/>
      <c r="T94" s="5"/>
      <c r="U94" s="5"/>
      <c r="V94" s="5"/>
      <c r="W94" s="5"/>
      <c r="X94" s="5"/>
      <c r="Y94" s="5"/>
    </row>
    <row r="95" spans="2:25" ht="12" customHeight="1">
      <c r="B95" s="353" t="s">
        <v>99</v>
      </c>
      <c r="C95" s="354">
        <f t="shared" ref="C95:P95" si="45">SUM(C96:C97)</f>
        <v>0</v>
      </c>
      <c r="D95" s="354">
        <f t="shared" si="45"/>
        <v>0</v>
      </c>
      <c r="E95" s="354">
        <f t="shared" si="45"/>
        <v>0</v>
      </c>
      <c r="F95" s="354">
        <f t="shared" si="45"/>
        <v>0</v>
      </c>
      <c r="G95" s="354">
        <f t="shared" si="45"/>
        <v>0</v>
      </c>
      <c r="H95" s="354">
        <f t="shared" si="45"/>
        <v>0</v>
      </c>
      <c r="I95" s="354">
        <f t="shared" si="45"/>
        <v>0</v>
      </c>
      <c r="J95" s="354">
        <f t="shared" si="45"/>
        <v>0</v>
      </c>
      <c r="K95" s="354">
        <f t="shared" si="45"/>
        <v>0</v>
      </c>
      <c r="L95" s="354">
        <f t="shared" si="45"/>
        <v>0</v>
      </c>
      <c r="M95" s="354">
        <f t="shared" si="45"/>
        <v>0</v>
      </c>
      <c r="N95" s="354">
        <f t="shared" si="45"/>
        <v>0</v>
      </c>
      <c r="O95" s="354">
        <f t="shared" si="45"/>
        <v>0</v>
      </c>
      <c r="P95" s="354">
        <f t="shared" si="45"/>
        <v>0</v>
      </c>
      <c r="Q95" s="5"/>
      <c r="R95" s="5"/>
      <c r="S95" s="5"/>
      <c r="T95" s="5"/>
      <c r="U95" s="5"/>
      <c r="V95" s="5"/>
      <c r="W95" s="5"/>
      <c r="X95" s="5"/>
      <c r="Y95" s="5"/>
    </row>
    <row r="96" spans="2:25" ht="12" customHeight="1">
      <c r="B96" s="355" t="s">
        <v>95</v>
      </c>
      <c r="C96" s="356" cm="1">
        <f t="array" ref="C96">SUMPRODUCT(ISNUMBER(MATCH(mod_st_bib,$B$77,0))*('Koszty operacyjne'!$K$114:$X$114=Moduły!C$77)*ISNUMBER(MATCH(st_bib_kw,tak,0)),st_bib)+SUMPRODUCT(ISNUMBER(MATCH(mod_st_bib_wbudowie,$B$77,0))*('Koszty operacyjne'!$K$114:$X$114=Moduły!C$77)*ISNUMBER(MATCH(st_bib_wbudowie_kw,tak,0)),st_bib_wbudowie)</f>
        <v>0</v>
      </c>
      <c r="D96" s="356" cm="1">
        <f t="array" ref="D96">SUMPRODUCT(ISNUMBER(MATCH(mod_st_bib,$B$77,0))*('Koszty operacyjne'!$K$114:$X$114=Moduły!D$77)*ISNUMBER(MATCH(st_bib_kw,tak,0)),st_bib)+SUMPRODUCT(ISNUMBER(MATCH(mod_st_bib_wbudowie,$B$77,0))*('Koszty operacyjne'!$K$114:$X$114=Moduły!D$77)*ISNUMBER(MATCH(st_bib_wbudowie_kw,tak,0)),st_bib_wbudowie)</f>
        <v>0</v>
      </c>
      <c r="E96" s="356" cm="1">
        <f t="array" ref="E96">SUMPRODUCT(ISNUMBER(MATCH(mod_st_bib,$B$77,0))*('Koszty operacyjne'!$K$114:$X$114=Moduły!E$77)*ISNUMBER(MATCH(st_bib_kw,tak,0)),st_bib)+SUMPRODUCT(ISNUMBER(MATCH(mod_st_bib_wbudowie,$B$77,0))*('Koszty operacyjne'!$K$114:$X$114=Moduły!E$77)*ISNUMBER(MATCH(st_bib_wbudowie_kw,tak,0)),st_bib_wbudowie)</f>
        <v>0</v>
      </c>
      <c r="F96" s="356" cm="1">
        <f t="array" ref="F96">SUMPRODUCT(ISNUMBER(MATCH(mod_st_bib,$B$77,0))*('Koszty operacyjne'!$K$114:$X$114=Moduły!F$77)*ISNUMBER(MATCH(st_bib_kw,tak,0)),st_bib)+SUMPRODUCT(ISNUMBER(MATCH(mod_st_bib_wbudowie,$B$77,0))*('Koszty operacyjne'!$K$114:$X$114=Moduły!F$77)*ISNUMBER(MATCH(st_bib_wbudowie_kw,tak,0)),st_bib_wbudowie)</f>
        <v>0</v>
      </c>
      <c r="G96" s="356" cm="1">
        <f t="array" ref="G96">SUMPRODUCT(ISNUMBER(MATCH(mod_st_bib,$B$77,0))*('Koszty operacyjne'!$K$114:$X$114=Moduły!G$77)*ISNUMBER(MATCH(st_bib_kw,tak,0)),st_bib)+SUMPRODUCT(ISNUMBER(MATCH(mod_st_bib_wbudowie,$B$77,0))*('Koszty operacyjne'!$K$114:$X$114=Moduły!G$77)*ISNUMBER(MATCH(st_bib_wbudowie_kw,tak,0)),st_bib_wbudowie)</f>
        <v>0</v>
      </c>
      <c r="H96" s="356" cm="1">
        <f t="array" ref="H96">SUMPRODUCT(ISNUMBER(MATCH(mod_st_bib,$B$77,0))*('Koszty operacyjne'!$K$114:$X$114=Moduły!H$77)*ISNUMBER(MATCH(st_bib_kw,tak,0)),st_bib)+SUMPRODUCT(ISNUMBER(MATCH(mod_st_bib_wbudowie,$B$77,0))*('Koszty operacyjne'!$K$114:$X$114=Moduły!H$77)*ISNUMBER(MATCH(st_bib_wbudowie_kw,tak,0)),st_bib_wbudowie)</f>
        <v>0</v>
      </c>
      <c r="I96" s="356" cm="1">
        <f t="array" ref="I96">SUMPRODUCT(ISNUMBER(MATCH(mod_st_bib,$B$77,0))*('Koszty operacyjne'!$K$114:$X$114=Moduły!I$77)*ISNUMBER(MATCH(st_bib_kw,tak,0)),st_bib)+SUMPRODUCT(ISNUMBER(MATCH(mod_st_bib_wbudowie,$B$77,0))*('Koszty operacyjne'!$K$114:$X$114=Moduły!I$77)*ISNUMBER(MATCH(st_bib_wbudowie_kw,tak,0)),st_bib_wbudowie)</f>
        <v>0</v>
      </c>
      <c r="J96" s="356" cm="1">
        <f t="array" ref="J96">SUMPRODUCT(ISNUMBER(MATCH(mod_st_bib,$B$77,0))*('Koszty operacyjne'!$K$114:$X$114=Moduły!J$77)*ISNUMBER(MATCH(st_bib_kw,tak,0)),st_bib)+SUMPRODUCT(ISNUMBER(MATCH(mod_st_bib_wbudowie,$B$77,0))*('Koszty operacyjne'!$K$114:$X$114=Moduły!J$77)*ISNUMBER(MATCH(st_bib_wbudowie_kw,tak,0)),st_bib_wbudowie)</f>
        <v>0</v>
      </c>
      <c r="K96" s="356" cm="1">
        <f t="array" ref="K96">SUMPRODUCT(ISNUMBER(MATCH(mod_st_bib,$B$77,0))*('Koszty operacyjne'!$K$114:$X$114=Moduły!K$77)*ISNUMBER(MATCH(st_bib_kw,tak,0)),st_bib)+SUMPRODUCT(ISNUMBER(MATCH(mod_st_bib_wbudowie,$B$77,0))*('Koszty operacyjne'!$K$114:$X$114=Moduły!K$77)*ISNUMBER(MATCH(st_bib_wbudowie_kw,tak,0)),st_bib_wbudowie)</f>
        <v>0</v>
      </c>
      <c r="L96" s="356" cm="1">
        <f t="array" ref="L96">SUMPRODUCT(ISNUMBER(MATCH(mod_st_bib,$B$77,0))*('Koszty operacyjne'!$K$114:$X$114=Moduły!L$77)*ISNUMBER(MATCH(st_bib_kw,tak,0)),st_bib)+SUMPRODUCT(ISNUMBER(MATCH(mod_st_bib_wbudowie,$B$77,0))*('Koszty operacyjne'!$K$114:$X$114=Moduły!L$77)*ISNUMBER(MATCH(st_bib_wbudowie_kw,tak,0)),st_bib_wbudowie)</f>
        <v>0</v>
      </c>
      <c r="M96" s="356" cm="1">
        <f t="array" ref="M96">SUMPRODUCT(ISNUMBER(MATCH(mod_st_bib,$B$77,0))*('Koszty operacyjne'!$K$114:$X$114=Moduły!M$77)*ISNUMBER(MATCH(st_bib_kw,tak,0)),st_bib)+SUMPRODUCT(ISNUMBER(MATCH(mod_st_bib_wbudowie,$B$77,0))*('Koszty operacyjne'!$K$114:$X$114=Moduły!M$77)*ISNUMBER(MATCH(st_bib_wbudowie_kw,tak,0)),st_bib_wbudowie)</f>
        <v>0</v>
      </c>
      <c r="N96" s="356" cm="1">
        <f t="array" ref="N96">SUMPRODUCT(ISNUMBER(MATCH(mod_st_bib,$B$77,0))*('Koszty operacyjne'!$K$114:$X$114=Moduły!N$77)*ISNUMBER(MATCH(st_bib_kw,tak,0)),st_bib)+SUMPRODUCT(ISNUMBER(MATCH(mod_st_bib_wbudowie,$B$77,0))*('Koszty operacyjne'!$K$114:$X$114=Moduły!N$77)*ISNUMBER(MATCH(st_bib_wbudowie_kw,tak,0)),st_bib_wbudowie)</f>
        <v>0</v>
      </c>
      <c r="O96" s="356" cm="1">
        <f t="array" ref="O96">SUMPRODUCT(ISNUMBER(MATCH(mod_st_bib,$B$77,0))*('Koszty operacyjne'!$K$114:$X$114=Moduły!O$77)*ISNUMBER(MATCH(st_bib_kw,tak,0)),st_bib)+SUMPRODUCT(ISNUMBER(MATCH(mod_st_bib_wbudowie,$B$77,0))*('Koszty operacyjne'!$K$114:$X$114=Moduły!O$77)*ISNUMBER(MATCH(st_bib_wbudowie_kw,tak,0)),st_bib_wbudowie)</f>
        <v>0</v>
      </c>
      <c r="P96" s="356" cm="1">
        <f t="array" ref="P96">SUMPRODUCT(ISNUMBER(MATCH(mod_st_bib,$B$77,0))*('Koszty operacyjne'!$K$114:$X$114=Moduły!P$77)*ISNUMBER(MATCH(st_bib_kw,tak,0)),st_bib)+SUMPRODUCT(ISNUMBER(MATCH(mod_st_bib_wbudowie,$B$77,0))*('Koszty operacyjne'!$K$114:$X$114=Moduły!P$77)*ISNUMBER(MATCH(st_bib_wbudowie_kw,tak,0)),st_bib_wbudowie)</f>
        <v>0</v>
      </c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7" t="s">
        <v>96</v>
      </c>
      <c r="C97" s="358" cm="1">
        <f t="array" ref="C97">SUMPRODUCT(ISNUMBER(MATCH(mod_st_bib,$B$77,0))*('Koszty operacyjne'!$K$114:$X$114=Moduły!C$77)*ISNUMBER(MATCH(st_bib_kw,nie,0)),st_bib)+SUMPRODUCT(ISNUMBER(MATCH(mod_st_bib_wbudowie,$B$77,0))*('Koszty operacyjne'!$K$114:$X$114=Moduły!C$77)*ISNUMBER(MATCH(st_bib_wbudowie_kw,nie,0)),st_bib_wbudowie)</f>
        <v>0</v>
      </c>
      <c r="D97" s="358" cm="1">
        <f t="array" ref="D97">SUMPRODUCT(ISNUMBER(MATCH(mod_st_bib,$B$77,0))*('Koszty operacyjne'!$K$114:$X$114=Moduły!D$77)*ISNUMBER(MATCH(st_bib_kw,nie,0)),st_bib)+SUMPRODUCT(ISNUMBER(MATCH(mod_st_bib_wbudowie,$B$77,0))*('Koszty operacyjne'!$K$114:$X$114=Moduły!D$77)*ISNUMBER(MATCH(st_bib_wbudowie_kw,nie,0)),st_bib_wbudowie)</f>
        <v>0</v>
      </c>
      <c r="E97" s="358" cm="1">
        <f t="array" ref="E97">SUMPRODUCT(ISNUMBER(MATCH(mod_st_bib,$B$77,0))*('Koszty operacyjne'!$K$114:$X$114=Moduły!E$77)*ISNUMBER(MATCH(st_bib_kw,nie,0)),st_bib)+SUMPRODUCT(ISNUMBER(MATCH(mod_st_bib_wbudowie,$B$77,0))*('Koszty operacyjne'!$K$114:$X$114=Moduły!E$77)*ISNUMBER(MATCH(st_bib_wbudowie_kw,nie,0)),st_bib_wbudowie)</f>
        <v>0</v>
      </c>
      <c r="F97" s="358" cm="1">
        <f t="array" ref="F97">SUMPRODUCT(ISNUMBER(MATCH(mod_st_bib,$B$77,0))*('Koszty operacyjne'!$K$114:$X$114=Moduły!F$77)*ISNUMBER(MATCH(st_bib_kw,nie,0)),st_bib)+SUMPRODUCT(ISNUMBER(MATCH(mod_st_bib_wbudowie,$B$77,0))*('Koszty operacyjne'!$K$114:$X$114=Moduły!F$77)*ISNUMBER(MATCH(st_bib_wbudowie_kw,nie,0)),st_bib_wbudowie)</f>
        <v>0</v>
      </c>
      <c r="G97" s="358" cm="1">
        <f t="array" ref="G97">SUMPRODUCT(ISNUMBER(MATCH(mod_st_bib,$B$77,0))*('Koszty operacyjne'!$K$114:$X$114=Moduły!G$77)*ISNUMBER(MATCH(st_bib_kw,nie,0)),st_bib)+SUMPRODUCT(ISNUMBER(MATCH(mod_st_bib_wbudowie,$B$77,0))*('Koszty operacyjne'!$K$114:$X$114=Moduły!G$77)*ISNUMBER(MATCH(st_bib_wbudowie_kw,nie,0)),st_bib_wbudowie)</f>
        <v>0</v>
      </c>
      <c r="H97" s="358" cm="1">
        <f t="array" ref="H97">SUMPRODUCT(ISNUMBER(MATCH(mod_st_bib,$B$77,0))*('Koszty operacyjne'!$K$114:$X$114=Moduły!H$77)*ISNUMBER(MATCH(st_bib_kw,nie,0)),st_bib)+SUMPRODUCT(ISNUMBER(MATCH(mod_st_bib_wbudowie,$B$77,0))*('Koszty operacyjne'!$K$114:$X$114=Moduły!H$77)*ISNUMBER(MATCH(st_bib_wbudowie_kw,nie,0)),st_bib_wbudowie)</f>
        <v>0</v>
      </c>
      <c r="I97" s="358" cm="1">
        <f t="array" ref="I97">SUMPRODUCT(ISNUMBER(MATCH(mod_st_bib,$B$77,0))*('Koszty operacyjne'!$K$114:$X$114=Moduły!I$77)*ISNUMBER(MATCH(st_bib_kw,nie,0)),st_bib)+SUMPRODUCT(ISNUMBER(MATCH(mod_st_bib_wbudowie,$B$77,0))*('Koszty operacyjne'!$K$114:$X$114=Moduły!I$77)*ISNUMBER(MATCH(st_bib_wbudowie_kw,nie,0)),st_bib_wbudowie)</f>
        <v>0</v>
      </c>
      <c r="J97" s="358" cm="1">
        <f t="array" ref="J97">SUMPRODUCT(ISNUMBER(MATCH(mod_st_bib,$B$77,0))*('Koszty operacyjne'!$K$114:$X$114=Moduły!J$77)*ISNUMBER(MATCH(st_bib_kw,nie,0)),st_bib)+SUMPRODUCT(ISNUMBER(MATCH(mod_st_bib_wbudowie,$B$77,0))*('Koszty operacyjne'!$K$114:$X$114=Moduły!J$77)*ISNUMBER(MATCH(st_bib_wbudowie_kw,nie,0)),st_bib_wbudowie)</f>
        <v>0</v>
      </c>
      <c r="K97" s="358" cm="1">
        <f t="array" ref="K97">SUMPRODUCT(ISNUMBER(MATCH(mod_st_bib,$B$77,0))*('Koszty operacyjne'!$K$114:$X$114=Moduły!K$77)*ISNUMBER(MATCH(st_bib_kw,nie,0)),st_bib)+SUMPRODUCT(ISNUMBER(MATCH(mod_st_bib_wbudowie,$B$77,0))*('Koszty operacyjne'!$K$114:$X$114=Moduły!K$77)*ISNUMBER(MATCH(st_bib_wbudowie_kw,nie,0)),st_bib_wbudowie)</f>
        <v>0</v>
      </c>
      <c r="L97" s="358" cm="1">
        <f t="array" ref="L97">SUMPRODUCT(ISNUMBER(MATCH(mod_st_bib,$B$77,0))*('Koszty operacyjne'!$K$114:$X$114=Moduły!L$77)*ISNUMBER(MATCH(st_bib_kw,nie,0)),st_bib)+SUMPRODUCT(ISNUMBER(MATCH(mod_st_bib_wbudowie,$B$77,0))*('Koszty operacyjne'!$K$114:$X$114=Moduły!L$77)*ISNUMBER(MATCH(st_bib_wbudowie_kw,nie,0)),st_bib_wbudowie)</f>
        <v>0</v>
      </c>
      <c r="M97" s="358" cm="1">
        <f t="array" ref="M97">SUMPRODUCT(ISNUMBER(MATCH(mod_st_bib,$B$77,0))*('Koszty operacyjne'!$K$114:$X$114=Moduły!M$77)*ISNUMBER(MATCH(st_bib_kw,nie,0)),st_bib)+SUMPRODUCT(ISNUMBER(MATCH(mod_st_bib_wbudowie,$B$77,0))*('Koszty operacyjne'!$K$114:$X$114=Moduły!M$77)*ISNUMBER(MATCH(st_bib_wbudowie_kw,nie,0)),st_bib_wbudowie)</f>
        <v>0</v>
      </c>
      <c r="N97" s="358" cm="1">
        <f t="array" ref="N97">SUMPRODUCT(ISNUMBER(MATCH(mod_st_bib,$B$77,0))*('Koszty operacyjne'!$K$114:$X$114=Moduły!N$77)*ISNUMBER(MATCH(st_bib_kw,nie,0)),st_bib)+SUMPRODUCT(ISNUMBER(MATCH(mod_st_bib_wbudowie,$B$77,0))*('Koszty operacyjne'!$K$114:$X$114=Moduły!N$77)*ISNUMBER(MATCH(st_bib_wbudowie_kw,nie,0)),st_bib_wbudowie)</f>
        <v>0</v>
      </c>
      <c r="O97" s="358" cm="1">
        <f t="array" ref="O97">SUMPRODUCT(ISNUMBER(MATCH(mod_st_bib,$B$77,0))*('Koszty operacyjne'!$K$114:$X$114=Moduły!O$77)*ISNUMBER(MATCH(st_bib_kw,nie,0)),st_bib)+SUMPRODUCT(ISNUMBER(MATCH(mod_st_bib_wbudowie,$B$77,0))*('Koszty operacyjne'!$K$114:$X$114=Moduły!O$77)*ISNUMBER(MATCH(st_bib_wbudowie_kw,nie,0)),st_bib_wbudowie)</f>
        <v>0</v>
      </c>
      <c r="P97" s="358" cm="1">
        <f t="array" ref="P97">SUMPRODUCT(ISNUMBER(MATCH(mod_st_bib,$B$77,0))*('Koszty operacyjne'!$K$114:$X$114=Moduły!P$77)*ISNUMBER(MATCH(st_bib_kw,nie,0)),st_bib)+SUMPRODUCT(ISNUMBER(MATCH(mod_st_bib_wbudowie,$B$77,0))*('Koszty operacyjne'!$K$114:$X$114=Moduły!P$77)*ISNUMBER(MATCH(st_bib_wbudowie_kw,nie,0)),st_bib_wbudowie)</f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3.9" customHeight="1">
      <c r="B98" s="8"/>
      <c r="C98" s="361"/>
      <c r="D98" s="361"/>
      <c r="E98" s="361"/>
      <c r="F98" s="361"/>
      <c r="G98" s="361"/>
      <c r="H98" s="361"/>
      <c r="I98" s="361"/>
      <c r="J98" s="361"/>
      <c r="K98" s="362"/>
      <c r="L98" s="362"/>
      <c r="M98" s="362"/>
      <c r="N98" s="362"/>
      <c r="O98" s="362"/>
      <c r="P98" s="362"/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3" t="s">
        <v>100</v>
      </c>
      <c r="C99" s="354">
        <f t="shared" ref="C99:P99" si="46">SUM(C100:C101)</f>
        <v>0</v>
      </c>
      <c r="D99" s="354">
        <f t="shared" si="46"/>
        <v>0</v>
      </c>
      <c r="E99" s="354">
        <f t="shared" si="46"/>
        <v>0</v>
      </c>
      <c r="F99" s="354">
        <f t="shared" si="46"/>
        <v>0</v>
      </c>
      <c r="G99" s="354">
        <f t="shared" si="46"/>
        <v>0</v>
      </c>
      <c r="H99" s="354">
        <f t="shared" si="46"/>
        <v>0</v>
      </c>
      <c r="I99" s="354">
        <f t="shared" si="46"/>
        <v>0</v>
      </c>
      <c r="J99" s="354">
        <f t="shared" si="46"/>
        <v>0</v>
      </c>
      <c r="K99" s="354">
        <f t="shared" si="46"/>
        <v>0</v>
      </c>
      <c r="L99" s="354">
        <f t="shared" si="46"/>
        <v>0</v>
      </c>
      <c r="M99" s="354">
        <f t="shared" si="46"/>
        <v>0</v>
      </c>
      <c r="N99" s="354">
        <f t="shared" si="46"/>
        <v>0</v>
      </c>
      <c r="O99" s="354">
        <f t="shared" si="46"/>
        <v>0</v>
      </c>
      <c r="P99" s="354">
        <f t="shared" si="46"/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12" customHeight="1">
      <c r="B100" s="355" t="s">
        <v>95</v>
      </c>
      <c r="C100" s="356" cm="1">
        <f t="array" ref="C100">SUMPRODUCT(ISNUMBER(MATCH(mod_st_utm,$B$77,0))*('Koszty operacyjne'!$K$114:$X$114=Moduły!C$77)*ISNUMBER(MATCH(st_utm_kw,tak,0)),st_utm)+SUMPRODUCT(ISNUMBER(MATCH(mod_st_utm_wbudowie,$B$77,0))*('Koszty operacyjne'!$K$114:$X$114=Moduły!C$77)*ISNUMBER(MATCH(st_utm_kw_wbudowie,tak,0)),st_utm_wbudowie)</f>
        <v>0</v>
      </c>
      <c r="D100" s="356" cm="1">
        <f t="array" ref="D100">SUMPRODUCT(ISNUMBER(MATCH(mod_st_utm,$B$77,0))*('Koszty operacyjne'!$K$114:$X$114=Moduły!D$77)*ISNUMBER(MATCH(st_utm_kw,tak,0)),st_utm)+SUMPRODUCT(ISNUMBER(MATCH(mod_st_utm_wbudowie,$B$77,0))*('Koszty operacyjne'!$K$114:$X$114=Moduły!D$77)*ISNUMBER(MATCH(st_utm_kw_wbudowie,tak,0)),st_utm_wbudowie)</f>
        <v>0</v>
      </c>
      <c r="E100" s="356" cm="1">
        <f t="array" ref="E100">SUMPRODUCT(ISNUMBER(MATCH(mod_st_utm,$B$77,0))*('Koszty operacyjne'!$K$114:$X$114=Moduły!E$77)*ISNUMBER(MATCH(st_utm_kw,tak,0)),st_utm)+SUMPRODUCT(ISNUMBER(MATCH(mod_st_utm_wbudowie,$B$77,0))*('Koszty operacyjne'!$K$114:$X$114=Moduły!E$77)*ISNUMBER(MATCH(st_utm_kw_wbudowie,tak,0)),st_utm_wbudowie)</f>
        <v>0</v>
      </c>
      <c r="F100" s="356" cm="1">
        <f t="array" ref="F100">SUMPRODUCT(ISNUMBER(MATCH(mod_st_utm,$B$77,0))*('Koszty operacyjne'!$K$114:$X$114=Moduły!F$77)*ISNUMBER(MATCH(st_utm_kw,tak,0)),st_utm)+SUMPRODUCT(ISNUMBER(MATCH(mod_st_utm_wbudowie,$B$77,0))*('Koszty operacyjne'!$K$114:$X$114=Moduły!F$77)*ISNUMBER(MATCH(st_utm_kw_wbudowie,tak,0)),st_utm_wbudowie)</f>
        <v>0</v>
      </c>
      <c r="G100" s="356" cm="1">
        <f t="array" ref="G100">SUMPRODUCT(ISNUMBER(MATCH(mod_st_utm,$B$77,0))*('Koszty operacyjne'!$K$114:$X$114=Moduły!G$77)*ISNUMBER(MATCH(st_utm_kw,tak,0)),st_utm)+SUMPRODUCT(ISNUMBER(MATCH(mod_st_utm_wbudowie,$B$77,0))*('Koszty operacyjne'!$K$114:$X$114=Moduły!G$77)*ISNUMBER(MATCH(st_utm_kw_wbudowie,tak,0)),st_utm_wbudowie)</f>
        <v>0</v>
      </c>
      <c r="H100" s="356" cm="1">
        <f t="array" ref="H100">SUMPRODUCT(ISNUMBER(MATCH(mod_st_utm,$B$77,0))*('Koszty operacyjne'!$K$114:$X$114=Moduły!H$77)*ISNUMBER(MATCH(st_utm_kw,tak,0)),st_utm)+SUMPRODUCT(ISNUMBER(MATCH(mod_st_utm_wbudowie,$B$77,0))*('Koszty operacyjne'!$K$114:$X$114=Moduły!H$77)*ISNUMBER(MATCH(st_utm_kw_wbudowie,tak,0)),st_utm_wbudowie)</f>
        <v>0</v>
      </c>
      <c r="I100" s="356" cm="1">
        <f t="array" ref="I100">SUMPRODUCT(ISNUMBER(MATCH(mod_st_utm,$B$77,0))*('Koszty operacyjne'!$K$114:$X$114=Moduły!I$77)*ISNUMBER(MATCH(st_utm_kw,tak,0)),st_utm)+SUMPRODUCT(ISNUMBER(MATCH(mod_st_utm_wbudowie,$B$77,0))*('Koszty operacyjne'!$K$114:$X$114=Moduły!I$77)*ISNUMBER(MATCH(st_utm_kw_wbudowie,tak,0)),st_utm_wbudowie)</f>
        <v>0</v>
      </c>
      <c r="J100" s="356" cm="1">
        <f t="array" ref="J100">SUMPRODUCT(ISNUMBER(MATCH(mod_st_utm,$B$77,0))*('Koszty operacyjne'!$K$114:$X$114=Moduły!J$77)*ISNUMBER(MATCH(st_utm_kw,tak,0)),st_utm)+SUMPRODUCT(ISNUMBER(MATCH(mod_st_utm_wbudowie,$B$77,0))*('Koszty operacyjne'!$K$114:$X$114=Moduły!J$77)*ISNUMBER(MATCH(st_utm_kw_wbudowie,tak,0)),st_utm_wbudowie)</f>
        <v>0</v>
      </c>
      <c r="K100" s="356" cm="1">
        <f t="array" ref="K100">SUMPRODUCT(ISNUMBER(MATCH(mod_st_utm,$B$77,0))*('Koszty operacyjne'!$K$114:$X$114=Moduły!K$77)*ISNUMBER(MATCH(st_utm_kw,tak,0)),st_utm)+SUMPRODUCT(ISNUMBER(MATCH(mod_st_utm_wbudowie,$B$77,0))*('Koszty operacyjne'!$K$114:$X$114=Moduły!K$77)*ISNUMBER(MATCH(st_utm_kw_wbudowie,tak,0)),st_utm_wbudowie)</f>
        <v>0</v>
      </c>
      <c r="L100" s="356" cm="1">
        <f t="array" ref="L100">SUMPRODUCT(ISNUMBER(MATCH(mod_st_utm,$B$77,0))*('Koszty operacyjne'!$K$114:$X$114=Moduły!L$77)*ISNUMBER(MATCH(st_utm_kw,tak,0)),st_utm)+SUMPRODUCT(ISNUMBER(MATCH(mod_st_utm_wbudowie,$B$77,0))*('Koszty operacyjne'!$K$114:$X$114=Moduły!L$77)*ISNUMBER(MATCH(st_utm_kw_wbudowie,tak,0)),st_utm_wbudowie)</f>
        <v>0</v>
      </c>
      <c r="M100" s="356" cm="1">
        <f t="array" ref="M100">SUMPRODUCT(ISNUMBER(MATCH(mod_st_utm,$B$77,0))*('Koszty operacyjne'!$K$114:$X$114=Moduły!M$77)*ISNUMBER(MATCH(st_utm_kw,tak,0)),st_utm)+SUMPRODUCT(ISNUMBER(MATCH(mod_st_utm_wbudowie,$B$77,0))*('Koszty operacyjne'!$K$114:$X$114=Moduły!M$77)*ISNUMBER(MATCH(st_utm_kw_wbudowie,tak,0)),st_utm_wbudowie)</f>
        <v>0</v>
      </c>
      <c r="N100" s="356" cm="1">
        <f t="array" ref="N100">SUMPRODUCT(ISNUMBER(MATCH(mod_st_utm,$B$77,0))*('Koszty operacyjne'!$K$114:$X$114=Moduły!N$77)*ISNUMBER(MATCH(st_utm_kw,tak,0)),st_utm)+SUMPRODUCT(ISNUMBER(MATCH(mod_st_utm_wbudowie,$B$77,0))*('Koszty operacyjne'!$K$114:$X$114=Moduły!N$77)*ISNUMBER(MATCH(st_utm_kw_wbudowie,tak,0)),st_utm_wbudowie)</f>
        <v>0</v>
      </c>
      <c r="O100" s="356" cm="1">
        <f t="array" ref="O100">SUMPRODUCT(ISNUMBER(MATCH(mod_st_utm,$B$77,0))*('Koszty operacyjne'!$K$114:$X$114=Moduły!O$77)*ISNUMBER(MATCH(st_utm_kw,tak,0)),st_utm)+SUMPRODUCT(ISNUMBER(MATCH(mod_st_utm_wbudowie,$B$77,0))*('Koszty operacyjne'!$K$114:$X$114=Moduły!O$77)*ISNUMBER(MATCH(st_utm_kw_wbudowie,tak,0)),st_utm_wbudowie)</f>
        <v>0</v>
      </c>
      <c r="P100" s="356" cm="1">
        <f t="array" ref="P100">SUMPRODUCT(ISNUMBER(MATCH(mod_st_utm,$B$77,0))*('Koszty operacyjne'!$K$114:$X$114=Moduły!P$77)*ISNUMBER(MATCH(st_utm_kw,tak,0)),st_utm)+SUMPRODUCT(ISNUMBER(MATCH(mod_st_utm_wbudowie,$B$77,0))*('Koszty operacyjne'!$K$114:$X$114=Moduły!P$77)*ISNUMBER(MATCH(st_utm_kw_wbudowie,tak,0)),st_utm_wbudowie)</f>
        <v>0</v>
      </c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7" t="s">
        <v>96</v>
      </c>
      <c r="C101" s="358" cm="1">
        <f t="array" ref="C101">SUMPRODUCT(ISNUMBER(MATCH(mod_st_utm,$B$77,0))*('Koszty operacyjne'!$K$114:$X$114=Moduły!C$77)*ISNUMBER(MATCH(st_utm_kw,nie,0)),st_utm)+SUMPRODUCT(ISNUMBER(MATCH(mod_st_utm_wbudowie,$B$77,0))*('Koszty operacyjne'!$K$114:$X$114=Moduły!C$77)*ISNUMBER(MATCH(st_utm_kw_wbudowie,nie,0)),st_utm_wbudowie)</f>
        <v>0</v>
      </c>
      <c r="D101" s="358" cm="1">
        <f t="array" ref="D101">SUMPRODUCT(ISNUMBER(MATCH(mod_st_utm,$B$77,0))*('Koszty operacyjne'!$K$114:$X$114=Moduły!D$77)*ISNUMBER(MATCH(st_utm_kw,nie,0)),st_utm)+SUMPRODUCT(ISNUMBER(MATCH(mod_st_utm_wbudowie,$B$77,0))*('Koszty operacyjne'!$K$114:$X$114=Moduły!D$77)*ISNUMBER(MATCH(st_utm_kw_wbudowie,nie,0)),st_utm_wbudowie)</f>
        <v>0</v>
      </c>
      <c r="E101" s="358" cm="1">
        <f t="array" ref="E101">SUMPRODUCT(ISNUMBER(MATCH(mod_st_utm,$B$77,0))*('Koszty operacyjne'!$K$114:$X$114=Moduły!E$77)*ISNUMBER(MATCH(st_utm_kw,nie,0)),st_utm)+SUMPRODUCT(ISNUMBER(MATCH(mod_st_utm_wbudowie,$B$77,0))*('Koszty operacyjne'!$K$114:$X$114=Moduły!E$77)*ISNUMBER(MATCH(st_utm_kw_wbudowie,nie,0)),st_utm_wbudowie)</f>
        <v>0</v>
      </c>
      <c r="F101" s="358" cm="1">
        <f t="array" ref="F101">SUMPRODUCT(ISNUMBER(MATCH(mod_st_utm,$B$77,0))*('Koszty operacyjne'!$K$114:$X$114=Moduły!F$77)*ISNUMBER(MATCH(st_utm_kw,nie,0)),st_utm)+SUMPRODUCT(ISNUMBER(MATCH(mod_st_utm_wbudowie,$B$77,0))*('Koszty operacyjne'!$K$114:$X$114=Moduły!F$77)*ISNUMBER(MATCH(st_utm_kw_wbudowie,nie,0)),st_utm_wbudowie)</f>
        <v>0</v>
      </c>
      <c r="G101" s="358" cm="1">
        <f t="array" ref="G101">SUMPRODUCT(ISNUMBER(MATCH(mod_st_utm,$B$77,0))*('Koszty operacyjne'!$K$114:$X$114=Moduły!G$77)*ISNUMBER(MATCH(st_utm_kw,nie,0)),st_utm)+SUMPRODUCT(ISNUMBER(MATCH(mod_st_utm_wbudowie,$B$77,0))*('Koszty operacyjne'!$K$114:$X$114=Moduły!G$77)*ISNUMBER(MATCH(st_utm_kw_wbudowie,nie,0)),st_utm_wbudowie)</f>
        <v>0</v>
      </c>
      <c r="H101" s="358" cm="1">
        <f t="array" ref="H101">SUMPRODUCT(ISNUMBER(MATCH(mod_st_utm,$B$77,0))*('Koszty operacyjne'!$K$114:$X$114=Moduły!H$77)*ISNUMBER(MATCH(st_utm_kw,nie,0)),st_utm)+SUMPRODUCT(ISNUMBER(MATCH(mod_st_utm_wbudowie,$B$77,0))*('Koszty operacyjne'!$K$114:$X$114=Moduły!H$77)*ISNUMBER(MATCH(st_utm_kw_wbudowie,nie,0)),st_utm_wbudowie)</f>
        <v>0</v>
      </c>
      <c r="I101" s="358" cm="1">
        <f t="array" ref="I101">SUMPRODUCT(ISNUMBER(MATCH(mod_st_utm,$B$77,0))*('Koszty operacyjne'!$K$114:$X$114=Moduły!I$77)*ISNUMBER(MATCH(st_utm_kw,nie,0)),st_utm)+SUMPRODUCT(ISNUMBER(MATCH(mod_st_utm_wbudowie,$B$77,0))*('Koszty operacyjne'!$K$114:$X$114=Moduły!I$77)*ISNUMBER(MATCH(st_utm_kw_wbudowie,nie,0)),st_utm_wbudowie)</f>
        <v>0</v>
      </c>
      <c r="J101" s="358" cm="1">
        <f t="array" ref="J101">SUMPRODUCT(ISNUMBER(MATCH(mod_st_utm,$B$77,0))*('Koszty operacyjne'!$K$114:$X$114=Moduły!J$77)*ISNUMBER(MATCH(st_utm_kw,nie,0)),st_utm)+SUMPRODUCT(ISNUMBER(MATCH(mod_st_utm_wbudowie,$B$77,0))*('Koszty operacyjne'!$K$114:$X$114=Moduły!J$77)*ISNUMBER(MATCH(st_utm_kw_wbudowie,nie,0)),st_utm_wbudowie)</f>
        <v>0</v>
      </c>
      <c r="K101" s="358" cm="1">
        <f t="array" ref="K101">SUMPRODUCT(ISNUMBER(MATCH(mod_st_utm,$B$77,0))*('Koszty operacyjne'!$K$114:$X$114=Moduły!K$77)*ISNUMBER(MATCH(st_utm_kw,nie,0)),st_utm)+SUMPRODUCT(ISNUMBER(MATCH(mod_st_utm_wbudowie,$B$77,0))*('Koszty operacyjne'!$K$114:$X$114=Moduły!K$77)*ISNUMBER(MATCH(st_utm_kw_wbudowie,nie,0)),st_utm_wbudowie)</f>
        <v>0</v>
      </c>
      <c r="L101" s="358" cm="1">
        <f t="array" ref="L101">SUMPRODUCT(ISNUMBER(MATCH(mod_st_utm,$B$77,0))*('Koszty operacyjne'!$K$114:$X$114=Moduły!L$77)*ISNUMBER(MATCH(st_utm_kw,nie,0)),st_utm)+SUMPRODUCT(ISNUMBER(MATCH(mod_st_utm_wbudowie,$B$77,0))*('Koszty operacyjne'!$K$114:$X$114=Moduły!L$77)*ISNUMBER(MATCH(st_utm_kw_wbudowie,nie,0)),st_utm_wbudowie)</f>
        <v>0</v>
      </c>
      <c r="M101" s="358" cm="1">
        <f t="array" ref="M101">SUMPRODUCT(ISNUMBER(MATCH(mod_st_utm,$B$77,0))*('Koszty operacyjne'!$K$114:$X$114=Moduły!M$77)*ISNUMBER(MATCH(st_utm_kw,nie,0)),st_utm)+SUMPRODUCT(ISNUMBER(MATCH(mod_st_utm_wbudowie,$B$77,0))*('Koszty operacyjne'!$K$114:$X$114=Moduły!M$77)*ISNUMBER(MATCH(st_utm_kw_wbudowie,nie,0)),st_utm_wbudowie)</f>
        <v>0</v>
      </c>
      <c r="N101" s="358" cm="1">
        <f t="array" ref="N101">SUMPRODUCT(ISNUMBER(MATCH(mod_st_utm,$B$77,0))*('Koszty operacyjne'!$K$114:$X$114=Moduły!N$77)*ISNUMBER(MATCH(st_utm_kw,nie,0)),st_utm)+SUMPRODUCT(ISNUMBER(MATCH(mod_st_utm_wbudowie,$B$77,0))*('Koszty operacyjne'!$K$114:$X$114=Moduły!N$77)*ISNUMBER(MATCH(st_utm_kw_wbudowie,nie,0)),st_utm_wbudowie)</f>
        <v>0</v>
      </c>
      <c r="O101" s="358" cm="1">
        <f t="array" ref="O101">SUMPRODUCT(ISNUMBER(MATCH(mod_st_utm,$B$77,0))*('Koszty operacyjne'!$K$114:$X$114=Moduły!O$77)*ISNUMBER(MATCH(st_utm_kw,nie,0)),st_utm)+SUMPRODUCT(ISNUMBER(MATCH(mod_st_utm_wbudowie,$B$77,0))*('Koszty operacyjne'!$K$114:$X$114=Moduły!O$77)*ISNUMBER(MATCH(st_utm_kw_wbudowie,nie,0)),st_utm_wbudowie)</f>
        <v>0</v>
      </c>
      <c r="P101" s="358" cm="1">
        <f t="array" ref="P101">SUMPRODUCT(ISNUMBER(MATCH(mod_st_utm,$B$77,0))*('Koszty operacyjne'!$K$114:$X$114=Moduły!P$77)*ISNUMBER(MATCH(st_utm_kw,nie,0)),st_utm)+SUMPRODUCT(ISNUMBER(MATCH(mod_st_utm_wbudowie,$B$77,0))*('Koszty operacyjne'!$K$114:$X$114=Moduły!P$77)*ISNUMBER(MATCH(st_utm_kw_wbudowie,nie,0)),st_utm_wbudowie)</f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3.9" customHeight="1">
      <c r="B102" s="8"/>
      <c r="C102" s="361"/>
      <c r="D102" s="361"/>
      <c r="E102" s="361"/>
      <c r="F102" s="361"/>
      <c r="G102" s="361"/>
      <c r="H102" s="361"/>
      <c r="I102" s="361"/>
      <c r="J102" s="361"/>
      <c r="K102" s="362"/>
      <c r="L102" s="362"/>
      <c r="M102" s="362"/>
      <c r="N102" s="362"/>
      <c r="O102" s="362"/>
      <c r="P102" s="362"/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3" t="s">
        <v>101</v>
      </c>
      <c r="C103" s="354">
        <f t="shared" ref="C103:P103" si="47">SUM(C104:C105)</f>
        <v>0</v>
      </c>
      <c r="D103" s="354">
        <f t="shared" si="47"/>
        <v>0</v>
      </c>
      <c r="E103" s="354">
        <f t="shared" si="47"/>
        <v>0</v>
      </c>
      <c r="F103" s="354">
        <f t="shared" si="47"/>
        <v>0</v>
      </c>
      <c r="G103" s="354">
        <f t="shared" si="47"/>
        <v>0</v>
      </c>
      <c r="H103" s="354">
        <f t="shared" si="47"/>
        <v>0</v>
      </c>
      <c r="I103" s="354">
        <f t="shared" si="47"/>
        <v>0</v>
      </c>
      <c r="J103" s="354">
        <f t="shared" si="47"/>
        <v>0</v>
      </c>
      <c r="K103" s="354">
        <f t="shared" si="47"/>
        <v>0</v>
      </c>
      <c r="L103" s="354">
        <f t="shared" si="47"/>
        <v>0</v>
      </c>
      <c r="M103" s="354">
        <f t="shared" si="47"/>
        <v>0</v>
      </c>
      <c r="N103" s="354">
        <f t="shared" si="47"/>
        <v>0</v>
      </c>
      <c r="O103" s="354">
        <f t="shared" si="47"/>
        <v>0</v>
      </c>
      <c r="P103" s="354">
        <f t="shared" si="47"/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12" customHeight="1">
      <c r="B104" s="355" t="s">
        <v>95</v>
      </c>
      <c r="C104" s="356" cm="1">
        <f t="array" ref="C104">SUMPRODUCT(ISNUMBER(MATCH(mod_st_stu,$B$77,0))*('Koszty operacyjne'!$K$114:$X$114=Moduły!C$77)*ISNUMBER(MATCH(st_stu_kw,tak,0)),st_stu)</f>
        <v>0</v>
      </c>
      <c r="D104" s="356" cm="1">
        <f t="array" ref="D104">SUMPRODUCT(ISNUMBER(MATCH(mod_st_stu,$B$77,0))*('Koszty operacyjne'!$K$114:$X$114=Moduły!D$77)*ISNUMBER(MATCH(st_stu_kw,tak,0)),st_stu)</f>
        <v>0</v>
      </c>
      <c r="E104" s="356" cm="1">
        <f t="array" ref="E104">SUMPRODUCT(ISNUMBER(MATCH(mod_st_stu,$B$77,0))*('Koszty operacyjne'!$K$114:$X$114=Moduły!E$77)*ISNUMBER(MATCH(st_stu_kw,tak,0)),st_stu)</f>
        <v>0</v>
      </c>
      <c r="F104" s="356" cm="1">
        <f t="array" ref="F104">SUMPRODUCT(ISNUMBER(MATCH(mod_st_stu,$B$77,0))*('Koszty operacyjne'!$K$114:$X$114=Moduły!F$77)*ISNUMBER(MATCH(st_stu_kw,tak,0)),st_stu)</f>
        <v>0</v>
      </c>
      <c r="G104" s="356" cm="1">
        <f t="array" ref="G104">SUMPRODUCT(ISNUMBER(MATCH(mod_st_stu,$B$77,0))*('Koszty operacyjne'!$K$114:$X$114=Moduły!G$77)*ISNUMBER(MATCH(st_stu_kw,tak,0)),st_stu)</f>
        <v>0</v>
      </c>
      <c r="H104" s="356" cm="1">
        <f t="array" ref="H104">SUMPRODUCT(ISNUMBER(MATCH(mod_st_stu,$B$77,0))*('Koszty operacyjne'!$K$114:$X$114=Moduły!H$77)*ISNUMBER(MATCH(st_stu_kw,tak,0)),st_stu)</f>
        <v>0</v>
      </c>
      <c r="I104" s="356" cm="1">
        <f t="array" ref="I104">SUMPRODUCT(ISNUMBER(MATCH(mod_st_stu,$B$77,0))*('Koszty operacyjne'!$K$114:$X$114=Moduły!I$77)*ISNUMBER(MATCH(st_stu_kw,tak,0)),st_stu)</f>
        <v>0</v>
      </c>
      <c r="J104" s="356" cm="1">
        <f t="array" ref="J104">SUMPRODUCT(ISNUMBER(MATCH(mod_st_stu,$B$77,0))*('Koszty operacyjne'!$K$114:$X$114=Moduły!J$77)*ISNUMBER(MATCH(st_stu_kw,tak,0)),st_stu)</f>
        <v>0</v>
      </c>
      <c r="K104" s="356" cm="1">
        <f t="array" ref="K104">SUMPRODUCT(ISNUMBER(MATCH(mod_st_stu,$B$77,0))*('Koszty operacyjne'!$K$114:$X$114=Moduły!K$77)*ISNUMBER(MATCH(st_stu_kw,tak,0)),st_stu)</f>
        <v>0</v>
      </c>
      <c r="L104" s="356" cm="1">
        <f t="array" ref="L104">SUMPRODUCT(ISNUMBER(MATCH(mod_st_stu,$B$77,0))*('Koszty operacyjne'!$K$114:$X$114=Moduły!L$77)*ISNUMBER(MATCH(st_stu_kw,tak,0)),st_stu)</f>
        <v>0</v>
      </c>
      <c r="M104" s="356" cm="1">
        <f t="array" ref="M104">SUMPRODUCT(ISNUMBER(MATCH(mod_st_stu,$B$77,0))*('Koszty operacyjne'!$K$114:$X$114=Moduły!M$77)*ISNUMBER(MATCH(st_stu_kw,tak,0)),st_stu)</f>
        <v>0</v>
      </c>
      <c r="N104" s="356" cm="1">
        <f t="array" ref="N104">SUMPRODUCT(ISNUMBER(MATCH(mod_st_stu,$B$77,0))*('Koszty operacyjne'!$K$114:$X$114=Moduły!N$77)*ISNUMBER(MATCH(st_stu_kw,tak,0)),st_stu)</f>
        <v>0</v>
      </c>
      <c r="O104" s="356" cm="1">
        <f t="array" ref="O104">SUMPRODUCT(ISNUMBER(MATCH(mod_st_stu,$B$77,0))*('Koszty operacyjne'!$K$114:$X$114=Moduły!O$77)*ISNUMBER(MATCH(st_stu_kw,tak,0)),st_stu)</f>
        <v>0</v>
      </c>
      <c r="P104" s="356" cm="1">
        <f t="array" ref="P104">SUMPRODUCT(ISNUMBER(MATCH(mod_st_stu,$B$77,0))*('Koszty operacyjne'!$K$114:$X$114=Moduły!P$77)*ISNUMBER(MATCH(st_stu_kw,tak,0)),st_stu)</f>
        <v>0</v>
      </c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7" t="s">
        <v>96</v>
      </c>
      <c r="C105" s="358" cm="1">
        <f t="array" ref="C105">SUMPRODUCT(ISNUMBER(MATCH(mod_st_stu,$B$77,0))*('Koszty operacyjne'!$K$114:$X$114=Moduły!C$77)*ISNUMBER(MATCH(st_stu_kw,nie,0)),st_stu)</f>
        <v>0</v>
      </c>
      <c r="D105" s="358" cm="1">
        <f t="array" ref="D105">SUMPRODUCT(ISNUMBER(MATCH(mod_st_stu,$B$77,0))*('Koszty operacyjne'!$K$114:$X$114=Moduły!D$77)*ISNUMBER(MATCH(st_stu_kw,nie,0)),st_stu)</f>
        <v>0</v>
      </c>
      <c r="E105" s="358" cm="1">
        <f t="array" ref="E105">SUMPRODUCT(ISNUMBER(MATCH(mod_st_stu,$B$77,0))*('Koszty operacyjne'!$K$114:$X$114=Moduły!E$77)*ISNUMBER(MATCH(st_stu_kw,nie,0)),st_stu)</f>
        <v>0</v>
      </c>
      <c r="F105" s="358" cm="1">
        <f t="array" ref="F105">SUMPRODUCT(ISNUMBER(MATCH(mod_st_stu,$B$77,0))*('Koszty operacyjne'!$K$114:$X$114=Moduły!F$77)*ISNUMBER(MATCH(st_stu_kw,nie,0)),st_stu)</f>
        <v>0</v>
      </c>
      <c r="G105" s="358" cm="1">
        <f t="array" ref="G105">SUMPRODUCT(ISNUMBER(MATCH(mod_st_stu,$B$77,0))*('Koszty operacyjne'!$K$114:$X$114=Moduły!G$77)*ISNUMBER(MATCH(st_stu_kw,nie,0)),st_stu)</f>
        <v>0</v>
      </c>
      <c r="H105" s="358" cm="1">
        <f t="array" ref="H105">SUMPRODUCT(ISNUMBER(MATCH(mod_st_stu,$B$77,0))*('Koszty operacyjne'!$K$114:$X$114=Moduły!H$77)*ISNUMBER(MATCH(st_stu_kw,nie,0)),st_stu)</f>
        <v>0</v>
      </c>
      <c r="I105" s="358" cm="1">
        <f t="array" ref="I105">SUMPRODUCT(ISNUMBER(MATCH(mod_st_stu,$B$77,0))*('Koszty operacyjne'!$K$114:$X$114=Moduły!I$77)*ISNUMBER(MATCH(st_stu_kw,nie,0)),st_stu)</f>
        <v>0</v>
      </c>
      <c r="J105" s="358" cm="1">
        <f t="array" ref="J105">SUMPRODUCT(ISNUMBER(MATCH(mod_st_stu,$B$77,0))*('Koszty operacyjne'!$K$114:$X$114=Moduły!J$77)*ISNUMBER(MATCH(st_stu_kw,nie,0)),st_stu)</f>
        <v>0</v>
      </c>
      <c r="K105" s="359" cm="1">
        <f t="array" ref="K105">SUMPRODUCT(ISNUMBER(MATCH(mod_st_stu,$B$77,0))*('Koszty operacyjne'!$K$114:$X$114=Moduły!K$77)*ISNUMBER(MATCH(st_stu_kw,nie,0)),st_stu)</f>
        <v>0</v>
      </c>
      <c r="L105" s="359" cm="1">
        <f t="array" ref="L105">SUMPRODUCT(ISNUMBER(MATCH(mod_st_stu,$B$77,0))*('Koszty operacyjne'!$K$114:$X$114=Moduły!L$77)*ISNUMBER(MATCH(st_stu_kw,nie,0)),st_stu)</f>
        <v>0</v>
      </c>
      <c r="M105" s="359" cm="1">
        <f t="array" ref="M105">SUMPRODUCT(ISNUMBER(MATCH(mod_st_stu,$B$77,0))*('Koszty operacyjne'!$K$114:$X$114=Moduły!M$77)*ISNUMBER(MATCH(st_stu_kw,nie,0)),st_stu)</f>
        <v>0</v>
      </c>
      <c r="N105" s="359" cm="1">
        <f t="array" ref="N105">SUMPRODUCT(ISNUMBER(MATCH(mod_st_stu,$B$77,0))*('Koszty operacyjne'!$K$114:$X$114=Moduły!N$77)*ISNUMBER(MATCH(st_stu_kw,nie,0)),st_stu)</f>
        <v>0</v>
      </c>
      <c r="O105" s="359" cm="1">
        <f t="array" ref="O105">SUMPRODUCT(ISNUMBER(MATCH(mod_st_stu,$B$77,0))*('Koszty operacyjne'!$K$114:$X$114=Moduły!O$77)*ISNUMBER(MATCH(st_stu_kw,nie,0)),st_stu)</f>
        <v>0</v>
      </c>
      <c r="P105" s="359" cm="1">
        <f t="array" ref="P105">SUMPRODUCT(ISNUMBER(MATCH(mod_st_stu,$B$77,0))*('Koszty operacyjne'!$K$114:$X$114=Moduły!P$77)*ISNUMBER(MATCH(st_stu_kw,nie,0)),st_stu)</f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3.9" customHeight="1">
      <c r="B106" s="8"/>
      <c r="C106" s="361"/>
      <c r="D106" s="361"/>
      <c r="E106" s="361"/>
      <c r="F106" s="361"/>
      <c r="G106" s="361"/>
      <c r="H106" s="361"/>
      <c r="I106" s="361"/>
      <c r="J106" s="361"/>
      <c r="K106" s="362"/>
      <c r="L106" s="362"/>
      <c r="M106" s="362"/>
      <c r="N106" s="362"/>
      <c r="O106" s="362"/>
      <c r="P106" s="362"/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3" t="s">
        <v>102</v>
      </c>
      <c r="C107" s="354">
        <f t="shared" ref="C107:P107" si="48">SUM(C108:C109)</f>
        <v>0</v>
      </c>
      <c r="D107" s="354">
        <f t="shared" si="48"/>
        <v>0</v>
      </c>
      <c r="E107" s="354">
        <f t="shared" si="48"/>
        <v>0</v>
      </c>
      <c r="F107" s="354">
        <f t="shared" si="48"/>
        <v>0</v>
      </c>
      <c r="G107" s="354">
        <f t="shared" si="48"/>
        <v>0</v>
      </c>
      <c r="H107" s="354">
        <f t="shared" si="48"/>
        <v>0</v>
      </c>
      <c r="I107" s="354">
        <f t="shared" si="48"/>
        <v>0</v>
      </c>
      <c r="J107" s="354">
        <f t="shared" si="48"/>
        <v>0</v>
      </c>
      <c r="K107" s="354">
        <f t="shared" si="48"/>
        <v>0</v>
      </c>
      <c r="L107" s="354">
        <f t="shared" si="48"/>
        <v>0</v>
      </c>
      <c r="M107" s="354">
        <f t="shared" si="48"/>
        <v>0</v>
      </c>
      <c r="N107" s="354">
        <f t="shared" si="48"/>
        <v>0</v>
      </c>
      <c r="O107" s="354">
        <f t="shared" si="48"/>
        <v>0</v>
      </c>
      <c r="P107" s="354">
        <f t="shared" si="48"/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12" customHeight="1">
      <c r="B108" s="355" t="s">
        <v>95</v>
      </c>
      <c r="C108" s="356" cm="1">
        <f t="array" ref="C108">SUMPRODUCT(ISNUMBER(MATCH(mod_st_ist,$B$77,0))*('Koszty operacyjne'!$K$114:$X$114=Moduły!C$77)*ISNUMBER(MATCH(st_ist_kw,tak,0)),st_ist)</f>
        <v>0</v>
      </c>
      <c r="D108" s="356" cm="1">
        <f t="array" ref="D108">SUMPRODUCT(ISNUMBER(MATCH(mod_st_ist,$B$77,0))*('Koszty operacyjne'!$K$114:$X$114=Moduły!D$77)*ISNUMBER(MATCH(st_ist_kw,tak,0)),st_ist)</f>
        <v>0</v>
      </c>
      <c r="E108" s="356" cm="1">
        <f t="array" ref="E108">SUMPRODUCT(ISNUMBER(MATCH(mod_st_ist,$B$77,0))*('Koszty operacyjne'!$K$114:$X$114=Moduły!E$77)*ISNUMBER(MATCH(st_ist_kw,tak,0)),st_ist)</f>
        <v>0</v>
      </c>
      <c r="F108" s="356" cm="1">
        <f t="array" ref="F108">SUMPRODUCT(ISNUMBER(MATCH(mod_st_ist,$B$77,0))*('Koszty operacyjne'!$K$114:$X$114=Moduły!F$77)*ISNUMBER(MATCH(st_ist_kw,tak,0)),st_ist)</f>
        <v>0</v>
      </c>
      <c r="G108" s="356" cm="1">
        <f t="array" ref="G108">SUMPRODUCT(ISNUMBER(MATCH(mod_st_ist,$B$77,0))*('Koszty operacyjne'!$K$114:$X$114=Moduły!G$77)*ISNUMBER(MATCH(st_ist_kw,tak,0)),st_ist)</f>
        <v>0</v>
      </c>
      <c r="H108" s="356" cm="1">
        <f t="array" ref="H108">SUMPRODUCT(ISNUMBER(MATCH(mod_st_ist,$B$77,0))*('Koszty operacyjne'!$K$114:$X$114=Moduły!H$77)*ISNUMBER(MATCH(st_ist_kw,tak,0)),st_ist)</f>
        <v>0</v>
      </c>
      <c r="I108" s="356" cm="1">
        <f t="array" ref="I108">SUMPRODUCT(ISNUMBER(MATCH(mod_st_ist,$B$77,0))*('Koszty operacyjne'!$K$114:$X$114=Moduły!I$77)*ISNUMBER(MATCH(st_ist_kw,tak,0)),st_ist)</f>
        <v>0</v>
      </c>
      <c r="J108" s="356" cm="1">
        <f t="array" ref="J108">SUMPRODUCT(ISNUMBER(MATCH(mod_st_ist,$B$77,0))*('Koszty operacyjne'!$K$114:$X$114=Moduły!J$77)*ISNUMBER(MATCH(st_ist_kw,tak,0)),st_ist)</f>
        <v>0</v>
      </c>
      <c r="K108" s="356" cm="1">
        <f t="array" ref="K108">SUMPRODUCT(ISNUMBER(MATCH(mod_st_ist,$B$77,0))*('Koszty operacyjne'!$K$114:$X$114=Moduły!K$77)*ISNUMBER(MATCH(st_ist_kw,tak,0)),st_ist)</f>
        <v>0</v>
      </c>
      <c r="L108" s="356" cm="1">
        <f t="array" ref="L108">SUMPRODUCT(ISNUMBER(MATCH(mod_st_ist,$B$77,0))*('Koszty operacyjne'!$K$114:$X$114=Moduły!L$77)*ISNUMBER(MATCH(st_ist_kw,tak,0)),st_ist)</f>
        <v>0</v>
      </c>
      <c r="M108" s="356" cm="1">
        <f t="array" ref="M108">SUMPRODUCT(ISNUMBER(MATCH(mod_st_ist,$B$77,0))*('Koszty operacyjne'!$K$114:$X$114=Moduły!M$77)*ISNUMBER(MATCH(st_ist_kw,tak,0)),st_ist)</f>
        <v>0</v>
      </c>
      <c r="N108" s="356" cm="1">
        <f t="array" ref="N108">SUMPRODUCT(ISNUMBER(MATCH(mod_st_ist,$B$77,0))*('Koszty operacyjne'!$K$114:$X$114=Moduły!N$77)*ISNUMBER(MATCH(st_ist_kw,tak,0)),st_ist)</f>
        <v>0</v>
      </c>
      <c r="O108" s="356" cm="1">
        <f t="array" ref="O108">SUMPRODUCT(ISNUMBER(MATCH(mod_st_ist,$B$77,0))*('Koszty operacyjne'!$K$114:$X$114=Moduły!O$77)*ISNUMBER(MATCH(st_ist_kw,tak,0)),st_ist)</f>
        <v>0</v>
      </c>
      <c r="P108" s="356" cm="1">
        <f t="array" ref="P108">SUMPRODUCT(ISNUMBER(MATCH(mod_st_ist,$B$77,0))*('Koszty operacyjne'!$K$114:$X$114=Moduły!P$77)*ISNUMBER(MATCH(st_ist_kw,tak,0)),st_ist)</f>
        <v>0</v>
      </c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7" t="s">
        <v>96</v>
      </c>
      <c r="C109" s="358" cm="1">
        <f t="array" ref="C109">SUMPRODUCT(ISNUMBER(MATCH(mod_st_ist,$B$77,0))*('Koszty operacyjne'!$K$114:$X$114=Moduły!C$77)*ISNUMBER(MATCH(st_ist_kw,nie,0)),st_ist)</f>
        <v>0</v>
      </c>
      <c r="D109" s="358" cm="1">
        <f t="array" ref="D109">SUMPRODUCT(ISNUMBER(MATCH(mod_st_ist,$B$77,0))*('Koszty operacyjne'!$K$114:$X$114=Moduły!D$77)*ISNUMBER(MATCH(st_ist_kw,nie,0)),st_ist)</f>
        <v>0</v>
      </c>
      <c r="E109" s="358" cm="1">
        <f t="array" ref="E109">SUMPRODUCT(ISNUMBER(MATCH(mod_st_ist,$B$77,0))*('Koszty operacyjne'!$K$114:$X$114=Moduły!E$77)*ISNUMBER(MATCH(st_ist_kw,nie,0)),st_ist)</f>
        <v>0</v>
      </c>
      <c r="F109" s="358" cm="1">
        <f t="array" ref="F109">SUMPRODUCT(ISNUMBER(MATCH(mod_st_ist,$B$77,0))*('Koszty operacyjne'!$K$114:$X$114=Moduły!F$77)*ISNUMBER(MATCH(st_ist_kw,nie,0)),st_ist)</f>
        <v>0</v>
      </c>
      <c r="G109" s="358" cm="1">
        <f t="array" ref="G109">SUMPRODUCT(ISNUMBER(MATCH(mod_st_ist,$B$77,0))*('Koszty operacyjne'!$K$114:$X$114=Moduły!G$77)*ISNUMBER(MATCH(st_ist_kw,nie,0)),st_ist)</f>
        <v>0</v>
      </c>
      <c r="H109" s="358" cm="1">
        <f t="array" ref="H109">SUMPRODUCT(ISNUMBER(MATCH(mod_st_ist,$B$77,0))*('Koszty operacyjne'!$K$114:$X$114=Moduły!H$77)*ISNUMBER(MATCH(st_ist_kw,nie,0)),st_ist)</f>
        <v>0</v>
      </c>
      <c r="I109" s="358" cm="1">
        <f t="array" ref="I109">SUMPRODUCT(ISNUMBER(MATCH(mod_st_ist,$B$77,0))*('Koszty operacyjne'!$K$114:$X$114=Moduły!I$77)*ISNUMBER(MATCH(st_ist_kw,nie,0)),st_ist)</f>
        <v>0</v>
      </c>
      <c r="J109" s="358" cm="1">
        <f t="array" ref="J109">SUMPRODUCT(ISNUMBER(MATCH(mod_st_ist,$B$77,0))*('Koszty operacyjne'!$K$114:$X$114=Moduły!J$77)*ISNUMBER(MATCH(st_ist_kw,nie,0)),st_ist)</f>
        <v>0</v>
      </c>
      <c r="K109" s="359" cm="1">
        <f t="array" ref="K109">SUMPRODUCT(ISNUMBER(MATCH(mod_st_ist,$B$77,0))*('Koszty operacyjne'!$K$114:$X$114=Moduły!K$77)*ISNUMBER(MATCH(st_ist_kw,nie,0)),st_ist)</f>
        <v>0</v>
      </c>
      <c r="L109" s="359" cm="1">
        <f t="array" ref="L109">SUMPRODUCT(ISNUMBER(MATCH(mod_st_ist,$B$77,0))*('Koszty operacyjne'!$K$114:$X$114=Moduły!L$77)*ISNUMBER(MATCH(st_ist_kw,nie,0)),st_ist)</f>
        <v>0</v>
      </c>
      <c r="M109" s="359" cm="1">
        <f t="array" ref="M109">SUMPRODUCT(ISNUMBER(MATCH(mod_st_ist,$B$77,0))*('Koszty operacyjne'!$K$114:$X$114=Moduły!M$77)*ISNUMBER(MATCH(st_ist_kw,nie,0)),st_ist)</f>
        <v>0</v>
      </c>
      <c r="N109" s="359" cm="1">
        <f t="array" ref="N109">SUMPRODUCT(ISNUMBER(MATCH(mod_st_ist,$B$77,0))*('Koszty operacyjne'!$K$114:$X$114=Moduły!N$77)*ISNUMBER(MATCH(st_ist_kw,nie,0)),st_ist)</f>
        <v>0</v>
      </c>
      <c r="O109" s="359" cm="1">
        <f t="array" ref="O109">SUMPRODUCT(ISNUMBER(MATCH(mod_st_ist,$B$77,0))*('Koszty operacyjne'!$K$114:$X$114=Moduły!O$77)*ISNUMBER(MATCH(st_ist_kw,nie,0)),st_ist)</f>
        <v>0</v>
      </c>
      <c r="P109" s="359" cm="1">
        <f t="array" ref="P109">SUMPRODUCT(ISNUMBER(MATCH(mod_st_ist,$B$77,0))*('Koszty operacyjne'!$K$114:$X$114=Moduły!P$77)*ISNUMBER(MATCH(st_ist_kw,nie,0)),st_ist)</f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3.9" customHeight="1">
      <c r="B110" s="8"/>
      <c r="C110" s="361"/>
      <c r="D110" s="361"/>
      <c r="E110" s="361"/>
      <c r="F110" s="361"/>
      <c r="G110" s="361"/>
      <c r="H110" s="361"/>
      <c r="I110" s="361"/>
      <c r="J110" s="361"/>
      <c r="K110" s="362"/>
      <c r="L110" s="362"/>
      <c r="M110" s="362"/>
      <c r="N110" s="362"/>
      <c r="O110" s="362"/>
      <c r="P110" s="362"/>
    </row>
    <row r="111" spans="2:25">
      <c r="B111" s="353" t="s">
        <v>796</v>
      </c>
      <c r="C111" s="354">
        <f t="shared" ref="C111:P111" si="49">C112+C113</f>
        <v>0</v>
      </c>
      <c r="D111" s="354">
        <f t="shared" si="49"/>
        <v>0</v>
      </c>
      <c r="E111" s="354">
        <f t="shared" si="49"/>
        <v>0</v>
      </c>
      <c r="F111" s="354">
        <f t="shared" si="49"/>
        <v>0</v>
      </c>
      <c r="G111" s="354">
        <f t="shared" si="49"/>
        <v>0</v>
      </c>
      <c r="H111" s="354">
        <f t="shared" si="49"/>
        <v>0</v>
      </c>
      <c r="I111" s="354">
        <f t="shared" si="49"/>
        <v>0</v>
      </c>
      <c r="J111" s="354">
        <f t="shared" si="49"/>
        <v>0</v>
      </c>
      <c r="K111" s="354">
        <f t="shared" si="49"/>
        <v>0</v>
      </c>
      <c r="L111" s="354">
        <f t="shared" si="49"/>
        <v>0</v>
      </c>
      <c r="M111" s="354">
        <f t="shared" si="49"/>
        <v>0</v>
      </c>
      <c r="N111" s="354">
        <f t="shared" si="49"/>
        <v>0</v>
      </c>
      <c r="O111" s="354">
        <f t="shared" si="49"/>
        <v>0</v>
      </c>
      <c r="P111" s="354">
        <f t="shared" si="49"/>
        <v>0</v>
      </c>
    </row>
    <row r="112" spans="2:25">
      <c r="B112" s="355" t="s">
        <v>95</v>
      </c>
      <c r="C112" s="356">
        <f>ROUND(C646,0)</f>
        <v>0</v>
      </c>
      <c r="D112" s="356">
        <f t="shared" ref="D112:P112" si="50">ROUND(D646,0)</f>
        <v>0</v>
      </c>
      <c r="E112" s="356">
        <f t="shared" si="50"/>
        <v>0</v>
      </c>
      <c r="F112" s="356">
        <f t="shared" si="50"/>
        <v>0</v>
      </c>
      <c r="G112" s="356">
        <f t="shared" si="50"/>
        <v>0</v>
      </c>
      <c r="H112" s="356">
        <f t="shared" si="50"/>
        <v>0</v>
      </c>
      <c r="I112" s="356">
        <f t="shared" si="50"/>
        <v>0</v>
      </c>
      <c r="J112" s="356">
        <f t="shared" si="50"/>
        <v>0</v>
      </c>
      <c r="K112" s="356">
        <f t="shared" si="50"/>
        <v>0</v>
      </c>
      <c r="L112" s="356">
        <f t="shared" si="50"/>
        <v>0</v>
      </c>
      <c r="M112" s="356">
        <f t="shared" si="50"/>
        <v>0</v>
      </c>
      <c r="N112" s="356">
        <f t="shared" si="50"/>
        <v>0</v>
      </c>
      <c r="O112" s="356">
        <f t="shared" si="50"/>
        <v>0</v>
      </c>
      <c r="P112" s="356">
        <f t="shared" si="50"/>
        <v>0</v>
      </c>
    </row>
    <row r="113" spans="2:25">
      <c r="B113" s="357" t="s">
        <v>96</v>
      </c>
      <c r="C113" s="358">
        <f>ROUND(C658,0)</f>
        <v>0</v>
      </c>
      <c r="D113" s="358">
        <f t="shared" ref="D113:P113" si="51">ROUND(D658,0)</f>
        <v>0</v>
      </c>
      <c r="E113" s="358">
        <f t="shared" si="51"/>
        <v>0</v>
      </c>
      <c r="F113" s="358">
        <f t="shared" si="51"/>
        <v>0</v>
      </c>
      <c r="G113" s="358">
        <f t="shared" si="51"/>
        <v>0</v>
      </c>
      <c r="H113" s="358">
        <f t="shared" si="51"/>
        <v>0</v>
      </c>
      <c r="I113" s="358">
        <f t="shared" si="51"/>
        <v>0</v>
      </c>
      <c r="J113" s="358">
        <f t="shared" si="51"/>
        <v>0</v>
      </c>
      <c r="K113" s="358">
        <f t="shared" si="51"/>
        <v>0</v>
      </c>
      <c r="L113" s="358">
        <f t="shared" si="51"/>
        <v>0</v>
      </c>
      <c r="M113" s="358">
        <f t="shared" si="51"/>
        <v>0</v>
      </c>
      <c r="N113" s="358">
        <f t="shared" si="51"/>
        <v>0</v>
      </c>
      <c r="O113" s="358">
        <f t="shared" si="51"/>
        <v>0</v>
      </c>
      <c r="P113" s="358">
        <f t="shared" si="51"/>
        <v>0</v>
      </c>
    </row>
    <row r="114" spans="2:25" ht="12" customHeight="1"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2:25" ht="12" customHeight="1">
      <c r="B115" s="98" t="s">
        <v>104</v>
      </c>
      <c r="C115" s="97" cm="1">
        <f t="array" ref="C115">IF(C$66&lt;=Koniec,SUMPRODUCT(ISNUMBER(MATCH(mod_pp_ppu,$B$77,0))*('Koszty operacyjne'!$K$114:$X$114=Moduły!C$77),pp_ppu)+SUMPRODUCT(ISNUMBER(MATCH(mod_pp_ptim,$B$77,0))*('Koszty operacyjne'!$K$114:$X$114=Moduły!C$77),pp_ptim),0)</f>
        <v>0</v>
      </c>
      <c r="D115" s="97" cm="1">
        <f t="array" ref="D115">IF(D$66&lt;=Koniec,SUMPRODUCT(ISNUMBER(MATCH(mod_pp_ppu,$B$77,0))*('Koszty operacyjne'!$K$114:$X$114=Moduły!D$77),pp_ppu)+SUMPRODUCT(ISNUMBER(MATCH(mod_pp_ptim,$B$77,0))*('Koszty operacyjne'!$K$114:$X$114=Moduły!D$77),pp_ptim),0)</f>
        <v>0</v>
      </c>
      <c r="E115" s="97" cm="1">
        <f t="array" ref="E115">IF(E$66&lt;=Koniec,SUMPRODUCT(ISNUMBER(MATCH(mod_pp_ppu,$B$77,0))*('Koszty operacyjne'!$K$114:$X$114=Moduły!E$77),pp_ppu)+SUMPRODUCT(ISNUMBER(MATCH(mod_pp_ptim,$B$77,0))*('Koszty operacyjne'!$K$114:$X$114=Moduły!E$77),pp_ptim),0)</f>
        <v>0</v>
      </c>
      <c r="F115" s="97" cm="1">
        <f t="array" ref="F115">IF(F$66&lt;=Koniec,SUMPRODUCT(ISNUMBER(MATCH(mod_pp_ppu,$B$77,0))*('Koszty operacyjne'!$K$114:$X$114=Moduły!F$77),pp_ppu)+SUMPRODUCT(ISNUMBER(MATCH(mod_pp_ptim,$B$77,0))*('Koszty operacyjne'!$K$114:$X$114=Moduły!F$77),pp_ptim),0)</f>
        <v>0</v>
      </c>
      <c r="G115" s="97" cm="1">
        <f t="array" ref="G115">IF(G$66&lt;=Koniec,SUMPRODUCT(ISNUMBER(MATCH(mod_pp_ppu,$B$77,0))*('Koszty operacyjne'!$K$114:$X$114=Moduły!G$77),pp_ppu)+SUMPRODUCT(ISNUMBER(MATCH(mod_pp_ptim,$B$77,0))*('Koszty operacyjne'!$K$114:$X$114=Moduły!G$77),pp_ptim),0)</f>
        <v>0</v>
      </c>
      <c r="H115" s="97" cm="1">
        <f t="array" ref="H115">IF(H$66&lt;=Koniec,SUMPRODUCT(ISNUMBER(MATCH(mod_pp_ppu,$B$77,0))*('Koszty operacyjne'!$K$114:$X$114=Moduły!H$77),pp_ppu)+SUMPRODUCT(ISNUMBER(MATCH(mod_pp_ptim,$B$77,0))*('Koszty operacyjne'!$K$114:$X$114=Moduły!H$77),pp_ptim),0)</f>
        <v>0</v>
      </c>
      <c r="I115" s="97" cm="1">
        <f t="array" ref="I115">IF(I$66&lt;=Koniec,SUMPRODUCT(ISNUMBER(MATCH(mod_pp_ppu,$B$77,0))*('Koszty operacyjne'!$K$114:$X$114=Moduły!I$77),pp_ppu)+SUMPRODUCT(ISNUMBER(MATCH(mod_pp_ptim,$B$77,0))*('Koszty operacyjne'!$K$114:$X$114=Moduły!I$77),pp_ptim),0)</f>
        <v>0</v>
      </c>
      <c r="J115" s="97" cm="1">
        <f t="array" ref="J115">IF(J$66&lt;=Koniec,SUMPRODUCT(ISNUMBER(MATCH(mod_pp_ppu,$B$77,0))*('Koszty operacyjne'!$K$114:$X$114=Moduły!J$77),pp_ppu)+SUMPRODUCT(ISNUMBER(MATCH(mod_pp_ptim,$B$77,0))*('Koszty operacyjne'!$K$114:$X$114=Moduły!J$77),pp_ptim),0)</f>
        <v>0</v>
      </c>
      <c r="K115" s="97" cm="1">
        <f t="array" ref="K115">IF(K$66&lt;=Koniec,SUMPRODUCT(ISNUMBER(MATCH(mod_pp_ppu,$B$77,0))*('Koszty operacyjne'!$K$114:$X$114=Moduły!K$77),pp_ppu)+SUMPRODUCT(ISNUMBER(MATCH(mod_pp_ptim,$B$77,0))*('Koszty operacyjne'!$K$114:$X$114=Moduły!K$77),pp_ptim),0)</f>
        <v>0</v>
      </c>
      <c r="L115" s="97" cm="1">
        <f t="array" ref="L115">IF(L$66&lt;=Koniec,SUMPRODUCT(ISNUMBER(MATCH(mod_pp_ppu,$B$77,0))*('Koszty operacyjne'!$K$114:$X$114=Moduły!L$77),pp_ppu)+SUMPRODUCT(ISNUMBER(MATCH(mod_pp_ptim,$B$77,0))*('Koszty operacyjne'!$K$114:$X$114=Moduły!L$77),pp_ptim),0)</f>
        <v>0</v>
      </c>
      <c r="M115" s="97" cm="1">
        <f t="array" ref="M115">IF(M$66&lt;=Koniec,SUMPRODUCT(ISNUMBER(MATCH(mod_pp_ppu,$B$77,0))*('Koszty operacyjne'!$K$114:$X$114=Moduły!M$77),pp_ppu)+SUMPRODUCT(ISNUMBER(MATCH(mod_pp_ptim,$B$77,0))*('Koszty operacyjne'!$K$114:$X$114=Moduły!M$77),pp_ptim),0)</f>
        <v>0</v>
      </c>
      <c r="N115" s="97" cm="1">
        <f t="array" ref="N115">IF(N$66&lt;=Koniec,SUMPRODUCT(ISNUMBER(MATCH(mod_pp_ppu,$B$77,0))*('Koszty operacyjne'!$K$114:$X$114=Moduły!N$77),pp_ppu)+SUMPRODUCT(ISNUMBER(MATCH(mod_pp_ptim,$B$77,0))*('Koszty operacyjne'!$K$114:$X$114=Moduły!N$77),pp_ptim),0)</f>
        <v>0</v>
      </c>
      <c r="O115" s="97" cm="1">
        <f t="array" ref="O115">IF(O$66&lt;=Koniec,SUMPRODUCT(ISNUMBER(MATCH(mod_pp_ppu,$B$77,0))*('Koszty operacyjne'!$K$114:$X$114=Moduły!O$77),pp_ppu)+SUMPRODUCT(ISNUMBER(MATCH(mod_pp_ptim,$B$77,0))*('Koszty operacyjne'!$K$114:$X$114=Moduły!O$77),pp_ptim),0)</f>
        <v>0</v>
      </c>
      <c r="P115" s="97" cm="1">
        <f t="array" ref="P115">IF(P$66&lt;=Koniec,SUMPRODUCT(ISNUMBER(MATCH(mod_pp_ppu,$B$77,0))*('Koszty operacyjne'!$K$114:$X$114=Moduły!P$77),pp_ppu)+SUMPRODUCT(ISNUMBER(MATCH(mod_pp_ptim,$B$77,0))*('Koszty operacyjne'!$K$114:$X$114=Moduły!P$77),pp_ptim),0)</f>
        <v>0</v>
      </c>
      <c r="Q115" s="5"/>
      <c r="R115" s="5"/>
      <c r="S115" s="5"/>
      <c r="T115" s="5"/>
      <c r="U115" s="5"/>
      <c r="V115" s="5"/>
      <c r="W115" s="5"/>
      <c r="X115" s="5"/>
      <c r="Y115" s="5"/>
    </row>
    <row r="116" spans="2:25" ht="3.9" customHeight="1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>
      <c r="B117" s="98" t="s">
        <v>105</v>
      </c>
      <c r="C117" s="97">
        <f t="shared" ref="C117:P117" si="52">IF(C$66&lt;=Koniec,SUM(C118:C125),0)</f>
        <v>0</v>
      </c>
      <c r="D117" s="97">
        <f t="shared" ca="1" si="52"/>
        <v>0</v>
      </c>
      <c r="E117" s="97">
        <f t="shared" ca="1" si="52"/>
        <v>0</v>
      </c>
      <c r="F117" s="97">
        <f t="shared" ca="1" si="52"/>
        <v>0</v>
      </c>
      <c r="G117" s="97">
        <f t="shared" ca="1" si="52"/>
        <v>0</v>
      </c>
      <c r="H117" s="97">
        <f t="shared" ca="1" si="52"/>
        <v>0</v>
      </c>
      <c r="I117" s="97">
        <f t="shared" ca="1" si="52"/>
        <v>0</v>
      </c>
      <c r="J117" s="97">
        <f t="shared" ca="1" si="52"/>
        <v>0</v>
      </c>
      <c r="K117" s="97">
        <f t="shared" ca="1" si="52"/>
        <v>0</v>
      </c>
      <c r="L117" s="97">
        <f t="shared" ca="1" si="52"/>
        <v>0</v>
      </c>
      <c r="M117" s="97">
        <f t="shared" ca="1" si="52"/>
        <v>0</v>
      </c>
      <c r="N117" s="97">
        <f t="shared" ca="1" si="52"/>
        <v>0</v>
      </c>
      <c r="O117" s="97">
        <f t="shared" ca="1" si="52"/>
        <v>0</v>
      </c>
      <c r="P117" s="97">
        <f t="shared" ca="1" si="52"/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>
      <c r="B118" s="103" t="s">
        <v>106</v>
      </c>
      <c r="C118" s="102" cm="1">
        <f t="array" ref="C118">IF(C$66&lt;=Koniec,SUMPRODUCT(ISNUMBER(MATCH(mod_st_am,$B$77,0))*('Koszty operacyjne'!$K$114:$X$114=Moduły!C$77),st_am),0)</f>
        <v>0</v>
      </c>
      <c r="D118" s="102" cm="1">
        <f t="array" aca="1" ref="D118" ca="1">IF(D$66&lt;=Koniec,SUMPRODUCT(ISNUMBER(MATCH(mod_st_am,$B$77,0))*('Koszty operacyjne'!$K$114:$X$114=Moduły!D$77),st_am),0)</f>
        <v>0</v>
      </c>
      <c r="E118" s="102" cm="1">
        <f t="array" aca="1" ref="E118" ca="1">IF(E$66&lt;=Koniec,SUMPRODUCT(ISNUMBER(MATCH(mod_st_am,$B$77,0))*('Koszty operacyjne'!$K$114:$X$114=Moduły!E$77),st_am),0)</f>
        <v>0</v>
      </c>
      <c r="F118" s="102" cm="1">
        <f t="array" aca="1" ref="F118" ca="1">IF(F$66&lt;=Koniec,SUMPRODUCT(ISNUMBER(MATCH(mod_st_am,$B$77,0))*('Koszty operacyjne'!$K$114:$X$114=Moduły!F$77),st_am),0)</f>
        <v>0</v>
      </c>
      <c r="G118" s="102" cm="1">
        <f t="array" aca="1" ref="G118" ca="1">IF(G$66&lt;=Koniec,SUMPRODUCT(ISNUMBER(MATCH(mod_st_am,$B$77,0))*('Koszty operacyjne'!$K$114:$X$114=Moduły!G$77),st_am),0)</f>
        <v>0</v>
      </c>
      <c r="H118" s="102" cm="1">
        <f t="array" aca="1" ref="H118" ca="1">IF(H$66&lt;=Koniec,SUMPRODUCT(ISNUMBER(MATCH(mod_st_am,$B$77,0))*('Koszty operacyjne'!$K$114:$X$114=Moduły!H$77),st_am),0)</f>
        <v>0</v>
      </c>
      <c r="I118" s="102" cm="1">
        <f t="array" aca="1" ref="I118" ca="1">IF(I$66&lt;=Koniec,SUMPRODUCT(ISNUMBER(MATCH(mod_st_am,$B$77,0))*('Koszty operacyjne'!$K$114:$X$114=Moduły!I$77),st_am),0)</f>
        <v>0</v>
      </c>
      <c r="J118" s="102" cm="1">
        <f t="array" aca="1" ref="J118" ca="1">IF(J$66&lt;=Koniec,SUMPRODUCT(ISNUMBER(MATCH(mod_st_am,$B$77,0))*('Koszty operacyjne'!$K$114:$X$114=Moduły!J$77),st_am),0)</f>
        <v>0</v>
      </c>
      <c r="K118" s="102" cm="1">
        <f t="array" aca="1" ref="K118" ca="1">IF(K$66&lt;=Koniec,SUMPRODUCT(ISNUMBER(MATCH(mod_st_am,$B$77,0))*('Koszty operacyjne'!$K$114:$X$114=Moduły!K$77),st_am),0)</f>
        <v>0</v>
      </c>
      <c r="L118" s="102" cm="1">
        <f t="array" aca="1" ref="L118" ca="1">IF(L$66&lt;=Koniec,SUMPRODUCT(ISNUMBER(MATCH(mod_st_am,$B$77,0))*('Koszty operacyjne'!$K$114:$X$114=Moduły!L$77),st_am),0)</f>
        <v>0</v>
      </c>
      <c r="M118" s="102" cm="1">
        <f t="array" aca="1" ref="M118" ca="1">IF(M$66&lt;=Koniec,SUMPRODUCT(ISNUMBER(MATCH(mod_st_am,$B$77,0))*('Koszty operacyjne'!$K$114:$X$114=Moduły!M$77),st_am),0)</f>
        <v>0</v>
      </c>
      <c r="N118" s="102" cm="1">
        <f t="array" aca="1" ref="N118" ca="1">IF(N$66&lt;=Koniec,SUMPRODUCT(ISNUMBER(MATCH(mod_st_am,$B$77,0))*('Koszty operacyjne'!$K$114:$X$114=Moduły!N$77),st_am),0)</f>
        <v>0</v>
      </c>
      <c r="O118" s="102" cm="1">
        <f t="array" aca="1" ref="O118" ca="1">IF(O$66&lt;=Koniec,SUMPRODUCT(ISNUMBER(MATCH(mod_st_am,$B$77,0))*('Koszty operacyjne'!$K$114:$X$114=Moduły!O$77),st_am),0)</f>
        <v>0</v>
      </c>
      <c r="P118" s="102" cm="1">
        <f t="array" aca="1" ref="P118" ca="1">IF(P$66&lt;=Koniec,SUMPRODUCT(ISNUMBER(MATCH(mod_st_am,$B$77,0))*('Koszty operacyjne'!$K$114:$X$114=Moduły!P$77),st_am),0)</f>
        <v>0</v>
      </c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37" t="s">
        <v>107</v>
      </c>
      <c r="C119" s="33" cm="1">
        <f t="array" ref="C119">IF(C$66&lt;=Koniec,SUMPRODUCT(ISNUMBER(MATCH(mod_ko_zme,$B$77,0))*('Koszty operacyjne'!$K$114:$X$114=Moduły!C$77)*ISNUMBER(MATCH(ko_zme_pr,moduly_nie_pr,0)),ko_zme),0)</f>
        <v>0</v>
      </c>
      <c r="D119" s="33" cm="1">
        <f t="array" ref="D119">IF(D$66&lt;=Koniec,SUMPRODUCT(ISNUMBER(MATCH(mod_ko_zme,$B$77,0))*('Koszty operacyjne'!$K$114:$X$114=Moduły!D$77)*ISNUMBER(MATCH(ko_zme_pr,moduly_nie_pr,0)),ko_zme),0)</f>
        <v>0</v>
      </c>
      <c r="E119" s="33" cm="1">
        <f t="array" ref="E119">IF(E$66&lt;=Koniec,SUMPRODUCT(ISNUMBER(MATCH(mod_ko_zme,$B$77,0))*('Koszty operacyjne'!$K$114:$X$114=Moduły!E$77)*ISNUMBER(MATCH(ko_zme_pr,moduly_nie_pr,0)),ko_zme),0)</f>
        <v>0</v>
      </c>
      <c r="F119" s="33" cm="1">
        <f t="array" ref="F119">IF(F$66&lt;=Koniec,SUMPRODUCT(ISNUMBER(MATCH(mod_ko_zme,$B$77,0))*('Koszty operacyjne'!$K$114:$X$114=Moduły!F$77)*ISNUMBER(MATCH(ko_zme_pr,moduly_nie_pr,0)),ko_zme),0)</f>
        <v>0</v>
      </c>
      <c r="G119" s="33" cm="1">
        <f t="array" ref="G119">IF(G$66&lt;=Koniec,SUMPRODUCT(ISNUMBER(MATCH(mod_ko_zme,$B$77,0))*('Koszty operacyjne'!$K$114:$X$114=Moduły!G$77)*ISNUMBER(MATCH(ko_zme_pr,moduly_nie_pr,0)),ko_zme),0)</f>
        <v>0</v>
      </c>
      <c r="H119" s="33" cm="1">
        <f t="array" ref="H119">IF(H$66&lt;=Koniec,SUMPRODUCT(ISNUMBER(MATCH(mod_ko_zme,$B$77,0))*('Koszty operacyjne'!$K$114:$X$114=Moduły!H$77)*ISNUMBER(MATCH(ko_zme_pr,moduly_nie_pr,0)),ko_zme),0)</f>
        <v>0</v>
      </c>
      <c r="I119" s="33" cm="1">
        <f t="array" ref="I119">IF(I$66&lt;=Koniec,SUMPRODUCT(ISNUMBER(MATCH(mod_ko_zme,$B$77,0))*('Koszty operacyjne'!$K$114:$X$114=Moduły!I$77)*ISNUMBER(MATCH(ko_zme_pr,moduly_nie_pr,0)),ko_zme),0)</f>
        <v>0</v>
      </c>
      <c r="J119" s="33" cm="1">
        <f t="array" ref="J119">IF(J$66&lt;=Koniec,SUMPRODUCT(ISNUMBER(MATCH(mod_ko_zme,$B$77,0))*('Koszty operacyjne'!$K$114:$X$114=Moduły!J$77)*ISNUMBER(MATCH(ko_zme_pr,moduly_nie_pr,0)),ko_zme),0)</f>
        <v>0</v>
      </c>
      <c r="K119" s="33" cm="1">
        <f t="array" ref="K119">IF(K$66&lt;=Koniec,SUMPRODUCT(ISNUMBER(MATCH(mod_ko_zme,$B$77,0))*('Koszty operacyjne'!$K$114:$X$114=Moduły!K$77)*ISNUMBER(MATCH(ko_zme_pr,moduly_nie_pr,0)),ko_zme),0)</f>
        <v>0</v>
      </c>
      <c r="L119" s="33" cm="1">
        <f t="array" ref="L119">IF(L$66&lt;=Koniec,SUMPRODUCT(ISNUMBER(MATCH(mod_ko_zme,$B$77,0))*('Koszty operacyjne'!$K$114:$X$114=Moduły!L$77)*ISNUMBER(MATCH(ko_zme_pr,moduly_nie_pr,0)),ko_zme),0)</f>
        <v>0</v>
      </c>
      <c r="M119" s="33" cm="1">
        <f t="array" ref="M119">IF(M$66&lt;=Koniec,SUMPRODUCT(ISNUMBER(MATCH(mod_ko_zme,$B$77,0))*('Koszty operacyjne'!$K$114:$X$114=Moduły!M$77)*ISNUMBER(MATCH(ko_zme_pr,moduly_nie_pr,0)),ko_zme),0)</f>
        <v>0</v>
      </c>
      <c r="N119" s="33" cm="1">
        <f t="array" ref="N119">IF(N$66&lt;=Koniec,SUMPRODUCT(ISNUMBER(MATCH(mod_ko_zme,$B$77,0))*('Koszty operacyjne'!$K$114:$X$114=Moduły!N$77)*ISNUMBER(MATCH(ko_zme_pr,moduly_nie_pr,0)),ko_zme),0)</f>
        <v>0</v>
      </c>
      <c r="O119" s="33" cm="1">
        <f t="array" ref="O119">IF(O$66&lt;=Koniec,SUMPRODUCT(ISNUMBER(MATCH(mod_ko_zme,$B$77,0))*('Koszty operacyjne'!$K$114:$X$114=Moduły!O$77)*ISNUMBER(MATCH(ko_zme_pr,moduly_nie_pr,0)),ko_zme),0)</f>
        <v>0</v>
      </c>
      <c r="P119" s="33" cm="1">
        <f t="array" ref="P119">IF(P$66&lt;=Koniec,SUMPRODUCT(ISNUMBER(MATCH(mod_ko_zme,$B$77,0))*('Koszty operacyjne'!$K$114:$X$114=Moduły!P$77)*ISNUMBER(MATCH(ko_zme_pr,moduly_nie_pr,0)),ko_zme),0)</f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37" t="s">
        <v>108</v>
      </c>
      <c r="C120" s="33" cm="1">
        <f t="array" ref="C120">IF(C$66&lt;=Koniec,SUMPRODUCT(ISNUMBER(MATCH(mod_ko_uoe,$B$77,0))*('Koszty operacyjne'!$K$114:$X$114=Moduły!C$77)*ISNUMBER(MATCH(ko_uoe_pr,moduly_nie_pr,0)),ko_uoe),0)</f>
        <v>0</v>
      </c>
      <c r="D120" s="33" cm="1">
        <f t="array" ref="D120">IF(D$66&lt;=Koniec,SUMPRODUCT(ISNUMBER(MATCH(mod_ko_uoe,$B$77,0))*('Koszty operacyjne'!$K$114:$X$114=Moduły!D$77)*ISNUMBER(MATCH(ko_uoe_pr,moduly_nie_pr,0)),ko_uoe),0)</f>
        <v>0</v>
      </c>
      <c r="E120" s="33" cm="1">
        <f t="array" ref="E120">IF(E$66&lt;=Koniec,SUMPRODUCT(ISNUMBER(MATCH(mod_ko_uoe,$B$77,0))*('Koszty operacyjne'!$K$114:$X$114=Moduły!E$77)*ISNUMBER(MATCH(ko_uoe_pr,moduly_nie_pr,0)),ko_uoe),0)</f>
        <v>0</v>
      </c>
      <c r="F120" s="33" cm="1">
        <f t="array" ref="F120">IF(F$66&lt;=Koniec,SUMPRODUCT(ISNUMBER(MATCH(mod_ko_uoe,$B$77,0))*('Koszty operacyjne'!$K$114:$X$114=Moduły!F$77)*ISNUMBER(MATCH(ko_uoe_pr,moduly_nie_pr,0)),ko_uoe),0)</f>
        <v>0</v>
      </c>
      <c r="G120" s="33" cm="1">
        <f t="array" ref="G120">IF(G$66&lt;=Koniec,SUMPRODUCT(ISNUMBER(MATCH(mod_ko_uoe,$B$77,0))*('Koszty operacyjne'!$K$114:$X$114=Moduły!G$77)*ISNUMBER(MATCH(ko_uoe_pr,moduly_nie_pr,0)),ko_uoe),0)</f>
        <v>0</v>
      </c>
      <c r="H120" s="33" cm="1">
        <f t="array" ref="H120">IF(H$66&lt;=Koniec,SUMPRODUCT(ISNUMBER(MATCH(mod_ko_uoe,$B$77,0))*('Koszty operacyjne'!$K$114:$X$114=Moduły!H$77)*ISNUMBER(MATCH(ko_uoe_pr,moduly_nie_pr,0)),ko_uoe),0)</f>
        <v>0</v>
      </c>
      <c r="I120" s="33" cm="1">
        <f t="array" ref="I120">IF(I$66&lt;=Koniec,SUMPRODUCT(ISNUMBER(MATCH(mod_ko_uoe,$B$77,0))*('Koszty operacyjne'!$K$114:$X$114=Moduły!I$77)*ISNUMBER(MATCH(ko_uoe_pr,moduly_nie_pr,0)),ko_uoe),0)</f>
        <v>0</v>
      </c>
      <c r="J120" s="33" cm="1">
        <f t="array" ref="J120">IF(J$66&lt;=Koniec,SUMPRODUCT(ISNUMBER(MATCH(mod_ko_uoe,$B$77,0))*('Koszty operacyjne'!$K$114:$X$114=Moduły!J$77)*ISNUMBER(MATCH(ko_uoe_pr,moduly_nie_pr,0)),ko_uoe),0)</f>
        <v>0</v>
      </c>
      <c r="K120" s="33" cm="1">
        <f t="array" ref="K120">IF(K$66&lt;=Koniec,SUMPRODUCT(ISNUMBER(MATCH(mod_ko_uoe,$B$77,0))*('Koszty operacyjne'!$K$114:$X$114=Moduły!K$77)*ISNUMBER(MATCH(ko_uoe_pr,moduly_nie_pr,0)),ko_uoe),0)</f>
        <v>0</v>
      </c>
      <c r="L120" s="33" cm="1">
        <f t="array" ref="L120">IF(L$66&lt;=Koniec,SUMPRODUCT(ISNUMBER(MATCH(mod_ko_uoe,$B$77,0))*('Koszty operacyjne'!$K$114:$X$114=Moduły!L$77)*ISNUMBER(MATCH(ko_uoe_pr,moduly_nie_pr,0)),ko_uoe),0)</f>
        <v>0</v>
      </c>
      <c r="M120" s="33" cm="1">
        <f t="array" ref="M120">IF(M$66&lt;=Koniec,SUMPRODUCT(ISNUMBER(MATCH(mod_ko_uoe,$B$77,0))*('Koszty operacyjne'!$K$114:$X$114=Moduły!M$77)*ISNUMBER(MATCH(ko_uoe_pr,moduly_nie_pr,0)),ko_uoe),0)</f>
        <v>0</v>
      </c>
      <c r="N120" s="33" cm="1">
        <f t="array" ref="N120">IF(N$66&lt;=Koniec,SUMPRODUCT(ISNUMBER(MATCH(mod_ko_uoe,$B$77,0))*('Koszty operacyjne'!$K$114:$X$114=Moduły!N$77)*ISNUMBER(MATCH(ko_uoe_pr,moduly_nie_pr,0)),ko_uoe),0)</f>
        <v>0</v>
      </c>
      <c r="O120" s="33" cm="1">
        <f t="array" ref="O120">IF(O$66&lt;=Koniec,SUMPRODUCT(ISNUMBER(MATCH(mod_ko_uoe,$B$77,0))*('Koszty operacyjne'!$K$114:$X$114=Moduły!O$77)*ISNUMBER(MATCH(ko_uoe_pr,moduly_nie_pr,0)),ko_uoe),0)</f>
        <v>0</v>
      </c>
      <c r="P120" s="33" cm="1">
        <f t="array" ref="P120">IF(P$66&lt;=Koniec,SUMPRODUCT(ISNUMBER(MATCH(mod_ko_uoe,$B$77,0))*('Koszty operacyjne'!$K$114:$X$114=Moduły!P$77)*ISNUMBER(MATCH(ko_uoe_pr,moduly_nie_pr,0)),ko_uoe),0)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778</v>
      </c>
      <c r="C121" s="33" cm="1">
        <f t="array" ref="C121">IF(C$66&lt;=Koniec,SUMPRODUCT(ISNUMBER(MATCH(mod_ko_pio,$B$77,0))*('Koszty operacyjne'!$K$114:$X$114=Moduły!C$77)*ISNUMBER(MATCH(ko_pio_pr,moduly_nie_pr,0)),ko_pio),0)</f>
        <v>0</v>
      </c>
      <c r="D121" s="33" cm="1">
        <f t="array" ref="D121">IF(D$66&lt;=Koniec,SUMPRODUCT(ISNUMBER(MATCH(mod_ko_pio,$B$77,0))*('Koszty operacyjne'!$K$114:$X$114=Moduły!D$77)*ISNUMBER(MATCH(ko_pio_pr,moduly_nie_pr,0)),ko_pio),0)</f>
        <v>0</v>
      </c>
      <c r="E121" s="33" cm="1">
        <f t="array" ref="E121">IF(E$66&lt;=Koniec,SUMPRODUCT(ISNUMBER(MATCH(mod_ko_pio,$B$77,0))*('Koszty operacyjne'!$K$114:$X$114=Moduły!E$77)*ISNUMBER(MATCH(ko_pio_pr,moduly_nie_pr,0)),ko_pio),0)</f>
        <v>0</v>
      </c>
      <c r="F121" s="33" cm="1">
        <f t="array" ref="F121">IF(F$66&lt;=Koniec,SUMPRODUCT(ISNUMBER(MATCH(mod_ko_pio,$B$77,0))*('Koszty operacyjne'!$K$114:$X$114=Moduły!F$77)*ISNUMBER(MATCH(ko_pio_pr,moduly_nie_pr,0)),ko_pio),0)</f>
        <v>0</v>
      </c>
      <c r="G121" s="33" cm="1">
        <f t="array" ref="G121">IF(G$66&lt;=Koniec,SUMPRODUCT(ISNUMBER(MATCH(mod_ko_pio,$B$77,0))*('Koszty operacyjne'!$K$114:$X$114=Moduły!G$77)*ISNUMBER(MATCH(ko_pio_pr,moduly_nie_pr,0)),ko_pio),0)</f>
        <v>0</v>
      </c>
      <c r="H121" s="33" cm="1">
        <f t="array" ref="H121">IF(H$66&lt;=Koniec,SUMPRODUCT(ISNUMBER(MATCH(mod_ko_pio,$B$77,0))*('Koszty operacyjne'!$K$114:$X$114=Moduły!H$77)*ISNUMBER(MATCH(ko_pio_pr,moduly_nie_pr,0)),ko_pio),0)</f>
        <v>0</v>
      </c>
      <c r="I121" s="33" cm="1">
        <f t="array" ref="I121">IF(I$66&lt;=Koniec,SUMPRODUCT(ISNUMBER(MATCH(mod_ko_pio,$B$77,0))*('Koszty operacyjne'!$K$114:$X$114=Moduły!I$77)*ISNUMBER(MATCH(ko_pio_pr,moduly_nie_pr,0)),ko_pio),0)</f>
        <v>0</v>
      </c>
      <c r="J121" s="33" cm="1">
        <f t="array" ref="J121">IF(J$66&lt;=Koniec,SUMPRODUCT(ISNUMBER(MATCH(mod_ko_pio,$B$77,0))*('Koszty operacyjne'!$K$114:$X$114=Moduły!J$77)*ISNUMBER(MATCH(ko_pio_pr,moduly_nie_pr,0)),ko_pio),0)</f>
        <v>0</v>
      </c>
      <c r="K121" s="33" cm="1">
        <f t="array" ref="K121">IF(K$66&lt;=Koniec,SUMPRODUCT(ISNUMBER(MATCH(mod_ko_pio,$B$77,0))*('Koszty operacyjne'!$K$114:$X$114=Moduły!K$77)*ISNUMBER(MATCH(ko_pio_pr,moduly_nie_pr,0)),ko_pio),0)</f>
        <v>0</v>
      </c>
      <c r="L121" s="33" cm="1">
        <f t="array" ref="L121">IF(L$66&lt;=Koniec,SUMPRODUCT(ISNUMBER(MATCH(mod_ko_pio,$B$77,0))*('Koszty operacyjne'!$K$114:$X$114=Moduły!L$77)*ISNUMBER(MATCH(ko_pio_pr,moduly_nie_pr,0)),ko_pio),0)</f>
        <v>0</v>
      </c>
      <c r="M121" s="33" cm="1">
        <f t="array" ref="M121">IF(M$66&lt;=Koniec,SUMPRODUCT(ISNUMBER(MATCH(mod_ko_pio,$B$77,0))*('Koszty operacyjne'!$K$114:$X$114=Moduły!M$77)*ISNUMBER(MATCH(ko_pio_pr,moduly_nie_pr,0)),ko_pio),0)</f>
        <v>0</v>
      </c>
      <c r="N121" s="33" cm="1">
        <f t="array" ref="N121">IF(N$66&lt;=Koniec,SUMPRODUCT(ISNUMBER(MATCH(mod_ko_pio,$B$77,0))*('Koszty operacyjne'!$K$114:$X$114=Moduły!N$77)*ISNUMBER(MATCH(ko_pio_pr,moduly_nie_pr,0)),ko_pio),0)</f>
        <v>0</v>
      </c>
      <c r="O121" s="33" cm="1">
        <f t="array" ref="O121">IF(O$66&lt;=Koniec,SUMPRODUCT(ISNUMBER(MATCH(mod_ko_pio,$B$77,0))*('Koszty operacyjne'!$K$114:$X$114=Moduły!O$77)*ISNUMBER(MATCH(ko_pio_pr,moduly_nie_pr,0)),ko_pio),0)</f>
        <v>0</v>
      </c>
      <c r="P121" s="33" cm="1">
        <f t="array" ref="P121">IF(P$66&lt;=Koniec,SUMPRODUCT(ISNUMBER(MATCH(mod_ko_pio,$B$77,0))*('Koszty operacyjne'!$K$114:$X$114=Moduły!P$77)*ISNUMBER(MATCH(ko_pio_pr,moduly_nie_pr,0)),ko_pio),0)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109</v>
      </c>
      <c r="C122" s="33" cm="1">
        <f t="array" ref="C122">IF(C$66&lt;=Koniec,SUMPRODUCT(ISNUMBER(MATCH(mod_ko_wyn,$B$77,0))*('Koszty operacyjne'!$K$114:$X$114=Moduły!C$77)*ISNUMBER(MATCH(ko_wyn_pr,moduly_nie_pr,0)),ko_wyn),0)</f>
        <v>0</v>
      </c>
      <c r="D122" s="33" cm="1">
        <f t="array" ref="D122">IF(D$66&lt;=Koniec,SUMPRODUCT(ISNUMBER(MATCH(mod_ko_wyn,$B$77,0))*('Koszty operacyjne'!$K$114:$X$114=Moduły!D$77)*ISNUMBER(MATCH(ko_wyn_pr,moduly_nie_pr,0)),ko_wyn),0)</f>
        <v>0</v>
      </c>
      <c r="E122" s="33" cm="1">
        <f t="array" ref="E122">IF(E$66&lt;=Koniec,SUMPRODUCT(ISNUMBER(MATCH(mod_ko_wyn,$B$77,0))*('Koszty operacyjne'!$K$114:$X$114=Moduły!E$77)*ISNUMBER(MATCH(ko_wyn_pr,moduly_nie_pr,0)),ko_wyn),0)</f>
        <v>0</v>
      </c>
      <c r="F122" s="33" cm="1">
        <f t="array" ref="F122">IF(F$66&lt;=Koniec,SUMPRODUCT(ISNUMBER(MATCH(mod_ko_wyn,$B$77,0))*('Koszty operacyjne'!$K$114:$X$114=Moduły!F$77)*ISNUMBER(MATCH(ko_wyn_pr,moduly_nie_pr,0)),ko_wyn),0)</f>
        <v>0</v>
      </c>
      <c r="G122" s="33" cm="1">
        <f t="array" ref="G122">IF(G$66&lt;=Koniec,SUMPRODUCT(ISNUMBER(MATCH(mod_ko_wyn,$B$77,0))*('Koszty operacyjne'!$K$114:$X$114=Moduły!G$77)*ISNUMBER(MATCH(ko_wyn_pr,moduly_nie_pr,0)),ko_wyn),0)</f>
        <v>0</v>
      </c>
      <c r="H122" s="33" cm="1">
        <f t="array" ref="H122">IF(H$66&lt;=Koniec,SUMPRODUCT(ISNUMBER(MATCH(mod_ko_wyn,$B$77,0))*('Koszty operacyjne'!$K$114:$X$114=Moduły!H$77)*ISNUMBER(MATCH(ko_wyn_pr,moduly_nie_pr,0)),ko_wyn),0)</f>
        <v>0</v>
      </c>
      <c r="I122" s="33" cm="1">
        <f t="array" ref="I122">IF(I$66&lt;=Koniec,SUMPRODUCT(ISNUMBER(MATCH(mod_ko_wyn,$B$77,0))*('Koszty operacyjne'!$K$114:$X$114=Moduły!I$77)*ISNUMBER(MATCH(ko_wyn_pr,moduly_nie_pr,0)),ko_wyn),0)</f>
        <v>0</v>
      </c>
      <c r="J122" s="33" cm="1">
        <f t="array" ref="J122">IF(J$66&lt;=Koniec,SUMPRODUCT(ISNUMBER(MATCH(mod_ko_wyn,$B$77,0))*('Koszty operacyjne'!$K$114:$X$114=Moduły!J$77)*ISNUMBER(MATCH(ko_wyn_pr,moduly_nie_pr,0)),ko_wyn),0)</f>
        <v>0</v>
      </c>
      <c r="K122" s="33" cm="1">
        <f t="array" ref="K122">IF(K$66&lt;=Koniec,SUMPRODUCT(ISNUMBER(MATCH(mod_ko_wyn,$B$77,0))*('Koszty operacyjne'!$K$114:$X$114=Moduły!K$77)*ISNUMBER(MATCH(ko_wyn_pr,moduly_nie_pr,0)),ko_wyn),0)</f>
        <v>0</v>
      </c>
      <c r="L122" s="33" cm="1">
        <f t="array" ref="L122">IF(L$66&lt;=Koniec,SUMPRODUCT(ISNUMBER(MATCH(mod_ko_wyn,$B$77,0))*('Koszty operacyjne'!$K$114:$X$114=Moduły!L$77)*ISNUMBER(MATCH(ko_wyn_pr,moduly_nie_pr,0)),ko_wyn),0)</f>
        <v>0</v>
      </c>
      <c r="M122" s="33" cm="1">
        <f t="array" ref="M122">IF(M$66&lt;=Koniec,SUMPRODUCT(ISNUMBER(MATCH(mod_ko_wyn,$B$77,0))*('Koszty operacyjne'!$K$114:$X$114=Moduły!M$77)*ISNUMBER(MATCH(ko_wyn_pr,moduly_nie_pr,0)),ko_wyn),0)</f>
        <v>0</v>
      </c>
      <c r="N122" s="33" cm="1">
        <f t="array" ref="N122">IF(N$66&lt;=Koniec,SUMPRODUCT(ISNUMBER(MATCH(mod_ko_wyn,$B$77,0))*('Koszty operacyjne'!$K$114:$X$114=Moduły!N$77)*ISNUMBER(MATCH(ko_wyn_pr,moduly_nie_pr,0)),ko_wyn),0)</f>
        <v>0</v>
      </c>
      <c r="O122" s="33" cm="1">
        <f t="array" ref="O122">IF(O$66&lt;=Koniec,SUMPRODUCT(ISNUMBER(MATCH(mod_ko_wyn,$B$77,0))*('Koszty operacyjne'!$K$114:$X$114=Moduły!O$77)*ISNUMBER(MATCH(ko_wyn_pr,moduly_nie_pr,0)),ko_wyn),0)</f>
        <v>0</v>
      </c>
      <c r="P122" s="33" cm="1">
        <f t="array" ref="P122">IF(P$66&lt;=Koniec,SUMPRODUCT(ISNUMBER(MATCH(mod_ko_wyn,$B$77,0))*('Koszty operacyjne'!$K$114:$X$114=Moduły!P$77)*ISNUMBER(MATCH(ko_wyn_pr,moduly_nie_pr,0)),ko_wyn),0)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110</v>
      </c>
      <c r="C123" s="33" cm="1">
        <f t="array" ref="C123">IF(C$66&lt;=Koniec,SUMPRODUCT(ISNUMBER(MATCH(mod_ko_zus,$B$77,0))*('Koszty operacyjne'!$K$114:$X$114=Moduły!C$77)*ISNUMBER(MATCH(ko_zus_pr,moduly_nie_pr,0)),ko_zus),0)</f>
        <v>0</v>
      </c>
      <c r="D123" s="33" cm="1">
        <f t="array" ref="D123">IF(D$66&lt;=Koniec,SUMPRODUCT(ISNUMBER(MATCH(mod_ko_zus,$B$77,0))*('Koszty operacyjne'!$K$114:$X$114=Moduły!D$77)*ISNUMBER(MATCH(ko_zus_pr,moduly_nie_pr,0)),ko_zus),0)</f>
        <v>0</v>
      </c>
      <c r="E123" s="33" cm="1">
        <f t="array" ref="E123">IF(E$66&lt;=Koniec,SUMPRODUCT(ISNUMBER(MATCH(mod_ko_zus,$B$77,0))*('Koszty operacyjne'!$K$114:$X$114=Moduły!E$77)*ISNUMBER(MATCH(ko_zus_pr,moduly_nie_pr,0)),ko_zus),0)</f>
        <v>0</v>
      </c>
      <c r="F123" s="33" cm="1">
        <f t="array" ref="F123">IF(F$66&lt;=Koniec,SUMPRODUCT(ISNUMBER(MATCH(mod_ko_zus,$B$77,0))*('Koszty operacyjne'!$K$114:$X$114=Moduły!F$77)*ISNUMBER(MATCH(ko_zus_pr,moduly_nie_pr,0)),ko_zus),0)</f>
        <v>0</v>
      </c>
      <c r="G123" s="33" cm="1">
        <f t="array" ref="G123">IF(G$66&lt;=Koniec,SUMPRODUCT(ISNUMBER(MATCH(mod_ko_zus,$B$77,0))*('Koszty operacyjne'!$K$114:$X$114=Moduły!G$77)*ISNUMBER(MATCH(ko_zus_pr,moduly_nie_pr,0)),ko_zus),0)</f>
        <v>0</v>
      </c>
      <c r="H123" s="33" cm="1">
        <f t="array" ref="H123">IF(H$66&lt;=Koniec,SUMPRODUCT(ISNUMBER(MATCH(mod_ko_zus,$B$77,0))*('Koszty operacyjne'!$K$114:$X$114=Moduły!H$77)*ISNUMBER(MATCH(ko_zus_pr,moduly_nie_pr,0)),ko_zus),0)</f>
        <v>0</v>
      </c>
      <c r="I123" s="33" cm="1">
        <f t="array" ref="I123">IF(I$66&lt;=Koniec,SUMPRODUCT(ISNUMBER(MATCH(mod_ko_zus,$B$77,0))*('Koszty operacyjne'!$K$114:$X$114=Moduły!I$77)*ISNUMBER(MATCH(ko_zus_pr,moduly_nie_pr,0)),ko_zus),0)</f>
        <v>0</v>
      </c>
      <c r="J123" s="33" cm="1">
        <f t="array" ref="J123">IF(J$66&lt;=Koniec,SUMPRODUCT(ISNUMBER(MATCH(mod_ko_zus,$B$77,0))*('Koszty operacyjne'!$K$114:$X$114=Moduły!J$77)*ISNUMBER(MATCH(ko_zus_pr,moduly_nie_pr,0)),ko_zus),0)</f>
        <v>0</v>
      </c>
      <c r="K123" s="33" cm="1">
        <f t="array" ref="K123">IF(K$66&lt;=Koniec,SUMPRODUCT(ISNUMBER(MATCH(mod_ko_zus,$B$77,0))*('Koszty operacyjne'!$K$114:$X$114=Moduły!K$77)*ISNUMBER(MATCH(ko_zus_pr,moduly_nie_pr,0)),ko_zus),0)</f>
        <v>0</v>
      </c>
      <c r="L123" s="33" cm="1">
        <f t="array" ref="L123">IF(L$66&lt;=Koniec,SUMPRODUCT(ISNUMBER(MATCH(mod_ko_zus,$B$77,0))*('Koszty operacyjne'!$K$114:$X$114=Moduły!L$77)*ISNUMBER(MATCH(ko_zus_pr,moduly_nie_pr,0)),ko_zus),0)</f>
        <v>0</v>
      </c>
      <c r="M123" s="33" cm="1">
        <f t="array" ref="M123">IF(M$66&lt;=Koniec,SUMPRODUCT(ISNUMBER(MATCH(mod_ko_zus,$B$77,0))*('Koszty operacyjne'!$K$114:$X$114=Moduły!M$77)*ISNUMBER(MATCH(ko_zus_pr,moduly_nie_pr,0)),ko_zus),0)</f>
        <v>0</v>
      </c>
      <c r="N123" s="33" cm="1">
        <f t="array" ref="N123">IF(N$66&lt;=Koniec,SUMPRODUCT(ISNUMBER(MATCH(mod_ko_zus,$B$77,0))*('Koszty operacyjne'!$K$114:$X$114=Moduły!N$77)*ISNUMBER(MATCH(ko_zus_pr,moduly_nie_pr,0)),ko_zus),0)</f>
        <v>0</v>
      </c>
      <c r="O123" s="33" cm="1">
        <f t="array" ref="O123">IF(O$66&lt;=Koniec,SUMPRODUCT(ISNUMBER(MATCH(mod_ko_zus,$B$77,0))*('Koszty operacyjne'!$K$114:$X$114=Moduły!O$77)*ISNUMBER(MATCH(ko_zus_pr,moduly_nie_pr,0)),ko_zus),0)</f>
        <v>0</v>
      </c>
      <c r="P123" s="33" cm="1">
        <f t="array" ref="P123">IF(P$66&lt;=Koniec,SUMPRODUCT(ISNUMBER(MATCH(mod_ko_zus,$B$77,0))*('Koszty operacyjne'!$K$114:$X$114=Moduły!P$77)*ISNUMBER(MATCH(ko_zus_pr,moduly_nie_pr,0)),ko_zus),0)</f>
        <v>0</v>
      </c>
    </row>
    <row r="124" spans="2:25">
      <c r="B124" s="37" t="s">
        <v>111</v>
      </c>
      <c r="C124" s="33" cm="1">
        <f t="array" ref="C124">IF(C$66&lt;=Koniec,SUMPRODUCT(ISNUMBER(MATCH(mod_ko_pkr,$B$77,0))*('Koszty operacyjne'!$K$114:$X$114=Moduły!C$77)*ISNUMBER(MATCH(ko_pkr_pr,moduly_nie_pr,0)),ko_pkr),0)</f>
        <v>0</v>
      </c>
      <c r="D124" s="33" cm="1">
        <f t="array" ref="D124">IF(D$66&lt;=Koniec,SUMPRODUCT(ISNUMBER(MATCH(mod_ko_pkr,$B$77,0))*('Koszty operacyjne'!$K$114:$X$114=Moduły!D$77)*ISNUMBER(MATCH(ko_pkr_pr,moduly_nie_pr,0)),ko_pkr),0)</f>
        <v>0</v>
      </c>
      <c r="E124" s="33" cm="1">
        <f t="array" ref="E124">IF(E$66&lt;=Koniec,SUMPRODUCT(ISNUMBER(MATCH(mod_ko_pkr,$B$77,0))*('Koszty operacyjne'!$K$114:$X$114=Moduły!E$77)*ISNUMBER(MATCH(ko_pkr_pr,moduly_nie_pr,0)),ko_pkr),0)</f>
        <v>0</v>
      </c>
      <c r="F124" s="33" cm="1">
        <f t="array" ref="F124">IF(F$66&lt;=Koniec,SUMPRODUCT(ISNUMBER(MATCH(mod_ko_pkr,$B$77,0))*('Koszty operacyjne'!$K$114:$X$114=Moduły!F$77)*ISNUMBER(MATCH(ko_pkr_pr,moduly_nie_pr,0)),ko_pkr),0)</f>
        <v>0</v>
      </c>
      <c r="G124" s="33" cm="1">
        <f t="array" ref="G124">IF(G$66&lt;=Koniec,SUMPRODUCT(ISNUMBER(MATCH(mod_ko_pkr,$B$77,0))*('Koszty operacyjne'!$K$114:$X$114=Moduły!G$77)*ISNUMBER(MATCH(ko_pkr_pr,moduly_nie_pr,0)),ko_pkr),0)</f>
        <v>0</v>
      </c>
      <c r="H124" s="33" cm="1">
        <f t="array" ref="H124">IF(H$66&lt;=Koniec,SUMPRODUCT(ISNUMBER(MATCH(mod_ko_pkr,$B$77,0))*('Koszty operacyjne'!$K$114:$X$114=Moduły!H$77)*ISNUMBER(MATCH(ko_pkr_pr,moduly_nie_pr,0)),ko_pkr),0)</f>
        <v>0</v>
      </c>
      <c r="I124" s="33" cm="1">
        <f t="array" ref="I124">IF(I$66&lt;=Koniec,SUMPRODUCT(ISNUMBER(MATCH(mod_ko_pkr,$B$77,0))*('Koszty operacyjne'!$K$114:$X$114=Moduły!I$77)*ISNUMBER(MATCH(ko_pkr_pr,moduly_nie_pr,0)),ko_pkr),0)</f>
        <v>0</v>
      </c>
      <c r="J124" s="33" cm="1">
        <f t="array" ref="J124">IF(J$66&lt;=Koniec,SUMPRODUCT(ISNUMBER(MATCH(mod_ko_pkr,$B$77,0))*('Koszty operacyjne'!$K$114:$X$114=Moduły!J$77)*ISNUMBER(MATCH(ko_pkr_pr,moduly_nie_pr,0)),ko_pkr),0)</f>
        <v>0</v>
      </c>
      <c r="K124" s="33" cm="1">
        <f t="array" ref="K124">IF(K$66&lt;=Koniec,SUMPRODUCT(ISNUMBER(MATCH(mod_ko_pkr,$B$77,0))*('Koszty operacyjne'!$K$114:$X$114=Moduły!K$77)*ISNUMBER(MATCH(ko_pkr_pr,moduly_nie_pr,0)),ko_pkr),0)</f>
        <v>0</v>
      </c>
      <c r="L124" s="33" cm="1">
        <f t="array" ref="L124">IF(L$66&lt;=Koniec,SUMPRODUCT(ISNUMBER(MATCH(mod_ko_pkr,$B$77,0))*('Koszty operacyjne'!$K$114:$X$114=Moduły!L$77)*ISNUMBER(MATCH(ko_pkr_pr,moduly_nie_pr,0)),ko_pkr),0)</f>
        <v>0</v>
      </c>
      <c r="M124" s="33" cm="1">
        <f t="array" ref="M124">IF(M$66&lt;=Koniec,SUMPRODUCT(ISNUMBER(MATCH(mod_ko_pkr,$B$77,0))*('Koszty operacyjne'!$K$114:$X$114=Moduły!M$77)*ISNUMBER(MATCH(ko_pkr_pr,moduly_nie_pr,0)),ko_pkr),0)</f>
        <v>0</v>
      </c>
      <c r="N124" s="33" cm="1">
        <f t="array" ref="N124">IF(N$66&lt;=Koniec,SUMPRODUCT(ISNUMBER(MATCH(mod_ko_pkr,$B$77,0))*('Koszty operacyjne'!$K$114:$X$114=Moduły!N$77)*ISNUMBER(MATCH(ko_pkr_pr,moduly_nie_pr,0)),ko_pkr),0)</f>
        <v>0</v>
      </c>
      <c r="O124" s="33" cm="1">
        <f t="array" ref="O124">IF(O$66&lt;=Koniec,SUMPRODUCT(ISNUMBER(MATCH(mod_ko_pkr,$B$77,0))*('Koszty operacyjne'!$K$114:$X$114=Moduły!O$77)*ISNUMBER(MATCH(ko_pkr_pr,moduly_nie_pr,0)),ko_pkr),0)</f>
        <v>0</v>
      </c>
      <c r="P124" s="33" cm="1">
        <f t="array" ref="P124">IF(P$66&lt;=Koniec,SUMPRODUCT(ISNUMBER(MATCH(mod_ko_pkr,$B$77,0))*('Koszty operacyjne'!$K$114:$X$114=Moduły!P$77)*ISNUMBER(MATCH(ko_pkr_pr,moduly_nie_pr,0)),ko_pkr),0)</f>
        <v>0</v>
      </c>
    </row>
    <row r="125" spans="2:25">
      <c r="B125" s="37" t="s">
        <v>112</v>
      </c>
      <c r="C125" s="33" cm="1">
        <f t="array" ref="C125">IF(C$66&lt;=Koniec,SUMPRODUCT(ISNUMBER(MATCH(mod_pp_ptim_wstim,$B$77,0))*('Koszty operacyjne'!$K$114:$X$114=Moduły!C$77),pp_ptim_wstim),0)</f>
        <v>0</v>
      </c>
      <c r="D125" s="33" cm="1">
        <f t="array" ref="D125">IF(D$66&lt;=Koniec,SUMPRODUCT(ISNUMBER(MATCH(mod_pp_ptim_wstim,$B$77,0))*('Koszty operacyjne'!$K$114:$X$114=Moduły!D$77),pp_ptim_wstim),0)</f>
        <v>0</v>
      </c>
      <c r="E125" s="33" cm="1">
        <f t="array" ref="E125">IF(E$66&lt;=Koniec,SUMPRODUCT(ISNUMBER(MATCH(mod_pp_ptim_wstim,$B$77,0))*('Koszty operacyjne'!$K$114:$X$114=Moduły!E$77),pp_ptim_wstim),0)</f>
        <v>0</v>
      </c>
      <c r="F125" s="33" cm="1">
        <f t="array" ref="F125">IF(F$66&lt;=Koniec,SUMPRODUCT(ISNUMBER(MATCH(mod_pp_ptim_wstim,$B$77,0))*('Koszty operacyjne'!$K$114:$X$114=Moduły!F$77),pp_ptim_wstim),0)</f>
        <v>0</v>
      </c>
      <c r="G125" s="33" cm="1">
        <f t="array" ref="G125">IF(G$66&lt;=Koniec,SUMPRODUCT(ISNUMBER(MATCH(mod_pp_ptim_wstim,$B$77,0))*('Koszty operacyjne'!$K$114:$X$114=Moduły!G$77),pp_ptim_wstim),0)</f>
        <v>0</v>
      </c>
      <c r="H125" s="33" cm="1">
        <f t="array" ref="H125">IF(H$66&lt;=Koniec,SUMPRODUCT(ISNUMBER(MATCH(mod_pp_ptim_wstim,$B$77,0))*('Koszty operacyjne'!$K$114:$X$114=Moduły!H$77),pp_ptim_wstim),0)</f>
        <v>0</v>
      </c>
      <c r="I125" s="33" cm="1">
        <f t="array" ref="I125">IF(I$66&lt;=Koniec,SUMPRODUCT(ISNUMBER(MATCH(mod_pp_ptim_wstim,$B$77,0))*('Koszty operacyjne'!$K$114:$X$114=Moduły!I$77),pp_ptim_wstim),0)</f>
        <v>0</v>
      </c>
      <c r="J125" s="33" cm="1">
        <f t="array" ref="J125">IF(J$66&lt;=Koniec,SUMPRODUCT(ISNUMBER(MATCH(mod_pp_ptim_wstim,$B$77,0))*('Koszty operacyjne'!$K$114:$X$114=Moduły!J$77),pp_ptim_wstim),0)</f>
        <v>0</v>
      </c>
      <c r="K125" s="33" cm="1">
        <f t="array" ref="K125">IF(K$66&lt;=Koniec,SUMPRODUCT(ISNUMBER(MATCH(mod_pp_ptim_wstim,$B$77,0))*('Koszty operacyjne'!$K$114:$X$114=Moduły!K$77),pp_ptim_wstim),0)</f>
        <v>0</v>
      </c>
      <c r="L125" s="33" cm="1">
        <f t="array" ref="L125">IF(L$66&lt;=Koniec,SUMPRODUCT(ISNUMBER(MATCH(mod_pp_ptim_wstim,$B$77,0))*('Koszty operacyjne'!$K$114:$X$114=Moduły!L$77),pp_ptim_wstim),0)</f>
        <v>0</v>
      </c>
      <c r="M125" s="33" cm="1">
        <f t="array" ref="M125">IF(M$66&lt;=Koniec,SUMPRODUCT(ISNUMBER(MATCH(mod_pp_ptim_wstim,$B$77,0))*('Koszty operacyjne'!$K$114:$X$114=Moduły!M$77),pp_ptim_wstim),0)</f>
        <v>0</v>
      </c>
      <c r="N125" s="33" cm="1">
        <f t="array" ref="N125">IF(N$66&lt;=Koniec,SUMPRODUCT(ISNUMBER(MATCH(mod_pp_ptim_wstim,$B$77,0))*('Koszty operacyjne'!$K$114:$X$114=Moduły!N$77),pp_ptim_wstim),0)</f>
        <v>0</v>
      </c>
      <c r="O125" s="33" cm="1">
        <f t="array" ref="O125">IF(O$66&lt;=Koniec,SUMPRODUCT(ISNUMBER(MATCH(mod_pp_ptim_wstim,$B$77,0))*('Koszty operacyjne'!$K$114:$X$114=Moduły!O$77),pp_ptim_wstim),0)</f>
        <v>0</v>
      </c>
      <c r="P125" s="33" cm="1">
        <f t="array" ref="P125">IF(P$66&lt;=Koniec,SUMPRODUCT(ISNUMBER(MATCH(mod_pp_ptim_wstim,$B$77,0))*('Koszty operacyjne'!$K$114:$X$114=Moduły!P$77),pp_ptim_wstim),0)</f>
        <v>0</v>
      </c>
    </row>
    <row r="126" spans="2:25"/>
    <row r="127" spans="2:25">
      <c r="B127" s="368" t="s">
        <v>762</v>
      </c>
      <c r="C127" s="475" t="str">
        <f>C77</f>
        <v>Uzupełnij dane</v>
      </c>
      <c r="D127" s="475" t="str">
        <f t="shared" ref="D127:P127" si="53">D77</f>
        <v/>
      </c>
      <c r="E127" s="475" t="str">
        <f t="shared" si="53"/>
        <v/>
      </c>
      <c r="F127" s="475" t="str">
        <f t="shared" si="53"/>
        <v/>
      </c>
      <c r="G127" s="475" t="str">
        <f t="shared" si="53"/>
        <v/>
      </c>
      <c r="H127" s="475" t="str">
        <f t="shared" si="53"/>
        <v/>
      </c>
      <c r="I127" s="475" t="str">
        <f t="shared" si="53"/>
        <v/>
      </c>
      <c r="J127" s="475" t="str">
        <f t="shared" si="53"/>
        <v/>
      </c>
      <c r="K127" s="475" t="str">
        <f t="shared" si="53"/>
        <v/>
      </c>
      <c r="L127" s="475" t="str">
        <f t="shared" si="53"/>
        <v/>
      </c>
      <c r="M127" s="475" t="str">
        <f t="shared" si="53"/>
        <v/>
      </c>
      <c r="N127" s="475" t="str">
        <f t="shared" si="53"/>
        <v/>
      </c>
      <c r="O127" s="475" t="str">
        <f t="shared" si="53"/>
        <v/>
      </c>
      <c r="P127" s="475" t="str">
        <f t="shared" si="53"/>
        <v/>
      </c>
    </row>
    <row r="128" spans="2:25" ht="3.9" customHeight="1">
      <c r="C128" s="5"/>
      <c r="D128" s="5"/>
      <c r="E128" s="5"/>
      <c r="F128" s="5"/>
      <c r="G128" s="5"/>
      <c r="H128" s="5"/>
      <c r="I128" s="5"/>
    </row>
    <row r="129" spans="2:16">
      <c r="B129" s="103" t="s">
        <v>689</v>
      </c>
      <c r="C129" s="536" cm="1">
        <f t="array" ref="C129">IFERROR('Rozliczenie dotacji'!K$1249+IF(C$66&lt;=Koniec,SUMPRODUCT(ISNUMBER(MATCH(mod_dot_st_wbudowie_npv,$B$77,0))*('Koszty operacyjne'!$K$114:$X$114=Moduły!C$77),mod_dot_st_wbudowie_npv_war),0),"sprawdź dane")</f>
        <v>0</v>
      </c>
      <c r="D129" s="536" cm="1">
        <f t="array" aca="1" ref="D129" ca="1">IFERROR('Rozliczenie dotacji'!L$1249+IF(D$66&lt;=Koniec,SUMPRODUCT(ISNUMBER(MATCH(mod_dot_st_wbudowie_npv,$B$77,0))*('Koszty operacyjne'!$K$114:$X$114=Moduły!D$77),mod_dot_st_wbudowie_npv_war),0),"sprawdź dane")</f>
        <v>0</v>
      </c>
      <c r="E129" s="536" cm="1">
        <f t="array" aca="1" ref="E129" ca="1">IFERROR('Rozliczenie dotacji'!M$1249+IF(E$66&lt;=Koniec,SUMPRODUCT(ISNUMBER(MATCH(mod_dot_st_wbudowie_npv,$B$77,0))*('Koszty operacyjne'!$K$114:$X$114=Moduły!E$77),mod_dot_st_wbudowie_npv_war),0),"sprawdź dane")</f>
        <v>0</v>
      </c>
      <c r="F129" s="536" cm="1">
        <f t="array" aca="1" ref="F129" ca="1">IFERROR('Rozliczenie dotacji'!N$1249+IF(F$66&lt;=Koniec,SUMPRODUCT(ISNUMBER(MATCH(mod_dot_st_wbudowie_npv,$B$77,0))*('Koszty operacyjne'!$K$114:$X$114=Moduły!F$77),mod_dot_st_wbudowie_npv_war),0),"sprawdź dane")</f>
        <v>0</v>
      </c>
      <c r="G129" s="536" cm="1">
        <f t="array" aca="1" ref="G129" ca="1">IFERROR('Rozliczenie dotacji'!O$1249+IF(G$66&lt;=Koniec,SUMPRODUCT(ISNUMBER(MATCH(mod_dot_st_wbudowie_npv,$B$77,0))*('Koszty operacyjne'!$K$114:$X$114=Moduły!G$77),mod_dot_st_wbudowie_npv_war),0),"sprawdź dane")</f>
        <v>0</v>
      </c>
      <c r="H129" s="536" cm="1">
        <f t="array" aca="1" ref="H129" ca="1">IFERROR('Rozliczenie dotacji'!P$1249+IF(H$66&lt;=Koniec,SUMPRODUCT(ISNUMBER(MATCH(mod_dot_st_wbudowie_npv,$B$77,0))*('Koszty operacyjne'!$K$114:$X$114=Moduły!H$77),mod_dot_st_wbudowie_npv_war),0),"sprawdź dane")</f>
        <v>0</v>
      </c>
      <c r="I129" s="536" cm="1">
        <f t="array" aca="1" ref="I129" ca="1">IFERROR('Rozliczenie dotacji'!Q$1249+IF(I$66&lt;=Koniec,SUMPRODUCT(ISNUMBER(MATCH(mod_dot_st_wbudowie_npv,$B$77,0))*('Koszty operacyjne'!$K$114:$X$114=Moduły!I$77),mod_dot_st_wbudowie_npv_war),0),"sprawdź dane")</f>
        <v>0</v>
      </c>
      <c r="J129" s="536" cm="1">
        <f t="array" aca="1" ref="J129" ca="1">IFERROR('Rozliczenie dotacji'!R$1249+IF(J$66&lt;=Koniec,SUMPRODUCT(ISNUMBER(MATCH(mod_dot_st_wbudowie_npv,$B$77,0))*('Koszty operacyjne'!$K$114:$X$114=Moduły!J$77),mod_dot_st_wbudowie_npv_war),0),"sprawdź dane")</f>
        <v>0</v>
      </c>
      <c r="K129" s="536" cm="1">
        <f t="array" aca="1" ref="K129" ca="1">IFERROR('Rozliczenie dotacji'!S$1249+IF(K$66&lt;=Koniec,SUMPRODUCT(ISNUMBER(MATCH(mod_dot_st_wbudowie_npv,$B$77,0))*('Koszty operacyjne'!$K$114:$X$114=Moduły!K$77),mod_dot_st_wbudowie_npv_war),0),"sprawdź dane")</f>
        <v>0</v>
      </c>
      <c r="L129" s="536" cm="1">
        <f t="array" aca="1" ref="L129" ca="1">IFERROR('Rozliczenie dotacji'!T$1249+IF(L$66&lt;=Koniec,SUMPRODUCT(ISNUMBER(MATCH(mod_dot_st_wbudowie_npv,$B$77,0))*('Koszty operacyjne'!$K$114:$X$114=Moduły!L$77),mod_dot_st_wbudowie_npv_war),0),"sprawdź dane")</f>
        <v>0</v>
      </c>
      <c r="M129" s="536" cm="1">
        <f t="array" aca="1" ref="M129" ca="1">IFERROR('Rozliczenie dotacji'!U$1249+IF(M$66&lt;=Koniec,SUMPRODUCT(ISNUMBER(MATCH(mod_dot_st_wbudowie_npv,$B$77,0))*('Koszty operacyjne'!$K$114:$X$114=Moduły!M$77),mod_dot_st_wbudowie_npv_war),0),"sprawdź dane")</f>
        <v>0</v>
      </c>
      <c r="N129" s="536" cm="1">
        <f t="array" aca="1" ref="N129" ca="1">IFERROR('Rozliczenie dotacji'!V$1249+IF(N$66&lt;=Koniec,SUMPRODUCT(ISNUMBER(MATCH(mod_dot_st_wbudowie_npv,$B$77,0))*('Koszty operacyjne'!$K$114:$X$114=Moduły!N$77),mod_dot_st_wbudowie_npv_war),0),"sprawdź dane")</f>
        <v>0</v>
      </c>
      <c r="O129" s="536" cm="1">
        <f t="array" aca="1" ref="O129" ca="1">IFERROR('Rozliczenie dotacji'!W$1249+IF(O$66&lt;=Koniec,SUMPRODUCT(ISNUMBER(MATCH(mod_dot_st_wbudowie_npv,$B$77,0))*('Koszty operacyjne'!$K$114:$X$114=Moduły!O$77),mod_dot_st_wbudowie_npv_war),0),"sprawdź dane")</f>
        <v>0</v>
      </c>
      <c r="P129" s="536" cm="1">
        <f t="array" aca="1" ref="P129" ca="1">IFERROR('Rozliczenie dotacji'!X$1249+IF(P$66&lt;=Koniec,SUMPRODUCT(ISNUMBER(MATCH(mod_dot_st_wbudowie_npv,$B$77,0))*('Koszty operacyjne'!$K$114:$X$114=Moduły!P$77),mod_dot_st_wbudowie_npv_war),0),"sprawdź dane")</f>
        <v>0</v>
      </c>
    </row>
    <row r="130" spans="2:16">
      <c r="B130" s="37" t="s">
        <v>690</v>
      </c>
      <c r="C130" s="33" cm="1">
        <f t="array" ref="C130">IF(C$66&lt;=Koniec,SUMPRODUCT(ISNUMBER(MATCH(mod_dot_ko,$B$77,0))*('Koszty operacyjne'!$K$114:$X$114=Moduły!C$77),mod_dot_ko_war),0)</f>
        <v>0</v>
      </c>
      <c r="D130" s="33" cm="1">
        <f t="array" ref="D130">IF(D$66&lt;=Koniec,SUMPRODUCT(ISNUMBER(MATCH(mod_dot_ko,$B$77,0))*('Koszty operacyjne'!$K$114:$X$114=Moduły!D$77),mod_dot_ko_war),0)</f>
        <v>0</v>
      </c>
      <c r="E130" s="33" cm="1">
        <f t="array" ref="E130">IF(E$66&lt;=Koniec,SUMPRODUCT(ISNUMBER(MATCH(mod_dot_ko,$B$77,0))*('Koszty operacyjne'!$K$114:$X$114=Moduły!E$77),mod_dot_ko_war),0)</f>
        <v>0</v>
      </c>
      <c r="F130" s="33" cm="1">
        <f t="array" ref="F130">IF(F$66&lt;=Koniec,SUMPRODUCT(ISNUMBER(MATCH(mod_dot_ko,$B$77,0))*('Koszty operacyjne'!$K$114:$X$114=Moduły!F$77),mod_dot_ko_war),0)</f>
        <v>0</v>
      </c>
      <c r="G130" s="33" cm="1">
        <f t="array" ref="G130">IF(G$66&lt;=Koniec,SUMPRODUCT(ISNUMBER(MATCH(mod_dot_ko,$B$77,0))*('Koszty operacyjne'!$K$114:$X$114=Moduły!G$77),mod_dot_ko_war),0)</f>
        <v>0</v>
      </c>
      <c r="H130" s="33" cm="1">
        <f t="array" ref="H130">IF(H$66&lt;=Koniec,SUMPRODUCT(ISNUMBER(MATCH(mod_dot_ko,$B$77,0))*('Koszty operacyjne'!$K$114:$X$114=Moduły!H$77),mod_dot_ko_war),0)</f>
        <v>0</v>
      </c>
      <c r="I130" s="33" cm="1">
        <f t="array" ref="I130">IF(I$66&lt;=Koniec,SUMPRODUCT(ISNUMBER(MATCH(mod_dot_ko,$B$77,0))*('Koszty operacyjne'!$K$114:$X$114=Moduły!I$77),mod_dot_ko_war),0)</f>
        <v>0</v>
      </c>
      <c r="J130" s="33" cm="1">
        <f t="array" ref="J130">IF(J$66&lt;=Koniec,SUMPRODUCT(ISNUMBER(MATCH(mod_dot_ko,$B$77,0))*('Koszty operacyjne'!$K$114:$X$114=Moduły!J$77),mod_dot_ko_war),0)</f>
        <v>0</v>
      </c>
      <c r="K130" s="33" cm="1">
        <f t="array" ref="K130">IF(K$66&lt;=Koniec,SUMPRODUCT(ISNUMBER(MATCH(mod_dot_ko,$B$77,0))*('Koszty operacyjne'!$K$114:$X$114=Moduły!K$77),mod_dot_ko_war),0)</f>
        <v>0</v>
      </c>
      <c r="L130" s="33" cm="1">
        <f t="array" ref="L130">IF(L$66&lt;=Koniec,SUMPRODUCT(ISNUMBER(MATCH(mod_dot_ko,$B$77,0))*('Koszty operacyjne'!$K$114:$X$114=Moduły!L$77),mod_dot_ko_war),0)</f>
        <v>0</v>
      </c>
      <c r="M130" s="33" cm="1">
        <f t="array" ref="M130">IF(M$66&lt;=Koniec,SUMPRODUCT(ISNUMBER(MATCH(mod_dot_ko,$B$77,0))*('Koszty operacyjne'!$K$114:$X$114=Moduły!M$77),mod_dot_ko_war),0)</f>
        <v>0</v>
      </c>
      <c r="N130" s="33" cm="1">
        <f t="array" ref="N130">IF(N$66&lt;=Koniec,SUMPRODUCT(ISNUMBER(MATCH(mod_dot_ko,$B$77,0))*('Koszty operacyjne'!$K$114:$X$114=Moduły!N$77),mod_dot_ko_war),0)</f>
        <v>0</v>
      </c>
      <c r="O130" s="33" cm="1">
        <f t="array" ref="O130">IF(O$66&lt;=Koniec,SUMPRODUCT(ISNUMBER(MATCH(mod_dot_ko,$B$77,0))*('Koszty operacyjne'!$K$114:$X$114=Moduły!O$77),mod_dot_ko_war),0)</f>
        <v>0</v>
      </c>
      <c r="P130" s="33" cm="1">
        <f t="array" ref="P130">IF(P$66&lt;=Koniec,SUMPRODUCT(ISNUMBER(MATCH(mod_dot_ko,$B$77,0))*('Koszty operacyjne'!$K$114:$X$114=Moduły!P$77),mod_dot_ko_war),0)</f>
        <v>0</v>
      </c>
    </row>
    <row r="131" spans="2:16">
      <c r="B131" s="37" t="s">
        <v>692</v>
      </c>
      <c r="C131" s="33" cm="1">
        <f t="array" ref="C131">IF(C$66&lt;=Koniec,SUMPRODUCT(ISNUMBER(MATCH(mod_dot_ko_br,$B$77,0))*('Koszty operacyjne'!$K$114:$X$114=Moduły!C$77),mod_dot_ko_br_war),0)</f>
        <v>0</v>
      </c>
      <c r="D131" s="33" cm="1">
        <f t="array" ref="D131">IF(D$66&lt;=Koniec,SUMPRODUCT(ISNUMBER(MATCH(mod_dot_ko_br,$B$77,0))*('Koszty operacyjne'!$K$114:$X$114=Moduły!D$77),mod_dot_ko_br_war),0)</f>
        <v>0</v>
      </c>
      <c r="E131" s="33" cm="1">
        <f t="array" ref="E131">IF(E$66&lt;=Koniec,SUMPRODUCT(ISNUMBER(MATCH(mod_dot_ko_br,$B$77,0))*('Koszty operacyjne'!$K$114:$X$114=Moduły!E$77),mod_dot_ko_br_war),0)</f>
        <v>0</v>
      </c>
      <c r="F131" s="33" cm="1">
        <f t="array" ref="F131">IF(F$66&lt;=Koniec,SUMPRODUCT(ISNUMBER(MATCH(mod_dot_ko_br,$B$77,0))*('Koszty operacyjne'!$K$114:$X$114=Moduły!F$77),mod_dot_ko_br_war),0)</f>
        <v>0</v>
      </c>
      <c r="G131" s="33" cm="1">
        <f t="array" ref="G131">IF(G$66&lt;=Koniec,SUMPRODUCT(ISNUMBER(MATCH(mod_dot_ko_br,$B$77,0))*('Koszty operacyjne'!$K$114:$X$114=Moduły!G$77),mod_dot_ko_br_war),0)</f>
        <v>0</v>
      </c>
      <c r="H131" s="33" cm="1">
        <f t="array" ref="H131">IF(H$66&lt;=Koniec,SUMPRODUCT(ISNUMBER(MATCH(mod_dot_ko_br,$B$77,0))*('Koszty operacyjne'!$K$114:$X$114=Moduły!H$77),mod_dot_ko_br_war),0)</f>
        <v>0</v>
      </c>
      <c r="I131" s="33" cm="1">
        <f t="array" ref="I131">IF(I$66&lt;=Koniec,SUMPRODUCT(ISNUMBER(MATCH(mod_dot_ko_br,$B$77,0))*('Koszty operacyjne'!$K$114:$X$114=Moduły!I$77),mod_dot_ko_br_war),0)</f>
        <v>0</v>
      </c>
      <c r="J131" s="33" cm="1">
        <f t="array" ref="J131">IF(J$66&lt;=Koniec,SUMPRODUCT(ISNUMBER(MATCH(mod_dot_ko_br,$B$77,0))*('Koszty operacyjne'!$K$114:$X$114=Moduły!J$77),mod_dot_ko_br_war),0)</f>
        <v>0</v>
      </c>
      <c r="K131" s="33" cm="1">
        <f t="array" ref="K131">IF(K$66&lt;=Koniec,SUMPRODUCT(ISNUMBER(MATCH(mod_dot_ko_br,$B$77,0))*('Koszty operacyjne'!$K$114:$X$114=Moduły!K$77),mod_dot_ko_br_war),0)</f>
        <v>0</v>
      </c>
      <c r="L131" s="33" cm="1">
        <f t="array" ref="L131">IF(L$66&lt;=Koniec,SUMPRODUCT(ISNUMBER(MATCH(mod_dot_ko_br,$B$77,0))*('Koszty operacyjne'!$K$114:$X$114=Moduły!L$77),mod_dot_ko_br_war),0)</f>
        <v>0</v>
      </c>
      <c r="M131" s="33" cm="1">
        <f t="array" ref="M131">IF(M$66&lt;=Koniec,SUMPRODUCT(ISNUMBER(MATCH(mod_dot_ko_br,$B$77,0))*('Koszty operacyjne'!$K$114:$X$114=Moduły!M$77),mod_dot_ko_br_war),0)</f>
        <v>0</v>
      </c>
      <c r="N131" s="33" cm="1">
        <f t="array" ref="N131">IF(N$66&lt;=Koniec,SUMPRODUCT(ISNUMBER(MATCH(mod_dot_ko_br,$B$77,0))*('Koszty operacyjne'!$K$114:$X$114=Moduły!N$77),mod_dot_ko_br_war),0)</f>
        <v>0</v>
      </c>
      <c r="O131" s="33" cm="1">
        <f t="array" ref="O131">IF(O$66&lt;=Koniec,SUMPRODUCT(ISNUMBER(MATCH(mod_dot_ko_br,$B$77,0))*('Koszty operacyjne'!$K$114:$X$114=Moduły!O$77),mod_dot_ko_br_war),0)</f>
        <v>0</v>
      </c>
      <c r="P131" s="33" cm="1">
        <f t="array" ref="P131">IF(P$66&lt;=Koniec,SUMPRODUCT(ISNUMBER(MATCH(mod_dot_ko_br,$B$77,0))*('Koszty operacyjne'!$K$114:$X$114=Moduły!P$77),mod_dot_ko_br_war),0)</f>
        <v>0</v>
      </c>
    </row>
    <row r="132" spans="2:16">
      <c r="B132" s="37" t="s">
        <v>691</v>
      </c>
      <c r="C132" s="33" cm="1">
        <f t="array" ref="C132">IF(C$66&lt;=Koniec,SUMPRODUCT(ISNUMBER(MATCH(mod_dot_am,$B$77,0))*('Koszty operacyjne'!$K$114:$X$114=Moduły!C$77),mod_dot_am_war),0)+IF(C$66&lt;=Koniec,SUMPRODUCT(ISNUMBER(MATCH(mod_dot_am_pst,$B$77,0))*('Koszty operacyjne'!$K$114:$X$114=Moduły!C$77),mod_dot_am_pst_war),0)</f>
        <v>0</v>
      </c>
      <c r="D132" s="33" cm="1">
        <f t="array" aca="1" ref="D132" ca="1">IF(D$66&lt;=Koniec,SUMPRODUCT(ISNUMBER(MATCH(mod_dot_am,$B$77,0))*('Koszty operacyjne'!$K$114:$X$114=Moduły!D$77),mod_dot_am_war),0)+IF(D$66&lt;=Koniec,SUMPRODUCT(ISNUMBER(MATCH(mod_dot_am_pst,$B$77,0))*('Koszty operacyjne'!$K$114:$X$114=Moduły!D$77),mod_dot_am_pst_war),0)</f>
        <v>0</v>
      </c>
      <c r="E132" s="33" cm="1">
        <f t="array" aca="1" ref="E132" ca="1">IF(E$66&lt;=Koniec,SUMPRODUCT(ISNUMBER(MATCH(mod_dot_am,$B$77,0))*('Koszty operacyjne'!$K$114:$X$114=Moduły!E$77),mod_dot_am_war),0)+IF(E$66&lt;=Koniec,SUMPRODUCT(ISNUMBER(MATCH(mod_dot_am_pst,$B$77,0))*('Koszty operacyjne'!$K$114:$X$114=Moduły!E$77),mod_dot_am_pst_war),0)</f>
        <v>0</v>
      </c>
      <c r="F132" s="33" cm="1">
        <f t="array" aca="1" ref="F132" ca="1">IF(F$66&lt;=Koniec,SUMPRODUCT(ISNUMBER(MATCH(mod_dot_am,$B$77,0))*('Koszty operacyjne'!$K$114:$X$114=Moduły!F$77),mod_dot_am_war),0)+IF(F$66&lt;=Koniec,SUMPRODUCT(ISNUMBER(MATCH(mod_dot_am_pst,$B$77,0))*('Koszty operacyjne'!$K$114:$X$114=Moduły!F$77),mod_dot_am_pst_war),0)</f>
        <v>0</v>
      </c>
      <c r="G132" s="33" cm="1">
        <f t="array" aca="1" ref="G132" ca="1">IF(G$66&lt;=Koniec,SUMPRODUCT(ISNUMBER(MATCH(mod_dot_am,$B$77,0))*('Koszty operacyjne'!$K$114:$X$114=Moduły!G$77),mod_dot_am_war),0)+IF(G$66&lt;=Koniec,SUMPRODUCT(ISNUMBER(MATCH(mod_dot_am_pst,$B$77,0))*('Koszty operacyjne'!$K$114:$X$114=Moduły!G$77),mod_dot_am_pst_war),0)</f>
        <v>0</v>
      </c>
      <c r="H132" s="33" cm="1">
        <f t="array" aca="1" ref="H132" ca="1">IF(H$66&lt;=Koniec,SUMPRODUCT(ISNUMBER(MATCH(mod_dot_am,$B$77,0))*('Koszty operacyjne'!$K$114:$X$114=Moduły!H$77),mod_dot_am_war),0)+IF(H$66&lt;=Koniec,SUMPRODUCT(ISNUMBER(MATCH(mod_dot_am_pst,$B$77,0))*('Koszty operacyjne'!$K$114:$X$114=Moduły!H$77),mod_dot_am_pst_war),0)</f>
        <v>0</v>
      </c>
      <c r="I132" s="33" cm="1">
        <f t="array" aca="1" ref="I132" ca="1">IF(I$66&lt;=Koniec,SUMPRODUCT(ISNUMBER(MATCH(mod_dot_am,$B$77,0))*('Koszty operacyjne'!$K$114:$X$114=Moduły!I$77),mod_dot_am_war),0)+IF(I$66&lt;=Koniec,SUMPRODUCT(ISNUMBER(MATCH(mod_dot_am_pst,$B$77,0))*('Koszty operacyjne'!$K$114:$X$114=Moduły!I$77),mod_dot_am_pst_war),0)</f>
        <v>0</v>
      </c>
      <c r="J132" s="33" cm="1">
        <f t="array" aca="1" ref="J132" ca="1">IF(J$66&lt;=Koniec,SUMPRODUCT(ISNUMBER(MATCH(mod_dot_am,$B$77,0))*('Koszty operacyjne'!$K$114:$X$114=Moduły!J$77),mod_dot_am_war),0)+IF(J$66&lt;=Koniec,SUMPRODUCT(ISNUMBER(MATCH(mod_dot_am_pst,$B$77,0))*('Koszty operacyjne'!$K$114:$X$114=Moduły!J$77),mod_dot_am_pst_war),0)</f>
        <v>0</v>
      </c>
      <c r="K132" s="33" cm="1">
        <f t="array" aca="1" ref="K132" ca="1">IF(K$66&lt;=Koniec,SUMPRODUCT(ISNUMBER(MATCH(mod_dot_am,$B$77,0))*('Koszty operacyjne'!$K$114:$X$114=Moduły!K$77),mod_dot_am_war),0)+IF(K$66&lt;=Koniec,SUMPRODUCT(ISNUMBER(MATCH(mod_dot_am_pst,$B$77,0))*('Koszty operacyjne'!$K$114:$X$114=Moduły!K$77),mod_dot_am_pst_war),0)</f>
        <v>0</v>
      </c>
      <c r="L132" s="33" cm="1">
        <f t="array" aca="1" ref="L132" ca="1">IF(L$66&lt;=Koniec,SUMPRODUCT(ISNUMBER(MATCH(mod_dot_am,$B$77,0))*('Koszty operacyjne'!$K$114:$X$114=Moduły!L$77),mod_dot_am_war),0)+IF(L$66&lt;=Koniec,SUMPRODUCT(ISNUMBER(MATCH(mod_dot_am_pst,$B$77,0))*('Koszty operacyjne'!$K$114:$X$114=Moduły!L$77),mod_dot_am_pst_war),0)</f>
        <v>0</v>
      </c>
      <c r="M132" s="33" cm="1">
        <f t="array" aca="1" ref="M132" ca="1">IF(M$66&lt;=Koniec,SUMPRODUCT(ISNUMBER(MATCH(mod_dot_am,$B$77,0))*('Koszty operacyjne'!$K$114:$X$114=Moduły!M$77),mod_dot_am_war),0)+IF(M$66&lt;=Koniec,SUMPRODUCT(ISNUMBER(MATCH(mod_dot_am_pst,$B$77,0))*('Koszty operacyjne'!$K$114:$X$114=Moduły!M$77),mod_dot_am_pst_war),0)</f>
        <v>0</v>
      </c>
      <c r="N132" s="33" cm="1">
        <f t="array" aca="1" ref="N132" ca="1">IF(N$66&lt;=Koniec,SUMPRODUCT(ISNUMBER(MATCH(mod_dot_am,$B$77,0))*('Koszty operacyjne'!$K$114:$X$114=Moduły!N$77),mod_dot_am_war),0)+IF(N$66&lt;=Koniec,SUMPRODUCT(ISNUMBER(MATCH(mod_dot_am_pst,$B$77,0))*('Koszty operacyjne'!$K$114:$X$114=Moduły!N$77),mod_dot_am_pst_war),0)</f>
        <v>0</v>
      </c>
      <c r="O132" s="33" cm="1">
        <f t="array" aca="1" ref="O132" ca="1">IF(O$66&lt;=Koniec,SUMPRODUCT(ISNUMBER(MATCH(mod_dot_am,$B$77,0))*('Koszty operacyjne'!$K$114:$X$114=Moduły!O$77),mod_dot_am_war),0)+IF(O$66&lt;=Koniec,SUMPRODUCT(ISNUMBER(MATCH(mod_dot_am_pst,$B$77,0))*('Koszty operacyjne'!$K$114:$X$114=Moduły!O$77),mod_dot_am_pst_war),0)</f>
        <v>0</v>
      </c>
      <c r="P132" s="33" cm="1">
        <f t="array" aca="1" ref="P132" ca="1">IF(P$66&lt;=Koniec,SUMPRODUCT(ISNUMBER(MATCH(mod_dot_am,$B$77,0))*('Koszty operacyjne'!$K$114:$X$114=Moduły!P$77),mod_dot_am_war),0)+IF(P$66&lt;=Koniec,SUMPRODUCT(ISNUMBER(MATCH(mod_dot_am_pst,$B$77,0))*('Koszty operacyjne'!$K$114:$X$114=Moduły!P$77),mod_dot_am_pst_war),0)</f>
        <v>0</v>
      </c>
    </row>
    <row r="133" spans="2:16">
      <c r="B133" s="98" t="s">
        <v>335</v>
      </c>
      <c r="C133" s="97">
        <f>SUM(C129:C132)</f>
        <v>0</v>
      </c>
      <c r="D133" s="97">
        <f t="shared" ref="D133:P133" ca="1" si="54">SUM(D129:D132)</f>
        <v>0</v>
      </c>
      <c r="E133" s="97">
        <f t="shared" ca="1" si="54"/>
        <v>0</v>
      </c>
      <c r="F133" s="97">
        <f t="shared" ca="1" si="54"/>
        <v>0</v>
      </c>
      <c r="G133" s="97">
        <f t="shared" ca="1" si="54"/>
        <v>0</v>
      </c>
      <c r="H133" s="97">
        <f t="shared" ca="1" si="54"/>
        <v>0</v>
      </c>
      <c r="I133" s="97">
        <f t="shared" ca="1" si="54"/>
        <v>0</v>
      </c>
      <c r="J133" s="97">
        <f t="shared" ca="1" si="54"/>
        <v>0</v>
      </c>
      <c r="K133" s="97">
        <f t="shared" ca="1" si="54"/>
        <v>0</v>
      </c>
      <c r="L133" s="97">
        <f t="shared" ca="1" si="54"/>
        <v>0</v>
      </c>
      <c r="M133" s="97">
        <f t="shared" ca="1" si="54"/>
        <v>0</v>
      </c>
      <c r="N133" s="97">
        <f t="shared" ca="1" si="54"/>
        <v>0</v>
      </c>
      <c r="O133" s="97">
        <f t="shared" ca="1" si="54"/>
        <v>0</v>
      </c>
      <c r="P133" s="97">
        <f t="shared" ca="1" si="54"/>
        <v>0</v>
      </c>
    </row>
    <row r="134" spans="2:16"/>
    <row r="135" spans="2:16">
      <c r="B135" s="370" t="s">
        <v>763</v>
      </c>
      <c r="C135" s="476" t="str">
        <f>C127</f>
        <v>Uzupełnij dane</v>
      </c>
      <c r="D135" s="476" t="str">
        <f t="shared" ref="D135:P135" si="55">D127</f>
        <v/>
      </c>
      <c r="E135" s="476" t="str">
        <f t="shared" si="55"/>
        <v/>
      </c>
      <c r="F135" s="476" t="str">
        <f t="shared" si="55"/>
        <v/>
      </c>
      <c r="G135" s="476" t="str">
        <f t="shared" si="55"/>
        <v/>
      </c>
      <c r="H135" s="476" t="str">
        <f t="shared" si="55"/>
        <v/>
      </c>
      <c r="I135" s="476" t="str">
        <f t="shared" si="55"/>
        <v/>
      </c>
      <c r="J135" s="476" t="str">
        <f t="shared" si="55"/>
        <v/>
      </c>
      <c r="K135" s="476" t="str">
        <f t="shared" si="55"/>
        <v/>
      </c>
      <c r="L135" s="476" t="str">
        <f t="shared" si="55"/>
        <v/>
      </c>
      <c r="M135" s="476" t="str">
        <f t="shared" si="55"/>
        <v/>
      </c>
      <c r="N135" s="476" t="str">
        <f t="shared" si="55"/>
        <v/>
      </c>
      <c r="O135" s="476" t="str">
        <f t="shared" si="55"/>
        <v/>
      </c>
      <c r="P135" s="476" t="str">
        <f t="shared" si="55"/>
        <v/>
      </c>
    </row>
    <row r="136" spans="2:16">
      <c r="B136" s="101" t="s">
        <v>104</v>
      </c>
      <c r="C136" s="102">
        <f t="shared" ref="C136:P136" si="56">C115</f>
        <v>0</v>
      </c>
      <c r="D136" s="102">
        <f t="shared" si="56"/>
        <v>0</v>
      </c>
      <c r="E136" s="102">
        <f t="shared" si="56"/>
        <v>0</v>
      </c>
      <c r="F136" s="102">
        <f t="shared" si="56"/>
        <v>0</v>
      </c>
      <c r="G136" s="102">
        <f t="shared" si="56"/>
        <v>0</v>
      </c>
      <c r="H136" s="102">
        <f t="shared" si="56"/>
        <v>0</v>
      </c>
      <c r="I136" s="102">
        <f t="shared" si="56"/>
        <v>0</v>
      </c>
      <c r="J136" s="102">
        <f t="shared" si="56"/>
        <v>0</v>
      </c>
      <c r="K136" s="102">
        <f t="shared" si="56"/>
        <v>0</v>
      </c>
      <c r="L136" s="102">
        <f t="shared" si="56"/>
        <v>0</v>
      </c>
      <c r="M136" s="102">
        <f t="shared" si="56"/>
        <v>0</v>
      </c>
      <c r="N136" s="102">
        <f t="shared" si="56"/>
        <v>0</v>
      </c>
      <c r="O136" s="102">
        <f t="shared" si="56"/>
        <v>0</v>
      </c>
      <c r="P136" s="102">
        <f t="shared" si="56"/>
        <v>0</v>
      </c>
    </row>
    <row r="137" spans="2:16">
      <c r="B137" s="52" t="s">
        <v>693</v>
      </c>
      <c r="C137" s="33">
        <f t="shared" ref="C137:P137" si="57">ROUND(SUM(C119:C125),0)</f>
        <v>0</v>
      </c>
      <c r="D137" s="33">
        <f t="shared" si="57"/>
        <v>0</v>
      </c>
      <c r="E137" s="33">
        <f t="shared" si="57"/>
        <v>0</v>
      </c>
      <c r="F137" s="33">
        <f t="shared" si="57"/>
        <v>0</v>
      </c>
      <c r="G137" s="33">
        <f t="shared" si="57"/>
        <v>0</v>
      </c>
      <c r="H137" s="33">
        <f t="shared" si="57"/>
        <v>0</v>
      </c>
      <c r="I137" s="33">
        <f t="shared" si="57"/>
        <v>0</v>
      </c>
      <c r="J137" s="33">
        <f t="shared" si="57"/>
        <v>0</v>
      </c>
      <c r="K137" s="33">
        <f t="shared" si="57"/>
        <v>0</v>
      </c>
      <c r="L137" s="33">
        <f t="shared" si="57"/>
        <v>0</v>
      </c>
      <c r="M137" s="33">
        <f t="shared" si="57"/>
        <v>0</v>
      </c>
      <c r="N137" s="33">
        <f t="shared" si="57"/>
        <v>0</v>
      </c>
      <c r="O137" s="33">
        <f t="shared" si="57"/>
        <v>0</v>
      </c>
      <c r="P137" s="33">
        <f t="shared" si="57"/>
        <v>0</v>
      </c>
    </row>
    <row r="138" spans="2:16">
      <c r="B138" s="52" t="s">
        <v>331</v>
      </c>
      <c r="C138" s="33">
        <f t="shared" ref="C138:P138" si="58">C118</f>
        <v>0</v>
      </c>
      <c r="D138" s="33">
        <f t="shared" ca="1" si="58"/>
        <v>0</v>
      </c>
      <c r="E138" s="33">
        <f t="shared" ca="1" si="58"/>
        <v>0</v>
      </c>
      <c r="F138" s="33">
        <f t="shared" ca="1" si="58"/>
        <v>0</v>
      </c>
      <c r="G138" s="33">
        <f t="shared" ca="1" si="58"/>
        <v>0</v>
      </c>
      <c r="H138" s="33">
        <f t="shared" ca="1" si="58"/>
        <v>0</v>
      </c>
      <c r="I138" s="33">
        <f t="shared" ca="1" si="58"/>
        <v>0</v>
      </c>
      <c r="J138" s="33">
        <f t="shared" ca="1" si="58"/>
        <v>0</v>
      </c>
      <c r="K138" s="33">
        <f t="shared" ca="1" si="58"/>
        <v>0</v>
      </c>
      <c r="L138" s="33">
        <f t="shared" ca="1" si="58"/>
        <v>0</v>
      </c>
      <c r="M138" s="33">
        <f t="shared" ca="1" si="58"/>
        <v>0</v>
      </c>
      <c r="N138" s="33">
        <f t="shared" ca="1" si="58"/>
        <v>0</v>
      </c>
      <c r="O138" s="33">
        <f t="shared" ca="1" si="58"/>
        <v>0</v>
      </c>
      <c r="P138" s="33">
        <f t="shared" ca="1" si="58"/>
        <v>0</v>
      </c>
    </row>
    <row r="139" spans="2:16">
      <c r="B139" s="364" t="s">
        <v>660</v>
      </c>
      <c r="C139" s="537">
        <f t="shared" ref="C139:P139" si="59">C79</f>
        <v>0</v>
      </c>
      <c r="D139" s="537">
        <f t="shared" si="59"/>
        <v>0</v>
      </c>
      <c r="E139" s="537">
        <f t="shared" si="59"/>
        <v>0</v>
      </c>
      <c r="F139" s="537">
        <f t="shared" si="59"/>
        <v>0</v>
      </c>
      <c r="G139" s="537">
        <f t="shared" si="59"/>
        <v>0</v>
      </c>
      <c r="H139" s="537">
        <f t="shared" si="59"/>
        <v>0</v>
      </c>
      <c r="I139" s="537">
        <f t="shared" si="59"/>
        <v>0</v>
      </c>
      <c r="J139" s="537">
        <f t="shared" si="59"/>
        <v>0</v>
      </c>
      <c r="K139" s="537">
        <f t="shared" si="59"/>
        <v>0</v>
      </c>
      <c r="L139" s="537">
        <f t="shared" si="59"/>
        <v>0</v>
      </c>
      <c r="M139" s="537">
        <f t="shared" si="59"/>
        <v>0</v>
      </c>
      <c r="N139" s="537">
        <f t="shared" si="59"/>
        <v>0</v>
      </c>
      <c r="O139" s="537">
        <f t="shared" si="59"/>
        <v>0</v>
      </c>
      <c r="P139" s="537">
        <f t="shared" si="59"/>
        <v>0</v>
      </c>
    </row>
    <row r="140" spans="2:16">
      <c r="B140" s="365" t="s">
        <v>661</v>
      </c>
      <c r="C140" s="538">
        <f t="shared" ref="C140:P140" si="60">C133</f>
        <v>0</v>
      </c>
      <c r="D140" s="538">
        <f t="shared" ca="1" si="60"/>
        <v>0</v>
      </c>
      <c r="E140" s="538">
        <f t="shared" ca="1" si="60"/>
        <v>0</v>
      </c>
      <c r="F140" s="538">
        <f t="shared" ca="1" si="60"/>
        <v>0</v>
      </c>
      <c r="G140" s="538">
        <f t="shared" ca="1" si="60"/>
        <v>0</v>
      </c>
      <c r="H140" s="538">
        <f t="shared" ca="1" si="60"/>
        <v>0</v>
      </c>
      <c r="I140" s="538">
        <f t="shared" ca="1" si="60"/>
        <v>0</v>
      </c>
      <c r="J140" s="538">
        <f t="shared" ca="1" si="60"/>
        <v>0</v>
      </c>
      <c r="K140" s="538">
        <f t="shared" ca="1" si="60"/>
        <v>0</v>
      </c>
      <c r="L140" s="538">
        <f t="shared" ca="1" si="60"/>
        <v>0</v>
      </c>
      <c r="M140" s="538">
        <f t="shared" ca="1" si="60"/>
        <v>0</v>
      </c>
      <c r="N140" s="538">
        <f t="shared" ca="1" si="60"/>
        <v>0</v>
      </c>
      <c r="O140" s="538">
        <f t="shared" ca="1" si="60"/>
        <v>0</v>
      </c>
      <c r="P140" s="538">
        <f t="shared" ca="1" si="60"/>
        <v>0</v>
      </c>
    </row>
    <row r="141" spans="2:16">
      <c r="B141" s="52" t="s">
        <v>662</v>
      </c>
      <c r="C141" s="33">
        <f t="shared" ref="C141:P141" si="61">IF(C$135&lt;=Koniec,IF($C$566=TRUE,C623,0),0)</f>
        <v>0</v>
      </c>
      <c r="D141" s="33">
        <f t="shared" si="61"/>
        <v>0</v>
      </c>
      <c r="E141" s="33">
        <f t="shared" si="61"/>
        <v>0</v>
      </c>
      <c r="F141" s="33">
        <f t="shared" si="61"/>
        <v>0</v>
      </c>
      <c r="G141" s="33">
        <f t="shared" si="61"/>
        <v>0</v>
      </c>
      <c r="H141" s="33">
        <f t="shared" si="61"/>
        <v>0</v>
      </c>
      <c r="I141" s="33">
        <f t="shared" si="61"/>
        <v>0</v>
      </c>
      <c r="J141" s="33">
        <f t="shared" si="61"/>
        <v>0</v>
      </c>
      <c r="K141" s="33">
        <f t="shared" si="61"/>
        <v>0</v>
      </c>
      <c r="L141" s="33">
        <f t="shared" si="61"/>
        <v>0</v>
      </c>
      <c r="M141" s="33">
        <f t="shared" si="61"/>
        <v>0</v>
      </c>
      <c r="N141" s="33">
        <f t="shared" si="61"/>
        <v>0</v>
      </c>
      <c r="O141" s="33">
        <f t="shared" si="61"/>
        <v>0</v>
      </c>
      <c r="P141" s="33">
        <f t="shared" si="61"/>
        <v>0</v>
      </c>
    </row>
    <row r="142" spans="2:16" ht="3.9" customHeight="1">
      <c r="B142" s="89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</row>
    <row r="143" spans="2:16">
      <c r="B143" s="52" t="s">
        <v>26</v>
      </c>
      <c r="C143" s="419">
        <f t="shared" ref="C143:P143" si="62">IF(AND(C$66&gt;=Poczatek,C$66&lt;=Koniec),IFERROR(WACC,0),0)</f>
        <v>0</v>
      </c>
      <c r="D143" s="419">
        <f t="shared" si="62"/>
        <v>0</v>
      </c>
      <c r="E143" s="419">
        <f t="shared" si="62"/>
        <v>0</v>
      </c>
      <c r="F143" s="419">
        <f t="shared" si="62"/>
        <v>0</v>
      </c>
      <c r="G143" s="419">
        <f t="shared" si="62"/>
        <v>0</v>
      </c>
      <c r="H143" s="419">
        <f t="shared" si="62"/>
        <v>0</v>
      </c>
      <c r="I143" s="419">
        <f t="shared" si="62"/>
        <v>0</v>
      </c>
      <c r="J143" s="419">
        <f t="shared" si="62"/>
        <v>0</v>
      </c>
      <c r="K143" s="419">
        <f t="shared" si="62"/>
        <v>0</v>
      </c>
      <c r="L143" s="419">
        <f t="shared" si="62"/>
        <v>0</v>
      </c>
      <c r="M143" s="419">
        <f t="shared" si="62"/>
        <v>0</v>
      </c>
      <c r="N143" s="419">
        <f t="shared" si="62"/>
        <v>0</v>
      </c>
      <c r="O143" s="419">
        <f t="shared" si="62"/>
        <v>0</v>
      </c>
      <c r="P143" s="419">
        <f t="shared" si="62"/>
        <v>0</v>
      </c>
    </row>
    <row r="144" spans="2:16">
      <c r="B144" s="52" t="s">
        <v>27</v>
      </c>
      <c r="C144" s="420">
        <f>IF(AND(C$66&gt;=Poczatek,C$66&lt;=Koniec),IFERROR(Założenia!K$35,0),0)</f>
        <v>0</v>
      </c>
      <c r="D144" s="420" t="str">
        <f>IF(AND(D$66&gt;=Poczatek,D$66&lt;=Koniec),IFERROR(Założenia!L$35,0),0)</f>
        <v>n/d</v>
      </c>
      <c r="E144" s="420" t="str">
        <f>IF(AND(E$66&gt;=Poczatek,E$66&lt;=Koniec),IFERROR(Założenia!M$35,0),0)</f>
        <v>n/d</v>
      </c>
      <c r="F144" s="420" t="str">
        <f>IF(AND(F$66&gt;=Poczatek,F$66&lt;=Koniec),IFERROR(Założenia!N$35,0),0)</f>
        <v>n/d</v>
      </c>
      <c r="G144" s="420" t="str">
        <f>IF(AND(G$66&gt;=Poczatek,G$66&lt;=Koniec),IFERROR(Założenia!O$35,0),0)</f>
        <v>n/d</v>
      </c>
      <c r="H144" s="420" t="str">
        <f>IF(AND(H$66&gt;=Poczatek,H$66&lt;=Koniec),IFERROR(Założenia!P$35,0),0)</f>
        <v>n/d</v>
      </c>
      <c r="I144" s="420" t="str">
        <f>IF(AND(I$66&gt;=Poczatek,I$66&lt;=Koniec),IFERROR(Założenia!Q$35,0),0)</f>
        <v>n/d</v>
      </c>
      <c r="J144" s="420" t="str">
        <f>IF(AND(J$66&gt;=Poczatek,J$66&lt;=Koniec),IFERROR(Założenia!R$35,0),0)</f>
        <v>n/d</v>
      </c>
      <c r="K144" s="420" t="str">
        <f>IF(AND(K$66&gt;=Poczatek,K$66&lt;=Koniec),IFERROR(Założenia!S$35,0),0)</f>
        <v>n/d</v>
      </c>
      <c r="L144" s="420" t="str">
        <f>IF(AND(L$66&gt;=Poczatek,L$66&lt;=Koniec),IFERROR(Założenia!T$35,0),0)</f>
        <v>n/d</v>
      </c>
      <c r="M144" s="420" t="str">
        <f>IF(AND(M$66&gt;=Poczatek,M$66&lt;=Koniec),IFERROR(Założenia!U$35,0),0)</f>
        <v>n/d</v>
      </c>
      <c r="N144" s="420" t="str">
        <f>IF(AND(N$66&gt;=Poczatek,N$66&lt;=Koniec),IFERROR(Założenia!V$35,0),0)</f>
        <v>n/d</v>
      </c>
      <c r="O144" s="420" t="str">
        <f>IF(AND(O$66&gt;=Poczatek,O$66&lt;=Koniec),IFERROR(Założenia!W$35,0),0)</f>
        <v>n/d</v>
      </c>
      <c r="P144" s="420" t="str">
        <f>IF(AND(P$66&gt;=Poczatek,P$66&lt;=Koniec),IFERROR(Założenia!X$35,0),0)</f>
        <v>n/d</v>
      </c>
    </row>
    <row r="145" spans="2:16" ht="3.9" customHeight="1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2:16">
      <c r="B146" s="422" t="s">
        <v>764</v>
      </c>
      <c r="C146" s="525" t="str">
        <f>C135</f>
        <v>Uzupełnij dane</v>
      </c>
      <c r="D146" s="525" t="str">
        <f t="shared" ref="D146:P146" si="63">D135</f>
        <v/>
      </c>
      <c r="E146" s="525" t="str">
        <f t="shared" si="63"/>
        <v/>
      </c>
      <c r="F146" s="525" t="str">
        <f t="shared" si="63"/>
        <v/>
      </c>
      <c r="G146" s="525" t="str">
        <f t="shared" si="63"/>
        <v/>
      </c>
      <c r="H146" s="525" t="str">
        <f t="shared" si="63"/>
        <v/>
      </c>
      <c r="I146" s="525" t="str">
        <f t="shared" si="63"/>
        <v/>
      </c>
      <c r="J146" s="525" t="str">
        <f t="shared" si="63"/>
        <v/>
      </c>
      <c r="K146" s="525" t="str">
        <f t="shared" si="63"/>
        <v/>
      </c>
      <c r="L146" s="525" t="str">
        <f t="shared" si="63"/>
        <v/>
      </c>
      <c r="M146" s="525" t="str">
        <f t="shared" si="63"/>
        <v/>
      </c>
      <c r="N146" s="525" t="str">
        <f t="shared" si="63"/>
        <v/>
      </c>
      <c r="O146" s="525" t="str">
        <f t="shared" si="63"/>
        <v/>
      </c>
      <c r="P146" s="525" t="str">
        <f t="shared" si="63"/>
        <v/>
      </c>
    </row>
    <row r="147" spans="2:16" ht="3.9" customHeight="1"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2:16">
      <c r="B148" s="87" t="s">
        <v>696</v>
      </c>
      <c r="C148" s="86">
        <f t="shared" ref="C148:P148" si="64">IF(AND(C$66&gt;=Poczatek,C$66&lt;=Koniec),(C136-C137-C139+C141),0)</f>
        <v>0</v>
      </c>
      <c r="D148" s="86">
        <f t="shared" si="64"/>
        <v>0</v>
      </c>
      <c r="E148" s="86">
        <f t="shared" si="64"/>
        <v>0</v>
      </c>
      <c r="F148" s="86">
        <f t="shared" si="64"/>
        <v>0</v>
      </c>
      <c r="G148" s="86">
        <f t="shared" si="64"/>
        <v>0</v>
      </c>
      <c r="H148" s="86">
        <f t="shared" si="64"/>
        <v>0</v>
      </c>
      <c r="I148" s="86">
        <f t="shared" si="64"/>
        <v>0</v>
      </c>
      <c r="J148" s="86">
        <f t="shared" si="64"/>
        <v>0</v>
      </c>
      <c r="K148" s="86">
        <f t="shared" si="64"/>
        <v>0</v>
      </c>
      <c r="L148" s="86">
        <f t="shared" si="64"/>
        <v>0</v>
      </c>
      <c r="M148" s="86">
        <f t="shared" si="64"/>
        <v>0</v>
      </c>
      <c r="N148" s="86">
        <f t="shared" si="64"/>
        <v>0</v>
      </c>
      <c r="O148" s="86">
        <f t="shared" si="64"/>
        <v>0</v>
      </c>
      <c r="P148" s="86">
        <f t="shared" si="64"/>
        <v>0</v>
      </c>
    </row>
    <row r="149" spans="2:16">
      <c r="B149" s="87" t="s">
        <v>697</v>
      </c>
      <c r="C149" s="86">
        <f>IF(AND(C$66&gt;=Poczatek,C$66&lt;=Koniec),C148,0)</f>
        <v>0</v>
      </c>
      <c r="D149" s="86">
        <f t="shared" ref="D149:P149" si="65">IF(AND(D$66&gt;=Poczatek,D$66&lt;=Koniec),(D148+C149),0)</f>
        <v>0</v>
      </c>
      <c r="E149" s="86">
        <f t="shared" si="65"/>
        <v>0</v>
      </c>
      <c r="F149" s="86">
        <f t="shared" si="65"/>
        <v>0</v>
      </c>
      <c r="G149" s="86">
        <f t="shared" si="65"/>
        <v>0</v>
      </c>
      <c r="H149" s="86">
        <f t="shared" si="65"/>
        <v>0</v>
      </c>
      <c r="I149" s="86">
        <f t="shared" si="65"/>
        <v>0</v>
      </c>
      <c r="J149" s="86">
        <f t="shared" si="65"/>
        <v>0</v>
      </c>
      <c r="K149" s="86">
        <f t="shared" si="65"/>
        <v>0</v>
      </c>
      <c r="L149" s="86">
        <f t="shared" si="65"/>
        <v>0</v>
      </c>
      <c r="M149" s="86">
        <f t="shared" si="65"/>
        <v>0</v>
      </c>
      <c r="N149" s="86">
        <f t="shared" si="65"/>
        <v>0</v>
      </c>
      <c r="O149" s="86">
        <f t="shared" si="65"/>
        <v>0</v>
      </c>
      <c r="P149" s="86">
        <f t="shared" si="65"/>
        <v>0</v>
      </c>
    </row>
    <row r="150" spans="2:16">
      <c r="B150" s="87" t="s">
        <v>699</v>
      </c>
      <c r="C150" s="86">
        <f>IFERROR(ROUND(C144*C148,0),0)</f>
        <v>0</v>
      </c>
      <c r="D150" s="86">
        <f t="shared" ref="D150:P150" si="66">IFERROR(ROUND(D144*D148,0),0)</f>
        <v>0</v>
      </c>
      <c r="E150" s="86">
        <f t="shared" si="66"/>
        <v>0</v>
      </c>
      <c r="F150" s="86">
        <f t="shared" si="66"/>
        <v>0</v>
      </c>
      <c r="G150" s="86">
        <f t="shared" si="66"/>
        <v>0</v>
      </c>
      <c r="H150" s="86">
        <f t="shared" si="66"/>
        <v>0</v>
      </c>
      <c r="I150" s="86">
        <f t="shared" si="66"/>
        <v>0</v>
      </c>
      <c r="J150" s="86">
        <f t="shared" si="66"/>
        <v>0</v>
      </c>
      <c r="K150" s="86">
        <f t="shared" si="66"/>
        <v>0</v>
      </c>
      <c r="L150" s="86">
        <f t="shared" si="66"/>
        <v>0</v>
      </c>
      <c r="M150" s="86">
        <f t="shared" si="66"/>
        <v>0</v>
      </c>
      <c r="N150" s="86">
        <f t="shared" si="66"/>
        <v>0</v>
      </c>
      <c r="O150" s="86">
        <f t="shared" si="66"/>
        <v>0</v>
      </c>
      <c r="P150" s="86">
        <f t="shared" si="66"/>
        <v>0</v>
      </c>
    </row>
    <row r="151" spans="2:16">
      <c r="B151" s="87" t="s">
        <v>700</v>
      </c>
      <c r="C151" s="86">
        <f>IF(AND(C$66&gt;Koniec_Projekt,C$66&lt;=Koniec),C150,0)</f>
        <v>0</v>
      </c>
      <c r="D151" s="86">
        <f>IF(AND(D$66&gt;Koniec_Projekt,D$66&lt;=Koniec),SUM($C150:D150),0)</f>
        <v>0</v>
      </c>
      <c r="E151" s="86">
        <f>IF(AND(E$66&gt;Koniec_Projekt,E$66&lt;=Koniec),SUM($C150:E150),0)</f>
        <v>0</v>
      </c>
      <c r="F151" s="86">
        <f>IF(AND(F$66&gt;Koniec_Projekt,F$66&lt;=Koniec),SUM($C150:F150),0)</f>
        <v>0</v>
      </c>
      <c r="G151" s="86">
        <f>IF(AND(G$66&gt;Koniec_Projekt,G$66&lt;=Koniec),SUM($C150:G150),0)</f>
        <v>0</v>
      </c>
      <c r="H151" s="86">
        <f>IF(AND(H$66&gt;Koniec_Projekt,H$66&lt;=Koniec),SUM($C150:H150),0)</f>
        <v>0</v>
      </c>
      <c r="I151" s="86">
        <f>IF(AND(I$66&gt;Koniec_Projekt,I$66&lt;=Koniec),SUM($C150:I150),0)</f>
        <v>0</v>
      </c>
      <c r="J151" s="86">
        <f>IF(AND(J$66&gt;Koniec_Projekt,J$66&lt;=Koniec),SUM($C150:J150),0)</f>
        <v>0</v>
      </c>
      <c r="K151" s="86">
        <f>IF(AND(K$66&gt;Koniec_Projekt,K$66&lt;=Koniec),SUM($C150:K150),0)</f>
        <v>0</v>
      </c>
      <c r="L151" s="86">
        <f>IF(AND(L$66&gt;Koniec_Projekt,L$66&lt;=Koniec),SUM($C150:L150),0)</f>
        <v>0</v>
      </c>
      <c r="M151" s="86">
        <f>IF(AND(M$66&gt;Koniec_Projekt,M$66&lt;=Koniec),SUM($C150:M150),0)</f>
        <v>0</v>
      </c>
      <c r="N151" s="86">
        <f>IF(AND(N$66&gt;Koniec_Projekt,N$66&lt;=Koniec),SUM($C150:N150),0)</f>
        <v>0</v>
      </c>
      <c r="O151" s="86">
        <f>IF(AND(O$66&gt;Koniec_Projekt,O$66&lt;=Koniec),SUM($C150:O150),0)</f>
        <v>0</v>
      </c>
      <c r="P151" s="86">
        <f>IF(AND(P$66&gt;Koniec_Projekt,P$66&lt;=Koniec),SUM($C150:P150),0)</f>
        <v>0</v>
      </c>
    </row>
    <row r="152" spans="2:16">
      <c r="B152" s="87" t="s">
        <v>698</v>
      </c>
      <c r="C152" s="421" t="str">
        <f>IF(AND(C$66&gt;=Poczatek,C$66&lt;=Koniec),IFERROR(IRR($C$148:C$148),"n/d"),IF(OR(C$66&lt;Poczatek,C$66&gt;Koniec),"",0))</f>
        <v/>
      </c>
      <c r="D152" s="421" t="str">
        <f>IF(AND(D$66&gt;=Poczatek,D$66&lt;=Koniec),IFERROR(IRR($C$148:D$148),"n/d"),IF(OR(D$66&lt;Poczatek,D$66&gt;Koniec),"",0))</f>
        <v>n/d</v>
      </c>
      <c r="E152" s="421" t="str">
        <f>IF(AND(E$66&gt;=Poczatek,E$66&lt;=Koniec),IFERROR(IRR($C$148:E$148),"n/d"),IF(OR(E$66&lt;Poczatek,E$66&gt;Koniec),"",0))</f>
        <v>n/d</v>
      </c>
      <c r="F152" s="421" t="str">
        <f>IF(AND(F$66&gt;=Poczatek,F$66&lt;=Koniec),IFERROR(IRR($C$148:F$148),"n/d"),IF(OR(F$66&lt;Poczatek,F$66&gt;Koniec),"",0))</f>
        <v>n/d</v>
      </c>
      <c r="G152" s="421" t="str">
        <f>IF(AND(G$66&gt;=Poczatek,G$66&lt;=Koniec),IFERROR(IRR($C$148:G$148),"n/d"),IF(OR(G$66&lt;Poczatek,G$66&gt;Koniec),"",0))</f>
        <v>n/d</v>
      </c>
      <c r="H152" s="421" t="str">
        <f>IF(AND(H$66&gt;=Poczatek,H$66&lt;=Koniec),IFERROR(IRR($C$148:H$148),"n/d"),IF(OR(H$66&lt;Poczatek,H$66&gt;Koniec),"",0))</f>
        <v>n/d</v>
      </c>
      <c r="I152" s="421" t="str">
        <f>IF(AND(I$66&gt;=Poczatek,I$66&lt;=Koniec),IFERROR(IRR($C$148:I$148),"n/d"),IF(OR(I$66&lt;Poczatek,I$66&gt;Koniec),"",0))</f>
        <v>n/d</v>
      </c>
      <c r="J152" s="421" t="str">
        <f>IF(AND(J$66&gt;=Poczatek,J$66&lt;=Koniec),IFERROR(IRR($C$148:J$148),"n/d"),IF(OR(J$66&lt;Poczatek,J$66&gt;Koniec),"",0))</f>
        <v>n/d</v>
      </c>
      <c r="K152" s="421" t="str">
        <f>IF(AND(K$66&gt;=Poczatek,K$66&lt;=Koniec),IFERROR(IRR($C$148:K$148),"n/d"),IF(OR(K$66&lt;Poczatek,K$66&gt;Koniec),"",0))</f>
        <v>n/d</v>
      </c>
      <c r="L152" s="421" t="str">
        <f>IF(AND(L$66&gt;=Poczatek,L$66&lt;=Koniec),IFERROR(IRR($C$148:L$148),"n/d"),IF(OR(L$66&lt;Poczatek,L$66&gt;Koniec),"",0))</f>
        <v>n/d</v>
      </c>
      <c r="M152" s="421" t="str">
        <f>IF(AND(M$66&gt;=Poczatek,M$66&lt;=Koniec),IFERROR(IRR($C$148:M$148),"n/d"),IF(OR(M$66&lt;Poczatek,M$66&gt;Koniec),"",0))</f>
        <v>n/d</v>
      </c>
      <c r="N152" s="421" t="str">
        <f>IF(AND(N$66&gt;=Poczatek,N$66&lt;=Koniec),IFERROR(IRR($C$148:N$148),"n/d"),IF(OR(N$66&lt;Poczatek,N$66&gt;Koniec),"",0))</f>
        <v>n/d</v>
      </c>
      <c r="O152" s="421" t="str">
        <f>IF(AND(O$66&gt;=Poczatek,O$66&lt;=Koniec),IFERROR(IRR($C$148:O$148),"n/d"),IF(OR(O$66&lt;Poczatek,O$66&gt;Koniec),"",0))</f>
        <v>n/d</v>
      </c>
      <c r="P152" s="421" t="str">
        <f>IF(AND(P$66&gt;=Poczatek,P$66&lt;=Koniec),IFERROR(IRR($C$148:P$148),"n/d"),IF(OR(P$66&lt;Poczatek,P$66&gt;Koniec),"",0))</f>
        <v>n/d</v>
      </c>
    </row>
    <row r="153" spans="2:16" ht="3.9" customHeight="1"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2:16">
      <c r="B154" s="422" t="s">
        <v>765</v>
      </c>
      <c r="C154" s="525" t="str">
        <f>C146</f>
        <v>Uzupełnij dane</v>
      </c>
      <c r="D154" s="525" t="str">
        <f t="shared" ref="D154:P154" si="67">D146</f>
        <v/>
      </c>
      <c r="E154" s="525" t="str">
        <f t="shared" si="67"/>
        <v/>
      </c>
      <c r="F154" s="525" t="str">
        <f t="shared" si="67"/>
        <v/>
      </c>
      <c r="G154" s="525" t="str">
        <f t="shared" si="67"/>
        <v/>
      </c>
      <c r="H154" s="525" t="str">
        <f t="shared" si="67"/>
        <v/>
      </c>
      <c r="I154" s="525" t="str">
        <f t="shared" si="67"/>
        <v/>
      </c>
      <c r="J154" s="525" t="str">
        <f t="shared" si="67"/>
        <v/>
      </c>
      <c r="K154" s="525" t="str">
        <f t="shared" si="67"/>
        <v/>
      </c>
      <c r="L154" s="525" t="str">
        <f t="shared" si="67"/>
        <v/>
      </c>
      <c r="M154" s="525" t="str">
        <f t="shared" si="67"/>
        <v/>
      </c>
      <c r="N154" s="525" t="str">
        <f t="shared" si="67"/>
        <v/>
      </c>
      <c r="O154" s="525" t="str">
        <f t="shared" si="67"/>
        <v/>
      </c>
      <c r="P154" s="525" t="str">
        <f t="shared" si="67"/>
        <v/>
      </c>
    </row>
    <row r="155" spans="2:16" ht="3.9" customHeight="1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2:16">
      <c r="B156" s="87" t="s">
        <v>663</v>
      </c>
      <c r="C156" s="86">
        <f>C136-C137-C139+C140+C141</f>
        <v>0</v>
      </c>
      <c r="D156" s="86">
        <f t="shared" ref="D156:P156" ca="1" si="68">D136-D137-D139+D140+D141</f>
        <v>0</v>
      </c>
      <c r="E156" s="86">
        <f t="shared" ca="1" si="68"/>
        <v>0</v>
      </c>
      <c r="F156" s="86">
        <f t="shared" ca="1" si="68"/>
        <v>0</v>
      </c>
      <c r="G156" s="86">
        <f t="shared" ca="1" si="68"/>
        <v>0</v>
      </c>
      <c r="H156" s="86">
        <f t="shared" ca="1" si="68"/>
        <v>0</v>
      </c>
      <c r="I156" s="86">
        <f t="shared" ca="1" si="68"/>
        <v>0</v>
      </c>
      <c r="J156" s="86">
        <f t="shared" ca="1" si="68"/>
        <v>0</v>
      </c>
      <c r="K156" s="86">
        <f t="shared" ca="1" si="68"/>
        <v>0</v>
      </c>
      <c r="L156" s="86">
        <f t="shared" ca="1" si="68"/>
        <v>0</v>
      </c>
      <c r="M156" s="86">
        <f t="shared" ca="1" si="68"/>
        <v>0</v>
      </c>
      <c r="N156" s="86">
        <f t="shared" ca="1" si="68"/>
        <v>0</v>
      </c>
      <c r="O156" s="86">
        <f t="shared" ca="1" si="68"/>
        <v>0</v>
      </c>
      <c r="P156" s="86">
        <f t="shared" ca="1" si="68"/>
        <v>0</v>
      </c>
    </row>
    <row r="157" spans="2:16">
      <c r="B157" s="87" t="s">
        <v>695</v>
      </c>
      <c r="C157" s="86">
        <f>IF(AND(C$66&gt;=Poczatek,C$66&lt;=Koniec),C156,0)</f>
        <v>0</v>
      </c>
      <c r="D157" s="86">
        <f t="shared" ref="D157:P157" ca="1" si="69">IF(AND(D$66&gt;=Poczatek,D$66&lt;=Koniec),(C157+D156),0)</f>
        <v>0</v>
      </c>
      <c r="E157" s="86">
        <f t="shared" ca="1" si="69"/>
        <v>0</v>
      </c>
      <c r="F157" s="86">
        <f t="shared" ca="1" si="69"/>
        <v>0</v>
      </c>
      <c r="G157" s="86">
        <f t="shared" ca="1" si="69"/>
        <v>0</v>
      </c>
      <c r="H157" s="86">
        <f t="shared" ca="1" si="69"/>
        <v>0</v>
      </c>
      <c r="I157" s="86">
        <f t="shared" ca="1" si="69"/>
        <v>0</v>
      </c>
      <c r="J157" s="86">
        <f t="shared" ca="1" si="69"/>
        <v>0</v>
      </c>
      <c r="K157" s="86">
        <f t="shared" ca="1" si="69"/>
        <v>0</v>
      </c>
      <c r="L157" s="86">
        <f t="shared" ca="1" si="69"/>
        <v>0</v>
      </c>
      <c r="M157" s="86">
        <f t="shared" ca="1" si="69"/>
        <v>0</v>
      </c>
      <c r="N157" s="86">
        <f t="shared" ca="1" si="69"/>
        <v>0</v>
      </c>
      <c r="O157" s="86">
        <f t="shared" ca="1" si="69"/>
        <v>0</v>
      </c>
      <c r="P157" s="86">
        <f t="shared" ca="1" si="69"/>
        <v>0</v>
      </c>
    </row>
    <row r="158" spans="2:16">
      <c r="B158" s="87" t="s">
        <v>664</v>
      </c>
      <c r="C158" s="86">
        <f t="shared" ref="C158:D158" si="70">IFERROR(ROUND(C144*C156,0),0)</f>
        <v>0</v>
      </c>
      <c r="D158" s="86">
        <f t="shared" ca="1" si="70"/>
        <v>0</v>
      </c>
      <c r="E158" s="86">
        <f t="shared" ref="E158:P158" ca="1" si="71">IFERROR(ROUND(E144*E156,0),0)</f>
        <v>0</v>
      </c>
      <c r="F158" s="86">
        <f t="shared" ca="1" si="71"/>
        <v>0</v>
      </c>
      <c r="G158" s="86">
        <f t="shared" ca="1" si="71"/>
        <v>0</v>
      </c>
      <c r="H158" s="86">
        <f t="shared" ca="1" si="71"/>
        <v>0</v>
      </c>
      <c r="I158" s="86">
        <f t="shared" ca="1" si="71"/>
        <v>0</v>
      </c>
      <c r="J158" s="86">
        <f t="shared" ca="1" si="71"/>
        <v>0</v>
      </c>
      <c r="K158" s="86">
        <f t="shared" ca="1" si="71"/>
        <v>0</v>
      </c>
      <c r="L158" s="86">
        <f t="shared" ca="1" si="71"/>
        <v>0</v>
      </c>
      <c r="M158" s="86">
        <f t="shared" ca="1" si="71"/>
        <v>0</v>
      </c>
      <c r="N158" s="86">
        <f t="shared" ca="1" si="71"/>
        <v>0</v>
      </c>
      <c r="O158" s="86">
        <f t="shared" ca="1" si="71"/>
        <v>0</v>
      </c>
      <c r="P158" s="86">
        <f t="shared" ca="1" si="71"/>
        <v>0</v>
      </c>
    </row>
    <row r="159" spans="2:16">
      <c r="B159" s="87" t="s">
        <v>694</v>
      </c>
      <c r="C159" s="86">
        <f>IF(AND(C$66&gt;Koniec_Projekt,C$66&lt;=Koniec),C158,0)</f>
        <v>0</v>
      </c>
      <c r="D159" s="86">
        <f>IF(AND(D$66&gt;Koniec_Projekt,D$66&lt;=Koniec),SUM($C158:D158),0)</f>
        <v>0</v>
      </c>
      <c r="E159" s="86">
        <f>IF(AND(E$66&gt;Koniec_Projekt,E$66&lt;=Koniec),SUM($C158:E158),0)</f>
        <v>0</v>
      </c>
      <c r="F159" s="86">
        <f>IF(AND(F$66&gt;Koniec_Projekt,F$66&lt;=Koniec),SUM($C158:F158),0)</f>
        <v>0</v>
      </c>
      <c r="G159" s="86">
        <f>IF(AND(G$66&gt;Koniec_Projekt,G$66&lt;=Koniec),SUM($C158:G158),0)</f>
        <v>0</v>
      </c>
      <c r="H159" s="86">
        <f>IF(AND(H$66&gt;Koniec_Projekt,H$66&lt;=Koniec),SUM($C158:H158),0)</f>
        <v>0</v>
      </c>
      <c r="I159" s="86">
        <f>IF(AND(I$66&gt;Koniec_Projekt,I$66&lt;=Koniec),SUM($C158:I158),0)</f>
        <v>0</v>
      </c>
      <c r="J159" s="86">
        <f>IF(AND(J$66&gt;Koniec_Projekt,J$66&lt;=Koniec),SUM($C158:J158),0)</f>
        <v>0</v>
      </c>
      <c r="K159" s="86">
        <f>IF(AND(K$66&gt;Koniec_Projekt,K$66&lt;=Koniec),SUM($C158:K158),0)</f>
        <v>0</v>
      </c>
      <c r="L159" s="86">
        <f>IF(AND(L$66&gt;Koniec_Projekt,L$66&lt;=Koniec),SUM($C158:L158),0)</f>
        <v>0</v>
      </c>
      <c r="M159" s="86">
        <f>IF(AND(M$66&gt;Koniec_Projekt,M$66&lt;=Koniec),SUM($C158:M158),0)</f>
        <v>0</v>
      </c>
      <c r="N159" s="86">
        <f>IF(AND(N$66&gt;Koniec_Projekt,N$66&lt;=Koniec),SUM($C158:N158),0)</f>
        <v>0</v>
      </c>
      <c r="O159" s="86">
        <f>IF(AND(O$66&gt;Koniec_Projekt,O$66&lt;=Koniec),SUM($C158:O158),0)</f>
        <v>0</v>
      </c>
      <c r="P159" s="86">
        <f>IF(AND(P$66&gt;Koniec_Projekt,P$66&lt;=Koniec),SUM($C158:P158),0)</f>
        <v>0</v>
      </c>
    </row>
    <row r="160" spans="2:16">
      <c r="B160" s="87" t="s">
        <v>665</v>
      </c>
      <c r="C160" s="421" t="str">
        <f>IF(AND(C$66&gt;=Poczatek,C$66&lt;=Koniec),IFERROR(IRR($C$156:C156),"n/d"),IF(OR(C$66&lt;Poczatek,C$66&gt;Koniec),"",0))</f>
        <v/>
      </c>
      <c r="D160" s="421" t="str">
        <f ca="1">IF(AND(D$66&gt;=Poczatek,D$66&lt;=Koniec),IFERROR(IRR($C$156:D156),"n/d"),IF(OR(D$66&lt;Poczatek,D$66&gt;Koniec),"",0))</f>
        <v>n/d</v>
      </c>
      <c r="E160" s="421" t="str">
        <f ca="1">IF(AND(E$66&gt;=Poczatek,E$66&lt;=Koniec),IFERROR(IRR($C$156:E156),"n/d"),IF(OR(E$66&lt;Poczatek,E$66&gt;Koniec),"",0))</f>
        <v>n/d</v>
      </c>
      <c r="F160" s="421" t="str">
        <f ca="1">IF(AND(F$66&gt;=Poczatek,F$66&lt;=Koniec),IFERROR(IRR($C$156:F156),"n/d"),IF(OR(F$66&lt;Poczatek,F$66&gt;Koniec),"",0))</f>
        <v>n/d</v>
      </c>
      <c r="G160" s="421" t="str">
        <f ca="1">IF(AND(G$66&gt;=Poczatek,G$66&lt;=Koniec),IFERROR(IRR($C$156:G156),"n/d"),IF(OR(G$66&lt;Poczatek,G$66&gt;Koniec),"",0))</f>
        <v>n/d</v>
      </c>
      <c r="H160" s="421" t="str">
        <f ca="1">IF(AND(H$66&gt;=Poczatek,H$66&lt;=Koniec),IFERROR(IRR($C$156:H156),"n/d"),IF(OR(H$66&lt;Poczatek,H$66&gt;Koniec),"",0))</f>
        <v>n/d</v>
      </c>
      <c r="I160" s="421" t="str">
        <f ca="1">IF(AND(I$66&gt;=Poczatek,I$66&lt;=Koniec),IFERROR(IRR($C$156:I156),"n/d"),IF(OR(I$66&lt;Poczatek,I$66&gt;Koniec),"",0))</f>
        <v>n/d</v>
      </c>
      <c r="J160" s="421" t="str">
        <f ca="1">IF(AND(J$66&gt;=Poczatek,J$66&lt;=Koniec),IFERROR(IRR($C$156:J156),"n/d"),IF(OR(J$66&lt;Poczatek,J$66&gt;Koniec),"",0))</f>
        <v>n/d</v>
      </c>
      <c r="K160" s="421" t="str">
        <f ca="1">IF(AND(K$66&gt;=Poczatek,K$66&lt;=Koniec),IFERROR(IRR($C$156:K156),"n/d"),IF(OR(K$66&lt;Poczatek,K$66&gt;Koniec),"",0))</f>
        <v>n/d</v>
      </c>
      <c r="L160" s="421" t="str">
        <f ca="1">IF(AND(L$66&gt;=Poczatek,L$66&lt;=Koniec),IFERROR(IRR($C$156:L156),"n/d"),IF(OR(L$66&lt;Poczatek,L$66&gt;Koniec),"",0))</f>
        <v>n/d</v>
      </c>
      <c r="M160" s="421" t="str">
        <f ca="1">IF(AND(M$66&gt;=Poczatek,M$66&lt;=Koniec),IFERROR(IRR($C$156:M156),"n/d"),IF(OR(M$66&lt;Poczatek,M$66&gt;Koniec),"",0))</f>
        <v>n/d</v>
      </c>
      <c r="N160" s="421" t="str">
        <f ca="1">IF(AND(N$66&gt;=Poczatek,N$66&lt;=Koniec),IFERROR(IRR($C$156:N156),"n/d"),IF(OR(N$66&lt;Poczatek,N$66&gt;Koniec),"",0))</f>
        <v>n/d</v>
      </c>
      <c r="O160" s="421" t="str">
        <f ca="1">IF(AND(O$66&gt;=Poczatek,O$66&lt;=Koniec),IFERROR(IRR($C$156:O156),"n/d"),IF(OR(O$66&lt;Poczatek,O$66&gt;Koniec),"",0))</f>
        <v>n/d</v>
      </c>
      <c r="P160" s="421" t="str">
        <f ca="1">IF(AND(P$66&gt;=Poczatek,P$66&lt;=Koniec),IFERROR(IRR($C$156:P156),"n/d"),IF(OR(P$66&lt;Poczatek,P$66&gt;Koniec),"",0))</f>
        <v>n/d</v>
      </c>
    </row>
    <row r="161" spans="2:16"/>
    <row r="162" spans="2:16"/>
    <row r="163" spans="2:16">
      <c r="B163" s="366" t="s">
        <v>761</v>
      </c>
      <c r="C163" s="366" t="str">
        <f>C$77</f>
        <v>Uzupełnij dane</v>
      </c>
      <c r="D163" s="366" t="str">
        <f t="shared" ref="D163:P163" si="72">D$77</f>
        <v/>
      </c>
      <c r="E163" s="366" t="str">
        <f t="shared" si="72"/>
        <v/>
      </c>
      <c r="F163" s="366" t="str">
        <f t="shared" si="72"/>
        <v/>
      </c>
      <c r="G163" s="366" t="str">
        <f t="shared" si="72"/>
        <v/>
      </c>
      <c r="H163" s="366" t="str">
        <f t="shared" si="72"/>
        <v/>
      </c>
      <c r="I163" s="366" t="str">
        <f t="shared" si="72"/>
        <v/>
      </c>
      <c r="J163" s="366" t="str">
        <f t="shared" si="72"/>
        <v/>
      </c>
      <c r="K163" s="366" t="str">
        <f t="shared" si="72"/>
        <v/>
      </c>
      <c r="L163" s="366" t="str">
        <f t="shared" si="72"/>
        <v/>
      </c>
      <c r="M163" s="366" t="str">
        <f t="shared" si="72"/>
        <v/>
      </c>
      <c r="N163" s="366" t="str">
        <f t="shared" si="72"/>
        <v/>
      </c>
      <c r="O163" s="366" t="str">
        <f t="shared" si="72"/>
        <v/>
      </c>
      <c r="P163" s="366" t="str">
        <f t="shared" si="72"/>
        <v/>
      </c>
    </row>
    <row r="164" spans="2:16" ht="3.9" customHeight="1"/>
    <row r="165" spans="2:16" ht="12" customHeight="1">
      <c r="B165" s="98" t="s">
        <v>93</v>
      </c>
      <c r="C165" s="97">
        <f t="shared" ref="C165:P165" si="73">SUM(C166:C167)</f>
        <v>0</v>
      </c>
      <c r="D165" s="97">
        <f t="shared" si="73"/>
        <v>0</v>
      </c>
      <c r="E165" s="97">
        <f t="shared" si="73"/>
        <v>0</v>
      </c>
      <c r="F165" s="97">
        <f t="shared" si="73"/>
        <v>0</v>
      </c>
      <c r="G165" s="97">
        <f t="shared" si="73"/>
        <v>0</v>
      </c>
      <c r="H165" s="97">
        <f t="shared" si="73"/>
        <v>0</v>
      </c>
      <c r="I165" s="97">
        <f t="shared" si="73"/>
        <v>0</v>
      </c>
      <c r="J165" s="97">
        <f t="shared" si="73"/>
        <v>0</v>
      </c>
      <c r="K165" s="97">
        <f t="shared" si="73"/>
        <v>0</v>
      </c>
      <c r="L165" s="97">
        <f t="shared" si="73"/>
        <v>0</v>
      </c>
      <c r="M165" s="97">
        <f t="shared" si="73"/>
        <v>0</v>
      </c>
      <c r="N165" s="97">
        <f t="shared" si="73"/>
        <v>0</v>
      </c>
      <c r="O165" s="97">
        <f t="shared" si="73"/>
        <v>0</v>
      </c>
      <c r="P165" s="97">
        <f t="shared" si="73"/>
        <v>0</v>
      </c>
    </row>
    <row r="166" spans="2:16">
      <c r="B166" s="460" t="s">
        <v>95</v>
      </c>
      <c r="C166" s="461">
        <f>C170+C174+C178+C182+C186+C190+C194</f>
        <v>0</v>
      </c>
      <c r="D166" s="461">
        <f t="shared" ref="D166:P166" si="74">D170+D174+D178+D182+D186+D190+D194</f>
        <v>0</v>
      </c>
      <c r="E166" s="461">
        <f t="shared" si="74"/>
        <v>0</v>
      </c>
      <c r="F166" s="461">
        <f t="shared" si="74"/>
        <v>0</v>
      </c>
      <c r="G166" s="461">
        <f t="shared" si="74"/>
        <v>0</v>
      </c>
      <c r="H166" s="461">
        <f t="shared" si="74"/>
        <v>0</v>
      </c>
      <c r="I166" s="461">
        <f t="shared" si="74"/>
        <v>0</v>
      </c>
      <c r="J166" s="461">
        <f t="shared" si="74"/>
        <v>0</v>
      </c>
      <c r="K166" s="462">
        <f t="shared" si="74"/>
        <v>0</v>
      </c>
      <c r="L166" s="462">
        <f t="shared" si="74"/>
        <v>0</v>
      </c>
      <c r="M166" s="462">
        <f t="shared" si="74"/>
        <v>0</v>
      </c>
      <c r="N166" s="462">
        <f t="shared" si="74"/>
        <v>0</v>
      </c>
      <c r="O166" s="462">
        <f t="shared" si="74"/>
        <v>0</v>
      </c>
      <c r="P166" s="462">
        <f t="shared" si="74"/>
        <v>0</v>
      </c>
    </row>
    <row r="167" spans="2:16">
      <c r="B167" s="463" t="s">
        <v>96</v>
      </c>
      <c r="C167" s="464">
        <f>C171+C175+C179+C183+C187+C191+C195</f>
        <v>0</v>
      </c>
      <c r="D167" s="464">
        <f t="shared" ref="D167:P167" si="75">D171+D175+D179+D183+D187+D191+D195</f>
        <v>0</v>
      </c>
      <c r="E167" s="464">
        <f t="shared" si="75"/>
        <v>0</v>
      </c>
      <c r="F167" s="464">
        <f t="shared" si="75"/>
        <v>0</v>
      </c>
      <c r="G167" s="464">
        <f t="shared" si="75"/>
        <v>0</v>
      </c>
      <c r="H167" s="464">
        <f t="shared" si="75"/>
        <v>0</v>
      </c>
      <c r="I167" s="464">
        <f t="shared" si="75"/>
        <v>0</v>
      </c>
      <c r="J167" s="464">
        <f t="shared" si="75"/>
        <v>0</v>
      </c>
      <c r="K167" s="465">
        <f t="shared" si="75"/>
        <v>0</v>
      </c>
      <c r="L167" s="465">
        <f t="shared" si="75"/>
        <v>0</v>
      </c>
      <c r="M167" s="465">
        <f t="shared" si="75"/>
        <v>0</v>
      </c>
      <c r="N167" s="465">
        <f t="shared" si="75"/>
        <v>0</v>
      </c>
      <c r="O167" s="465">
        <f t="shared" si="75"/>
        <v>0</v>
      </c>
      <c r="P167" s="465">
        <f t="shared" si="75"/>
        <v>0</v>
      </c>
    </row>
    <row r="168" spans="2:16" ht="3.9" customHeight="1"/>
    <row r="169" spans="2:16" ht="12" customHeight="1">
      <c r="B169" s="353" t="s">
        <v>94</v>
      </c>
      <c r="C169" s="354">
        <f t="shared" ref="C169:P169" si="76">SUM(C170:C171)</f>
        <v>0</v>
      </c>
      <c r="D169" s="354">
        <f t="shared" si="76"/>
        <v>0</v>
      </c>
      <c r="E169" s="354">
        <f t="shared" si="76"/>
        <v>0</v>
      </c>
      <c r="F169" s="354">
        <f t="shared" si="76"/>
        <v>0</v>
      </c>
      <c r="G169" s="354">
        <f t="shared" si="76"/>
        <v>0</v>
      </c>
      <c r="H169" s="354">
        <f t="shared" si="76"/>
        <v>0</v>
      </c>
      <c r="I169" s="354">
        <f t="shared" si="76"/>
        <v>0</v>
      </c>
      <c r="J169" s="354">
        <f t="shared" si="76"/>
        <v>0</v>
      </c>
      <c r="K169" s="354">
        <f t="shared" si="76"/>
        <v>0</v>
      </c>
      <c r="L169" s="354">
        <f t="shared" si="76"/>
        <v>0</v>
      </c>
      <c r="M169" s="354">
        <f t="shared" si="76"/>
        <v>0</v>
      </c>
      <c r="N169" s="354">
        <f t="shared" si="76"/>
        <v>0</v>
      </c>
      <c r="O169" s="354">
        <f t="shared" si="76"/>
        <v>0</v>
      </c>
      <c r="P169" s="354">
        <f t="shared" si="76"/>
        <v>0</v>
      </c>
    </row>
    <row r="170" spans="2:16" ht="12" customHeight="1">
      <c r="B170" s="355" t="s">
        <v>95</v>
      </c>
      <c r="C170" s="356" cm="1">
        <f t="array" ref="C170">SUMPRODUCT(ISNUMBER(MATCH(mod_st_zpr,$B$163,0))*('Koszty operacyjne'!$K$114:$X$114=Moduły!C$77)*ISNUMBER(MATCH(st_zpr_kw,tak,0)),st_zpr)</f>
        <v>0</v>
      </c>
      <c r="D170" s="356" cm="1">
        <f t="array" ref="D170">SUMPRODUCT(ISNUMBER(MATCH(mod_st_zpr,$B$163,0))*('Koszty operacyjne'!$K$114:$X$114=Moduły!D$77)*ISNUMBER(MATCH(st_zpr_kw,tak,0)),st_zpr)</f>
        <v>0</v>
      </c>
      <c r="E170" s="356" cm="1">
        <f t="array" ref="E170">SUMPRODUCT(ISNUMBER(MATCH(mod_st_zpr,$B$163,0))*('Koszty operacyjne'!$K$114:$X$114=Moduły!E$77)*ISNUMBER(MATCH(st_zpr_kw,tak,0)),st_zpr)</f>
        <v>0</v>
      </c>
      <c r="F170" s="356" cm="1">
        <f t="array" ref="F170">SUMPRODUCT(ISNUMBER(MATCH(mod_st_zpr,$B$163,0))*('Koszty operacyjne'!$K$114:$X$114=Moduły!F$77)*ISNUMBER(MATCH(st_zpr_kw,tak,0)),st_zpr)</f>
        <v>0</v>
      </c>
      <c r="G170" s="356" cm="1">
        <f t="array" ref="G170">SUMPRODUCT(ISNUMBER(MATCH(mod_st_zpr,$B$163,0))*('Koszty operacyjne'!$K$114:$X$114=Moduły!G$77)*ISNUMBER(MATCH(st_zpr_kw,tak,0)),st_zpr)</f>
        <v>0</v>
      </c>
      <c r="H170" s="356" cm="1">
        <f t="array" ref="H170">SUMPRODUCT(ISNUMBER(MATCH(mod_st_zpr,$B$163,0))*('Koszty operacyjne'!$K$114:$X$114=Moduły!H$77)*ISNUMBER(MATCH(st_zpr_kw,tak,0)),st_zpr)</f>
        <v>0</v>
      </c>
      <c r="I170" s="356" cm="1">
        <f t="array" ref="I170">SUMPRODUCT(ISNUMBER(MATCH(mod_st_zpr,$B$163,0))*('Koszty operacyjne'!$K$114:$X$114=Moduły!I$77)*ISNUMBER(MATCH(st_zpr_kw,tak,0)),st_zpr)</f>
        <v>0</v>
      </c>
      <c r="J170" s="356" cm="1">
        <f t="array" ref="J170">SUMPRODUCT(ISNUMBER(MATCH(mod_st_zpr,$B$163,0))*('Koszty operacyjne'!$K$114:$X$114=Moduły!J$77)*ISNUMBER(MATCH(st_zpr_kw,tak,0)),st_zpr)</f>
        <v>0</v>
      </c>
      <c r="K170" s="356" cm="1">
        <f t="array" ref="K170">SUMPRODUCT(ISNUMBER(MATCH(mod_st_zpr,$B$163,0))*('Koszty operacyjne'!$K$114:$X$114=Moduły!K$77)*ISNUMBER(MATCH(st_zpr_kw,tak,0)),st_zpr)</f>
        <v>0</v>
      </c>
      <c r="L170" s="356" cm="1">
        <f t="array" ref="L170">SUMPRODUCT(ISNUMBER(MATCH(mod_st_zpr,$B$163,0))*('Koszty operacyjne'!$K$114:$X$114=Moduły!L$77)*ISNUMBER(MATCH(st_zpr_kw,tak,0)),st_zpr)</f>
        <v>0</v>
      </c>
      <c r="M170" s="356" cm="1">
        <f t="array" ref="M170">SUMPRODUCT(ISNUMBER(MATCH(mod_st_zpr,$B$163,0))*('Koszty operacyjne'!$K$114:$X$114=Moduły!M$77)*ISNUMBER(MATCH(st_zpr_kw,tak,0)),st_zpr)</f>
        <v>0</v>
      </c>
      <c r="N170" s="356" cm="1">
        <f t="array" ref="N170">SUMPRODUCT(ISNUMBER(MATCH(mod_st_zpr,$B$163,0))*('Koszty operacyjne'!$K$114:$X$114=Moduły!N$77)*ISNUMBER(MATCH(st_zpr_kw,tak,0)),st_zpr)</f>
        <v>0</v>
      </c>
      <c r="O170" s="356" cm="1">
        <f t="array" ref="O170">SUMPRODUCT(ISNUMBER(MATCH(mod_st_zpr,$B$163,0))*('Koszty operacyjne'!$K$114:$X$114=Moduły!O$77)*ISNUMBER(MATCH(st_zpr_kw,tak,0)),st_zpr)</f>
        <v>0</v>
      </c>
      <c r="P170" s="356" cm="1">
        <f t="array" ref="P170">SUMPRODUCT(ISNUMBER(MATCH(mod_st_zpr,$B$163,0))*('Koszty operacyjne'!$K$114:$X$114=Moduły!P$77)*ISNUMBER(MATCH(st_zpr_kw,tak,0)),st_zpr)</f>
        <v>0</v>
      </c>
    </row>
    <row r="171" spans="2:16" ht="12" customHeight="1">
      <c r="B171" s="357" t="s">
        <v>96</v>
      </c>
      <c r="C171" s="358" cm="1">
        <f t="array" ref="C171">SUMPRODUCT(ISNUMBER(MATCH(mod_st_zpr,$B$163,0))*('Koszty operacyjne'!$K$114:$X$114=Moduły!C$77)*ISNUMBER(MATCH(st_zpr_kw,nie,0)),st_zpr)</f>
        <v>0</v>
      </c>
      <c r="D171" s="358" cm="1">
        <f t="array" ref="D171">SUMPRODUCT(ISNUMBER(MATCH(mod_st_zpr,$B$163,0))*('Koszty operacyjne'!$K$114:$X$114=Moduły!D$77)*ISNUMBER(MATCH(st_zpr_kw,nie,0)),st_zpr)</f>
        <v>0</v>
      </c>
      <c r="E171" s="358" cm="1">
        <f t="array" ref="E171">SUMPRODUCT(ISNUMBER(MATCH(mod_st_zpr,$B$163,0))*('Koszty operacyjne'!$K$114:$X$114=Moduły!E$77)*ISNUMBER(MATCH(st_zpr_kw,nie,0)),st_zpr)</f>
        <v>0</v>
      </c>
      <c r="F171" s="358" cm="1">
        <f t="array" ref="F171">SUMPRODUCT(ISNUMBER(MATCH(mod_st_zpr,$B$163,0))*('Koszty operacyjne'!$K$114:$X$114=Moduły!F$77)*ISNUMBER(MATCH(st_zpr_kw,nie,0)),st_zpr)</f>
        <v>0</v>
      </c>
      <c r="G171" s="358" cm="1">
        <f t="array" ref="G171">SUMPRODUCT(ISNUMBER(MATCH(mod_st_zpr,$B$163,0))*('Koszty operacyjne'!$K$114:$X$114=Moduły!G$77)*ISNUMBER(MATCH(st_zpr_kw,nie,0)),st_zpr)</f>
        <v>0</v>
      </c>
      <c r="H171" s="358" cm="1">
        <f t="array" ref="H171">SUMPRODUCT(ISNUMBER(MATCH(mod_st_zpr,$B$163,0))*('Koszty operacyjne'!$K$114:$X$114=Moduły!H$77)*ISNUMBER(MATCH(st_zpr_kw,nie,0)),st_zpr)</f>
        <v>0</v>
      </c>
      <c r="I171" s="358" cm="1">
        <f t="array" ref="I171">SUMPRODUCT(ISNUMBER(MATCH(mod_st_zpr,$B$163,0))*('Koszty operacyjne'!$K$114:$X$114=Moduły!I$77)*ISNUMBER(MATCH(st_zpr_kw,nie,0)),st_zpr)</f>
        <v>0</v>
      </c>
      <c r="J171" s="358" cm="1">
        <f t="array" ref="J171">SUMPRODUCT(ISNUMBER(MATCH(mod_st_zpr,$B$163,0))*('Koszty operacyjne'!$K$114:$X$114=Moduły!J$77)*ISNUMBER(MATCH(st_zpr_kw,nie,0)),st_zpr)</f>
        <v>0</v>
      </c>
      <c r="K171" s="359" cm="1">
        <f t="array" ref="K171">SUMPRODUCT(ISNUMBER(MATCH(mod_st_zpr,$B$163,0))*('Koszty operacyjne'!$K$114:$X$114=Moduły!K$77)*ISNUMBER(MATCH(st_zpr_kw,nie,0)),st_zpr)</f>
        <v>0</v>
      </c>
      <c r="L171" s="359" cm="1">
        <f t="array" ref="L171">SUMPRODUCT(ISNUMBER(MATCH(mod_st_zpr,$B$163,0))*('Koszty operacyjne'!$K$114:$X$114=Moduły!L$77)*ISNUMBER(MATCH(st_zpr_kw,nie,0)),st_zpr)</f>
        <v>0</v>
      </c>
      <c r="M171" s="359" cm="1">
        <f t="array" ref="M171">SUMPRODUCT(ISNUMBER(MATCH(mod_st_zpr,$B$163,0))*('Koszty operacyjne'!$K$114:$X$114=Moduły!M$77)*ISNUMBER(MATCH(st_zpr_kw,nie,0)),st_zpr)</f>
        <v>0</v>
      </c>
      <c r="N171" s="359" cm="1">
        <f t="array" ref="N171">SUMPRODUCT(ISNUMBER(MATCH(mod_st_zpr,$B$163,0))*('Koszty operacyjne'!$K$114:$X$114=Moduły!N$77)*ISNUMBER(MATCH(st_zpr_kw,nie,0)),st_zpr)</f>
        <v>0</v>
      </c>
      <c r="O171" s="359" cm="1">
        <f t="array" ref="O171">SUMPRODUCT(ISNUMBER(MATCH(mod_st_zpr,$B$163,0))*('Koszty operacyjne'!$K$114:$X$114=Moduły!O$77)*ISNUMBER(MATCH(st_zpr_kw,nie,0)),st_zpr)</f>
        <v>0</v>
      </c>
      <c r="P171" s="359" cm="1">
        <f t="array" ref="P171">SUMPRODUCT(ISNUMBER(MATCH(mod_st_zpr,$B$163,0))*('Koszty operacyjne'!$K$114:$X$114=Moduły!P$77)*ISNUMBER(MATCH(st_zpr_kw,nie,0)),st_zpr)</f>
        <v>0</v>
      </c>
    </row>
    <row r="172" spans="2:16" ht="3.9" customHeight="1">
      <c r="B172" s="360"/>
      <c r="C172" s="361"/>
      <c r="D172" s="361"/>
      <c r="E172" s="361"/>
      <c r="F172" s="361"/>
      <c r="G172" s="361"/>
      <c r="H172" s="361"/>
      <c r="I172" s="361"/>
      <c r="J172" s="361"/>
      <c r="K172" s="362"/>
      <c r="L172" s="362"/>
      <c r="M172" s="362"/>
      <c r="N172" s="362"/>
      <c r="O172" s="362"/>
      <c r="P172" s="362"/>
    </row>
    <row r="173" spans="2:16" ht="12" customHeight="1">
      <c r="B173" s="353" t="s">
        <v>97</v>
      </c>
      <c r="C173" s="354">
        <f t="shared" ref="C173:P173" si="77">SUM(C174:C175)</f>
        <v>0</v>
      </c>
      <c r="D173" s="354">
        <f t="shared" si="77"/>
        <v>0</v>
      </c>
      <c r="E173" s="354">
        <f t="shared" si="77"/>
        <v>0</v>
      </c>
      <c r="F173" s="354">
        <f t="shared" si="77"/>
        <v>0</v>
      </c>
      <c r="G173" s="354">
        <f t="shared" si="77"/>
        <v>0</v>
      </c>
      <c r="H173" s="354">
        <f t="shared" si="77"/>
        <v>0</v>
      </c>
      <c r="I173" s="354">
        <f t="shared" si="77"/>
        <v>0</v>
      </c>
      <c r="J173" s="354">
        <f t="shared" si="77"/>
        <v>0</v>
      </c>
      <c r="K173" s="354">
        <f t="shared" si="77"/>
        <v>0</v>
      </c>
      <c r="L173" s="354">
        <f t="shared" si="77"/>
        <v>0</v>
      </c>
      <c r="M173" s="354">
        <f t="shared" si="77"/>
        <v>0</v>
      </c>
      <c r="N173" s="354">
        <f t="shared" si="77"/>
        <v>0</v>
      </c>
      <c r="O173" s="354">
        <f t="shared" si="77"/>
        <v>0</v>
      </c>
      <c r="P173" s="354">
        <f t="shared" si="77"/>
        <v>0</v>
      </c>
    </row>
    <row r="174" spans="2:16" ht="12" customHeight="1">
      <c r="B174" s="355" t="s">
        <v>95</v>
      </c>
      <c r="C174" s="356" cm="1">
        <f t="array" ref="C174">SUMPRODUCT(ISNUMBER(MATCH(mod_st_wnp,$B$163,0))*('Koszty operacyjne'!$K$114:$X$114=Moduły!C$77)*ISNUMBER(MATCH(st_wnp_kw,tak,0)),st_wnp)</f>
        <v>0</v>
      </c>
      <c r="D174" s="356" cm="1">
        <f t="array" ref="D174">SUMPRODUCT(ISNUMBER(MATCH(mod_st_wnp,$B$163,0))*('Koszty operacyjne'!$K$114:$X$114=Moduły!D$77)*ISNUMBER(MATCH(st_wnp_kw,tak,0)),st_wnp)</f>
        <v>0</v>
      </c>
      <c r="E174" s="356" cm="1">
        <f t="array" ref="E174">SUMPRODUCT(ISNUMBER(MATCH(mod_st_wnp,$B$163,0))*('Koszty operacyjne'!$K$114:$X$114=Moduły!E$77)*ISNUMBER(MATCH(st_wnp_kw,tak,0)),st_wnp)</f>
        <v>0</v>
      </c>
      <c r="F174" s="356" cm="1">
        <f t="array" ref="F174">SUMPRODUCT(ISNUMBER(MATCH(mod_st_wnp,$B$163,0))*('Koszty operacyjne'!$K$114:$X$114=Moduły!F$77)*ISNUMBER(MATCH(st_wnp_kw,tak,0)),st_wnp)</f>
        <v>0</v>
      </c>
      <c r="G174" s="356" cm="1">
        <f t="array" ref="G174">SUMPRODUCT(ISNUMBER(MATCH(mod_st_wnp,$B$163,0))*('Koszty operacyjne'!$K$114:$X$114=Moduły!G$77)*ISNUMBER(MATCH(st_wnp_kw,tak,0)),st_wnp)</f>
        <v>0</v>
      </c>
      <c r="H174" s="356" cm="1">
        <f t="array" ref="H174">SUMPRODUCT(ISNUMBER(MATCH(mod_st_wnp,$B$163,0))*('Koszty operacyjne'!$K$114:$X$114=Moduły!H$77)*ISNUMBER(MATCH(st_wnp_kw,tak,0)),st_wnp)</f>
        <v>0</v>
      </c>
      <c r="I174" s="356" cm="1">
        <f t="array" ref="I174">SUMPRODUCT(ISNUMBER(MATCH(mod_st_wnp,$B$163,0))*('Koszty operacyjne'!$K$114:$X$114=Moduły!I$77)*ISNUMBER(MATCH(st_wnp_kw,tak,0)),st_wnp)</f>
        <v>0</v>
      </c>
      <c r="J174" s="356" cm="1">
        <f t="array" ref="J174">SUMPRODUCT(ISNUMBER(MATCH(mod_st_wnp,$B$163,0))*('Koszty operacyjne'!$K$114:$X$114=Moduły!J$77)*ISNUMBER(MATCH(st_wnp_kw,tak,0)),st_wnp)</f>
        <v>0</v>
      </c>
      <c r="K174" s="356" cm="1">
        <f t="array" ref="K174">SUMPRODUCT(ISNUMBER(MATCH(mod_st_wnp,$B$163,0))*('Koszty operacyjne'!$K$114:$X$114=Moduły!K$77)*ISNUMBER(MATCH(st_wnp_kw,tak,0)),st_wnp)</f>
        <v>0</v>
      </c>
      <c r="L174" s="356" cm="1">
        <f t="array" ref="L174">SUMPRODUCT(ISNUMBER(MATCH(mod_st_wnp,$B$163,0))*('Koszty operacyjne'!$K$114:$X$114=Moduły!L$77)*ISNUMBER(MATCH(st_wnp_kw,tak,0)),st_wnp)</f>
        <v>0</v>
      </c>
      <c r="M174" s="356" cm="1">
        <f t="array" ref="M174">SUMPRODUCT(ISNUMBER(MATCH(mod_st_wnp,$B$163,0))*('Koszty operacyjne'!$K$114:$X$114=Moduły!M$77)*ISNUMBER(MATCH(st_wnp_kw,tak,0)),st_wnp)</f>
        <v>0</v>
      </c>
      <c r="N174" s="356" cm="1">
        <f t="array" ref="N174">SUMPRODUCT(ISNUMBER(MATCH(mod_st_wnp,$B$163,0))*('Koszty operacyjne'!$K$114:$X$114=Moduły!N$77)*ISNUMBER(MATCH(st_wnp_kw,tak,0)),st_wnp)</f>
        <v>0</v>
      </c>
      <c r="O174" s="356" cm="1">
        <f t="array" ref="O174">SUMPRODUCT(ISNUMBER(MATCH(mod_st_wnp,$B$163,0))*('Koszty operacyjne'!$K$114:$X$114=Moduły!O$77)*ISNUMBER(MATCH(st_wnp_kw,tak,0)),st_wnp)</f>
        <v>0</v>
      </c>
      <c r="P174" s="356" cm="1">
        <f t="array" ref="P174">SUMPRODUCT(ISNUMBER(MATCH(mod_st_wnp,$B$163,0))*('Koszty operacyjne'!$K$114:$X$114=Moduły!P$77)*ISNUMBER(MATCH(st_wnp_kw,tak,0)),st_wnp)</f>
        <v>0</v>
      </c>
    </row>
    <row r="175" spans="2:16" ht="12" customHeight="1">
      <c r="B175" s="357" t="s">
        <v>96</v>
      </c>
      <c r="C175" s="358" cm="1">
        <f t="array" ref="C175">SUMPRODUCT(ISNUMBER(MATCH(mod_st_wnp,$B$163,0))*('Koszty operacyjne'!$K$114:$X$114=Moduły!C$77)*ISNUMBER(MATCH(st_wnp_kw,nie,0)),st_wnp)</f>
        <v>0</v>
      </c>
      <c r="D175" s="358" cm="1">
        <f t="array" ref="D175">SUMPRODUCT(ISNUMBER(MATCH(mod_st_wnp,$B$163,0))*('Koszty operacyjne'!$K$114:$X$114=Moduły!D$77)*ISNUMBER(MATCH(st_wnp_kw,nie,0)),st_wnp)</f>
        <v>0</v>
      </c>
      <c r="E175" s="358" cm="1">
        <f t="array" ref="E175">SUMPRODUCT(ISNUMBER(MATCH(mod_st_wnp,$B$163,0))*('Koszty operacyjne'!$K$114:$X$114=Moduły!E$77)*ISNUMBER(MATCH(st_wnp_kw,nie,0)),st_wnp)</f>
        <v>0</v>
      </c>
      <c r="F175" s="358" cm="1">
        <f t="array" ref="F175">SUMPRODUCT(ISNUMBER(MATCH(mod_st_wnp,$B$163,0))*('Koszty operacyjne'!$K$114:$X$114=Moduły!F$77)*ISNUMBER(MATCH(st_wnp_kw,nie,0)),st_wnp)</f>
        <v>0</v>
      </c>
      <c r="G175" s="358" cm="1">
        <f t="array" ref="G175">SUMPRODUCT(ISNUMBER(MATCH(mod_st_wnp,$B$163,0))*('Koszty operacyjne'!$K$114:$X$114=Moduły!G$77)*ISNUMBER(MATCH(st_wnp_kw,nie,0)),st_wnp)</f>
        <v>0</v>
      </c>
      <c r="H175" s="358" cm="1">
        <f t="array" ref="H175">SUMPRODUCT(ISNUMBER(MATCH(mod_st_wnp,$B$163,0))*('Koszty operacyjne'!$K$114:$X$114=Moduły!H$77)*ISNUMBER(MATCH(st_wnp_kw,nie,0)),st_wnp)</f>
        <v>0</v>
      </c>
      <c r="I175" s="358" cm="1">
        <f t="array" ref="I175">SUMPRODUCT(ISNUMBER(MATCH(mod_st_wnp,$B$163,0))*('Koszty operacyjne'!$K$114:$X$114=Moduły!I$77)*ISNUMBER(MATCH(st_wnp_kw,nie,0)),st_wnp)</f>
        <v>0</v>
      </c>
      <c r="J175" s="358" cm="1">
        <f t="array" ref="J175">SUMPRODUCT(ISNUMBER(MATCH(mod_st_wnp,$B$163,0))*('Koszty operacyjne'!$K$114:$X$114=Moduły!J$77)*ISNUMBER(MATCH(st_wnp_kw,nie,0)),st_wnp)</f>
        <v>0</v>
      </c>
      <c r="K175" s="359" cm="1">
        <f t="array" ref="K175">SUMPRODUCT(ISNUMBER(MATCH(mod_st_wnp,$B$163,0))*('Koszty operacyjne'!$K$114:$X$114=Moduły!K$77)*ISNUMBER(MATCH(st_wnp_kw,nie,0)),st_wnp)</f>
        <v>0</v>
      </c>
      <c r="L175" s="359" cm="1">
        <f t="array" ref="L175">SUMPRODUCT(ISNUMBER(MATCH(mod_st_wnp,$B$163,0))*('Koszty operacyjne'!$K$114:$X$114=Moduły!L$77)*ISNUMBER(MATCH(st_wnp_kw,nie,0)),st_wnp)</f>
        <v>0</v>
      </c>
      <c r="M175" s="359" cm="1">
        <f t="array" ref="M175">SUMPRODUCT(ISNUMBER(MATCH(mod_st_wnp,$B$163,0))*('Koszty operacyjne'!$K$114:$X$114=Moduły!M$77)*ISNUMBER(MATCH(st_wnp_kw,nie,0)),st_wnp)</f>
        <v>0</v>
      </c>
      <c r="N175" s="359" cm="1">
        <f t="array" ref="N175">SUMPRODUCT(ISNUMBER(MATCH(mod_st_wnp,$B$163,0))*('Koszty operacyjne'!$K$114:$X$114=Moduły!N$77)*ISNUMBER(MATCH(st_wnp_kw,nie,0)),st_wnp)</f>
        <v>0</v>
      </c>
      <c r="O175" s="359" cm="1">
        <f t="array" ref="O175">SUMPRODUCT(ISNUMBER(MATCH(mod_st_wnp,$B$163,0))*('Koszty operacyjne'!$K$114:$X$114=Moduły!O$77)*ISNUMBER(MATCH(st_wnp_kw,nie,0)),st_wnp)</f>
        <v>0</v>
      </c>
      <c r="P175" s="359" cm="1">
        <f t="array" ref="P175">SUMPRODUCT(ISNUMBER(MATCH(mod_st_wnp,$B$163,0))*('Koszty operacyjne'!$K$114:$X$114=Moduły!P$77)*ISNUMBER(MATCH(st_wnp_kw,nie,0)),st_wnp)</f>
        <v>0</v>
      </c>
    </row>
    <row r="176" spans="2:16" ht="3.9" customHeight="1">
      <c r="B176" s="8"/>
      <c r="C176" s="361"/>
      <c r="D176" s="361"/>
      <c r="E176" s="361"/>
      <c r="F176" s="361"/>
      <c r="G176" s="361"/>
      <c r="H176" s="361"/>
      <c r="I176" s="361"/>
      <c r="J176" s="361"/>
      <c r="K176" s="362"/>
      <c r="L176" s="362"/>
      <c r="M176" s="362"/>
      <c r="N176" s="362"/>
      <c r="O176" s="362"/>
      <c r="P176" s="362"/>
    </row>
    <row r="177" spans="2:16" ht="12" customHeight="1">
      <c r="B177" s="353" t="s">
        <v>98</v>
      </c>
      <c r="C177" s="354">
        <f t="shared" ref="C177:P177" si="78">SUM(C178:C179)</f>
        <v>0</v>
      </c>
      <c r="D177" s="354">
        <f t="shared" si="78"/>
        <v>0</v>
      </c>
      <c r="E177" s="354">
        <f t="shared" si="78"/>
        <v>0</v>
      </c>
      <c r="F177" s="354">
        <f t="shared" si="78"/>
        <v>0</v>
      </c>
      <c r="G177" s="354">
        <f t="shared" si="78"/>
        <v>0</v>
      </c>
      <c r="H177" s="354">
        <f t="shared" si="78"/>
        <v>0</v>
      </c>
      <c r="I177" s="354">
        <f t="shared" si="78"/>
        <v>0</v>
      </c>
      <c r="J177" s="354">
        <f t="shared" si="78"/>
        <v>0</v>
      </c>
      <c r="K177" s="354">
        <f t="shared" si="78"/>
        <v>0</v>
      </c>
      <c r="L177" s="354">
        <f t="shared" si="78"/>
        <v>0</v>
      </c>
      <c r="M177" s="354">
        <f t="shared" si="78"/>
        <v>0</v>
      </c>
      <c r="N177" s="354">
        <f t="shared" si="78"/>
        <v>0</v>
      </c>
      <c r="O177" s="354">
        <f t="shared" si="78"/>
        <v>0</v>
      </c>
      <c r="P177" s="354">
        <f t="shared" si="78"/>
        <v>0</v>
      </c>
    </row>
    <row r="178" spans="2:16" ht="12" customHeight="1">
      <c r="B178" s="355" t="s">
        <v>95</v>
      </c>
      <c r="C178" s="356" cm="1">
        <f t="array" ref="C178">SUMPRODUCT(ISNUMBER(MATCH(mod_st_gry,$B$163,0))*('Koszty operacyjne'!$K$114:$X$114=Moduły!C$77)*ISNUMBER(MATCH(st_gry_kw,tak,0)),st_gry)</f>
        <v>0</v>
      </c>
      <c r="D178" s="356" cm="1">
        <f t="array" ref="D178">SUMPRODUCT(ISNUMBER(MATCH(mod_st_gry,$B$163,0))*('Koszty operacyjne'!$K$114:$X$114=Moduły!D$77)*ISNUMBER(MATCH(st_gry_kw,tak,0)),st_gry)</f>
        <v>0</v>
      </c>
      <c r="E178" s="356" cm="1">
        <f t="array" ref="E178">SUMPRODUCT(ISNUMBER(MATCH(mod_st_gry,$B$163,0))*('Koszty operacyjne'!$K$114:$X$114=Moduły!E$77)*ISNUMBER(MATCH(st_gry_kw,tak,0)),st_gry)</f>
        <v>0</v>
      </c>
      <c r="F178" s="356" cm="1">
        <f t="array" ref="F178">SUMPRODUCT(ISNUMBER(MATCH(mod_st_gry,$B$163,0))*('Koszty operacyjne'!$K$114:$X$114=Moduły!F$77)*ISNUMBER(MATCH(st_gry_kw,tak,0)),st_gry)</f>
        <v>0</v>
      </c>
      <c r="G178" s="356" cm="1">
        <f t="array" ref="G178">SUMPRODUCT(ISNUMBER(MATCH(mod_st_gry,$B$163,0))*('Koszty operacyjne'!$K$114:$X$114=Moduły!G$77)*ISNUMBER(MATCH(st_gry_kw,tak,0)),st_gry)</f>
        <v>0</v>
      </c>
      <c r="H178" s="356" cm="1">
        <f t="array" ref="H178">SUMPRODUCT(ISNUMBER(MATCH(mod_st_gry,$B$163,0))*('Koszty operacyjne'!$K$114:$X$114=Moduły!H$77)*ISNUMBER(MATCH(st_gry_kw,tak,0)),st_gry)</f>
        <v>0</v>
      </c>
      <c r="I178" s="356" cm="1">
        <f t="array" ref="I178">SUMPRODUCT(ISNUMBER(MATCH(mod_st_gry,$B$163,0))*('Koszty operacyjne'!$K$114:$X$114=Moduły!I$77)*ISNUMBER(MATCH(st_gry_kw,tak,0)),st_gry)</f>
        <v>0</v>
      </c>
      <c r="J178" s="356" cm="1">
        <f t="array" ref="J178">SUMPRODUCT(ISNUMBER(MATCH(mod_st_gry,$B$163,0))*('Koszty operacyjne'!$K$114:$X$114=Moduły!J$77)*ISNUMBER(MATCH(st_gry_kw,tak,0)),st_gry)</f>
        <v>0</v>
      </c>
      <c r="K178" s="356" cm="1">
        <f t="array" ref="K178">SUMPRODUCT(ISNUMBER(MATCH(mod_st_gry,$B$163,0))*('Koszty operacyjne'!$K$114:$X$114=Moduły!K$77)*ISNUMBER(MATCH(st_gry_kw,tak,0)),st_gry)</f>
        <v>0</v>
      </c>
      <c r="L178" s="356" cm="1">
        <f t="array" ref="L178">SUMPRODUCT(ISNUMBER(MATCH(mod_st_gry,$B$163,0))*('Koszty operacyjne'!$K$114:$X$114=Moduły!L$77)*ISNUMBER(MATCH(st_gry_kw,tak,0)),st_gry)</f>
        <v>0</v>
      </c>
      <c r="M178" s="356" cm="1">
        <f t="array" ref="M178">SUMPRODUCT(ISNUMBER(MATCH(mod_st_gry,$B$163,0))*('Koszty operacyjne'!$K$114:$X$114=Moduły!M$77)*ISNUMBER(MATCH(st_gry_kw,tak,0)),st_gry)</f>
        <v>0</v>
      </c>
      <c r="N178" s="356" cm="1">
        <f t="array" ref="N178">SUMPRODUCT(ISNUMBER(MATCH(mod_st_gry,$B$163,0))*('Koszty operacyjne'!$K$114:$X$114=Moduły!N$77)*ISNUMBER(MATCH(st_gry_kw,tak,0)),st_gry)</f>
        <v>0</v>
      </c>
      <c r="O178" s="356" cm="1">
        <f t="array" ref="O178">SUMPRODUCT(ISNUMBER(MATCH(mod_st_gry,$B$163,0))*('Koszty operacyjne'!$K$114:$X$114=Moduły!O$77)*ISNUMBER(MATCH(st_gry_kw,tak,0)),st_gry)</f>
        <v>0</v>
      </c>
      <c r="P178" s="356" cm="1">
        <f t="array" ref="P178">SUMPRODUCT(ISNUMBER(MATCH(mod_st_gry,$B$163,0))*('Koszty operacyjne'!$K$114:$X$114=Moduły!P$77)*ISNUMBER(MATCH(st_gry_kw,tak,0)),st_gry)</f>
        <v>0</v>
      </c>
    </row>
    <row r="179" spans="2:16" ht="12" customHeight="1">
      <c r="B179" s="357" t="s">
        <v>96</v>
      </c>
      <c r="C179" s="358" cm="1">
        <f t="array" ref="C179">SUMPRODUCT(ISNUMBER(MATCH(mod_st_gry,$B$163,0))*('Koszty operacyjne'!$K$114:$X$114=Moduły!C$77)*ISNUMBER(MATCH(st_gry_kw,nie,0)),st_gry)</f>
        <v>0</v>
      </c>
      <c r="D179" s="358" cm="1">
        <f t="array" ref="D179">SUMPRODUCT(ISNUMBER(MATCH(mod_st_gry,$B$163,0))*('Koszty operacyjne'!$K$114:$X$114=Moduły!D$77)*ISNUMBER(MATCH(st_gry_kw,nie,0)),st_gry)</f>
        <v>0</v>
      </c>
      <c r="E179" s="358" cm="1">
        <f t="array" ref="E179">SUMPRODUCT(ISNUMBER(MATCH(mod_st_gry,$B$163,0))*('Koszty operacyjne'!$K$114:$X$114=Moduły!E$77)*ISNUMBER(MATCH(st_gry_kw,nie,0)),st_gry)</f>
        <v>0</v>
      </c>
      <c r="F179" s="358" cm="1">
        <f t="array" ref="F179">SUMPRODUCT(ISNUMBER(MATCH(mod_st_gry,$B$163,0))*('Koszty operacyjne'!$K$114:$X$114=Moduły!F$77)*ISNUMBER(MATCH(st_gry_kw,nie,0)),st_gry)</f>
        <v>0</v>
      </c>
      <c r="G179" s="358" cm="1">
        <f t="array" ref="G179">SUMPRODUCT(ISNUMBER(MATCH(mod_st_gry,$B$163,0))*('Koszty operacyjne'!$K$114:$X$114=Moduły!G$77)*ISNUMBER(MATCH(st_gry_kw,nie,0)),st_gry)</f>
        <v>0</v>
      </c>
      <c r="H179" s="358" cm="1">
        <f t="array" ref="H179">SUMPRODUCT(ISNUMBER(MATCH(mod_st_gry,$B$163,0))*('Koszty operacyjne'!$K$114:$X$114=Moduły!H$77)*ISNUMBER(MATCH(st_gry_kw,nie,0)),st_gry)</f>
        <v>0</v>
      </c>
      <c r="I179" s="358" cm="1">
        <f t="array" ref="I179">SUMPRODUCT(ISNUMBER(MATCH(mod_st_gry,$B$163,0))*('Koszty operacyjne'!$K$114:$X$114=Moduły!I$77)*ISNUMBER(MATCH(st_gry_kw,nie,0)),st_gry)</f>
        <v>0</v>
      </c>
      <c r="J179" s="358" cm="1">
        <f t="array" ref="J179">SUMPRODUCT(ISNUMBER(MATCH(mod_st_gry,$B$163,0))*('Koszty operacyjne'!$K$114:$X$114=Moduły!J$77)*ISNUMBER(MATCH(st_gry_kw,nie,0)),st_gry)</f>
        <v>0</v>
      </c>
      <c r="K179" s="359" cm="1">
        <f t="array" ref="K179">SUMPRODUCT(ISNUMBER(MATCH(mod_st_gry,$B$163,0))*('Koszty operacyjne'!$K$114:$X$114=Moduły!K$77)*ISNUMBER(MATCH(st_gry_kw,nie,0)),st_gry)</f>
        <v>0</v>
      </c>
      <c r="L179" s="359" cm="1">
        <f t="array" ref="L179">SUMPRODUCT(ISNUMBER(MATCH(mod_st_gry,$B$163,0))*('Koszty operacyjne'!$K$114:$X$114=Moduły!L$77)*ISNUMBER(MATCH(st_gry_kw,nie,0)),st_gry)</f>
        <v>0</v>
      </c>
      <c r="M179" s="359" cm="1">
        <f t="array" ref="M179">SUMPRODUCT(ISNUMBER(MATCH(mod_st_gry,$B$163,0))*('Koszty operacyjne'!$K$114:$X$114=Moduły!M$77)*ISNUMBER(MATCH(st_gry_kw,nie,0)),st_gry)</f>
        <v>0</v>
      </c>
      <c r="N179" s="359" cm="1">
        <f t="array" ref="N179">SUMPRODUCT(ISNUMBER(MATCH(mod_st_gry,$B$163,0))*('Koszty operacyjne'!$K$114:$X$114=Moduły!N$77)*ISNUMBER(MATCH(st_gry_kw,nie,0)),st_gry)</f>
        <v>0</v>
      </c>
      <c r="O179" s="359" cm="1">
        <f t="array" ref="O179">SUMPRODUCT(ISNUMBER(MATCH(mod_st_gry,$B$163,0))*('Koszty operacyjne'!$K$114:$X$114=Moduły!O$77)*ISNUMBER(MATCH(st_gry_kw,nie,0)),st_gry)</f>
        <v>0</v>
      </c>
      <c r="P179" s="359" cm="1">
        <f t="array" ref="P179">SUMPRODUCT(ISNUMBER(MATCH(mod_st_gry,$B$163,0))*('Koszty operacyjne'!$K$114:$X$114=Moduły!P$77)*ISNUMBER(MATCH(st_gry_kw,nie,0)),st_gry)</f>
        <v>0</v>
      </c>
    </row>
    <row r="180" spans="2:16" ht="3.9" customHeight="1">
      <c r="B180" s="8"/>
      <c r="C180" s="361"/>
      <c r="D180" s="361"/>
      <c r="E180" s="361"/>
      <c r="F180" s="361"/>
      <c r="G180" s="361"/>
      <c r="H180" s="361"/>
      <c r="I180" s="361"/>
      <c r="J180" s="361"/>
      <c r="K180" s="362"/>
      <c r="L180" s="362"/>
      <c r="M180" s="362"/>
      <c r="N180" s="362"/>
      <c r="O180" s="362"/>
      <c r="P180" s="362"/>
    </row>
    <row r="181" spans="2:16" ht="12" customHeight="1">
      <c r="B181" s="353" t="s">
        <v>99</v>
      </c>
      <c r="C181" s="354">
        <f t="shared" ref="C181:P181" si="79">SUM(C182:C183)</f>
        <v>0</v>
      </c>
      <c r="D181" s="354">
        <f t="shared" si="79"/>
        <v>0</v>
      </c>
      <c r="E181" s="354">
        <f t="shared" si="79"/>
        <v>0</v>
      </c>
      <c r="F181" s="354">
        <f t="shared" si="79"/>
        <v>0</v>
      </c>
      <c r="G181" s="354">
        <f t="shared" si="79"/>
        <v>0</v>
      </c>
      <c r="H181" s="354">
        <f t="shared" si="79"/>
        <v>0</v>
      </c>
      <c r="I181" s="354">
        <f t="shared" si="79"/>
        <v>0</v>
      </c>
      <c r="J181" s="354">
        <f t="shared" si="79"/>
        <v>0</v>
      </c>
      <c r="K181" s="354">
        <f t="shared" si="79"/>
        <v>0</v>
      </c>
      <c r="L181" s="354">
        <f t="shared" si="79"/>
        <v>0</v>
      </c>
      <c r="M181" s="354">
        <f t="shared" si="79"/>
        <v>0</v>
      </c>
      <c r="N181" s="354">
        <f t="shared" si="79"/>
        <v>0</v>
      </c>
      <c r="O181" s="354">
        <f t="shared" si="79"/>
        <v>0</v>
      </c>
      <c r="P181" s="354">
        <f t="shared" si="79"/>
        <v>0</v>
      </c>
    </row>
    <row r="182" spans="2:16" ht="12" customHeight="1">
      <c r="B182" s="355" t="s">
        <v>95</v>
      </c>
      <c r="C182" s="356" cm="1">
        <f t="array" ref="C182">SUMPRODUCT(ISNUMBER(MATCH(mod_st_bib,$B$163,0))*('Koszty operacyjne'!$K$114:$X$114=Moduły!C$77)*ISNUMBER(MATCH(st_bib_kw,tak,0)),st_bib)+SUMPRODUCT(ISNUMBER(MATCH(mod_st_bib_wbudowie,$B$163,0))*('Koszty operacyjne'!$K$114:$X$114=Moduły!C$77)*ISNUMBER(MATCH(st_bib_wbudowie_kw,tak,0)),st_bib_wbudowie)</f>
        <v>0</v>
      </c>
      <c r="D182" s="356" cm="1">
        <f t="array" ref="D182">SUMPRODUCT(ISNUMBER(MATCH(mod_st_bib,$B$163,0))*('Koszty operacyjne'!$K$114:$X$114=Moduły!D$77)*ISNUMBER(MATCH(st_bib_kw,tak,0)),st_bib)+SUMPRODUCT(ISNUMBER(MATCH(mod_st_bib_wbudowie,$B$163,0))*('Koszty operacyjne'!$K$114:$X$114=Moduły!D$77)*ISNUMBER(MATCH(st_bib_wbudowie_kw,tak,0)),st_bib_wbudowie)</f>
        <v>0</v>
      </c>
      <c r="E182" s="356" cm="1">
        <f t="array" ref="E182">SUMPRODUCT(ISNUMBER(MATCH(mod_st_bib,$B$163,0))*('Koszty operacyjne'!$K$114:$X$114=Moduły!E$77)*ISNUMBER(MATCH(st_bib_kw,tak,0)),st_bib)+SUMPRODUCT(ISNUMBER(MATCH(mod_st_bib_wbudowie,$B$163,0))*('Koszty operacyjne'!$K$114:$X$114=Moduły!E$77)*ISNUMBER(MATCH(st_bib_wbudowie_kw,tak,0)),st_bib_wbudowie)</f>
        <v>0</v>
      </c>
      <c r="F182" s="356" cm="1">
        <f t="array" ref="F182">SUMPRODUCT(ISNUMBER(MATCH(mod_st_bib,$B$163,0))*('Koszty operacyjne'!$K$114:$X$114=Moduły!F$77)*ISNUMBER(MATCH(st_bib_kw,tak,0)),st_bib)+SUMPRODUCT(ISNUMBER(MATCH(mod_st_bib_wbudowie,$B$163,0))*('Koszty operacyjne'!$K$114:$X$114=Moduły!F$77)*ISNUMBER(MATCH(st_bib_wbudowie_kw,tak,0)),st_bib_wbudowie)</f>
        <v>0</v>
      </c>
      <c r="G182" s="356" cm="1">
        <f t="array" ref="G182">SUMPRODUCT(ISNUMBER(MATCH(mod_st_bib,$B$163,0))*('Koszty operacyjne'!$K$114:$X$114=Moduły!G$77)*ISNUMBER(MATCH(st_bib_kw,tak,0)),st_bib)+SUMPRODUCT(ISNUMBER(MATCH(mod_st_bib_wbudowie,$B$163,0))*('Koszty operacyjne'!$K$114:$X$114=Moduły!G$77)*ISNUMBER(MATCH(st_bib_wbudowie_kw,tak,0)),st_bib_wbudowie)</f>
        <v>0</v>
      </c>
      <c r="H182" s="356" cm="1">
        <f t="array" ref="H182">SUMPRODUCT(ISNUMBER(MATCH(mod_st_bib,$B$163,0))*('Koszty operacyjne'!$K$114:$X$114=Moduły!H$77)*ISNUMBER(MATCH(st_bib_kw,tak,0)),st_bib)+SUMPRODUCT(ISNUMBER(MATCH(mod_st_bib_wbudowie,$B$163,0))*('Koszty operacyjne'!$K$114:$X$114=Moduły!H$77)*ISNUMBER(MATCH(st_bib_wbudowie_kw,tak,0)),st_bib_wbudowie)</f>
        <v>0</v>
      </c>
      <c r="I182" s="356" cm="1">
        <f t="array" ref="I182">SUMPRODUCT(ISNUMBER(MATCH(mod_st_bib,$B$163,0))*('Koszty operacyjne'!$K$114:$X$114=Moduły!I$77)*ISNUMBER(MATCH(st_bib_kw,tak,0)),st_bib)+SUMPRODUCT(ISNUMBER(MATCH(mod_st_bib_wbudowie,$B$163,0))*('Koszty operacyjne'!$K$114:$X$114=Moduły!I$77)*ISNUMBER(MATCH(st_bib_wbudowie_kw,tak,0)),st_bib_wbudowie)</f>
        <v>0</v>
      </c>
      <c r="J182" s="356" cm="1">
        <f t="array" ref="J182">SUMPRODUCT(ISNUMBER(MATCH(mod_st_bib,$B$163,0))*('Koszty operacyjne'!$K$114:$X$114=Moduły!J$77)*ISNUMBER(MATCH(st_bib_kw,tak,0)),st_bib)+SUMPRODUCT(ISNUMBER(MATCH(mod_st_bib_wbudowie,$B$163,0))*('Koszty operacyjne'!$K$114:$X$114=Moduły!J$77)*ISNUMBER(MATCH(st_bib_wbudowie_kw,tak,0)),st_bib_wbudowie)</f>
        <v>0</v>
      </c>
      <c r="K182" s="356" cm="1">
        <f t="array" ref="K182">SUMPRODUCT(ISNUMBER(MATCH(mod_st_bib,$B$163,0))*('Koszty operacyjne'!$K$114:$X$114=Moduły!K$77)*ISNUMBER(MATCH(st_bib_kw,tak,0)),st_bib)+SUMPRODUCT(ISNUMBER(MATCH(mod_st_bib_wbudowie,$B$163,0))*('Koszty operacyjne'!$K$114:$X$114=Moduły!K$77)*ISNUMBER(MATCH(st_bib_wbudowie_kw,tak,0)),st_bib_wbudowie)</f>
        <v>0</v>
      </c>
      <c r="L182" s="356" cm="1">
        <f t="array" ref="L182">SUMPRODUCT(ISNUMBER(MATCH(mod_st_bib,$B$163,0))*('Koszty operacyjne'!$K$114:$X$114=Moduły!L$77)*ISNUMBER(MATCH(st_bib_kw,tak,0)),st_bib)+SUMPRODUCT(ISNUMBER(MATCH(mod_st_bib_wbudowie,$B$163,0))*('Koszty operacyjne'!$K$114:$X$114=Moduły!L$77)*ISNUMBER(MATCH(st_bib_wbudowie_kw,tak,0)),st_bib_wbudowie)</f>
        <v>0</v>
      </c>
      <c r="M182" s="356" cm="1">
        <f t="array" ref="M182">SUMPRODUCT(ISNUMBER(MATCH(mod_st_bib,$B$163,0))*('Koszty operacyjne'!$K$114:$X$114=Moduły!M$77)*ISNUMBER(MATCH(st_bib_kw,tak,0)),st_bib)+SUMPRODUCT(ISNUMBER(MATCH(mod_st_bib_wbudowie,$B$163,0))*('Koszty operacyjne'!$K$114:$X$114=Moduły!M$77)*ISNUMBER(MATCH(st_bib_wbudowie_kw,tak,0)),st_bib_wbudowie)</f>
        <v>0</v>
      </c>
      <c r="N182" s="356" cm="1">
        <f t="array" ref="N182">SUMPRODUCT(ISNUMBER(MATCH(mod_st_bib,$B$163,0))*('Koszty operacyjne'!$K$114:$X$114=Moduły!N$77)*ISNUMBER(MATCH(st_bib_kw,tak,0)),st_bib)+SUMPRODUCT(ISNUMBER(MATCH(mod_st_bib_wbudowie,$B$163,0))*('Koszty operacyjne'!$K$114:$X$114=Moduły!N$77)*ISNUMBER(MATCH(st_bib_wbudowie_kw,tak,0)),st_bib_wbudowie)</f>
        <v>0</v>
      </c>
      <c r="O182" s="356" cm="1">
        <f t="array" ref="O182">SUMPRODUCT(ISNUMBER(MATCH(mod_st_bib,$B$163,0))*('Koszty operacyjne'!$K$114:$X$114=Moduły!O$77)*ISNUMBER(MATCH(st_bib_kw,tak,0)),st_bib)+SUMPRODUCT(ISNUMBER(MATCH(mod_st_bib_wbudowie,$B$163,0))*('Koszty operacyjne'!$K$114:$X$114=Moduły!O$77)*ISNUMBER(MATCH(st_bib_wbudowie_kw,tak,0)),st_bib_wbudowie)</f>
        <v>0</v>
      </c>
      <c r="P182" s="356" cm="1">
        <f t="array" ref="P182">SUMPRODUCT(ISNUMBER(MATCH(mod_st_bib,$B$163,0))*('Koszty operacyjne'!$K$114:$X$114=Moduły!P$77)*ISNUMBER(MATCH(st_bib_kw,tak,0)),st_bib)+SUMPRODUCT(ISNUMBER(MATCH(mod_st_bib_wbudowie,$B$163,0))*('Koszty operacyjne'!$K$114:$X$114=Moduły!P$77)*ISNUMBER(MATCH(st_bib_wbudowie_kw,tak,0)),st_bib_wbudowie)</f>
        <v>0</v>
      </c>
    </row>
    <row r="183" spans="2:16" ht="12" customHeight="1">
      <c r="B183" s="357" t="s">
        <v>96</v>
      </c>
      <c r="C183" s="358" cm="1">
        <f t="array" ref="C183">SUMPRODUCT(ISNUMBER(MATCH(mod_st_bib,$B$163,0))*('Koszty operacyjne'!$K$114:$X$114=Moduły!C$77)*ISNUMBER(MATCH(st_bib_kw,nie,0)),st_bib)+SUMPRODUCT(ISNUMBER(MATCH(mod_st_bib_wbudowie,$B$163,0))*('Koszty operacyjne'!$K$114:$X$114=Moduły!C$77)*ISNUMBER(MATCH(st_bib_wbudowie_kw,nie,0)),st_bib_wbudowie)</f>
        <v>0</v>
      </c>
      <c r="D183" s="358" cm="1">
        <f t="array" ref="D183">SUMPRODUCT(ISNUMBER(MATCH(mod_st_bib,$B$163,0))*('Koszty operacyjne'!$K$114:$X$114=Moduły!D$77)*ISNUMBER(MATCH(st_bib_kw,nie,0)),st_bib)+SUMPRODUCT(ISNUMBER(MATCH(mod_st_bib_wbudowie,$B$163,0))*('Koszty operacyjne'!$K$114:$X$114=Moduły!D$77)*ISNUMBER(MATCH(st_bib_wbudowie_kw,nie,0)),st_bib_wbudowie)</f>
        <v>0</v>
      </c>
      <c r="E183" s="358" cm="1">
        <f t="array" ref="E183">SUMPRODUCT(ISNUMBER(MATCH(mod_st_bib,$B$163,0))*('Koszty operacyjne'!$K$114:$X$114=Moduły!E$77)*ISNUMBER(MATCH(st_bib_kw,nie,0)),st_bib)+SUMPRODUCT(ISNUMBER(MATCH(mod_st_bib_wbudowie,$B$163,0))*('Koszty operacyjne'!$K$114:$X$114=Moduły!E$77)*ISNUMBER(MATCH(st_bib_wbudowie_kw,nie,0)),st_bib_wbudowie)</f>
        <v>0</v>
      </c>
      <c r="F183" s="358" cm="1">
        <f t="array" ref="F183">SUMPRODUCT(ISNUMBER(MATCH(mod_st_bib,$B$163,0))*('Koszty operacyjne'!$K$114:$X$114=Moduły!F$77)*ISNUMBER(MATCH(st_bib_kw,nie,0)),st_bib)+SUMPRODUCT(ISNUMBER(MATCH(mod_st_bib_wbudowie,$B$163,0))*('Koszty operacyjne'!$K$114:$X$114=Moduły!F$77)*ISNUMBER(MATCH(st_bib_wbudowie_kw,nie,0)),st_bib_wbudowie)</f>
        <v>0</v>
      </c>
      <c r="G183" s="358" cm="1">
        <f t="array" ref="G183">SUMPRODUCT(ISNUMBER(MATCH(mod_st_bib,$B$163,0))*('Koszty operacyjne'!$K$114:$X$114=Moduły!G$77)*ISNUMBER(MATCH(st_bib_kw,nie,0)),st_bib)+SUMPRODUCT(ISNUMBER(MATCH(mod_st_bib_wbudowie,$B$163,0))*('Koszty operacyjne'!$K$114:$X$114=Moduły!G$77)*ISNUMBER(MATCH(st_bib_wbudowie_kw,nie,0)),st_bib_wbudowie)</f>
        <v>0</v>
      </c>
      <c r="H183" s="358" cm="1">
        <f t="array" ref="H183">SUMPRODUCT(ISNUMBER(MATCH(mod_st_bib,$B$163,0))*('Koszty operacyjne'!$K$114:$X$114=Moduły!H$77)*ISNUMBER(MATCH(st_bib_kw,nie,0)),st_bib)+SUMPRODUCT(ISNUMBER(MATCH(mod_st_bib_wbudowie,$B$163,0))*('Koszty operacyjne'!$K$114:$X$114=Moduły!H$77)*ISNUMBER(MATCH(st_bib_wbudowie_kw,nie,0)),st_bib_wbudowie)</f>
        <v>0</v>
      </c>
      <c r="I183" s="358" cm="1">
        <f t="array" ref="I183">SUMPRODUCT(ISNUMBER(MATCH(mod_st_bib,$B$163,0))*('Koszty operacyjne'!$K$114:$X$114=Moduły!I$77)*ISNUMBER(MATCH(st_bib_kw,nie,0)),st_bib)+SUMPRODUCT(ISNUMBER(MATCH(mod_st_bib_wbudowie,$B$163,0))*('Koszty operacyjne'!$K$114:$X$114=Moduły!I$77)*ISNUMBER(MATCH(st_bib_wbudowie_kw,nie,0)),st_bib_wbudowie)</f>
        <v>0</v>
      </c>
      <c r="J183" s="358" cm="1">
        <f t="array" ref="J183">SUMPRODUCT(ISNUMBER(MATCH(mod_st_bib,$B$163,0))*('Koszty operacyjne'!$K$114:$X$114=Moduły!J$77)*ISNUMBER(MATCH(st_bib_kw,nie,0)),st_bib)+SUMPRODUCT(ISNUMBER(MATCH(mod_st_bib_wbudowie,$B$163,0))*('Koszty operacyjne'!$K$114:$X$114=Moduły!J$77)*ISNUMBER(MATCH(st_bib_wbudowie_kw,nie,0)),st_bib_wbudowie)</f>
        <v>0</v>
      </c>
      <c r="K183" s="358" cm="1">
        <f t="array" ref="K183">SUMPRODUCT(ISNUMBER(MATCH(mod_st_bib,$B$163,0))*('Koszty operacyjne'!$K$114:$X$114=Moduły!K$77)*ISNUMBER(MATCH(st_bib_kw,nie,0)),st_bib)+SUMPRODUCT(ISNUMBER(MATCH(mod_st_bib_wbudowie,$B$163,0))*('Koszty operacyjne'!$K$114:$X$114=Moduły!K$77)*ISNUMBER(MATCH(st_bib_wbudowie_kw,nie,0)),st_bib_wbudowie)</f>
        <v>0</v>
      </c>
      <c r="L183" s="358" cm="1">
        <f t="array" ref="L183">SUMPRODUCT(ISNUMBER(MATCH(mod_st_bib,$B$163,0))*('Koszty operacyjne'!$K$114:$X$114=Moduły!L$77)*ISNUMBER(MATCH(st_bib_kw,nie,0)),st_bib)+SUMPRODUCT(ISNUMBER(MATCH(mod_st_bib_wbudowie,$B$163,0))*('Koszty operacyjne'!$K$114:$X$114=Moduły!L$77)*ISNUMBER(MATCH(st_bib_wbudowie_kw,nie,0)),st_bib_wbudowie)</f>
        <v>0</v>
      </c>
      <c r="M183" s="358" cm="1">
        <f t="array" ref="M183">SUMPRODUCT(ISNUMBER(MATCH(mod_st_bib,$B$163,0))*('Koszty operacyjne'!$K$114:$X$114=Moduły!M$77)*ISNUMBER(MATCH(st_bib_kw,nie,0)),st_bib)+SUMPRODUCT(ISNUMBER(MATCH(mod_st_bib_wbudowie,$B$163,0))*('Koszty operacyjne'!$K$114:$X$114=Moduły!M$77)*ISNUMBER(MATCH(st_bib_wbudowie_kw,nie,0)),st_bib_wbudowie)</f>
        <v>0</v>
      </c>
      <c r="N183" s="358" cm="1">
        <f t="array" ref="N183">SUMPRODUCT(ISNUMBER(MATCH(mod_st_bib,$B$163,0))*('Koszty operacyjne'!$K$114:$X$114=Moduły!N$77)*ISNUMBER(MATCH(st_bib_kw,nie,0)),st_bib)+SUMPRODUCT(ISNUMBER(MATCH(mod_st_bib_wbudowie,$B$163,0))*('Koszty operacyjne'!$K$114:$X$114=Moduły!N$77)*ISNUMBER(MATCH(st_bib_wbudowie_kw,nie,0)),st_bib_wbudowie)</f>
        <v>0</v>
      </c>
      <c r="O183" s="358" cm="1">
        <f t="array" ref="O183">SUMPRODUCT(ISNUMBER(MATCH(mod_st_bib,$B$163,0))*('Koszty operacyjne'!$K$114:$X$114=Moduły!O$77)*ISNUMBER(MATCH(st_bib_kw,nie,0)),st_bib)+SUMPRODUCT(ISNUMBER(MATCH(mod_st_bib_wbudowie,$B$163,0))*('Koszty operacyjne'!$K$114:$X$114=Moduły!O$77)*ISNUMBER(MATCH(st_bib_wbudowie_kw,nie,0)),st_bib_wbudowie)</f>
        <v>0</v>
      </c>
      <c r="P183" s="358" cm="1">
        <f t="array" ref="P183">SUMPRODUCT(ISNUMBER(MATCH(mod_st_bib,$B$163,0))*('Koszty operacyjne'!$K$114:$X$114=Moduły!P$77)*ISNUMBER(MATCH(st_bib_kw,nie,0)),st_bib)+SUMPRODUCT(ISNUMBER(MATCH(mod_st_bib_wbudowie,$B$163,0))*('Koszty operacyjne'!$K$114:$X$114=Moduły!P$77)*ISNUMBER(MATCH(st_bib_wbudowie_kw,nie,0)),st_bib_wbudowie)</f>
        <v>0</v>
      </c>
    </row>
    <row r="184" spans="2:16" ht="3.9" customHeight="1">
      <c r="B184" s="8"/>
      <c r="C184" s="361"/>
      <c r="D184" s="361"/>
      <c r="E184" s="361"/>
      <c r="F184" s="361"/>
      <c r="G184" s="361"/>
      <c r="H184" s="361"/>
      <c r="I184" s="361"/>
      <c r="J184" s="361"/>
      <c r="K184" s="362"/>
      <c r="L184" s="362"/>
      <c r="M184" s="362"/>
      <c r="N184" s="362"/>
      <c r="O184" s="362"/>
      <c r="P184" s="362"/>
    </row>
    <row r="185" spans="2:16" ht="12" customHeight="1">
      <c r="B185" s="353" t="s">
        <v>100</v>
      </c>
      <c r="C185" s="354">
        <f t="shared" ref="C185:P185" si="80">SUM(C186:C187)</f>
        <v>0</v>
      </c>
      <c r="D185" s="354">
        <f t="shared" si="80"/>
        <v>0</v>
      </c>
      <c r="E185" s="354">
        <f t="shared" si="80"/>
        <v>0</v>
      </c>
      <c r="F185" s="354">
        <f t="shared" si="80"/>
        <v>0</v>
      </c>
      <c r="G185" s="354">
        <f t="shared" si="80"/>
        <v>0</v>
      </c>
      <c r="H185" s="354">
        <f t="shared" si="80"/>
        <v>0</v>
      </c>
      <c r="I185" s="354">
        <f t="shared" si="80"/>
        <v>0</v>
      </c>
      <c r="J185" s="354">
        <f t="shared" si="80"/>
        <v>0</v>
      </c>
      <c r="K185" s="354">
        <f t="shared" si="80"/>
        <v>0</v>
      </c>
      <c r="L185" s="354">
        <f t="shared" si="80"/>
        <v>0</v>
      </c>
      <c r="M185" s="354">
        <f t="shared" si="80"/>
        <v>0</v>
      </c>
      <c r="N185" s="354">
        <f t="shared" si="80"/>
        <v>0</v>
      </c>
      <c r="O185" s="354">
        <f t="shared" si="80"/>
        <v>0</v>
      </c>
      <c r="P185" s="354">
        <f t="shared" si="80"/>
        <v>0</v>
      </c>
    </row>
    <row r="186" spans="2:16" ht="12" customHeight="1">
      <c r="B186" s="355" t="s">
        <v>95</v>
      </c>
      <c r="C186" s="356" cm="1">
        <f t="array" ref="C186">SUMPRODUCT(ISNUMBER(MATCH(mod_st_utm,$B$163,0))*('Koszty operacyjne'!$K$114:$X$114=Moduły!C$77)*ISNUMBER(MATCH(st_utm_kw,tak,0)),st_utm)+SUMPRODUCT(ISNUMBER(MATCH(mod_st_utm_wbudowie,$B$163,0))*('Koszty operacyjne'!$K$114:$X$114=Moduły!C$77)*ISNUMBER(MATCH(st_utm_kw_wbudowie,tak,0)),st_utm_wbudowie)</f>
        <v>0</v>
      </c>
      <c r="D186" s="356" cm="1">
        <f t="array" ref="D186">SUMPRODUCT(ISNUMBER(MATCH(mod_st_utm,$B$163,0))*('Koszty operacyjne'!$K$114:$X$114=Moduły!D$77)*ISNUMBER(MATCH(st_utm_kw,tak,0)),st_utm)+SUMPRODUCT(ISNUMBER(MATCH(mod_st_utm_wbudowie,$B$163,0))*('Koszty operacyjne'!$K$114:$X$114=Moduły!D$77)*ISNUMBER(MATCH(st_utm_kw_wbudowie,tak,0)),st_utm_wbudowie)</f>
        <v>0</v>
      </c>
      <c r="E186" s="356" cm="1">
        <f t="array" ref="E186">SUMPRODUCT(ISNUMBER(MATCH(mod_st_utm,$B$163,0))*('Koszty operacyjne'!$K$114:$X$114=Moduły!E$77)*ISNUMBER(MATCH(st_utm_kw,tak,0)),st_utm)+SUMPRODUCT(ISNUMBER(MATCH(mod_st_utm_wbudowie,$B$163,0))*('Koszty operacyjne'!$K$114:$X$114=Moduły!E$77)*ISNUMBER(MATCH(st_utm_kw_wbudowie,tak,0)),st_utm_wbudowie)</f>
        <v>0</v>
      </c>
      <c r="F186" s="356" cm="1">
        <f t="array" ref="F186">SUMPRODUCT(ISNUMBER(MATCH(mod_st_utm,$B$163,0))*('Koszty operacyjne'!$K$114:$X$114=Moduły!F$77)*ISNUMBER(MATCH(st_utm_kw,tak,0)),st_utm)+SUMPRODUCT(ISNUMBER(MATCH(mod_st_utm_wbudowie,$B$163,0))*('Koszty operacyjne'!$K$114:$X$114=Moduły!F$77)*ISNUMBER(MATCH(st_utm_kw_wbudowie,tak,0)),st_utm_wbudowie)</f>
        <v>0</v>
      </c>
      <c r="G186" s="356" cm="1">
        <f t="array" ref="G186">SUMPRODUCT(ISNUMBER(MATCH(mod_st_utm,$B$163,0))*('Koszty operacyjne'!$K$114:$X$114=Moduły!G$77)*ISNUMBER(MATCH(st_utm_kw,tak,0)),st_utm)+SUMPRODUCT(ISNUMBER(MATCH(mod_st_utm_wbudowie,$B$163,0))*('Koszty operacyjne'!$K$114:$X$114=Moduły!G$77)*ISNUMBER(MATCH(st_utm_kw_wbudowie,tak,0)),st_utm_wbudowie)</f>
        <v>0</v>
      </c>
      <c r="H186" s="356" cm="1">
        <f t="array" ref="H186">SUMPRODUCT(ISNUMBER(MATCH(mod_st_utm,$B$163,0))*('Koszty operacyjne'!$K$114:$X$114=Moduły!H$77)*ISNUMBER(MATCH(st_utm_kw,tak,0)),st_utm)+SUMPRODUCT(ISNUMBER(MATCH(mod_st_utm_wbudowie,$B$163,0))*('Koszty operacyjne'!$K$114:$X$114=Moduły!H$77)*ISNUMBER(MATCH(st_utm_kw_wbudowie,tak,0)),st_utm_wbudowie)</f>
        <v>0</v>
      </c>
      <c r="I186" s="356" cm="1">
        <f t="array" ref="I186">SUMPRODUCT(ISNUMBER(MATCH(mod_st_utm,$B$163,0))*('Koszty operacyjne'!$K$114:$X$114=Moduły!I$77)*ISNUMBER(MATCH(st_utm_kw,tak,0)),st_utm)+SUMPRODUCT(ISNUMBER(MATCH(mod_st_utm_wbudowie,$B$163,0))*('Koszty operacyjne'!$K$114:$X$114=Moduły!I$77)*ISNUMBER(MATCH(st_utm_kw_wbudowie,tak,0)),st_utm_wbudowie)</f>
        <v>0</v>
      </c>
      <c r="J186" s="356" cm="1">
        <f t="array" ref="J186">SUMPRODUCT(ISNUMBER(MATCH(mod_st_utm,$B$163,0))*('Koszty operacyjne'!$K$114:$X$114=Moduły!J$77)*ISNUMBER(MATCH(st_utm_kw,tak,0)),st_utm)+SUMPRODUCT(ISNUMBER(MATCH(mod_st_utm_wbudowie,$B$163,0))*('Koszty operacyjne'!$K$114:$X$114=Moduły!J$77)*ISNUMBER(MATCH(st_utm_kw_wbudowie,tak,0)),st_utm_wbudowie)</f>
        <v>0</v>
      </c>
      <c r="K186" s="356" cm="1">
        <f t="array" ref="K186">SUMPRODUCT(ISNUMBER(MATCH(mod_st_utm,$B$163,0))*('Koszty operacyjne'!$K$114:$X$114=Moduły!K$77)*ISNUMBER(MATCH(st_utm_kw,tak,0)),st_utm)+SUMPRODUCT(ISNUMBER(MATCH(mod_st_utm_wbudowie,$B$163,0))*('Koszty operacyjne'!$K$114:$X$114=Moduły!K$77)*ISNUMBER(MATCH(st_utm_kw_wbudowie,tak,0)),st_utm_wbudowie)</f>
        <v>0</v>
      </c>
      <c r="L186" s="356" cm="1">
        <f t="array" ref="L186">SUMPRODUCT(ISNUMBER(MATCH(mod_st_utm,$B$163,0))*('Koszty operacyjne'!$K$114:$X$114=Moduły!L$77)*ISNUMBER(MATCH(st_utm_kw,tak,0)),st_utm)+SUMPRODUCT(ISNUMBER(MATCH(mod_st_utm_wbudowie,$B$163,0))*('Koszty operacyjne'!$K$114:$X$114=Moduły!L$77)*ISNUMBER(MATCH(st_utm_kw_wbudowie,tak,0)),st_utm_wbudowie)</f>
        <v>0</v>
      </c>
      <c r="M186" s="356" cm="1">
        <f t="array" ref="M186">SUMPRODUCT(ISNUMBER(MATCH(mod_st_utm,$B$163,0))*('Koszty operacyjne'!$K$114:$X$114=Moduły!M$77)*ISNUMBER(MATCH(st_utm_kw,tak,0)),st_utm)+SUMPRODUCT(ISNUMBER(MATCH(mod_st_utm_wbudowie,$B$163,0))*('Koszty operacyjne'!$K$114:$X$114=Moduły!M$77)*ISNUMBER(MATCH(st_utm_kw_wbudowie,tak,0)),st_utm_wbudowie)</f>
        <v>0</v>
      </c>
      <c r="N186" s="356" cm="1">
        <f t="array" ref="N186">SUMPRODUCT(ISNUMBER(MATCH(mod_st_utm,$B$163,0))*('Koszty operacyjne'!$K$114:$X$114=Moduły!N$77)*ISNUMBER(MATCH(st_utm_kw,tak,0)),st_utm)+SUMPRODUCT(ISNUMBER(MATCH(mod_st_utm_wbudowie,$B$163,0))*('Koszty operacyjne'!$K$114:$X$114=Moduły!N$77)*ISNUMBER(MATCH(st_utm_kw_wbudowie,tak,0)),st_utm_wbudowie)</f>
        <v>0</v>
      </c>
      <c r="O186" s="356" cm="1">
        <f t="array" ref="O186">SUMPRODUCT(ISNUMBER(MATCH(mod_st_utm,$B$163,0))*('Koszty operacyjne'!$K$114:$X$114=Moduły!O$77)*ISNUMBER(MATCH(st_utm_kw,tak,0)),st_utm)+SUMPRODUCT(ISNUMBER(MATCH(mod_st_utm_wbudowie,$B$163,0))*('Koszty operacyjne'!$K$114:$X$114=Moduły!O$77)*ISNUMBER(MATCH(st_utm_kw_wbudowie,tak,0)),st_utm_wbudowie)</f>
        <v>0</v>
      </c>
      <c r="P186" s="356" cm="1">
        <f t="array" ref="P186">SUMPRODUCT(ISNUMBER(MATCH(mod_st_utm,$B$163,0))*('Koszty operacyjne'!$K$114:$X$114=Moduły!P$77)*ISNUMBER(MATCH(st_utm_kw,tak,0)),st_utm)+SUMPRODUCT(ISNUMBER(MATCH(mod_st_utm_wbudowie,$B$163,0))*('Koszty operacyjne'!$K$114:$X$114=Moduły!P$77)*ISNUMBER(MATCH(st_utm_kw_wbudowie,tak,0)),st_utm_wbudowie)</f>
        <v>0</v>
      </c>
    </row>
    <row r="187" spans="2:16" ht="12" customHeight="1">
      <c r="B187" s="357" t="s">
        <v>96</v>
      </c>
      <c r="C187" s="358" cm="1">
        <f t="array" ref="C187">SUMPRODUCT(ISNUMBER(MATCH(mod_st_utm,$B$163,0))*('Koszty operacyjne'!$K$114:$X$114=Moduły!C$77)*ISNUMBER(MATCH(st_utm_kw,nie,0)),st_utm)+SUMPRODUCT(ISNUMBER(MATCH(mod_st_utm_wbudowie,$B$163,0))*('Koszty operacyjne'!$K$114:$X$114=Moduły!C$77)*ISNUMBER(MATCH(st_utm_kw_wbudowie,nie,0)),st_utm_wbudowie)</f>
        <v>0</v>
      </c>
      <c r="D187" s="358" cm="1">
        <f t="array" ref="D187">SUMPRODUCT(ISNUMBER(MATCH(mod_st_utm,$B$163,0))*('Koszty operacyjne'!$K$114:$X$114=Moduły!D$77)*ISNUMBER(MATCH(st_utm_kw,nie,0)),st_utm)+SUMPRODUCT(ISNUMBER(MATCH(mod_st_utm_wbudowie,$B$163,0))*('Koszty operacyjne'!$K$114:$X$114=Moduły!D$77)*ISNUMBER(MATCH(st_utm_kw_wbudowie,nie,0)),st_utm_wbudowie)</f>
        <v>0</v>
      </c>
      <c r="E187" s="358" cm="1">
        <f t="array" ref="E187">SUMPRODUCT(ISNUMBER(MATCH(mod_st_utm,$B$163,0))*('Koszty operacyjne'!$K$114:$X$114=Moduły!E$77)*ISNUMBER(MATCH(st_utm_kw,nie,0)),st_utm)+SUMPRODUCT(ISNUMBER(MATCH(mod_st_utm_wbudowie,$B$163,0))*('Koszty operacyjne'!$K$114:$X$114=Moduły!E$77)*ISNUMBER(MATCH(st_utm_kw_wbudowie,nie,0)),st_utm_wbudowie)</f>
        <v>0</v>
      </c>
      <c r="F187" s="358" cm="1">
        <f t="array" ref="F187">SUMPRODUCT(ISNUMBER(MATCH(mod_st_utm,$B$163,0))*('Koszty operacyjne'!$K$114:$X$114=Moduły!F$77)*ISNUMBER(MATCH(st_utm_kw,nie,0)),st_utm)+SUMPRODUCT(ISNUMBER(MATCH(mod_st_utm_wbudowie,$B$163,0))*('Koszty operacyjne'!$K$114:$X$114=Moduły!F$77)*ISNUMBER(MATCH(st_utm_kw_wbudowie,nie,0)),st_utm_wbudowie)</f>
        <v>0</v>
      </c>
      <c r="G187" s="358" cm="1">
        <f t="array" ref="G187">SUMPRODUCT(ISNUMBER(MATCH(mod_st_utm,$B$163,0))*('Koszty operacyjne'!$K$114:$X$114=Moduły!G$77)*ISNUMBER(MATCH(st_utm_kw,nie,0)),st_utm)+SUMPRODUCT(ISNUMBER(MATCH(mod_st_utm_wbudowie,$B$163,0))*('Koszty operacyjne'!$K$114:$X$114=Moduły!G$77)*ISNUMBER(MATCH(st_utm_kw_wbudowie,nie,0)),st_utm_wbudowie)</f>
        <v>0</v>
      </c>
      <c r="H187" s="358" cm="1">
        <f t="array" ref="H187">SUMPRODUCT(ISNUMBER(MATCH(mod_st_utm,$B$163,0))*('Koszty operacyjne'!$K$114:$X$114=Moduły!H$77)*ISNUMBER(MATCH(st_utm_kw,nie,0)),st_utm)+SUMPRODUCT(ISNUMBER(MATCH(mod_st_utm_wbudowie,$B$163,0))*('Koszty operacyjne'!$K$114:$X$114=Moduły!H$77)*ISNUMBER(MATCH(st_utm_kw_wbudowie,nie,0)),st_utm_wbudowie)</f>
        <v>0</v>
      </c>
      <c r="I187" s="358" cm="1">
        <f t="array" ref="I187">SUMPRODUCT(ISNUMBER(MATCH(mod_st_utm,$B$163,0))*('Koszty operacyjne'!$K$114:$X$114=Moduły!I$77)*ISNUMBER(MATCH(st_utm_kw,nie,0)),st_utm)+SUMPRODUCT(ISNUMBER(MATCH(mod_st_utm_wbudowie,$B$163,0))*('Koszty operacyjne'!$K$114:$X$114=Moduły!I$77)*ISNUMBER(MATCH(st_utm_kw_wbudowie,nie,0)),st_utm_wbudowie)</f>
        <v>0</v>
      </c>
      <c r="J187" s="358" cm="1">
        <f t="array" ref="J187">SUMPRODUCT(ISNUMBER(MATCH(mod_st_utm,$B$163,0))*('Koszty operacyjne'!$K$114:$X$114=Moduły!J$77)*ISNUMBER(MATCH(st_utm_kw,nie,0)),st_utm)+SUMPRODUCT(ISNUMBER(MATCH(mod_st_utm_wbudowie,$B$163,0))*('Koszty operacyjne'!$K$114:$X$114=Moduły!J$77)*ISNUMBER(MATCH(st_utm_kw_wbudowie,nie,0)),st_utm_wbudowie)</f>
        <v>0</v>
      </c>
      <c r="K187" s="358" cm="1">
        <f t="array" ref="K187">SUMPRODUCT(ISNUMBER(MATCH(mod_st_utm,$B$163,0))*('Koszty operacyjne'!$K$114:$X$114=Moduły!K$77)*ISNUMBER(MATCH(st_utm_kw,nie,0)),st_utm)+SUMPRODUCT(ISNUMBER(MATCH(mod_st_utm_wbudowie,$B$163,0))*('Koszty operacyjne'!$K$114:$X$114=Moduły!K$77)*ISNUMBER(MATCH(st_utm_kw_wbudowie,nie,0)),st_utm_wbudowie)</f>
        <v>0</v>
      </c>
      <c r="L187" s="358" cm="1">
        <f t="array" ref="L187">SUMPRODUCT(ISNUMBER(MATCH(mod_st_utm,$B$163,0))*('Koszty operacyjne'!$K$114:$X$114=Moduły!L$77)*ISNUMBER(MATCH(st_utm_kw,nie,0)),st_utm)+SUMPRODUCT(ISNUMBER(MATCH(mod_st_utm_wbudowie,$B$163,0))*('Koszty operacyjne'!$K$114:$X$114=Moduły!L$77)*ISNUMBER(MATCH(st_utm_kw_wbudowie,nie,0)),st_utm_wbudowie)</f>
        <v>0</v>
      </c>
      <c r="M187" s="358" cm="1">
        <f t="array" ref="M187">SUMPRODUCT(ISNUMBER(MATCH(mod_st_utm,$B$163,0))*('Koszty operacyjne'!$K$114:$X$114=Moduły!M$77)*ISNUMBER(MATCH(st_utm_kw,nie,0)),st_utm)+SUMPRODUCT(ISNUMBER(MATCH(mod_st_utm_wbudowie,$B$163,0))*('Koszty operacyjne'!$K$114:$X$114=Moduły!M$77)*ISNUMBER(MATCH(st_utm_kw_wbudowie,nie,0)),st_utm_wbudowie)</f>
        <v>0</v>
      </c>
      <c r="N187" s="358" cm="1">
        <f t="array" ref="N187">SUMPRODUCT(ISNUMBER(MATCH(mod_st_utm,$B$163,0))*('Koszty operacyjne'!$K$114:$X$114=Moduły!N$77)*ISNUMBER(MATCH(st_utm_kw,nie,0)),st_utm)+SUMPRODUCT(ISNUMBER(MATCH(mod_st_utm_wbudowie,$B$163,0))*('Koszty operacyjne'!$K$114:$X$114=Moduły!N$77)*ISNUMBER(MATCH(st_utm_kw_wbudowie,nie,0)),st_utm_wbudowie)</f>
        <v>0</v>
      </c>
      <c r="O187" s="358" cm="1">
        <f t="array" ref="O187">SUMPRODUCT(ISNUMBER(MATCH(mod_st_utm,$B$163,0))*('Koszty operacyjne'!$K$114:$X$114=Moduły!O$77)*ISNUMBER(MATCH(st_utm_kw,nie,0)),st_utm)+SUMPRODUCT(ISNUMBER(MATCH(mod_st_utm_wbudowie,$B$163,0))*('Koszty operacyjne'!$K$114:$X$114=Moduły!O$77)*ISNUMBER(MATCH(st_utm_kw_wbudowie,nie,0)),st_utm_wbudowie)</f>
        <v>0</v>
      </c>
      <c r="P187" s="358" cm="1">
        <f t="array" ref="P187">SUMPRODUCT(ISNUMBER(MATCH(mod_st_utm,$B$163,0))*('Koszty operacyjne'!$K$114:$X$114=Moduły!P$77)*ISNUMBER(MATCH(st_utm_kw,nie,0)),st_utm)+SUMPRODUCT(ISNUMBER(MATCH(mod_st_utm_wbudowie,$B$163,0))*('Koszty operacyjne'!$K$114:$X$114=Moduły!P$77)*ISNUMBER(MATCH(st_utm_kw_wbudowie,nie,0)),st_utm_wbudowie)</f>
        <v>0</v>
      </c>
    </row>
    <row r="188" spans="2:16" ht="3.9" customHeight="1">
      <c r="B188" s="8"/>
      <c r="C188" s="361"/>
      <c r="D188" s="361"/>
      <c r="E188" s="361"/>
      <c r="F188" s="361"/>
      <c r="G188" s="361"/>
      <c r="H188" s="361"/>
      <c r="I188" s="361"/>
      <c r="J188" s="361"/>
      <c r="K188" s="362"/>
      <c r="L188" s="362"/>
      <c r="M188" s="362"/>
      <c r="N188" s="362"/>
      <c r="O188" s="362"/>
      <c r="P188" s="362"/>
    </row>
    <row r="189" spans="2:16" ht="12" customHeight="1">
      <c r="B189" s="353" t="s">
        <v>101</v>
      </c>
      <c r="C189" s="354">
        <f t="shared" ref="C189:P189" si="81">SUM(C190:C191)</f>
        <v>0</v>
      </c>
      <c r="D189" s="354">
        <f t="shared" si="81"/>
        <v>0</v>
      </c>
      <c r="E189" s="354">
        <f t="shared" si="81"/>
        <v>0</v>
      </c>
      <c r="F189" s="354">
        <f t="shared" si="81"/>
        <v>0</v>
      </c>
      <c r="G189" s="354">
        <f t="shared" si="81"/>
        <v>0</v>
      </c>
      <c r="H189" s="354">
        <f t="shared" si="81"/>
        <v>0</v>
      </c>
      <c r="I189" s="354">
        <f t="shared" si="81"/>
        <v>0</v>
      </c>
      <c r="J189" s="354">
        <f t="shared" si="81"/>
        <v>0</v>
      </c>
      <c r="K189" s="354">
        <f t="shared" si="81"/>
        <v>0</v>
      </c>
      <c r="L189" s="354">
        <f t="shared" si="81"/>
        <v>0</v>
      </c>
      <c r="M189" s="354">
        <f t="shared" si="81"/>
        <v>0</v>
      </c>
      <c r="N189" s="354">
        <f t="shared" si="81"/>
        <v>0</v>
      </c>
      <c r="O189" s="354">
        <f t="shared" si="81"/>
        <v>0</v>
      </c>
      <c r="P189" s="354">
        <f t="shared" si="81"/>
        <v>0</v>
      </c>
    </row>
    <row r="190" spans="2:16" ht="12" customHeight="1">
      <c r="B190" s="355" t="s">
        <v>95</v>
      </c>
      <c r="C190" s="356" cm="1">
        <f t="array" ref="C190">SUMPRODUCT(ISNUMBER(MATCH(mod_st_stu,$B$163,0))*('Koszty operacyjne'!$K$114:$X$114=Moduły!C$77)*ISNUMBER(MATCH(st_stu_kw,tak,0)),st_stu)</f>
        <v>0</v>
      </c>
      <c r="D190" s="356" cm="1">
        <f t="array" ref="D190">SUMPRODUCT(ISNUMBER(MATCH(mod_st_stu,$B$163,0))*('Koszty operacyjne'!$K$114:$X$114=Moduły!D$77)*ISNUMBER(MATCH(st_stu_kw,tak,0)),st_stu)</f>
        <v>0</v>
      </c>
      <c r="E190" s="356" cm="1">
        <f t="array" ref="E190">SUMPRODUCT(ISNUMBER(MATCH(mod_st_stu,$B$163,0))*('Koszty operacyjne'!$K$114:$X$114=Moduły!E$77)*ISNUMBER(MATCH(st_stu_kw,tak,0)),st_stu)</f>
        <v>0</v>
      </c>
      <c r="F190" s="356" cm="1">
        <f t="array" ref="F190">SUMPRODUCT(ISNUMBER(MATCH(mod_st_stu,$B$163,0))*('Koszty operacyjne'!$K$114:$X$114=Moduły!F$77)*ISNUMBER(MATCH(st_stu_kw,tak,0)),st_stu)</f>
        <v>0</v>
      </c>
      <c r="G190" s="356" cm="1">
        <f t="array" ref="G190">SUMPRODUCT(ISNUMBER(MATCH(mod_st_stu,$B$163,0))*('Koszty operacyjne'!$K$114:$X$114=Moduły!G$77)*ISNUMBER(MATCH(st_stu_kw,tak,0)),st_stu)</f>
        <v>0</v>
      </c>
      <c r="H190" s="356" cm="1">
        <f t="array" ref="H190">SUMPRODUCT(ISNUMBER(MATCH(mod_st_stu,$B$163,0))*('Koszty operacyjne'!$K$114:$X$114=Moduły!H$77)*ISNUMBER(MATCH(st_stu_kw,tak,0)),st_stu)</f>
        <v>0</v>
      </c>
      <c r="I190" s="356" cm="1">
        <f t="array" ref="I190">SUMPRODUCT(ISNUMBER(MATCH(mod_st_stu,$B$163,0))*('Koszty operacyjne'!$K$114:$X$114=Moduły!I$77)*ISNUMBER(MATCH(st_stu_kw,tak,0)),st_stu)</f>
        <v>0</v>
      </c>
      <c r="J190" s="356" cm="1">
        <f t="array" ref="J190">SUMPRODUCT(ISNUMBER(MATCH(mod_st_stu,$B$163,0))*('Koszty operacyjne'!$K$114:$X$114=Moduły!J$77)*ISNUMBER(MATCH(st_stu_kw,tak,0)),st_stu)</f>
        <v>0</v>
      </c>
      <c r="K190" s="356" cm="1">
        <f t="array" ref="K190">SUMPRODUCT(ISNUMBER(MATCH(mod_st_stu,$B$163,0))*('Koszty operacyjne'!$K$114:$X$114=Moduły!K$77)*ISNUMBER(MATCH(st_stu_kw,tak,0)),st_stu)</f>
        <v>0</v>
      </c>
      <c r="L190" s="356" cm="1">
        <f t="array" ref="L190">SUMPRODUCT(ISNUMBER(MATCH(mod_st_stu,$B$163,0))*('Koszty operacyjne'!$K$114:$X$114=Moduły!L$77)*ISNUMBER(MATCH(st_stu_kw,tak,0)),st_stu)</f>
        <v>0</v>
      </c>
      <c r="M190" s="356" cm="1">
        <f t="array" ref="M190">SUMPRODUCT(ISNUMBER(MATCH(mod_st_stu,$B$163,0))*('Koszty operacyjne'!$K$114:$X$114=Moduły!M$77)*ISNUMBER(MATCH(st_stu_kw,tak,0)),st_stu)</f>
        <v>0</v>
      </c>
      <c r="N190" s="356" cm="1">
        <f t="array" ref="N190">SUMPRODUCT(ISNUMBER(MATCH(mod_st_stu,$B$163,0))*('Koszty operacyjne'!$K$114:$X$114=Moduły!N$77)*ISNUMBER(MATCH(st_stu_kw,tak,0)),st_stu)</f>
        <v>0</v>
      </c>
      <c r="O190" s="356" cm="1">
        <f t="array" ref="O190">SUMPRODUCT(ISNUMBER(MATCH(mod_st_stu,$B$163,0))*('Koszty operacyjne'!$K$114:$X$114=Moduły!O$77)*ISNUMBER(MATCH(st_stu_kw,tak,0)),st_stu)</f>
        <v>0</v>
      </c>
      <c r="P190" s="356" cm="1">
        <f t="array" ref="P190">SUMPRODUCT(ISNUMBER(MATCH(mod_st_stu,$B$163,0))*('Koszty operacyjne'!$K$114:$X$114=Moduły!P$77)*ISNUMBER(MATCH(st_stu_kw,tak,0)),st_stu)</f>
        <v>0</v>
      </c>
    </row>
    <row r="191" spans="2:16" ht="12" customHeight="1">
      <c r="B191" s="357" t="s">
        <v>96</v>
      </c>
      <c r="C191" s="358" cm="1">
        <f t="array" ref="C191">SUMPRODUCT(ISNUMBER(MATCH(mod_st_stu,$B$163,0))*('Koszty operacyjne'!$K$114:$X$114=Moduły!C$77)*ISNUMBER(MATCH(st_stu_kw,nie,0)),st_stu)</f>
        <v>0</v>
      </c>
      <c r="D191" s="358" cm="1">
        <f t="array" ref="D191">SUMPRODUCT(ISNUMBER(MATCH(mod_st_stu,$B$163,0))*('Koszty operacyjne'!$K$114:$X$114=Moduły!D$77)*ISNUMBER(MATCH(st_stu_kw,nie,0)),st_stu)</f>
        <v>0</v>
      </c>
      <c r="E191" s="358" cm="1">
        <f t="array" ref="E191">SUMPRODUCT(ISNUMBER(MATCH(mod_st_stu,$B$163,0))*('Koszty operacyjne'!$K$114:$X$114=Moduły!E$77)*ISNUMBER(MATCH(st_stu_kw,nie,0)),st_stu)</f>
        <v>0</v>
      </c>
      <c r="F191" s="358" cm="1">
        <f t="array" ref="F191">SUMPRODUCT(ISNUMBER(MATCH(mod_st_stu,$B$163,0))*('Koszty operacyjne'!$K$114:$X$114=Moduły!F$77)*ISNUMBER(MATCH(st_stu_kw,nie,0)),st_stu)</f>
        <v>0</v>
      </c>
      <c r="G191" s="358" cm="1">
        <f t="array" ref="G191">SUMPRODUCT(ISNUMBER(MATCH(mod_st_stu,$B$163,0))*('Koszty operacyjne'!$K$114:$X$114=Moduły!G$77)*ISNUMBER(MATCH(st_stu_kw,nie,0)),st_stu)</f>
        <v>0</v>
      </c>
      <c r="H191" s="358" cm="1">
        <f t="array" ref="H191">SUMPRODUCT(ISNUMBER(MATCH(mod_st_stu,$B$163,0))*('Koszty operacyjne'!$K$114:$X$114=Moduły!H$77)*ISNUMBER(MATCH(st_stu_kw,nie,0)),st_stu)</f>
        <v>0</v>
      </c>
      <c r="I191" s="358" cm="1">
        <f t="array" ref="I191">SUMPRODUCT(ISNUMBER(MATCH(mod_st_stu,$B$163,0))*('Koszty operacyjne'!$K$114:$X$114=Moduły!I$77)*ISNUMBER(MATCH(st_stu_kw,nie,0)),st_stu)</f>
        <v>0</v>
      </c>
      <c r="J191" s="358" cm="1">
        <f t="array" ref="J191">SUMPRODUCT(ISNUMBER(MATCH(mod_st_stu,$B$163,0))*('Koszty operacyjne'!$K$114:$X$114=Moduły!J$77)*ISNUMBER(MATCH(st_stu_kw,nie,0)),st_stu)</f>
        <v>0</v>
      </c>
      <c r="K191" s="359" cm="1">
        <f t="array" ref="K191">SUMPRODUCT(ISNUMBER(MATCH(mod_st_stu,$B$163,0))*('Koszty operacyjne'!$K$114:$X$114=Moduły!K$77)*ISNUMBER(MATCH(st_stu_kw,nie,0)),st_stu)</f>
        <v>0</v>
      </c>
      <c r="L191" s="359" cm="1">
        <f t="array" ref="L191">SUMPRODUCT(ISNUMBER(MATCH(mod_st_stu,$B$163,0))*('Koszty operacyjne'!$K$114:$X$114=Moduły!L$77)*ISNUMBER(MATCH(st_stu_kw,nie,0)),st_stu)</f>
        <v>0</v>
      </c>
      <c r="M191" s="359" cm="1">
        <f t="array" ref="M191">SUMPRODUCT(ISNUMBER(MATCH(mod_st_stu,$B$163,0))*('Koszty operacyjne'!$K$114:$X$114=Moduły!M$77)*ISNUMBER(MATCH(st_stu_kw,nie,0)),st_stu)</f>
        <v>0</v>
      </c>
      <c r="N191" s="359" cm="1">
        <f t="array" ref="N191">SUMPRODUCT(ISNUMBER(MATCH(mod_st_stu,$B$163,0))*('Koszty operacyjne'!$K$114:$X$114=Moduły!N$77)*ISNUMBER(MATCH(st_stu_kw,nie,0)),st_stu)</f>
        <v>0</v>
      </c>
      <c r="O191" s="359" cm="1">
        <f t="array" ref="O191">SUMPRODUCT(ISNUMBER(MATCH(mod_st_stu,$B$163,0))*('Koszty operacyjne'!$K$114:$X$114=Moduły!O$77)*ISNUMBER(MATCH(st_stu_kw,nie,0)),st_stu)</f>
        <v>0</v>
      </c>
      <c r="P191" s="359" cm="1">
        <f t="array" ref="P191">SUMPRODUCT(ISNUMBER(MATCH(mod_st_stu,$B$163,0))*('Koszty operacyjne'!$K$114:$X$114=Moduły!P$77)*ISNUMBER(MATCH(st_stu_kw,nie,0)),st_stu)</f>
        <v>0</v>
      </c>
    </row>
    <row r="192" spans="2:16" ht="3.9" customHeight="1">
      <c r="B192" s="8"/>
      <c r="C192" s="361"/>
      <c r="D192" s="361"/>
      <c r="E192" s="361"/>
      <c r="F192" s="361"/>
      <c r="G192" s="361"/>
      <c r="H192" s="361"/>
      <c r="I192" s="361"/>
      <c r="J192" s="361"/>
      <c r="K192" s="362"/>
      <c r="L192" s="362"/>
      <c r="M192" s="362"/>
      <c r="N192" s="362"/>
      <c r="O192" s="362"/>
      <c r="P192" s="362"/>
    </row>
    <row r="193" spans="2:16" ht="12" customHeight="1">
      <c r="B193" s="353" t="s">
        <v>102</v>
      </c>
      <c r="C193" s="354">
        <f t="shared" ref="C193:P193" si="82">SUM(C194:C195)</f>
        <v>0</v>
      </c>
      <c r="D193" s="354">
        <f t="shared" si="82"/>
        <v>0</v>
      </c>
      <c r="E193" s="354">
        <f t="shared" si="82"/>
        <v>0</v>
      </c>
      <c r="F193" s="354">
        <f t="shared" si="82"/>
        <v>0</v>
      </c>
      <c r="G193" s="354">
        <f t="shared" si="82"/>
        <v>0</v>
      </c>
      <c r="H193" s="354">
        <f t="shared" si="82"/>
        <v>0</v>
      </c>
      <c r="I193" s="354">
        <f t="shared" si="82"/>
        <v>0</v>
      </c>
      <c r="J193" s="354">
        <f t="shared" si="82"/>
        <v>0</v>
      </c>
      <c r="K193" s="354">
        <f t="shared" si="82"/>
        <v>0</v>
      </c>
      <c r="L193" s="354">
        <f t="shared" si="82"/>
        <v>0</v>
      </c>
      <c r="M193" s="354">
        <f t="shared" si="82"/>
        <v>0</v>
      </c>
      <c r="N193" s="354">
        <f t="shared" si="82"/>
        <v>0</v>
      </c>
      <c r="O193" s="354">
        <f t="shared" si="82"/>
        <v>0</v>
      </c>
      <c r="P193" s="354">
        <f t="shared" si="82"/>
        <v>0</v>
      </c>
    </row>
    <row r="194" spans="2:16" ht="12" customHeight="1">
      <c r="B194" s="355" t="s">
        <v>95</v>
      </c>
      <c r="C194" s="356" cm="1">
        <f t="array" ref="C194">SUMPRODUCT(ISNUMBER(MATCH(mod_st_ist,$B$163,0))*('Koszty operacyjne'!$K$114:$X$114=Moduły!C$77)*ISNUMBER(MATCH(st_ist_kw,tak,0)),st_ist)</f>
        <v>0</v>
      </c>
      <c r="D194" s="356" cm="1">
        <f t="array" ref="D194">SUMPRODUCT(ISNUMBER(MATCH(mod_st_ist,$B$163,0))*('Koszty operacyjne'!$K$114:$X$114=Moduły!D$77)*ISNUMBER(MATCH(st_ist_kw,tak,0)),st_ist)</f>
        <v>0</v>
      </c>
      <c r="E194" s="356" cm="1">
        <f t="array" ref="E194">SUMPRODUCT(ISNUMBER(MATCH(mod_st_ist,$B$163,0))*('Koszty operacyjne'!$K$114:$X$114=Moduły!E$77)*ISNUMBER(MATCH(st_ist_kw,tak,0)),st_ist)</f>
        <v>0</v>
      </c>
      <c r="F194" s="356" cm="1">
        <f t="array" ref="F194">SUMPRODUCT(ISNUMBER(MATCH(mod_st_ist,$B$163,0))*('Koszty operacyjne'!$K$114:$X$114=Moduły!F$77)*ISNUMBER(MATCH(st_ist_kw,tak,0)),st_ist)</f>
        <v>0</v>
      </c>
      <c r="G194" s="356" cm="1">
        <f t="array" ref="G194">SUMPRODUCT(ISNUMBER(MATCH(mod_st_ist,$B$163,0))*('Koszty operacyjne'!$K$114:$X$114=Moduły!G$77)*ISNUMBER(MATCH(st_ist_kw,tak,0)),st_ist)</f>
        <v>0</v>
      </c>
      <c r="H194" s="356" cm="1">
        <f t="array" ref="H194">SUMPRODUCT(ISNUMBER(MATCH(mod_st_ist,$B$163,0))*('Koszty operacyjne'!$K$114:$X$114=Moduły!H$77)*ISNUMBER(MATCH(st_ist_kw,tak,0)),st_ist)</f>
        <v>0</v>
      </c>
      <c r="I194" s="356" cm="1">
        <f t="array" ref="I194">SUMPRODUCT(ISNUMBER(MATCH(mod_st_ist,$B$163,0))*('Koszty operacyjne'!$K$114:$X$114=Moduły!I$77)*ISNUMBER(MATCH(st_ist_kw,tak,0)),st_ist)</f>
        <v>0</v>
      </c>
      <c r="J194" s="356" cm="1">
        <f t="array" ref="J194">SUMPRODUCT(ISNUMBER(MATCH(mod_st_ist,$B$163,0))*('Koszty operacyjne'!$K$114:$X$114=Moduły!J$77)*ISNUMBER(MATCH(st_ist_kw,tak,0)),st_ist)</f>
        <v>0</v>
      </c>
      <c r="K194" s="356" cm="1">
        <f t="array" ref="K194">SUMPRODUCT(ISNUMBER(MATCH(mod_st_ist,$B$163,0))*('Koszty operacyjne'!$K$114:$X$114=Moduły!K$77)*ISNUMBER(MATCH(st_ist_kw,tak,0)),st_ist)</f>
        <v>0</v>
      </c>
      <c r="L194" s="356" cm="1">
        <f t="array" ref="L194">SUMPRODUCT(ISNUMBER(MATCH(mod_st_ist,$B$163,0))*('Koszty operacyjne'!$K$114:$X$114=Moduły!L$77)*ISNUMBER(MATCH(st_ist_kw,tak,0)),st_ist)</f>
        <v>0</v>
      </c>
      <c r="M194" s="356" cm="1">
        <f t="array" ref="M194">SUMPRODUCT(ISNUMBER(MATCH(mod_st_ist,$B$163,0))*('Koszty operacyjne'!$K$114:$X$114=Moduły!M$77)*ISNUMBER(MATCH(st_ist_kw,tak,0)),st_ist)</f>
        <v>0</v>
      </c>
      <c r="N194" s="356" cm="1">
        <f t="array" ref="N194">SUMPRODUCT(ISNUMBER(MATCH(mod_st_ist,$B$163,0))*('Koszty operacyjne'!$K$114:$X$114=Moduły!N$77)*ISNUMBER(MATCH(st_ist_kw,tak,0)),st_ist)</f>
        <v>0</v>
      </c>
      <c r="O194" s="356" cm="1">
        <f t="array" ref="O194">SUMPRODUCT(ISNUMBER(MATCH(mod_st_ist,$B$163,0))*('Koszty operacyjne'!$K$114:$X$114=Moduły!O$77)*ISNUMBER(MATCH(st_ist_kw,tak,0)),st_ist)</f>
        <v>0</v>
      </c>
      <c r="P194" s="356" cm="1">
        <f t="array" ref="P194">SUMPRODUCT(ISNUMBER(MATCH(mod_st_ist,$B$163,0))*('Koszty operacyjne'!$K$114:$X$114=Moduły!P$77)*ISNUMBER(MATCH(st_ist_kw,tak,0)),st_ist)</f>
        <v>0</v>
      </c>
    </row>
    <row r="195" spans="2:16" ht="12" customHeight="1">
      <c r="B195" s="357" t="s">
        <v>96</v>
      </c>
      <c r="C195" s="358" cm="1">
        <f t="array" ref="C195">SUMPRODUCT(ISNUMBER(MATCH(mod_st_ist,$B$163,0))*('Koszty operacyjne'!$K$114:$X$114=Moduły!C$77)*ISNUMBER(MATCH(st_ist_kw,nie,0)),st_ist)</f>
        <v>0</v>
      </c>
      <c r="D195" s="358" cm="1">
        <f t="array" ref="D195">SUMPRODUCT(ISNUMBER(MATCH(mod_st_ist,$B$163,0))*('Koszty operacyjne'!$K$114:$X$114=Moduły!D$77)*ISNUMBER(MATCH(st_ist_kw,nie,0)),st_ist)</f>
        <v>0</v>
      </c>
      <c r="E195" s="358" cm="1">
        <f t="array" ref="E195">SUMPRODUCT(ISNUMBER(MATCH(mod_st_ist,$B$163,0))*('Koszty operacyjne'!$K$114:$X$114=Moduły!E$77)*ISNUMBER(MATCH(st_ist_kw,nie,0)),st_ist)</f>
        <v>0</v>
      </c>
      <c r="F195" s="358" cm="1">
        <f t="array" ref="F195">SUMPRODUCT(ISNUMBER(MATCH(mod_st_ist,$B$163,0))*('Koszty operacyjne'!$K$114:$X$114=Moduły!F$77)*ISNUMBER(MATCH(st_ist_kw,nie,0)),st_ist)</f>
        <v>0</v>
      </c>
      <c r="G195" s="358" cm="1">
        <f t="array" ref="G195">SUMPRODUCT(ISNUMBER(MATCH(mod_st_ist,$B$163,0))*('Koszty operacyjne'!$K$114:$X$114=Moduły!G$77)*ISNUMBER(MATCH(st_ist_kw,nie,0)),st_ist)</f>
        <v>0</v>
      </c>
      <c r="H195" s="358" cm="1">
        <f t="array" ref="H195">SUMPRODUCT(ISNUMBER(MATCH(mod_st_ist,$B$163,0))*('Koszty operacyjne'!$K$114:$X$114=Moduły!H$77)*ISNUMBER(MATCH(st_ist_kw,nie,0)),st_ist)</f>
        <v>0</v>
      </c>
      <c r="I195" s="358" cm="1">
        <f t="array" ref="I195">SUMPRODUCT(ISNUMBER(MATCH(mod_st_ist,$B$163,0))*('Koszty operacyjne'!$K$114:$X$114=Moduły!I$77)*ISNUMBER(MATCH(st_ist_kw,nie,0)),st_ist)</f>
        <v>0</v>
      </c>
      <c r="J195" s="358" cm="1">
        <f t="array" ref="J195">SUMPRODUCT(ISNUMBER(MATCH(mod_st_ist,$B$163,0))*('Koszty operacyjne'!$K$114:$X$114=Moduły!J$77)*ISNUMBER(MATCH(st_ist_kw,nie,0)),st_ist)</f>
        <v>0</v>
      </c>
      <c r="K195" s="359" cm="1">
        <f t="array" ref="K195">SUMPRODUCT(ISNUMBER(MATCH(mod_st_ist,$B$163,0))*('Koszty operacyjne'!$K$114:$X$114=Moduły!K$77)*ISNUMBER(MATCH(st_ist_kw,nie,0)),st_ist)</f>
        <v>0</v>
      </c>
      <c r="L195" s="359" cm="1">
        <f t="array" ref="L195">SUMPRODUCT(ISNUMBER(MATCH(mod_st_ist,$B$163,0))*('Koszty operacyjne'!$K$114:$X$114=Moduły!L$77)*ISNUMBER(MATCH(st_ist_kw,nie,0)),st_ist)</f>
        <v>0</v>
      </c>
      <c r="M195" s="359" cm="1">
        <f t="array" ref="M195">SUMPRODUCT(ISNUMBER(MATCH(mod_st_ist,$B$163,0))*('Koszty operacyjne'!$K$114:$X$114=Moduły!M$77)*ISNUMBER(MATCH(st_ist_kw,nie,0)),st_ist)</f>
        <v>0</v>
      </c>
      <c r="N195" s="359" cm="1">
        <f t="array" ref="N195">SUMPRODUCT(ISNUMBER(MATCH(mod_st_ist,$B$163,0))*('Koszty operacyjne'!$K$114:$X$114=Moduły!N$77)*ISNUMBER(MATCH(st_ist_kw,nie,0)),st_ist)</f>
        <v>0</v>
      </c>
      <c r="O195" s="359" cm="1">
        <f t="array" ref="O195">SUMPRODUCT(ISNUMBER(MATCH(mod_st_ist,$B$163,0))*('Koszty operacyjne'!$K$114:$X$114=Moduły!O$77)*ISNUMBER(MATCH(st_ist_kw,nie,0)),st_ist)</f>
        <v>0</v>
      </c>
      <c r="P195" s="359" cm="1">
        <f t="array" ref="P195">SUMPRODUCT(ISNUMBER(MATCH(mod_st_ist,$B$163,0))*('Koszty operacyjne'!$K$114:$X$114=Moduły!P$77)*ISNUMBER(MATCH(st_ist_kw,nie,0)),st_ist)</f>
        <v>0</v>
      </c>
    </row>
    <row r="196" spans="2:16"/>
    <row r="197" spans="2:16">
      <c r="B197" s="98" t="s">
        <v>104</v>
      </c>
      <c r="C197" s="97" cm="1">
        <f t="array" ref="C197">IF(C$66&lt;=Koniec,SUMPRODUCT(ISNUMBER(MATCH(mod_pp_ppu,$B$163,0))*('Koszty operacyjne'!$K$114:$X$114=Moduły!C$77),pp_ppu)+SUMPRODUCT(ISNUMBER(MATCH(mod_pp_ptim,$B$163,0))*('Koszty operacyjne'!$K$114:$X$114=Moduły!C$77),pp_ptim),0)</f>
        <v>0</v>
      </c>
      <c r="D197" s="97" cm="1">
        <f t="array" ref="D197">IF(D$66&lt;=Koniec,SUMPRODUCT(ISNUMBER(MATCH(mod_pp_ppu,$B$163,0))*('Koszty operacyjne'!$K$114:$X$114=Moduły!D$77),pp_ppu)+SUMPRODUCT(ISNUMBER(MATCH(mod_pp_ptim,$B$163,0))*('Koszty operacyjne'!$K$114:$X$114=Moduły!D$77),pp_ptim),0)</f>
        <v>0</v>
      </c>
      <c r="E197" s="97" cm="1">
        <f t="array" ref="E197">IF(E$66&lt;=Koniec,SUMPRODUCT(ISNUMBER(MATCH(mod_pp_ppu,$B$163,0))*('Koszty operacyjne'!$K$114:$X$114=Moduły!E$77),pp_ppu)+SUMPRODUCT(ISNUMBER(MATCH(mod_pp_ptim,$B$163,0))*('Koszty operacyjne'!$K$114:$X$114=Moduły!E$77),pp_ptim),0)</f>
        <v>0</v>
      </c>
      <c r="F197" s="97" cm="1">
        <f t="array" ref="F197">IF(F$66&lt;=Koniec,SUMPRODUCT(ISNUMBER(MATCH(mod_pp_ppu,$B$163,0))*('Koszty operacyjne'!$K$114:$X$114=Moduły!F$77),pp_ppu)+SUMPRODUCT(ISNUMBER(MATCH(mod_pp_ptim,$B$163,0))*('Koszty operacyjne'!$K$114:$X$114=Moduły!F$77),pp_ptim),0)</f>
        <v>0</v>
      </c>
      <c r="G197" s="97" cm="1">
        <f t="array" ref="G197">IF(G$66&lt;=Koniec,SUMPRODUCT(ISNUMBER(MATCH(mod_pp_ppu,$B$163,0))*('Koszty operacyjne'!$K$114:$X$114=Moduły!G$77),pp_ppu)+SUMPRODUCT(ISNUMBER(MATCH(mod_pp_ptim,$B$163,0))*('Koszty operacyjne'!$K$114:$X$114=Moduły!G$77),pp_ptim),0)</f>
        <v>0</v>
      </c>
      <c r="H197" s="97" cm="1">
        <f t="array" ref="H197">IF(H$66&lt;=Koniec,SUMPRODUCT(ISNUMBER(MATCH(mod_pp_ppu,$B$163,0))*('Koszty operacyjne'!$K$114:$X$114=Moduły!H$77),pp_ppu)+SUMPRODUCT(ISNUMBER(MATCH(mod_pp_ptim,$B$163,0))*('Koszty operacyjne'!$K$114:$X$114=Moduły!H$77),pp_ptim),0)</f>
        <v>0</v>
      </c>
      <c r="I197" s="97" cm="1">
        <f t="array" ref="I197">IF(I$66&lt;=Koniec,SUMPRODUCT(ISNUMBER(MATCH(mod_pp_ppu,$B$163,0))*('Koszty operacyjne'!$K$114:$X$114=Moduły!I$77),pp_ppu)+SUMPRODUCT(ISNUMBER(MATCH(mod_pp_ptim,$B$163,0))*('Koszty operacyjne'!$K$114:$X$114=Moduły!I$77),pp_ptim),0)</f>
        <v>0</v>
      </c>
      <c r="J197" s="97" cm="1">
        <f t="array" ref="J197">IF(J$66&lt;=Koniec,SUMPRODUCT(ISNUMBER(MATCH(mod_pp_ppu,$B$163,0))*('Koszty operacyjne'!$K$114:$X$114=Moduły!J$77),pp_ppu)+SUMPRODUCT(ISNUMBER(MATCH(mod_pp_ptim,$B$163,0))*('Koszty operacyjne'!$K$114:$X$114=Moduły!J$77),pp_ptim),0)</f>
        <v>0</v>
      </c>
      <c r="K197" s="97" cm="1">
        <f t="array" ref="K197">IF(K$66&lt;=Koniec,SUMPRODUCT(ISNUMBER(MATCH(mod_pp_ppu,$B$163,0))*('Koszty operacyjne'!$K$114:$X$114=Moduły!K$77),pp_ppu)+SUMPRODUCT(ISNUMBER(MATCH(mod_pp_ptim,$B$163,0))*('Koszty operacyjne'!$K$114:$X$114=Moduły!K$77),pp_ptim),0)</f>
        <v>0</v>
      </c>
      <c r="L197" s="97" cm="1">
        <f t="array" ref="L197">IF(L$66&lt;=Koniec,SUMPRODUCT(ISNUMBER(MATCH(mod_pp_ppu,$B$163,0))*('Koszty operacyjne'!$K$114:$X$114=Moduły!L$77),pp_ppu)+SUMPRODUCT(ISNUMBER(MATCH(mod_pp_ptim,$B$163,0))*('Koszty operacyjne'!$K$114:$X$114=Moduły!L$77),pp_ptim),0)</f>
        <v>0</v>
      </c>
      <c r="M197" s="97" cm="1">
        <f t="array" ref="M197">IF(M$66&lt;=Koniec,SUMPRODUCT(ISNUMBER(MATCH(mod_pp_ppu,$B$163,0))*('Koszty operacyjne'!$K$114:$X$114=Moduły!M$77),pp_ppu)+SUMPRODUCT(ISNUMBER(MATCH(mod_pp_ptim,$B$163,0))*('Koszty operacyjne'!$K$114:$X$114=Moduły!M$77),pp_ptim),0)</f>
        <v>0</v>
      </c>
      <c r="N197" s="97" cm="1">
        <f t="array" ref="N197">IF(N$66&lt;=Koniec,SUMPRODUCT(ISNUMBER(MATCH(mod_pp_ppu,$B$163,0))*('Koszty operacyjne'!$K$114:$X$114=Moduły!N$77),pp_ppu)+SUMPRODUCT(ISNUMBER(MATCH(mod_pp_ptim,$B$163,0))*('Koszty operacyjne'!$K$114:$X$114=Moduły!N$77),pp_ptim),0)</f>
        <v>0</v>
      </c>
      <c r="O197" s="97" cm="1">
        <f t="array" ref="O197">IF(O$66&lt;=Koniec,SUMPRODUCT(ISNUMBER(MATCH(mod_pp_ppu,$B$163,0))*('Koszty operacyjne'!$K$114:$X$114=Moduły!O$77),pp_ppu)+SUMPRODUCT(ISNUMBER(MATCH(mod_pp_ptim,$B$163,0))*('Koszty operacyjne'!$K$114:$X$114=Moduły!O$77),pp_ptim),0)</f>
        <v>0</v>
      </c>
      <c r="P197" s="97" cm="1">
        <f t="array" ref="P197">IF(P$66&lt;=Koniec,SUMPRODUCT(ISNUMBER(MATCH(mod_pp_ppu,$B$163,0))*('Koszty operacyjne'!$K$114:$X$114=Moduły!P$77),pp_ppu)+SUMPRODUCT(ISNUMBER(MATCH(mod_pp_ptim,$B$163,0))*('Koszty operacyjne'!$K$114:$X$114=Moduły!P$77),pp_ptim),0)</f>
        <v>0</v>
      </c>
    </row>
    <row r="198" spans="2:16" ht="3.9" customHeight="1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2:16">
      <c r="B199" s="98" t="s">
        <v>105</v>
      </c>
      <c r="C199" s="97">
        <f t="shared" ref="C199:P199" si="83">IF(C$66&lt;=Koniec,SUM(C200:C207),0)</f>
        <v>0</v>
      </c>
      <c r="D199" s="97">
        <f t="shared" ca="1" si="83"/>
        <v>0</v>
      </c>
      <c r="E199" s="97">
        <f t="shared" ca="1" si="83"/>
        <v>0</v>
      </c>
      <c r="F199" s="97">
        <f t="shared" ca="1" si="83"/>
        <v>0</v>
      </c>
      <c r="G199" s="97">
        <f t="shared" ca="1" si="83"/>
        <v>0</v>
      </c>
      <c r="H199" s="97">
        <f t="shared" ca="1" si="83"/>
        <v>0</v>
      </c>
      <c r="I199" s="97">
        <f t="shared" ca="1" si="83"/>
        <v>0</v>
      </c>
      <c r="J199" s="97">
        <f t="shared" ca="1" si="83"/>
        <v>0</v>
      </c>
      <c r="K199" s="97">
        <f t="shared" ca="1" si="83"/>
        <v>0</v>
      </c>
      <c r="L199" s="97">
        <f t="shared" ca="1" si="83"/>
        <v>0</v>
      </c>
      <c r="M199" s="97">
        <f t="shared" ca="1" si="83"/>
        <v>0</v>
      </c>
      <c r="N199" s="97">
        <f t="shared" ca="1" si="83"/>
        <v>0</v>
      </c>
      <c r="O199" s="97">
        <f t="shared" ca="1" si="83"/>
        <v>0</v>
      </c>
      <c r="P199" s="97">
        <f t="shared" ca="1" si="83"/>
        <v>0</v>
      </c>
    </row>
    <row r="200" spans="2:16">
      <c r="B200" s="103" t="s">
        <v>106</v>
      </c>
      <c r="C200" s="102" cm="1">
        <f t="array" ref="C200">IF(C$66&lt;=Koniec,SUMPRODUCT(ISNUMBER(MATCH(mod_st_am,$B$163,0))*('Koszty operacyjne'!$K$114:$X$114=Moduły!C$77),st_am),0)</f>
        <v>0</v>
      </c>
      <c r="D200" s="102" cm="1">
        <f t="array" aca="1" ref="D200" ca="1">IF(D$66&lt;=Koniec,SUMPRODUCT(ISNUMBER(MATCH(mod_st_am,$B$163,0))*('Koszty operacyjne'!$K$114:$X$114=Moduły!D$77),st_am),0)</f>
        <v>0</v>
      </c>
      <c r="E200" s="102" cm="1">
        <f t="array" aca="1" ref="E200" ca="1">IF(E$66&lt;=Koniec,SUMPRODUCT(ISNUMBER(MATCH(mod_st_am,$B$163,0))*('Koszty operacyjne'!$K$114:$X$114=Moduły!E$77),st_am),0)</f>
        <v>0</v>
      </c>
      <c r="F200" s="102" cm="1">
        <f t="array" aca="1" ref="F200" ca="1">IF(F$66&lt;=Koniec,SUMPRODUCT(ISNUMBER(MATCH(mod_st_am,$B$163,0))*('Koszty operacyjne'!$K$114:$X$114=Moduły!F$77),st_am),0)</f>
        <v>0</v>
      </c>
      <c r="G200" s="102" cm="1">
        <f t="array" aca="1" ref="G200" ca="1">IF(G$66&lt;=Koniec,SUMPRODUCT(ISNUMBER(MATCH(mod_st_am,$B$163,0))*('Koszty operacyjne'!$K$114:$X$114=Moduły!G$77),st_am),0)</f>
        <v>0</v>
      </c>
      <c r="H200" s="102" cm="1">
        <f t="array" aca="1" ref="H200" ca="1">IF(H$66&lt;=Koniec,SUMPRODUCT(ISNUMBER(MATCH(mod_st_am,$B$163,0))*('Koszty operacyjne'!$K$114:$X$114=Moduły!H$77),st_am),0)</f>
        <v>0</v>
      </c>
      <c r="I200" s="102" cm="1">
        <f t="array" aca="1" ref="I200" ca="1">IF(I$66&lt;=Koniec,SUMPRODUCT(ISNUMBER(MATCH(mod_st_am,$B$163,0))*('Koszty operacyjne'!$K$114:$X$114=Moduły!I$77),st_am),0)</f>
        <v>0</v>
      </c>
      <c r="J200" s="102" cm="1">
        <f t="array" aca="1" ref="J200" ca="1">IF(J$66&lt;=Koniec,SUMPRODUCT(ISNUMBER(MATCH(mod_st_am,$B$163,0))*('Koszty operacyjne'!$K$114:$X$114=Moduły!J$77),st_am),0)</f>
        <v>0</v>
      </c>
      <c r="K200" s="102" cm="1">
        <f t="array" aca="1" ref="K200" ca="1">IF(K$66&lt;=Koniec,SUMPRODUCT(ISNUMBER(MATCH(mod_st_am,$B$163,0))*('Koszty operacyjne'!$K$114:$X$114=Moduły!K$77),st_am),0)</f>
        <v>0</v>
      </c>
      <c r="L200" s="102" cm="1">
        <f t="array" aca="1" ref="L200" ca="1">IF(L$66&lt;=Koniec,SUMPRODUCT(ISNUMBER(MATCH(mod_st_am,$B$163,0))*('Koszty operacyjne'!$K$114:$X$114=Moduły!L$77),st_am),0)</f>
        <v>0</v>
      </c>
      <c r="M200" s="102" cm="1">
        <f t="array" aca="1" ref="M200" ca="1">IF(M$66&lt;=Koniec,SUMPRODUCT(ISNUMBER(MATCH(mod_st_am,$B$163,0))*('Koszty operacyjne'!$K$114:$X$114=Moduły!M$77),st_am),0)</f>
        <v>0</v>
      </c>
      <c r="N200" s="102" cm="1">
        <f t="array" aca="1" ref="N200" ca="1">IF(N$66&lt;=Koniec,SUMPRODUCT(ISNUMBER(MATCH(mod_st_am,$B$163,0))*('Koszty operacyjne'!$K$114:$X$114=Moduły!N$77),st_am),0)</f>
        <v>0</v>
      </c>
      <c r="O200" s="102" cm="1">
        <f t="array" aca="1" ref="O200" ca="1">IF(O$66&lt;=Koniec,SUMPRODUCT(ISNUMBER(MATCH(mod_st_am,$B$163,0))*('Koszty operacyjne'!$K$114:$X$114=Moduły!O$77),st_am),0)</f>
        <v>0</v>
      </c>
      <c r="P200" s="102" cm="1">
        <f t="array" aca="1" ref="P200" ca="1">IF(P$66&lt;=Koniec,SUMPRODUCT(ISNUMBER(MATCH(mod_st_am,$B$163,0))*('Koszty operacyjne'!$K$114:$X$114=Moduły!P$77),st_am),0)</f>
        <v>0</v>
      </c>
    </row>
    <row r="201" spans="2:16">
      <c r="B201" s="37" t="s">
        <v>107</v>
      </c>
      <c r="C201" s="33" cm="1">
        <f t="array" ref="C201">IF(C$66&lt;=Koniec,SUMPRODUCT(ISNUMBER(MATCH(mod_ko_zme,$B$163,0))*('Koszty operacyjne'!$K$114:$X$114=Moduły!C$77)*ISNUMBER(MATCH(ko_zme_pr,moduly_nie_pr,0)),ko_zme),0)</f>
        <v>0</v>
      </c>
      <c r="D201" s="33" cm="1">
        <f t="array" ref="D201">IF(D$66&lt;=Koniec,SUMPRODUCT(ISNUMBER(MATCH(mod_ko_zme,$B$163,0))*('Koszty operacyjne'!$K$114:$X$114=Moduły!D$77)*ISNUMBER(MATCH(ko_zme_pr,moduly_nie_pr,0)),ko_zme),0)</f>
        <v>0</v>
      </c>
      <c r="E201" s="33" cm="1">
        <f t="array" ref="E201">IF(E$66&lt;=Koniec,SUMPRODUCT(ISNUMBER(MATCH(mod_ko_zme,$B$163,0))*('Koszty operacyjne'!$K$114:$X$114=Moduły!E$77)*ISNUMBER(MATCH(ko_zme_pr,moduly_nie_pr,0)),ko_zme),0)</f>
        <v>0</v>
      </c>
      <c r="F201" s="33" cm="1">
        <f t="array" ref="F201">IF(F$66&lt;=Koniec,SUMPRODUCT(ISNUMBER(MATCH(mod_ko_zme,$B$163,0))*('Koszty operacyjne'!$K$114:$X$114=Moduły!F$77)*ISNUMBER(MATCH(ko_zme_pr,moduly_nie_pr,0)),ko_zme),0)</f>
        <v>0</v>
      </c>
      <c r="G201" s="33" cm="1">
        <f t="array" ref="G201">IF(G$66&lt;=Koniec,SUMPRODUCT(ISNUMBER(MATCH(mod_ko_zme,$B$163,0))*('Koszty operacyjne'!$K$114:$X$114=Moduły!G$77)*ISNUMBER(MATCH(ko_zme_pr,moduly_nie_pr,0)),ko_zme),0)</f>
        <v>0</v>
      </c>
      <c r="H201" s="33" cm="1">
        <f t="array" ref="H201">IF(H$66&lt;=Koniec,SUMPRODUCT(ISNUMBER(MATCH(mod_ko_zme,$B$163,0))*('Koszty operacyjne'!$K$114:$X$114=Moduły!H$77)*ISNUMBER(MATCH(ko_zme_pr,moduly_nie_pr,0)),ko_zme),0)</f>
        <v>0</v>
      </c>
      <c r="I201" s="33" cm="1">
        <f t="array" ref="I201">IF(I$66&lt;=Koniec,SUMPRODUCT(ISNUMBER(MATCH(mod_ko_zme,$B$163,0))*('Koszty operacyjne'!$K$114:$X$114=Moduły!I$77)*ISNUMBER(MATCH(ko_zme_pr,moduly_nie_pr,0)),ko_zme),0)</f>
        <v>0</v>
      </c>
      <c r="J201" s="33" cm="1">
        <f t="array" ref="J201">IF(J$66&lt;=Koniec,SUMPRODUCT(ISNUMBER(MATCH(mod_ko_zme,$B$163,0))*('Koszty operacyjne'!$K$114:$X$114=Moduły!J$77)*ISNUMBER(MATCH(ko_zme_pr,moduly_nie_pr,0)),ko_zme),0)</f>
        <v>0</v>
      </c>
      <c r="K201" s="33" cm="1">
        <f t="array" ref="K201">IF(K$66&lt;=Koniec,SUMPRODUCT(ISNUMBER(MATCH(mod_ko_zme,$B$163,0))*('Koszty operacyjne'!$K$114:$X$114=Moduły!K$77)*ISNUMBER(MATCH(ko_zme_pr,moduly_nie_pr,0)),ko_zme),0)</f>
        <v>0</v>
      </c>
      <c r="L201" s="33" cm="1">
        <f t="array" ref="L201">IF(L$66&lt;=Koniec,SUMPRODUCT(ISNUMBER(MATCH(mod_ko_zme,$B$163,0))*('Koszty operacyjne'!$K$114:$X$114=Moduły!L$77)*ISNUMBER(MATCH(ko_zme_pr,moduly_nie_pr,0)),ko_zme),0)</f>
        <v>0</v>
      </c>
      <c r="M201" s="33" cm="1">
        <f t="array" ref="M201">IF(M$66&lt;=Koniec,SUMPRODUCT(ISNUMBER(MATCH(mod_ko_zme,$B$163,0))*('Koszty operacyjne'!$K$114:$X$114=Moduły!M$77)*ISNUMBER(MATCH(ko_zme_pr,moduly_nie_pr,0)),ko_zme),0)</f>
        <v>0</v>
      </c>
      <c r="N201" s="33" cm="1">
        <f t="array" ref="N201">IF(N$66&lt;=Koniec,SUMPRODUCT(ISNUMBER(MATCH(mod_ko_zme,$B$163,0))*('Koszty operacyjne'!$K$114:$X$114=Moduły!N$77)*ISNUMBER(MATCH(ko_zme_pr,moduly_nie_pr,0)),ko_zme),0)</f>
        <v>0</v>
      </c>
      <c r="O201" s="33" cm="1">
        <f t="array" ref="O201">IF(O$66&lt;=Koniec,SUMPRODUCT(ISNUMBER(MATCH(mod_ko_zme,$B$163,0))*('Koszty operacyjne'!$K$114:$X$114=Moduły!O$77)*ISNUMBER(MATCH(ko_zme_pr,moduly_nie_pr,0)),ko_zme),0)</f>
        <v>0</v>
      </c>
      <c r="P201" s="33" cm="1">
        <f t="array" ref="P201">IF(P$66&lt;=Koniec,SUMPRODUCT(ISNUMBER(MATCH(mod_ko_zme,$B$163,0))*('Koszty operacyjne'!$K$114:$X$114=Moduły!P$77)*ISNUMBER(MATCH(ko_zme_pr,moduly_nie_pr,0)),ko_zme),0)</f>
        <v>0</v>
      </c>
    </row>
    <row r="202" spans="2:16">
      <c r="B202" s="37" t="s">
        <v>108</v>
      </c>
      <c r="C202" s="33" cm="1">
        <f t="array" ref="C202">IF(C$66&lt;=Koniec,SUMPRODUCT(ISNUMBER(MATCH(mod_ko_uoe,$B$163,0))*('Koszty operacyjne'!$K$114:$X$114=Moduły!C$77)*ISNUMBER(MATCH(ko_uoe_pr,moduly_nie_pr,0)),ko_uoe),0)</f>
        <v>0</v>
      </c>
      <c r="D202" s="33" cm="1">
        <f t="array" ref="D202">IF(D$66&lt;=Koniec,SUMPRODUCT(ISNUMBER(MATCH(mod_ko_uoe,$B$163,0))*('Koszty operacyjne'!$K$114:$X$114=Moduły!D$77)*ISNUMBER(MATCH(ko_uoe_pr,moduly_nie_pr,0)),ko_uoe),0)</f>
        <v>0</v>
      </c>
      <c r="E202" s="33" cm="1">
        <f t="array" ref="E202">IF(E$66&lt;=Koniec,SUMPRODUCT(ISNUMBER(MATCH(mod_ko_uoe,$B$163,0))*('Koszty operacyjne'!$K$114:$X$114=Moduły!E$77)*ISNUMBER(MATCH(ko_uoe_pr,moduly_nie_pr,0)),ko_uoe),0)</f>
        <v>0</v>
      </c>
      <c r="F202" s="33" cm="1">
        <f t="array" ref="F202">IF(F$66&lt;=Koniec,SUMPRODUCT(ISNUMBER(MATCH(mod_ko_uoe,$B$163,0))*('Koszty operacyjne'!$K$114:$X$114=Moduły!F$77)*ISNUMBER(MATCH(ko_uoe_pr,moduly_nie_pr,0)),ko_uoe),0)</f>
        <v>0</v>
      </c>
      <c r="G202" s="33" cm="1">
        <f t="array" ref="G202">IF(G$66&lt;=Koniec,SUMPRODUCT(ISNUMBER(MATCH(mod_ko_uoe,$B$163,0))*('Koszty operacyjne'!$K$114:$X$114=Moduły!G$77)*ISNUMBER(MATCH(ko_uoe_pr,moduly_nie_pr,0)),ko_uoe),0)</f>
        <v>0</v>
      </c>
      <c r="H202" s="33" cm="1">
        <f t="array" ref="H202">IF(H$66&lt;=Koniec,SUMPRODUCT(ISNUMBER(MATCH(mod_ko_uoe,$B$163,0))*('Koszty operacyjne'!$K$114:$X$114=Moduły!H$77)*ISNUMBER(MATCH(ko_uoe_pr,moduly_nie_pr,0)),ko_uoe),0)</f>
        <v>0</v>
      </c>
      <c r="I202" s="33" cm="1">
        <f t="array" ref="I202">IF(I$66&lt;=Koniec,SUMPRODUCT(ISNUMBER(MATCH(mod_ko_uoe,$B$163,0))*('Koszty operacyjne'!$K$114:$X$114=Moduły!I$77)*ISNUMBER(MATCH(ko_uoe_pr,moduly_nie_pr,0)),ko_uoe),0)</f>
        <v>0</v>
      </c>
      <c r="J202" s="33" cm="1">
        <f t="array" ref="J202">IF(J$66&lt;=Koniec,SUMPRODUCT(ISNUMBER(MATCH(mod_ko_uoe,$B$163,0))*('Koszty operacyjne'!$K$114:$X$114=Moduły!J$77)*ISNUMBER(MATCH(ko_uoe_pr,moduly_nie_pr,0)),ko_uoe),0)</f>
        <v>0</v>
      </c>
      <c r="K202" s="33" cm="1">
        <f t="array" ref="K202">IF(K$66&lt;=Koniec,SUMPRODUCT(ISNUMBER(MATCH(mod_ko_uoe,$B$163,0))*('Koszty operacyjne'!$K$114:$X$114=Moduły!K$77)*ISNUMBER(MATCH(ko_uoe_pr,moduly_nie_pr,0)),ko_uoe),0)</f>
        <v>0</v>
      </c>
      <c r="L202" s="33" cm="1">
        <f t="array" ref="L202">IF(L$66&lt;=Koniec,SUMPRODUCT(ISNUMBER(MATCH(mod_ko_uoe,$B$163,0))*('Koszty operacyjne'!$K$114:$X$114=Moduły!L$77)*ISNUMBER(MATCH(ko_uoe_pr,moduly_nie_pr,0)),ko_uoe),0)</f>
        <v>0</v>
      </c>
      <c r="M202" s="33" cm="1">
        <f t="array" ref="M202">IF(M$66&lt;=Koniec,SUMPRODUCT(ISNUMBER(MATCH(mod_ko_uoe,$B$163,0))*('Koszty operacyjne'!$K$114:$X$114=Moduły!M$77)*ISNUMBER(MATCH(ko_uoe_pr,moduly_nie_pr,0)),ko_uoe),0)</f>
        <v>0</v>
      </c>
      <c r="N202" s="33" cm="1">
        <f t="array" ref="N202">IF(N$66&lt;=Koniec,SUMPRODUCT(ISNUMBER(MATCH(mod_ko_uoe,$B$163,0))*('Koszty operacyjne'!$K$114:$X$114=Moduły!N$77)*ISNUMBER(MATCH(ko_uoe_pr,moduly_nie_pr,0)),ko_uoe),0)</f>
        <v>0</v>
      </c>
      <c r="O202" s="33" cm="1">
        <f t="array" ref="O202">IF(O$66&lt;=Koniec,SUMPRODUCT(ISNUMBER(MATCH(mod_ko_uoe,$B$163,0))*('Koszty operacyjne'!$K$114:$X$114=Moduły!O$77)*ISNUMBER(MATCH(ko_uoe_pr,moduly_nie_pr,0)),ko_uoe),0)</f>
        <v>0</v>
      </c>
      <c r="P202" s="33" cm="1">
        <f t="array" ref="P202">IF(P$66&lt;=Koniec,SUMPRODUCT(ISNUMBER(MATCH(mod_ko_uoe,$B$163,0))*('Koszty operacyjne'!$K$114:$X$114=Moduły!P$77)*ISNUMBER(MATCH(ko_uoe_pr,moduly_nie_pr,0)),ko_uoe),0)</f>
        <v>0</v>
      </c>
    </row>
    <row r="203" spans="2:16">
      <c r="B203" s="37" t="s">
        <v>778</v>
      </c>
      <c r="C203" s="33" cm="1">
        <f t="array" ref="C203">IF(C$66&lt;=Koniec,SUMPRODUCT(ISNUMBER(MATCH(mod_ko_pio,$B$163,0))*('Koszty operacyjne'!$K$114:$X$114=Moduły!C$77)*ISNUMBER(MATCH(ko_pio_pr,moduly_nie_pr,0)),ko_pio),0)</f>
        <v>0</v>
      </c>
      <c r="D203" s="33" cm="1">
        <f t="array" ref="D203">IF(D$66&lt;=Koniec,SUMPRODUCT(ISNUMBER(MATCH(mod_ko_pio,$B$163,0))*('Koszty operacyjne'!$K$114:$X$114=Moduły!D$77)*ISNUMBER(MATCH(ko_pio_pr,moduly_nie_pr,0)),ko_pio),0)</f>
        <v>0</v>
      </c>
      <c r="E203" s="33" cm="1">
        <f t="array" ref="E203">IF(E$66&lt;=Koniec,SUMPRODUCT(ISNUMBER(MATCH(mod_ko_pio,$B$163,0))*('Koszty operacyjne'!$K$114:$X$114=Moduły!E$77)*ISNUMBER(MATCH(ko_pio_pr,moduly_nie_pr,0)),ko_pio),0)</f>
        <v>0</v>
      </c>
      <c r="F203" s="33" cm="1">
        <f t="array" ref="F203">IF(F$66&lt;=Koniec,SUMPRODUCT(ISNUMBER(MATCH(mod_ko_pio,$B$163,0))*('Koszty operacyjne'!$K$114:$X$114=Moduły!F$77)*ISNUMBER(MATCH(ko_pio_pr,moduly_nie_pr,0)),ko_pio),0)</f>
        <v>0</v>
      </c>
      <c r="G203" s="33" cm="1">
        <f t="array" ref="G203">IF(G$66&lt;=Koniec,SUMPRODUCT(ISNUMBER(MATCH(mod_ko_pio,$B$163,0))*('Koszty operacyjne'!$K$114:$X$114=Moduły!G$77)*ISNUMBER(MATCH(ko_pio_pr,moduly_nie_pr,0)),ko_pio),0)</f>
        <v>0</v>
      </c>
      <c r="H203" s="33" cm="1">
        <f t="array" ref="H203">IF(H$66&lt;=Koniec,SUMPRODUCT(ISNUMBER(MATCH(mod_ko_pio,$B$163,0))*('Koszty operacyjne'!$K$114:$X$114=Moduły!H$77)*ISNUMBER(MATCH(ko_pio_pr,moduly_nie_pr,0)),ko_pio),0)</f>
        <v>0</v>
      </c>
      <c r="I203" s="33" cm="1">
        <f t="array" ref="I203">IF(I$66&lt;=Koniec,SUMPRODUCT(ISNUMBER(MATCH(mod_ko_pio,$B$163,0))*('Koszty operacyjne'!$K$114:$X$114=Moduły!I$77)*ISNUMBER(MATCH(ko_pio_pr,moduly_nie_pr,0)),ko_pio),0)</f>
        <v>0</v>
      </c>
      <c r="J203" s="33" cm="1">
        <f t="array" ref="J203">IF(J$66&lt;=Koniec,SUMPRODUCT(ISNUMBER(MATCH(mod_ko_pio,$B$163,0))*('Koszty operacyjne'!$K$114:$X$114=Moduły!J$77)*ISNUMBER(MATCH(ko_pio_pr,moduly_nie_pr,0)),ko_pio),0)</f>
        <v>0</v>
      </c>
      <c r="K203" s="33" cm="1">
        <f t="array" ref="K203">IF(K$66&lt;=Koniec,SUMPRODUCT(ISNUMBER(MATCH(mod_ko_pio,$B$163,0))*('Koszty operacyjne'!$K$114:$X$114=Moduły!K$77)*ISNUMBER(MATCH(ko_pio_pr,moduly_nie_pr,0)),ko_pio),0)</f>
        <v>0</v>
      </c>
      <c r="L203" s="33" cm="1">
        <f t="array" ref="L203">IF(L$66&lt;=Koniec,SUMPRODUCT(ISNUMBER(MATCH(mod_ko_pio,$B$163,0))*('Koszty operacyjne'!$K$114:$X$114=Moduły!L$77)*ISNUMBER(MATCH(ko_pio_pr,moduly_nie_pr,0)),ko_pio),0)</f>
        <v>0</v>
      </c>
      <c r="M203" s="33" cm="1">
        <f t="array" ref="M203">IF(M$66&lt;=Koniec,SUMPRODUCT(ISNUMBER(MATCH(mod_ko_pio,$B$163,0))*('Koszty operacyjne'!$K$114:$X$114=Moduły!M$77)*ISNUMBER(MATCH(ko_pio_pr,moduly_nie_pr,0)),ko_pio),0)</f>
        <v>0</v>
      </c>
      <c r="N203" s="33" cm="1">
        <f t="array" ref="N203">IF(N$66&lt;=Koniec,SUMPRODUCT(ISNUMBER(MATCH(mod_ko_pio,$B$163,0))*('Koszty operacyjne'!$K$114:$X$114=Moduły!N$77)*ISNUMBER(MATCH(ko_pio_pr,moduly_nie_pr,0)),ko_pio),0)</f>
        <v>0</v>
      </c>
      <c r="O203" s="33" cm="1">
        <f t="array" ref="O203">IF(O$66&lt;=Koniec,SUMPRODUCT(ISNUMBER(MATCH(mod_ko_pio,$B$163,0))*('Koszty operacyjne'!$K$114:$X$114=Moduły!O$77)*ISNUMBER(MATCH(ko_pio_pr,moduly_nie_pr,0)),ko_pio),0)</f>
        <v>0</v>
      </c>
      <c r="P203" s="33" cm="1">
        <f t="array" ref="P203">IF(P$66&lt;=Koniec,SUMPRODUCT(ISNUMBER(MATCH(mod_ko_pio,$B$163,0))*('Koszty operacyjne'!$K$114:$X$114=Moduły!P$77)*ISNUMBER(MATCH(ko_pio_pr,moduly_nie_pr,0)),ko_pio),0)</f>
        <v>0</v>
      </c>
    </row>
    <row r="204" spans="2:16">
      <c r="B204" s="37" t="s">
        <v>109</v>
      </c>
      <c r="C204" s="33" cm="1">
        <f t="array" ref="C204">IF(C$66&lt;=Koniec,SUMPRODUCT(ISNUMBER(MATCH(mod_ko_wyn,$B$163,0))*('Koszty operacyjne'!$K$114:$X$114=Moduły!C$77)*ISNUMBER(MATCH(ko_wyn_pr,moduly_nie_pr,0)),ko_wyn),0)</f>
        <v>0</v>
      </c>
      <c r="D204" s="33" cm="1">
        <f t="array" ref="D204">IF(D$66&lt;=Koniec,SUMPRODUCT(ISNUMBER(MATCH(mod_ko_wyn,$B$163,0))*('Koszty operacyjne'!$K$114:$X$114=Moduły!D$77)*ISNUMBER(MATCH(ko_wyn_pr,moduly_nie_pr,0)),ko_wyn),0)</f>
        <v>0</v>
      </c>
      <c r="E204" s="33" cm="1">
        <f t="array" ref="E204">IF(E$66&lt;=Koniec,SUMPRODUCT(ISNUMBER(MATCH(mod_ko_wyn,$B$163,0))*('Koszty operacyjne'!$K$114:$X$114=Moduły!E$77)*ISNUMBER(MATCH(ko_wyn_pr,moduly_nie_pr,0)),ko_wyn),0)</f>
        <v>0</v>
      </c>
      <c r="F204" s="33" cm="1">
        <f t="array" ref="F204">IF(F$66&lt;=Koniec,SUMPRODUCT(ISNUMBER(MATCH(mod_ko_wyn,$B$163,0))*('Koszty operacyjne'!$K$114:$X$114=Moduły!F$77)*ISNUMBER(MATCH(ko_wyn_pr,moduly_nie_pr,0)),ko_wyn),0)</f>
        <v>0</v>
      </c>
      <c r="G204" s="33" cm="1">
        <f t="array" ref="G204">IF(G$66&lt;=Koniec,SUMPRODUCT(ISNUMBER(MATCH(mod_ko_wyn,$B$163,0))*('Koszty operacyjne'!$K$114:$X$114=Moduły!G$77)*ISNUMBER(MATCH(ko_wyn_pr,moduly_nie_pr,0)),ko_wyn),0)</f>
        <v>0</v>
      </c>
      <c r="H204" s="33" cm="1">
        <f t="array" ref="H204">IF(H$66&lt;=Koniec,SUMPRODUCT(ISNUMBER(MATCH(mod_ko_wyn,$B$163,0))*('Koszty operacyjne'!$K$114:$X$114=Moduły!H$77)*ISNUMBER(MATCH(ko_wyn_pr,moduly_nie_pr,0)),ko_wyn),0)</f>
        <v>0</v>
      </c>
      <c r="I204" s="33" cm="1">
        <f t="array" ref="I204">IF(I$66&lt;=Koniec,SUMPRODUCT(ISNUMBER(MATCH(mod_ko_wyn,$B$163,0))*('Koszty operacyjne'!$K$114:$X$114=Moduły!I$77)*ISNUMBER(MATCH(ko_wyn_pr,moduly_nie_pr,0)),ko_wyn),0)</f>
        <v>0</v>
      </c>
      <c r="J204" s="33" cm="1">
        <f t="array" ref="J204">IF(J$66&lt;=Koniec,SUMPRODUCT(ISNUMBER(MATCH(mod_ko_wyn,$B$163,0))*('Koszty operacyjne'!$K$114:$X$114=Moduły!J$77)*ISNUMBER(MATCH(ko_wyn_pr,moduly_nie_pr,0)),ko_wyn),0)</f>
        <v>0</v>
      </c>
      <c r="K204" s="33" cm="1">
        <f t="array" ref="K204">IF(K$66&lt;=Koniec,SUMPRODUCT(ISNUMBER(MATCH(mod_ko_wyn,$B$163,0))*('Koszty operacyjne'!$K$114:$X$114=Moduły!K$77)*ISNUMBER(MATCH(ko_wyn_pr,moduly_nie_pr,0)),ko_wyn),0)</f>
        <v>0</v>
      </c>
      <c r="L204" s="33" cm="1">
        <f t="array" ref="L204">IF(L$66&lt;=Koniec,SUMPRODUCT(ISNUMBER(MATCH(mod_ko_wyn,$B$163,0))*('Koszty operacyjne'!$K$114:$X$114=Moduły!L$77)*ISNUMBER(MATCH(ko_wyn_pr,moduly_nie_pr,0)),ko_wyn),0)</f>
        <v>0</v>
      </c>
      <c r="M204" s="33" cm="1">
        <f t="array" ref="M204">IF(M$66&lt;=Koniec,SUMPRODUCT(ISNUMBER(MATCH(mod_ko_wyn,$B$163,0))*('Koszty operacyjne'!$K$114:$X$114=Moduły!M$77)*ISNUMBER(MATCH(ko_wyn_pr,moduly_nie_pr,0)),ko_wyn),0)</f>
        <v>0</v>
      </c>
      <c r="N204" s="33" cm="1">
        <f t="array" ref="N204">IF(N$66&lt;=Koniec,SUMPRODUCT(ISNUMBER(MATCH(mod_ko_wyn,$B$163,0))*('Koszty operacyjne'!$K$114:$X$114=Moduły!N$77)*ISNUMBER(MATCH(ko_wyn_pr,moduly_nie_pr,0)),ko_wyn),0)</f>
        <v>0</v>
      </c>
      <c r="O204" s="33" cm="1">
        <f t="array" ref="O204">IF(O$66&lt;=Koniec,SUMPRODUCT(ISNUMBER(MATCH(mod_ko_wyn,$B$163,0))*('Koszty operacyjne'!$K$114:$X$114=Moduły!O$77)*ISNUMBER(MATCH(ko_wyn_pr,moduly_nie_pr,0)),ko_wyn),0)</f>
        <v>0</v>
      </c>
      <c r="P204" s="33" cm="1">
        <f t="array" ref="P204">IF(P$66&lt;=Koniec,SUMPRODUCT(ISNUMBER(MATCH(mod_ko_wyn,$B$163,0))*('Koszty operacyjne'!$K$114:$X$114=Moduły!P$77)*ISNUMBER(MATCH(ko_wyn_pr,moduly_nie_pr,0)),ko_wyn),0)</f>
        <v>0</v>
      </c>
    </row>
    <row r="205" spans="2:16">
      <c r="B205" s="37" t="s">
        <v>110</v>
      </c>
      <c r="C205" s="33" cm="1">
        <f t="array" ref="C205">IF(C$66&lt;=Koniec,SUMPRODUCT(ISNUMBER(MATCH(mod_ko_zus,$B$163,0))*('Koszty operacyjne'!$K$114:$X$114=Moduły!C$77)*ISNUMBER(MATCH(ko_zus_pr,moduly_nie_pr,0)),ko_zus),0)</f>
        <v>0</v>
      </c>
      <c r="D205" s="33" cm="1">
        <f t="array" ref="D205">IF(D$66&lt;=Koniec,SUMPRODUCT(ISNUMBER(MATCH(mod_ko_zus,$B$163,0))*('Koszty operacyjne'!$K$114:$X$114=Moduły!D$77)*ISNUMBER(MATCH(ko_zus_pr,moduly_nie_pr,0)),ko_zus),0)</f>
        <v>0</v>
      </c>
      <c r="E205" s="33" cm="1">
        <f t="array" ref="E205">IF(E$66&lt;=Koniec,SUMPRODUCT(ISNUMBER(MATCH(mod_ko_zus,$B$163,0))*('Koszty operacyjne'!$K$114:$X$114=Moduły!E$77)*ISNUMBER(MATCH(ko_zus_pr,moduly_nie_pr,0)),ko_zus),0)</f>
        <v>0</v>
      </c>
      <c r="F205" s="33" cm="1">
        <f t="array" ref="F205">IF(F$66&lt;=Koniec,SUMPRODUCT(ISNUMBER(MATCH(mod_ko_zus,$B$163,0))*('Koszty operacyjne'!$K$114:$X$114=Moduły!F$77)*ISNUMBER(MATCH(ko_zus_pr,moduly_nie_pr,0)),ko_zus),0)</f>
        <v>0</v>
      </c>
      <c r="G205" s="33" cm="1">
        <f t="array" ref="G205">IF(G$66&lt;=Koniec,SUMPRODUCT(ISNUMBER(MATCH(mod_ko_zus,$B$163,0))*('Koszty operacyjne'!$K$114:$X$114=Moduły!G$77)*ISNUMBER(MATCH(ko_zus_pr,moduly_nie_pr,0)),ko_zus),0)</f>
        <v>0</v>
      </c>
      <c r="H205" s="33" cm="1">
        <f t="array" ref="H205">IF(H$66&lt;=Koniec,SUMPRODUCT(ISNUMBER(MATCH(mod_ko_zus,$B$163,0))*('Koszty operacyjne'!$K$114:$X$114=Moduły!H$77)*ISNUMBER(MATCH(ko_zus_pr,moduly_nie_pr,0)),ko_zus),0)</f>
        <v>0</v>
      </c>
      <c r="I205" s="33" cm="1">
        <f t="array" ref="I205">IF(I$66&lt;=Koniec,SUMPRODUCT(ISNUMBER(MATCH(mod_ko_zus,$B$163,0))*('Koszty operacyjne'!$K$114:$X$114=Moduły!I$77)*ISNUMBER(MATCH(ko_zus_pr,moduly_nie_pr,0)),ko_zus),0)</f>
        <v>0</v>
      </c>
      <c r="J205" s="33" cm="1">
        <f t="array" ref="J205">IF(J$66&lt;=Koniec,SUMPRODUCT(ISNUMBER(MATCH(mod_ko_zus,$B$163,0))*('Koszty operacyjne'!$K$114:$X$114=Moduły!J$77)*ISNUMBER(MATCH(ko_zus_pr,moduly_nie_pr,0)),ko_zus),0)</f>
        <v>0</v>
      </c>
      <c r="K205" s="33" cm="1">
        <f t="array" ref="K205">IF(K$66&lt;=Koniec,SUMPRODUCT(ISNUMBER(MATCH(mod_ko_zus,$B$163,0))*('Koszty operacyjne'!$K$114:$X$114=Moduły!K$77)*ISNUMBER(MATCH(ko_zus_pr,moduly_nie_pr,0)),ko_zus),0)</f>
        <v>0</v>
      </c>
      <c r="L205" s="33" cm="1">
        <f t="array" ref="L205">IF(L$66&lt;=Koniec,SUMPRODUCT(ISNUMBER(MATCH(mod_ko_zus,$B$163,0))*('Koszty operacyjne'!$K$114:$X$114=Moduły!L$77)*ISNUMBER(MATCH(ko_zus_pr,moduly_nie_pr,0)),ko_zus),0)</f>
        <v>0</v>
      </c>
      <c r="M205" s="33" cm="1">
        <f t="array" ref="M205">IF(M$66&lt;=Koniec,SUMPRODUCT(ISNUMBER(MATCH(mod_ko_zus,$B$163,0))*('Koszty operacyjne'!$K$114:$X$114=Moduły!M$77)*ISNUMBER(MATCH(ko_zus_pr,moduly_nie_pr,0)),ko_zus),0)</f>
        <v>0</v>
      </c>
      <c r="N205" s="33" cm="1">
        <f t="array" ref="N205">IF(N$66&lt;=Koniec,SUMPRODUCT(ISNUMBER(MATCH(mod_ko_zus,$B$163,0))*('Koszty operacyjne'!$K$114:$X$114=Moduły!N$77)*ISNUMBER(MATCH(ko_zus_pr,moduly_nie_pr,0)),ko_zus),0)</f>
        <v>0</v>
      </c>
      <c r="O205" s="33" cm="1">
        <f t="array" ref="O205">IF(O$66&lt;=Koniec,SUMPRODUCT(ISNUMBER(MATCH(mod_ko_zus,$B$163,0))*('Koszty operacyjne'!$K$114:$X$114=Moduły!O$77)*ISNUMBER(MATCH(ko_zus_pr,moduly_nie_pr,0)),ko_zus),0)</f>
        <v>0</v>
      </c>
      <c r="P205" s="33" cm="1">
        <f t="array" ref="P205">IF(P$66&lt;=Koniec,SUMPRODUCT(ISNUMBER(MATCH(mod_ko_zus,$B$163,0))*('Koszty operacyjne'!$K$114:$X$114=Moduły!P$77)*ISNUMBER(MATCH(ko_zus_pr,moduly_nie_pr,0)),ko_zus),0)</f>
        <v>0</v>
      </c>
    </row>
    <row r="206" spans="2:16">
      <c r="B206" s="37" t="s">
        <v>111</v>
      </c>
      <c r="C206" s="33" cm="1">
        <f t="array" ref="C206">IF(C$66&lt;=Koniec,SUMPRODUCT(ISNUMBER(MATCH(mod_ko_pkr,$B$163,0))*('Koszty operacyjne'!$K$114:$X$114=Moduły!C$77)*ISNUMBER(MATCH(ko_pkr_pr,moduly_nie_pr,0)),ko_pkr),0)</f>
        <v>0</v>
      </c>
      <c r="D206" s="33" cm="1">
        <f t="array" ref="D206">IF(D$66&lt;=Koniec,SUMPRODUCT(ISNUMBER(MATCH(mod_ko_pkr,$B$163,0))*('Koszty operacyjne'!$K$114:$X$114=Moduły!D$77)*ISNUMBER(MATCH(ko_pkr_pr,moduly_nie_pr,0)),ko_pkr),0)</f>
        <v>0</v>
      </c>
      <c r="E206" s="33" cm="1">
        <f t="array" ref="E206">IF(E$66&lt;=Koniec,SUMPRODUCT(ISNUMBER(MATCH(mod_ko_pkr,$B$163,0))*('Koszty operacyjne'!$K$114:$X$114=Moduły!E$77)*ISNUMBER(MATCH(ko_pkr_pr,moduly_nie_pr,0)),ko_pkr),0)</f>
        <v>0</v>
      </c>
      <c r="F206" s="33" cm="1">
        <f t="array" ref="F206">IF(F$66&lt;=Koniec,SUMPRODUCT(ISNUMBER(MATCH(mod_ko_pkr,$B$163,0))*('Koszty operacyjne'!$K$114:$X$114=Moduły!F$77)*ISNUMBER(MATCH(ko_pkr_pr,moduly_nie_pr,0)),ko_pkr),0)</f>
        <v>0</v>
      </c>
      <c r="G206" s="33" cm="1">
        <f t="array" ref="G206">IF(G$66&lt;=Koniec,SUMPRODUCT(ISNUMBER(MATCH(mod_ko_pkr,$B$163,0))*('Koszty operacyjne'!$K$114:$X$114=Moduły!G$77)*ISNUMBER(MATCH(ko_pkr_pr,moduly_nie_pr,0)),ko_pkr),0)</f>
        <v>0</v>
      </c>
      <c r="H206" s="33" cm="1">
        <f t="array" ref="H206">IF(H$66&lt;=Koniec,SUMPRODUCT(ISNUMBER(MATCH(mod_ko_pkr,$B$163,0))*('Koszty operacyjne'!$K$114:$X$114=Moduły!H$77)*ISNUMBER(MATCH(ko_pkr_pr,moduly_nie_pr,0)),ko_pkr),0)</f>
        <v>0</v>
      </c>
      <c r="I206" s="33" cm="1">
        <f t="array" ref="I206">IF(I$66&lt;=Koniec,SUMPRODUCT(ISNUMBER(MATCH(mod_ko_pkr,$B$163,0))*('Koszty operacyjne'!$K$114:$X$114=Moduły!I$77)*ISNUMBER(MATCH(ko_pkr_pr,moduly_nie_pr,0)),ko_pkr),0)</f>
        <v>0</v>
      </c>
      <c r="J206" s="33" cm="1">
        <f t="array" ref="J206">IF(J$66&lt;=Koniec,SUMPRODUCT(ISNUMBER(MATCH(mod_ko_pkr,$B$163,0))*('Koszty operacyjne'!$K$114:$X$114=Moduły!J$77)*ISNUMBER(MATCH(ko_pkr_pr,moduly_nie_pr,0)),ko_pkr),0)</f>
        <v>0</v>
      </c>
      <c r="K206" s="33" cm="1">
        <f t="array" ref="K206">IF(K$66&lt;=Koniec,SUMPRODUCT(ISNUMBER(MATCH(mod_ko_pkr,$B$163,0))*('Koszty operacyjne'!$K$114:$X$114=Moduły!K$77)*ISNUMBER(MATCH(ko_pkr_pr,moduly_nie_pr,0)),ko_pkr),0)</f>
        <v>0</v>
      </c>
      <c r="L206" s="33" cm="1">
        <f t="array" ref="L206">IF(L$66&lt;=Koniec,SUMPRODUCT(ISNUMBER(MATCH(mod_ko_pkr,$B$163,0))*('Koszty operacyjne'!$K$114:$X$114=Moduły!L$77)*ISNUMBER(MATCH(ko_pkr_pr,moduly_nie_pr,0)),ko_pkr),0)</f>
        <v>0</v>
      </c>
      <c r="M206" s="33" cm="1">
        <f t="array" ref="M206">IF(M$66&lt;=Koniec,SUMPRODUCT(ISNUMBER(MATCH(mod_ko_pkr,$B$163,0))*('Koszty operacyjne'!$K$114:$X$114=Moduły!M$77)*ISNUMBER(MATCH(ko_pkr_pr,moduly_nie_pr,0)),ko_pkr),0)</f>
        <v>0</v>
      </c>
      <c r="N206" s="33" cm="1">
        <f t="array" ref="N206">IF(N$66&lt;=Koniec,SUMPRODUCT(ISNUMBER(MATCH(mod_ko_pkr,$B$163,0))*('Koszty operacyjne'!$K$114:$X$114=Moduły!N$77)*ISNUMBER(MATCH(ko_pkr_pr,moduly_nie_pr,0)),ko_pkr),0)</f>
        <v>0</v>
      </c>
      <c r="O206" s="33" cm="1">
        <f t="array" ref="O206">IF(O$66&lt;=Koniec,SUMPRODUCT(ISNUMBER(MATCH(mod_ko_pkr,$B$163,0))*('Koszty operacyjne'!$K$114:$X$114=Moduły!O$77)*ISNUMBER(MATCH(ko_pkr_pr,moduly_nie_pr,0)),ko_pkr),0)</f>
        <v>0</v>
      </c>
      <c r="P206" s="33" cm="1">
        <f t="array" ref="P206">IF(P$66&lt;=Koniec,SUMPRODUCT(ISNUMBER(MATCH(mod_ko_pkr,$B$163,0))*('Koszty operacyjne'!$K$114:$X$114=Moduły!P$77)*ISNUMBER(MATCH(ko_pkr_pr,moduly_nie_pr,0)),ko_pkr),0)</f>
        <v>0</v>
      </c>
    </row>
    <row r="207" spans="2:16">
      <c r="B207" s="37" t="s">
        <v>112</v>
      </c>
      <c r="C207" s="33" cm="1">
        <f t="array" ref="C207">IF(C$66&lt;=Koniec,SUMPRODUCT(ISNUMBER(MATCH(mod_pp_ptim_wstim,$B$163,0))*('Koszty operacyjne'!$K$114:$X$114=Moduły!C$77),pp_ptim_wstim),0)</f>
        <v>0</v>
      </c>
      <c r="D207" s="33" cm="1">
        <f t="array" ref="D207">IF(D$66&lt;=Koniec,SUMPRODUCT(ISNUMBER(MATCH(mod_pp_ptim_wstim,$B$163,0))*('Koszty operacyjne'!$K$114:$X$114=Moduły!D$77),pp_ptim_wstim),0)</f>
        <v>0</v>
      </c>
      <c r="E207" s="33" cm="1">
        <f t="array" ref="E207">IF(E$66&lt;=Koniec,SUMPRODUCT(ISNUMBER(MATCH(mod_pp_ptim_wstim,$B$163,0))*('Koszty operacyjne'!$K$114:$X$114=Moduły!E$77),pp_ptim_wstim),0)</f>
        <v>0</v>
      </c>
      <c r="F207" s="33" cm="1">
        <f t="array" ref="F207">IF(F$66&lt;=Koniec,SUMPRODUCT(ISNUMBER(MATCH(mod_pp_ptim_wstim,$B$163,0))*('Koszty operacyjne'!$K$114:$X$114=Moduły!F$77),pp_ptim_wstim),0)</f>
        <v>0</v>
      </c>
      <c r="G207" s="33" cm="1">
        <f t="array" ref="G207">IF(G$66&lt;=Koniec,SUMPRODUCT(ISNUMBER(MATCH(mod_pp_ptim_wstim,$B$163,0))*('Koszty operacyjne'!$K$114:$X$114=Moduły!G$77),pp_ptim_wstim),0)</f>
        <v>0</v>
      </c>
      <c r="H207" s="33" cm="1">
        <f t="array" ref="H207">IF(H$66&lt;=Koniec,SUMPRODUCT(ISNUMBER(MATCH(mod_pp_ptim_wstim,$B$163,0))*('Koszty operacyjne'!$K$114:$X$114=Moduły!H$77),pp_ptim_wstim),0)</f>
        <v>0</v>
      </c>
      <c r="I207" s="33" cm="1">
        <f t="array" ref="I207">IF(I$66&lt;=Koniec,SUMPRODUCT(ISNUMBER(MATCH(mod_pp_ptim_wstim,$B$163,0))*('Koszty operacyjne'!$K$114:$X$114=Moduły!I$77),pp_ptim_wstim),0)</f>
        <v>0</v>
      </c>
      <c r="J207" s="33" cm="1">
        <f t="array" ref="J207">IF(J$66&lt;=Koniec,SUMPRODUCT(ISNUMBER(MATCH(mod_pp_ptim_wstim,$B$163,0))*('Koszty operacyjne'!$K$114:$X$114=Moduły!J$77),pp_ptim_wstim),0)</f>
        <v>0</v>
      </c>
      <c r="K207" s="33" cm="1">
        <f t="array" ref="K207">IF(K$66&lt;=Koniec,SUMPRODUCT(ISNUMBER(MATCH(mod_pp_ptim_wstim,$B$163,0))*('Koszty operacyjne'!$K$114:$X$114=Moduły!K$77),pp_ptim_wstim),0)</f>
        <v>0</v>
      </c>
      <c r="L207" s="33" cm="1">
        <f t="array" ref="L207">IF(L$66&lt;=Koniec,SUMPRODUCT(ISNUMBER(MATCH(mod_pp_ptim_wstim,$B$163,0))*('Koszty operacyjne'!$K$114:$X$114=Moduły!L$77),pp_ptim_wstim),0)</f>
        <v>0</v>
      </c>
      <c r="M207" s="33" cm="1">
        <f t="array" ref="M207">IF(M$66&lt;=Koniec,SUMPRODUCT(ISNUMBER(MATCH(mod_pp_ptim_wstim,$B$163,0))*('Koszty operacyjne'!$K$114:$X$114=Moduły!M$77),pp_ptim_wstim),0)</f>
        <v>0</v>
      </c>
      <c r="N207" s="33" cm="1">
        <f t="array" ref="N207">IF(N$66&lt;=Koniec,SUMPRODUCT(ISNUMBER(MATCH(mod_pp_ptim_wstim,$B$163,0))*('Koszty operacyjne'!$K$114:$X$114=Moduły!N$77),pp_ptim_wstim),0)</f>
        <v>0</v>
      </c>
      <c r="O207" s="33" cm="1">
        <f t="array" ref="O207">IF(O$66&lt;=Koniec,SUMPRODUCT(ISNUMBER(MATCH(mod_pp_ptim_wstim,$B$163,0))*('Koszty operacyjne'!$K$114:$X$114=Moduły!O$77),pp_ptim_wstim),0)</f>
        <v>0</v>
      </c>
      <c r="P207" s="33" cm="1">
        <f t="array" ref="P207">IF(P$66&lt;=Koniec,SUMPRODUCT(ISNUMBER(MATCH(mod_pp_ptim_wstim,$B$163,0))*('Koszty operacyjne'!$K$114:$X$114=Moduły!P$77),pp_ptim_wstim),0)</f>
        <v>0</v>
      </c>
    </row>
    <row r="208" spans="2:16"/>
    <row r="209" spans="2:16">
      <c r="B209" s="368" t="s">
        <v>766</v>
      </c>
      <c r="C209" s="475" t="str">
        <f t="shared" ref="C209:P209" si="84">C163</f>
        <v>Uzupełnij dane</v>
      </c>
      <c r="D209" s="475" t="str">
        <f t="shared" si="84"/>
        <v/>
      </c>
      <c r="E209" s="475" t="str">
        <f t="shared" si="84"/>
        <v/>
      </c>
      <c r="F209" s="475" t="str">
        <f t="shared" si="84"/>
        <v/>
      </c>
      <c r="G209" s="475" t="str">
        <f t="shared" si="84"/>
        <v/>
      </c>
      <c r="H209" s="475" t="str">
        <f t="shared" si="84"/>
        <v/>
      </c>
      <c r="I209" s="475" t="str">
        <f t="shared" si="84"/>
        <v/>
      </c>
      <c r="J209" s="475" t="str">
        <f t="shared" si="84"/>
        <v/>
      </c>
      <c r="K209" s="475" t="str">
        <f t="shared" si="84"/>
        <v/>
      </c>
      <c r="L209" s="475" t="str">
        <f t="shared" si="84"/>
        <v/>
      </c>
      <c r="M209" s="475" t="str">
        <f t="shared" si="84"/>
        <v/>
      </c>
      <c r="N209" s="475" t="str">
        <f t="shared" si="84"/>
        <v/>
      </c>
      <c r="O209" s="475" t="str">
        <f t="shared" si="84"/>
        <v/>
      </c>
      <c r="P209" s="475" t="str">
        <f t="shared" si="84"/>
        <v/>
      </c>
    </row>
    <row r="210" spans="2:16" ht="3.9" customHeight="1">
      <c r="C210" s="5"/>
      <c r="D210" s="5"/>
      <c r="E210" s="5"/>
      <c r="F210" s="5"/>
      <c r="G210" s="5"/>
      <c r="H210" s="5"/>
      <c r="I210" s="5"/>
    </row>
    <row r="211" spans="2:16">
      <c r="B211" s="103" t="s">
        <v>689</v>
      </c>
      <c r="C211" s="102" cm="1">
        <f t="array" ref="C211">IFERROR('Rozliczenie dotacji'!K$1250+IF(C$66&lt;=Koniec,SUMPRODUCT(ISNUMBER(MATCH(mod_dot_st_wbudowie_npv,$B$163,0))*('Koszty operacyjne'!$K$114:$X$114=Moduły!C$77),mod_dot_st_wbudowie_npv_war),0),"sprawdź dane")</f>
        <v>0</v>
      </c>
      <c r="D211" s="102" cm="1">
        <f t="array" aca="1" ref="D211" ca="1">IFERROR('Rozliczenie dotacji'!L$1250+IF(D$66&lt;=Koniec,SUMPRODUCT(ISNUMBER(MATCH(mod_dot_st_wbudowie_npv,$B$163,0))*('Koszty operacyjne'!$K$114:$X$114=Moduły!D$77),mod_dot_st_wbudowie_npv_war),0),"sprawdź dane")</f>
        <v>0</v>
      </c>
      <c r="E211" s="102" cm="1">
        <f t="array" aca="1" ref="E211" ca="1">IFERROR('Rozliczenie dotacji'!M$1250+IF(E$66&lt;=Koniec,SUMPRODUCT(ISNUMBER(MATCH(mod_dot_st_wbudowie_npv,$B$163,0))*('Koszty operacyjne'!$K$114:$X$114=Moduły!E$77),mod_dot_st_wbudowie_npv_war),0),"sprawdź dane")</f>
        <v>0</v>
      </c>
      <c r="F211" s="102" cm="1">
        <f t="array" aca="1" ref="F211" ca="1">IFERROR('Rozliczenie dotacji'!N$1250+IF(F$66&lt;=Koniec,SUMPRODUCT(ISNUMBER(MATCH(mod_dot_st_wbudowie_npv,$B$163,0))*('Koszty operacyjne'!$K$114:$X$114=Moduły!F$77),mod_dot_st_wbudowie_npv_war),0),"sprawdź dane")</f>
        <v>0</v>
      </c>
      <c r="G211" s="102" cm="1">
        <f t="array" aca="1" ref="G211" ca="1">IFERROR('Rozliczenie dotacji'!O$1250+IF(G$66&lt;=Koniec,SUMPRODUCT(ISNUMBER(MATCH(mod_dot_st_wbudowie_npv,$B$163,0))*('Koszty operacyjne'!$K$114:$X$114=Moduły!G$77),mod_dot_st_wbudowie_npv_war),0),"sprawdź dane")</f>
        <v>0</v>
      </c>
      <c r="H211" s="102" cm="1">
        <f t="array" aca="1" ref="H211" ca="1">IFERROR('Rozliczenie dotacji'!P$1250+IF(H$66&lt;=Koniec,SUMPRODUCT(ISNUMBER(MATCH(mod_dot_st_wbudowie_npv,$B$163,0))*('Koszty operacyjne'!$K$114:$X$114=Moduły!H$77),mod_dot_st_wbudowie_npv_war),0),"sprawdź dane")</f>
        <v>0</v>
      </c>
      <c r="I211" s="102" cm="1">
        <f t="array" aca="1" ref="I211" ca="1">IFERROR('Rozliczenie dotacji'!Q$1250+IF(I$66&lt;=Koniec,SUMPRODUCT(ISNUMBER(MATCH(mod_dot_st_wbudowie_npv,$B$163,0))*('Koszty operacyjne'!$K$114:$X$114=Moduły!I$77),mod_dot_st_wbudowie_npv_war),0),"sprawdź dane")</f>
        <v>0</v>
      </c>
      <c r="J211" s="102" cm="1">
        <f t="array" aca="1" ref="J211" ca="1">IFERROR('Rozliczenie dotacji'!R$1250+IF(J$66&lt;=Koniec,SUMPRODUCT(ISNUMBER(MATCH(mod_dot_st_wbudowie_npv,$B$163,0))*('Koszty operacyjne'!$K$114:$X$114=Moduły!J$77),mod_dot_st_wbudowie_npv_war),0),"sprawdź dane")</f>
        <v>0</v>
      </c>
      <c r="K211" s="102" cm="1">
        <f t="array" aca="1" ref="K211" ca="1">IFERROR('Rozliczenie dotacji'!S$1250+IF(K$66&lt;=Koniec,SUMPRODUCT(ISNUMBER(MATCH(mod_dot_st_wbudowie_npv,$B$163,0))*('Koszty operacyjne'!$K$114:$X$114=Moduły!K$77),mod_dot_st_wbudowie_npv_war),0),"sprawdź dane")</f>
        <v>0</v>
      </c>
      <c r="L211" s="102" cm="1">
        <f t="array" aca="1" ref="L211" ca="1">IFERROR('Rozliczenie dotacji'!T$1250+IF(L$66&lt;=Koniec,SUMPRODUCT(ISNUMBER(MATCH(mod_dot_st_wbudowie_npv,$B$163,0))*('Koszty operacyjne'!$K$114:$X$114=Moduły!L$77),mod_dot_st_wbudowie_npv_war),0),"sprawdź dane")</f>
        <v>0</v>
      </c>
      <c r="M211" s="102" cm="1">
        <f t="array" aca="1" ref="M211" ca="1">IFERROR('Rozliczenie dotacji'!U$1250+IF(M$66&lt;=Koniec,SUMPRODUCT(ISNUMBER(MATCH(mod_dot_st_wbudowie_npv,$B$163,0))*('Koszty operacyjne'!$K$114:$X$114=Moduły!M$77),mod_dot_st_wbudowie_npv_war),0),"sprawdź dane")</f>
        <v>0</v>
      </c>
      <c r="N211" s="102" cm="1">
        <f t="array" aca="1" ref="N211" ca="1">IFERROR('Rozliczenie dotacji'!V$1250+IF(N$66&lt;=Koniec,SUMPRODUCT(ISNUMBER(MATCH(mod_dot_st_wbudowie_npv,$B$163,0))*('Koszty operacyjne'!$K$114:$X$114=Moduły!N$77),mod_dot_st_wbudowie_npv_war),0),"sprawdź dane")</f>
        <v>0</v>
      </c>
      <c r="O211" s="102" cm="1">
        <f t="array" aca="1" ref="O211" ca="1">IFERROR('Rozliczenie dotacji'!W$1250+IF(O$66&lt;=Koniec,SUMPRODUCT(ISNUMBER(MATCH(mod_dot_st_wbudowie_npv,$B$163,0))*('Koszty operacyjne'!$K$114:$X$114=Moduły!O$77),mod_dot_st_wbudowie_npv_war),0),"sprawdź dane")</f>
        <v>0</v>
      </c>
      <c r="P211" s="102" cm="1">
        <f t="array" aca="1" ref="P211" ca="1">IFERROR('Rozliczenie dotacji'!X$1250+IF(P$66&lt;=Koniec,SUMPRODUCT(ISNUMBER(MATCH(mod_dot_st_wbudowie_npv,$B$163,0))*('Koszty operacyjne'!$K$114:$X$114=Moduły!P$77),mod_dot_st_wbudowie_npv_war),0),"sprawdź dane")</f>
        <v>0</v>
      </c>
    </row>
    <row r="212" spans="2:16">
      <c r="B212" s="37" t="s">
        <v>690</v>
      </c>
      <c r="C212" s="33" cm="1">
        <f t="array" ref="C212">IF(C$66&lt;=Koniec,SUMPRODUCT(ISNUMBER(MATCH(mod_dot_ko,$B$163,0))*('Koszty operacyjne'!$K$114:$X$114=Moduły!C$77),mod_dot_ko_war),0)</f>
        <v>0</v>
      </c>
      <c r="D212" s="33" cm="1">
        <f t="array" ref="D212">IF(D$66&lt;=Koniec,SUMPRODUCT(ISNUMBER(MATCH(mod_dot_ko,$B$163,0))*('Koszty operacyjne'!$K$114:$X$114=Moduły!D$77),mod_dot_ko_war),0)</f>
        <v>0</v>
      </c>
      <c r="E212" s="33" cm="1">
        <f t="array" ref="E212">IF(E$66&lt;=Koniec,SUMPRODUCT(ISNUMBER(MATCH(mod_dot_ko,$B$163,0))*('Koszty operacyjne'!$K$114:$X$114=Moduły!E$77),mod_dot_ko_war),0)</f>
        <v>0</v>
      </c>
      <c r="F212" s="33" cm="1">
        <f t="array" ref="F212">IF(F$66&lt;=Koniec,SUMPRODUCT(ISNUMBER(MATCH(mod_dot_ko,$B$163,0))*('Koszty operacyjne'!$K$114:$X$114=Moduły!F$77),mod_dot_ko_war),0)</f>
        <v>0</v>
      </c>
      <c r="G212" s="33" cm="1">
        <f t="array" ref="G212">IF(G$66&lt;=Koniec,SUMPRODUCT(ISNUMBER(MATCH(mod_dot_ko,$B$163,0))*('Koszty operacyjne'!$K$114:$X$114=Moduły!G$77),mod_dot_ko_war),0)</f>
        <v>0</v>
      </c>
      <c r="H212" s="33" cm="1">
        <f t="array" ref="H212">IF(H$66&lt;=Koniec,SUMPRODUCT(ISNUMBER(MATCH(mod_dot_ko,$B$163,0))*('Koszty operacyjne'!$K$114:$X$114=Moduły!H$77),mod_dot_ko_war),0)</f>
        <v>0</v>
      </c>
      <c r="I212" s="33" cm="1">
        <f t="array" ref="I212">IF(I$66&lt;=Koniec,SUMPRODUCT(ISNUMBER(MATCH(mod_dot_ko,$B$163,0))*('Koszty operacyjne'!$K$114:$X$114=Moduły!I$77),mod_dot_ko_war),0)</f>
        <v>0</v>
      </c>
      <c r="J212" s="33" cm="1">
        <f t="array" ref="J212">IF(J$66&lt;=Koniec,SUMPRODUCT(ISNUMBER(MATCH(mod_dot_ko,$B$163,0))*('Koszty operacyjne'!$K$114:$X$114=Moduły!J$77),mod_dot_ko_war),0)</f>
        <v>0</v>
      </c>
      <c r="K212" s="33" cm="1">
        <f t="array" ref="K212">IF(K$66&lt;=Koniec,SUMPRODUCT(ISNUMBER(MATCH(mod_dot_ko,$B$163,0))*('Koszty operacyjne'!$K$114:$X$114=Moduły!K$77),mod_dot_ko_war),0)</f>
        <v>0</v>
      </c>
      <c r="L212" s="33" cm="1">
        <f t="array" ref="L212">IF(L$66&lt;=Koniec,SUMPRODUCT(ISNUMBER(MATCH(mod_dot_ko,$B$163,0))*('Koszty operacyjne'!$K$114:$X$114=Moduły!L$77),mod_dot_ko_war),0)</f>
        <v>0</v>
      </c>
      <c r="M212" s="33" cm="1">
        <f t="array" ref="M212">IF(M$66&lt;=Koniec,SUMPRODUCT(ISNUMBER(MATCH(mod_dot_ko,$B$163,0))*('Koszty operacyjne'!$K$114:$X$114=Moduły!M$77),mod_dot_ko_war),0)</f>
        <v>0</v>
      </c>
      <c r="N212" s="33" cm="1">
        <f t="array" ref="N212">IF(N$66&lt;=Koniec,SUMPRODUCT(ISNUMBER(MATCH(mod_dot_ko,$B$163,0))*('Koszty operacyjne'!$K$114:$X$114=Moduły!N$77),mod_dot_ko_war),0)</f>
        <v>0</v>
      </c>
      <c r="O212" s="33" cm="1">
        <f t="array" ref="O212">IF(O$66&lt;=Koniec,SUMPRODUCT(ISNUMBER(MATCH(mod_dot_ko,$B$163,0))*('Koszty operacyjne'!$K$114:$X$114=Moduły!O$77),mod_dot_ko_war),0)</f>
        <v>0</v>
      </c>
      <c r="P212" s="33" cm="1">
        <f t="array" ref="P212">IF(P$66&lt;=Koniec,SUMPRODUCT(ISNUMBER(MATCH(mod_dot_ko,$B$163,0))*('Koszty operacyjne'!$K$114:$X$114=Moduły!P$77),mod_dot_ko_war),0)</f>
        <v>0</v>
      </c>
    </row>
    <row r="213" spans="2:16">
      <c r="B213" s="37" t="s">
        <v>692</v>
      </c>
      <c r="C213" s="33" cm="1">
        <f t="array" ref="C213">IF(C$66&lt;=Koniec,SUMPRODUCT(ISNUMBER(MATCH(mod_dot_ko_br,$B$163,0))*('Koszty operacyjne'!$K$114:$X$114=Moduły!C$77),mod_dot_ko_br_war),0)</f>
        <v>0</v>
      </c>
      <c r="D213" s="33" cm="1">
        <f t="array" ref="D213">IF(D$66&lt;=Koniec,SUMPRODUCT(ISNUMBER(MATCH(mod_dot_ko_br,$B$163,0))*('Koszty operacyjne'!$K$114:$X$114=Moduły!D$77),mod_dot_ko_br_war),0)</f>
        <v>0</v>
      </c>
      <c r="E213" s="33" cm="1">
        <f t="array" ref="E213">IF(E$66&lt;=Koniec,SUMPRODUCT(ISNUMBER(MATCH(mod_dot_ko_br,$B$163,0))*('Koszty operacyjne'!$K$114:$X$114=Moduły!E$77),mod_dot_ko_br_war),0)</f>
        <v>0</v>
      </c>
      <c r="F213" s="33" cm="1">
        <f t="array" ref="F213">IF(F$66&lt;=Koniec,SUMPRODUCT(ISNUMBER(MATCH(mod_dot_ko_br,$B$163,0))*('Koszty operacyjne'!$K$114:$X$114=Moduły!F$77),mod_dot_ko_br_war),0)</f>
        <v>0</v>
      </c>
      <c r="G213" s="33" cm="1">
        <f t="array" ref="G213">IF(G$66&lt;=Koniec,SUMPRODUCT(ISNUMBER(MATCH(mod_dot_ko_br,$B$163,0))*('Koszty operacyjne'!$K$114:$X$114=Moduły!G$77),mod_dot_ko_br_war),0)</f>
        <v>0</v>
      </c>
      <c r="H213" s="33" cm="1">
        <f t="array" ref="H213">IF(H$66&lt;=Koniec,SUMPRODUCT(ISNUMBER(MATCH(mod_dot_ko_br,$B$163,0))*('Koszty operacyjne'!$K$114:$X$114=Moduły!H$77),mod_dot_ko_br_war),0)</f>
        <v>0</v>
      </c>
      <c r="I213" s="33" cm="1">
        <f t="array" ref="I213">IF(I$66&lt;=Koniec,SUMPRODUCT(ISNUMBER(MATCH(mod_dot_ko_br,$B$163,0))*('Koszty operacyjne'!$K$114:$X$114=Moduły!I$77),mod_dot_ko_br_war),0)</f>
        <v>0</v>
      </c>
      <c r="J213" s="33" cm="1">
        <f t="array" ref="J213">IF(J$66&lt;=Koniec,SUMPRODUCT(ISNUMBER(MATCH(mod_dot_ko_br,$B$163,0))*('Koszty operacyjne'!$K$114:$X$114=Moduły!J$77),mod_dot_ko_br_war),0)</f>
        <v>0</v>
      </c>
      <c r="K213" s="33" cm="1">
        <f t="array" ref="K213">IF(K$66&lt;=Koniec,SUMPRODUCT(ISNUMBER(MATCH(mod_dot_ko_br,$B$163,0))*('Koszty operacyjne'!$K$114:$X$114=Moduły!K$77),mod_dot_ko_br_war),0)</f>
        <v>0</v>
      </c>
      <c r="L213" s="33" cm="1">
        <f t="array" ref="L213">IF(L$66&lt;=Koniec,SUMPRODUCT(ISNUMBER(MATCH(mod_dot_ko_br,$B$163,0))*('Koszty operacyjne'!$K$114:$X$114=Moduły!L$77),mod_dot_ko_br_war),0)</f>
        <v>0</v>
      </c>
      <c r="M213" s="33" cm="1">
        <f t="array" ref="M213">IF(M$66&lt;=Koniec,SUMPRODUCT(ISNUMBER(MATCH(mod_dot_ko_br,$B$163,0))*('Koszty operacyjne'!$K$114:$X$114=Moduły!M$77),mod_dot_ko_br_war),0)</f>
        <v>0</v>
      </c>
      <c r="N213" s="33" cm="1">
        <f t="array" ref="N213">IF(N$66&lt;=Koniec,SUMPRODUCT(ISNUMBER(MATCH(mod_dot_ko_br,$B$163,0))*('Koszty operacyjne'!$K$114:$X$114=Moduły!N$77),mod_dot_ko_br_war),0)</f>
        <v>0</v>
      </c>
      <c r="O213" s="33" cm="1">
        <f t="array" ref="O213">IF(O$66&lt;=Koniec,SUMPRODUCT(ISNUMBER(MATCH(mod_dot_ko_br,$B$163,0))*('Koszty operacyjne'!$K$114:$X$114=Moduły!O$77),mod_dot_ko_br_war),0)</f>
        <v>0</v>
      </c>
      <c r="P213" s="33" cm="1">
        <f t="array" ref="P213">IF(P$66&lt;=Koniec,SUMPRODUCT(ISNUMBER(MATCH(mod_dot_ko_br,$B$163,0))*('Koszty operacyjne'!$K$114:$X$114=Moduły!P$77),mod_dot_ko_br_war),0)</f>
        <v>0</v>
      </c>
    </row>
    <row r="214" spans="2:16">
      <c r="B214" s="37" t="s">
        <v>691</v>
      </c>
      <c r="C214" s="33" cm="1">
        <f t="array" ref="C214">IF(C$66&lt;=Koniec,SUMPRODUCT(ISNUMBER(MATCH(mod_dot_am,$B$163,0))*('Koszty operacyjne'!$K$114:$X$114=Moduły!C$77),mod_dot_am_war),0)+IF(C$66&lt;=Koniec,SUMPRODUCT(ISNUMBER(MATCH(mod_dot_am_pst,$B$163,0))*('Koszty operacyjne'!$K$114:$X$114=Moduły!C$77),mod_dot_am_pst_war),0)</f>
        <v>0</v>
      </c>
      <c r="D214" s="33" cm="1">
        <f t="array" aca="1" ref="D214" ca="1">IF(D$66&lt;=Koniec,SUMPRODUCT(ISNUMBER(MATCH(mod_dot_am,$B$163,0))*('Koszty operacyjne'!$K$114:$X$114=Moduły!D$77),mod_dot_am_war),0)+IF(D$66&lt;=Koniec,SUMPRODUCT(ISNUMBER(MATCH(mod_dot_am_pst,$B$163,0))*('Koszty operacyjne'!$K$114:$X$114=Moduły!D$77),mod_dot_am_pst_war),0)</f>
        <v>0</v>
      </c>
      <c r="E214" s="33" cm="1">
        <f t="array" aca="1" ref="E214" ca="1">IF(E$66&lt;=Koniec,SUMPRODUCT(ISNUMBER(MATCH(mod_dot_am,$B$163,0))*('Koszty operacyjne'!$K$114:$X$114=Moduły!E$77),mod_dot_am_war),0)+IF(E$66&lt;=Koniec,SUMPRODUCT(ISNUMBER(MATCH(mod_dot_am_pst,$B$163,0))*('Koszty operacyjne'!$K$114:$X$114=Moduły!E$77),mod_dot_am_pst_war),0)</f>
        <v>0</v>
      </c>
      <c r="F214" s="33" cm="1">
        <f t="array" aca="1" ref="F214" ca="1">IF(F$66&lt;=Koniec,SUMPRODUCT(ISNUMBER(MATCH(mod_dot_am,$B$163,0))*('Koszty operacyjne'!$K$114:$X$114=Moduły!F$77),mod_dot_am_war),0)+IF(F$66&lt;=Koniec,SUMPRODUCT(ISNUMBER(MATCH(mod_dot_am_pst,$B$163,0))*('Koszty operacyjne'!$K$114:$X$114=Moduły!F$77),mod_dot_am_pst_war),0)</f>
        <v>0</v>
      </c>
      <c r="G214" s="33" cm="1">
        <f t="array" aca="1" ref="G214" ca="1">IF(G$66&lt;=Koniec,SUMPRODUCT(ISNUMBER(MATCH(mod_dot_am,$B$163,0))*('Koszty operacyjne'!$K$114:$X$114=Moduły!G$77),mod_dot_am_war),0)+IF(G$66&lt;=Koniec,SUMPRODUCT(ISNUMBER(MATCH(mod_dot_am_pst,$B$163,0))*('Koszty operacyjne'!$K$114:$X$114=Moduły!G$77),mod_dot_am_pst_war),0)</f>
        <v>0</v>
      </c>
      <c r="H214" s="33" cm="1">
        <f t="array" aca="1" ref="H214" ca="1">IF(H$66&lt;=Koniec,SUMPRODUCT(ISNUMBER(MATCH(mod_dot_am,$B$163,0))*('Koszty operacyjne'!$K$114:$X$114=Moduły!H$77),mod_dot_am_war),0)+IF(H$66&lt;=Koniec,SUMPRODUCT(ISNUMBER(MATCH(mod_dot_am_pst,$B$163,0))*('Koszty operacyjne'!$K$114:$X$114=Moduły!H$77),mod_dot_am_pst_war),0)</f>
        <v>0</v>
      </c>
      <c r="I214" s="33" cm="1">
        <f t="array" aca="1" ref="I214" ca="1">IF(I$66&lt;=Koniec,SUMPRODUCT(ISNUMBER(MATCH(mod_dot_am,$B$163,0))*('Koszty operacyjne'!$K$114:$X$114=Moduły!I$77),mod_dot_am_war),0)+IF(I$66&lt;=Koniec,SUMPRODUCT(ISNUMBER(MATCH(mod_dot_am_pst,$B$163,0))*('Koszty operacyjne'!$K$114:$X$114=Moduły!I$77),mod_dot_am_pst_war),0)</f>
        <v>0</v>
      </c>
      <c r="J214" s="33" cm="1">
        <f t="array" aca="1" ref="J214" ca="1">IF(J$66&lt;=Koniec,SUMPRODUCT(ISNUMBER(MATCH(mod_dot_am,$B$163,0))*('Koszty operacyjne'!$K$114:$X$114=Moduły!J$77),mod_dot_am_war),0)+IF(J$66&lt;=Koniec,SUMPRODUCT(ISNUMBER(MATCH(mod_dot_am_pst,$B$163,0))*('Koszty operacyjne'!$K$114:$X$114=Moduły!J$77),mod_dot_am_pst_war),0)</f>
        <v>0</v>
      </c>
      <c r="K214" s="33" cm="1">
        <f t="array" aca="1" ref="K214" ca="1">IF(K$66&lt;=Koniec,SUMPRODUCT(ISNUMBER(MATCH(mod_dot_am,$B$163,0))*('Koszty operacyjne'!$K$114:$X$114=Moduły!K$77),mod_dot_am_war),0)+IF(K$66&lt;=Koniec,SUMPRODUCT(ISNUMBER(MATCH(mod_dot_am_pst,$B$163,0))*('Koszty operacyjne'!$K$114:$X$114=Moduły!K$77),mod_dot_am_pst_war),0)</f>
        <v>0</v>
      </c>
      <c r="L214" s="33" cm="1">
        <f t="array" aca="1" ref="L214" ca="1">IF(L$66&lt;=Koniec,SUMPRODUCT(ISNUMBER(MATCH(mod_dot_am,$B$163,0))*('Koszty operacyjne'!$K$114:$X$114=Moduły!L$77),mod_dot_am_war),0)+IF(L$66&lt;=Koniec,SUMPRODUCT(ISNUMBER(MATCH(mod_dot_am_pst,$B$163,0))*('Koszty operacyjne'!$K$114:$X$114=Moduły!L$77),mod_dot_am_pst_war),0)</f>
        <v>0</v>
      </c>
      <c r="M214" s="33" cm="1">
        <f t="array" aca="1" ref="M214" ca="1">IF(M$66&lt;=Koniec,SUMPRODUCT(ISNUMBER(MATCH(mod_dot_am,$B$163,0))*('Koszty operacyjne'!$K$114:$X$114=Moduły!M$77),mod_dot_am_war),0)+IF(M$66&lt;=Koniec,SUMPRODUCT(ISNUMBER(MATCH(mod_dot_am_pst,$B$163,0))*('Koszty operacyjne'!$K$114:$X$114=Moduły!M$77),mod_dot_am_pst_war),0)</f>
        <v>0</v>
      </c>
      <c r="N214" s="33" cm="1">
        <f t="array" aca="1" ref="N214" ca="1">IF(N$66&lt;=Koniec,SUMPRODUCT(ISNUMBER(MATCH(mod_dot_am,$B$163,0))*('Koszty operacyjne'!$K$114:$X$114=Moduły!N$77),mod_dot_am_war),0)+IF(N$66&lt;=Koniec,SUMPRODUCT(ISNUMBER(MATCH(mod_dot_am_pst,$B$163,0))*('Koszty operacyjne'!$K$114:$X$114=Moduły!N$77),mod_dot_am_pst_war),0)</f>
        <v>0</v>
      </c>
      <c r="O214" s="33" cm="1">
        <f t="array" aca="1" ref="O214" ca="1">IF(O$66&lt;=Koniec,SUMPRODUCT(ISNUMBER(MATCH(mod_dot_am,$B$163,0))*('Koszty operacyjne'!$K$114:$X$114=Moduły!O$77),mod_dot_am_war),0)+IF(O$66&lt;=Koniec,SUMPRODUCT(ISNUMBER(MATCH(mod_dot_am_pst,$B$163,0))*('Koszty operacyjne'!$K$114:$X$114=Moduły!O$77),mod_dot_am_pst_war),0)</f>
        <v>0</v>
      </c>
      <c r="P214" s="33" cm="1">
        <f t="array" aca="1" ref="P214" ca="1">IF(P$66&lt;=Koniec,SUMPRODUCT(ISNUMBER(MATCH(mod_dot_am,$B$163,0))*('Koszty operacyjne'!$K$114:$X$114=Moduły!P$77),mod_dot_am_war),0)+IF(P$66&lt;=Koniec,SUMPRODUCT(ISNUMBER(MATCH(mod_dot_am_pst,$B$163,0))*('Koszty operacyjne'!$K$114:$X$114=Moduły!P$77),mod_dot_am_pst_war),0)</f>
        <v>0</v>
      </c>
    </row>
    <row r="215" spans="2:16">
      <c r="B215" s="98" t="s">
        <v>335</v>
      </c>
      <c r="C215" s="97">
        <f>SUM(C211:C214)</f>
        <v>0</v>
      </c>
      <c r="D215" s="97">
        <f t="shared" ref="D215:P215" ca="1" si="85">SUM(D211:D214)</f>
        <v>0</v>
      </c>
      <c r="E215" s="97">
        <f t="shared" ca="1" si="85"/>
        <v>0</v>
      </c>
      <c r="F215" s="97">
        <f t="shared" ca="1" si="85"/>
        <v>0</v>
      </c>
      <c r="G215" s="97">
        <f t="shared" ca="1" si="85"/>
        <v>0</v>
      </c>
      <c r="H215" s="97">
        <f t="shared" ca="1" si="85"/>
        <v>0</v>
      </c>
      <c r="I215" s="97">
        <f t="shared" ca="1" si="85"/>
        <v>0</v>
      </c>
      <c r="J215" s="97">
        <f t="shared" ca="1" si="85"/>
        <v>0</v>
      </c>
      <c r="K215" s="97">
        <f t="shared" ca="1" si="85"/>
        <v>0</v>
      </c>
      <c r="L215" s="97">
        <f t="shared" ca="1" si="85"/>
        <v>0</v>
      </c>
      <c r="M215" s="97">
        <f t="shared" ca="1" si="85"/>
        <v>0</v>
      </c>
      <c r="N215" s="97">
        <f t="shared" ca="1" si="85"/>
        <v>0</v>
      </c>
      <c r="O215" s="97">
        <f t="shared" ca="1" si="85"/>
        <v>0</v>
      </c>
      <c r="P215" s="97">
        <f t="shared" ca="1" si="85"/>
        <v>0</v>
      </c>
    </row>
    <row r="216" spans="2:16"/>
    <row r="217" spans="2:16">
      <c r="B217" s="370" t="s">
        <v>767</v>
      </c>
      <c r="C217" s="476" t="str">
        <f t="shared" ref="C217:P217" si="86">C163</f>
        <v>Uzupełnij dane</v>
      </c>
      <c r="D217" s="476" t="str">
        <f t="shared" si="86"/>
        <v/>
      </c>
      <c r="E217" s="476" t="str">
        <f t="shared" si="86"/>
        <v/>
      </c>
      <c r="F217" s="476" t="str">
        <f t="shared" si="86"/>
        <v/>
      </c>
      <c r="G217" s="476" t="str">
        <f t="shared" si="86"/>
        <v/>
      </c>
      <c r="H217" s="476" t="str">
        <f t="shared" si="86"/>
        <v/>
      </c>
      <c r="I217" s="476" t="str">
        <f t="shared" si="86"/>
        <v/>
      </c>
      <c r="J217" s="476" t="str">
        <f t="shared" si="86"/>
        <v/>
      </c>
      <c r="K217" s="476" t="str">
        <f t="shared" si="86"/>
        <v/>
      </c>
      <c r="L217" s="476" t="str">
        <f t="shared" si="86"/>
        <v/>
      </c>
      <c r="M217" s="476" t="str">
        <f t="shared" si="86"/>
        <v/>
      </c>
      <c r="N217" s="476" t="str">
        <f t="shared" si="86"/>
        <v/>
      </c>
      <c r="O217" s="476" t="str">
        <f t="shared" si="86"/>
        <v/>
      </c>
      <c r="P217" s="476" t="str">
        <f t="shared" si="86"/>
        <v/>
      </c>
    </row>
    <row r="218" spans="2:16">
      <c r="B218" s="101" t="s">
        <v>104</v>
      </c>
      <c r="C218" s="102">
        <f t="shared" ref="C218:P218" si="87">C197</f>
        <v>0</v>
      </c>
      <c r="D218" s="102">
        <f t="shared" si="87"/>
        <v>0</v>
      </c>
      <c r="E218" s="102">
        <f t="shared" si="87"/>
        <v>0</v>
      </c>
      <c r="F218" s="102">
        <f t="shared" si="87"/>
        <v>0</v>
      </c>
      <c r="G218" s="102">
        <f t="shared" si="87"/>
        <v>0</v>
      </c>
      <c r="H218" s="102">
        <f t="shared" si="87"/>
        <v>0</v>
      </c>
      <c r="I218" s="102">
        <f t="shared" si="87"/>
        <v>0</v>
      </c>
      <c r="J218" s="102">
        <f t="shared" si="87"/>
        <v>0</v>
      </c>
      <c r="K218" s="102">
        <f t="shared" si="87"/>
        <v>0</v>
      </c>
      <c r="L218" s="102">
        <f t="shared" si="87"/>
        <v>0</v>
      </c>
      <c r="M218" s="102">
        <f t="shared" si="87"/>
        <v>0</v>
      </c>
      <c r="N218" s="102">
        <f t="shared" si="87"/>
        <v>0</v>
      </c>
      <c r="O218" s="102">
        <f t="shared" si="87"/>
        <v>0</v>
      </c>
      <c r="P218" s="102">
        <f t="shared" si="87"/>
        <v>0</v>
      </c>
    </row>
    <row r="219" spans="2:16">
      <c r="B219" s="52" t="s">
        <v>693</v>
      </c>
      <c r="C219" s="33">
        <f t="shared" ref="C219:P219" si="88">ROUND(SUM(C201:C207),0)</f>
        <v>0</v>
      </c>
      <c r="D219" s="33">
        <f t="shared" si="88"/>
        <v>0</v>
      </c>
      <c r="E219" s="33">
        <f t="shared" si="88"/>
        <v>0</v>
      </c>
      <c r="F219" s="33">
        <f t="shared" si="88"/>
        <v>0</v>
      </c>
      <c r="G219" s="33">
        <f t="shared" si="88"/>
        <v>0</v>
      </c>
      <c r="H219" s="33">
        <f t="shared" si="88"/>
        <v>0</v>
      </c>
      <c r="I219" s="33">
        <f t="shared" si="88"/>
        <v>0</v>
      </c>
      <c r="J219" s="33">
        <f t="shared" si="88"/>
        <v>0</v>
      </c>
      <c r="K219" s="33">
        <f t="shared" si="88"/>
        <v>0</v>
      </c>
      <c r="L219" s="33">
        <f t="shared" si="88"/>
        <v>0</v>
      </c>
      <c r="M219" s="33">
        <f t="shared" si="88"/>
        <v>0</v>
      </c>
      <c r="N219" s="33">
        <f t="shared" si="88"/>
        <v>0</v>
      </c>
      <c r="O219" s="33">
        <f t="shared" si="88"/>
        <v>0</v>
      </c>
      <c r="P219" s="33">
        <f t="shared" si="88"/>
        <v>0</v>
      </c>
    </row>
    <row r="220" spans="2:16">
      <c r="B220" s="52" t="s">
        <v>331</v>
      </c>
      <c r="C220" s="33">
        <f t="shared" ref="C220:P220" si="89">C200</f>
        <v>0</v>
      </c>
      <c r="D220" s="33">
        <f t="shared" ca="1" si="89"/>
        <v>0</v>
      </c>
      <c r="E220" s="33">
        <f t="shared" ca="1" si="89"/>
        <v>0</v>
      </c>
      <c r="F220" s="33">
        <f t="shared" ca="1" si="89"/>
        <v>0</v>
      </c>
      <c r="G220" s="33">
        <f t="shared" ca="1" si="89"/>
        <v>0</v>
      </c>
      <c r="H220" s="33">
        <f t="shared" ca="1" si="89"/>
        <v>0</v>
      </c>
      <c r="I220" s="33">
        <f t="shared" ca="1" si="89"/>
        <v>0</v>
      </c>
      <c r="J220" s="33">
        <f t="shared" ca="1" si="89"/>
        <v>0</v>
      </c>
      <c r="K220" s="33">
        <f t="shared" ca="1" si="89"/>
        <v>0</v>
      </c>
      <c r="L220" s="33">
        <f t="shared" ca="1" si="89"/>
        <v>0</v>
      </c>
      <c r="M220" s="33">
        <f t="shared" ca="1" si="89"/>
        <v>0</v>
      </c>
      <c r="N220" s="33">
        <f t="shared" ca="1" si="89"/>
        <v>0</v>
      </c>
      <c r="O220" s="33">
        <f t="shared" ca="1" si="89"/>
        <v>0</v>
      </c>
      <c r="P220" s="33">
        <f t="shared" ca="1" si="89"/>
        <v>0</v>
      </c>
    </row>
    <row r="221" spans="2:16">
      <c r="B221" s="364" t="s">
        <v>660</v>
      </c>
      <c r="C221" s="537">
        <f t="shared" ref="C221:P221" si="90">C165</f>
        <v>0</v>
      </c>
      <c r="D221" s="537">
        <f t="shared" si="90"/>
        <v>0</v>
      </c>
      <c r="E221" s="537">
        <f t="shared" si="90"/>
        <v>0</v>
      </c>
      <c r="F221" s="537">
        <f t="shared" si="90"/>
        <v>0</v>
      </c>
      <c r="G221" s="537">
        <f t="shared" si="90"/>
        <v>0</v>
      </c>
      <c r="H221" s="537">
        <f t="shared" si="90"/>
        <v>0</v>
      </c>
      <c r="I221" s="537">
        <f t="shared" si="90"/>
        <v>0</v>
      </c>
      <c r="J221" s="537">
        <f t="shared" si="90"/>
        <v>0</v>
      </c>
      <c r="K221" s="537">
        <f t="shared" si="90"/>
        <v>0</v>
      </c>
      <c r="L221" s="537">
        <f t="shared" si="90"/>
        <v>0</v>
      </c>
      <c r="M221" s="537">
        <f t="shared" si="90"/>
        <v>0</v>
      </c>
      <c r="N221" s="537">
        <f t="shared" si="90"/>
        <v>0</v>
      </c>
      <c r="O221" s="537">
        <f t="shared" si="90"/>
        <v>0</v>
      </c>
      <c r="P221" s="537">
        <f t="shared" si="90"/>
        <v>0</v>
      </c>
    </row>
    <row r="222" spans="2:16">
      <c r="B222" s="365" t="s">
        <v>661</v>
      </c>
      <c r="C222" s="538">
        <f t="shared" ref="C222:P222" si="91">C215</f>
        <v>0</v>
      </c>
      <c r="D222" s="538">
        <f t="shared" ca="1" si="91"/>
        <v>0</v>
      </c>
      <c r="E222" s="538">
        <f t="shared" ca="1" si="91"/>
        <v>0</v>
      </c>
      <c r="F222" s="538">
        <f t="shared" ca="1" si="91"/>
        <v>0</v>
      </c>
      <c r="G222" s="538">
        <f t="shared" ca="1" si="91"/>
        <v>0</v>
      </c>
      <c r="H222" s="538">
        <f t="shared" ca="1" si="91"/>
        <v>0</v>
      </c>
      <c r="I222" s="538">
        <f t="shared" ca="1" si="91"/>
        <v>0</v>
      </c>
      <c r="J222" s="538">
        <f t="shared" ca="1" si="91"/>
        <v>0</v>
      </c>
      <c r="K222" s="538">
        <f t="shared" ca="1" si="91"/>
        <v>0</v>
      </c>
      <c r="L222" s="538">
        <f t="shared" ca="1" si="91"/>
        <v>0</v>
      </c>
      <c r="M222" s="538">
        <f t="shared" ca="1" si="91"/>
        <v>0</v>
      </c>
      <c r="N222" s="538">
        <f t="shared" ca="1" si="91"/>
        <v>0</v>
      </c>
      <c r="O222" s="538">
        <f t="shared" ca="1" si="91"/>
        <v>0</v>
      </c>
      <c r="P222" s="538">
        <f t="shared" ca="1" si="91"/>
        <v>0</v>
      </c>
    </row>
    <row r="223" spans="2:16">
      <c r="B223" s="52" t="s">
        <v>662</v>
      </c>
      <c r="C223" s="33">
        <f t="shared" ref="C223:P223" si="92">IF(C$217&lt;=Koniec,IF($C$567=TRUE,C624,0),0)</f>
        <v>0</v>
      </c>
      <c r="D223" s="33">
        <f t="shared" si="92"/>
        <v>0</v>
      </c>
      <c r="E223" s="33">
        <f t="shared" si="92"/>
        <v>0</v>
      </c>
      <c r="F223" s="33">
        <f t="shared" si="92"/>
        <v>0</v>
      </c>
      <c r="G223" s="33">
        <f t="shared" si="92"/>
        <v>0</v>
      </c>
      <c r="H223" s="33">
        <f t="shared" si="92"/>
        <v>0</v>
      </c>
      <c r="I223" s="33">
        <f t="shared" si="92"/>
        <v>0</v>
      </c>
      <c r="J223" s="33">
        <f t="shared" si="92"/>
        <v>0</v>
      </c>
      <c r="K223" s="33">
        <f t="shared" si="92"/>
        <v>0</v>
      </c>
      <c r="L223" s="33">
        <f t="shared" si="92"/>
        <v>0</v>
      </c>
      <c r="M223" s="33">
        <f t="shared" si="92"/>
        <v>0</v>
      </c>
      <c r="N223" s="33">
        <f t="shared" si="92"/>
        <v>0</v>
      </c>
      <c r="O223" s="33">
        <f t="shared" si="92"/>
        <v>0</v>
      </c>
      <c r="P223" s="33">
        <f t="shared" si="92"/>
        <v>0</v>
      </c>
    </row>
    <row r="224" spans="2:16" ht="3.9" customHeight="1">
      <c r="B224" s="89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</row>
    <row r="225" spans="2:16">
      <c r="B225" s="52" t="s">
        <v>26</v>
      </c>
      <c r="C225" s="419">
        <f t="shared" ref="C225:P225" si="93">IF(AND(C$66&gt;=Poczatek,C$66&lt;=Koniec),IFERROR(WACC,0),0)</f>
        <v>0</v>
      </c>
      <c r="D225" s="419">
        <f t="shared" si="93"/>
        <v>0</v>
      </c>
      <c r="E225" s="419">
        <f t="shared" si="93"/>
        <v>0</v>
      </c>
      <c r="F225" s="419">
        <f t="shared" si="93"/>
        <v>0</v>
      </c>
      <c r="G225" s="419">
        <f t="shared" si="93"/>
        <v>0</v>
      </c>
      <c r="H225" s="419">
        <f t="shared" si="93"/>
        <v>0</v>
      </c>
      <c r="I225" s="419">
        <f t="shared" si="93"/>
        <v>0</v>
      </c>
      <c r="J225" s="419">
        <f t="shared" si="93"/>
        <v>0</v>
      </c>
      <c r="K225" s="419">
        <f t="shared" si="93"/>
        <v>0</v>
      </c>
      <c r="L225" s="419">
        <f t="shared" si="93"/>
        <v>0</v>
      </c>
      <c r="M225" s="419">
        <f t="shared" si="93"/>
        <v>0</v>
      </c>
      <c r="N225" s="419">
        <f t="shared" si="93"/>
        <v>0</v>
      </c>
      <c r="O225" s="419">
        <f t="shared" si="93"/>
        <v>0</v>
      </c>
      <c r="P225" s="419">
        <f t="shared" si="93"/>
        <v>0</v>
      </c>
    </row>
    <row r="226" spans="2:16">
      <c r="B226" s="52" t="s">
        <v>27</v>
      </c>
      <c r="C226" s="420">
        <f>IF(AND(C$66&gt;=Poczatek,C$66&lt;=Koniec),IFERROR(Założenia!K$35,0),0)</f>
        <v>0</v>
      </c>
      <c r="D226" s="420" t="str">
        <f>IF(AND(D$66&gt;=Poczatek,D$66&lt;=Koniec),IFERROR(Założenia!L$35,0),0)</f>
        <v>n/d</v>
      </c>
      <c r="E226" s="420" t="str">
        <f>IF(AND(E$66&gt;=Poczatek,E$66&lt;=Koniec),IFERROR(Założenia!M$35,0),0)</f>
        <v>n/d</v>
      </c>
      <c r="F226" s="420" t="str">
        <f>IF(AND(F$66&gt;=Poczatek,F$66&lt;=Koniec),IFERROR(Założenia!N$35,0),0)</f>
        <v>n/d</v>
      </c>
      <c r="G226" s="420" t="str">
        <f>IF(AND(G$66&gt;=Poczatek,G$66&lt;=Koniec),IFERROR(Założenia!O$35,0),0)</f>
        <v>n/d</v>
      </c>
      <c r="H226" s="420" t="str">
        <f>IF(AND(H$66&gt;=Poczatek,H$66&lt;=Koniec),IFERROR(Założenia!P$35,0),0)</f>
        <v>n/d</v>
      </c>
      <c r="I226" s="420" t="str">
        <f>IF(AND(I$66&gt;=Poczatek,I$66&lt;=Koniec),IFERROR(Założenia!Q$35,0),0)</f>
        <v>n/d</v>
      </c>
      <c r="J226" s="420" t="str">
        <f>IF(AND(J$66&gt;=Poczatek,J$66&lt;=Koniec),IFERROR(Założenia!R$35,0),0)</f>
        <v>n/d</v>
      </c>
      <c r="K226" s="420" t="str">
        <f>IF(AND(K$66&gt;=Poczatek,K$66&lt;=Koniec),IFERROR(Założenia!S$35,0),0)</f>
        <v>n/d</v>
      </c>
      <c r="L226" s="420" t="str">
        <f>IF(AND(L$66&gt;=Poczatek,L$66&lt;=Koniec),IFERROR(Założenia!T$35,0),0)</f>
        <v>n/d</v>
      </c>
      <c r="M226" s="420" t="str">
        <f>IF(AND(M$66&gt;=Poczatek,M$66&lt;=Koniec),IFERROR(Założenia!U$35,0),0)</f>
        <v>n/d</v>
      </c>
      <c r="N226" s="420" t="str">
        <f>IF(AND(N$66&gt;=Poczatek,N$66&lt;=Koniec),IFERROR(Założenia!V$35,0),0)</f>
        <v>n/d</v>
      </c>
      <c r="O226" s="420" t="str">
        <f>IF(AND(O$66&gt;=Poczatek,O$66&lt;=Koniec),IFERROR(Założenia!W$35,0),0)</f>
        <v>n/d</v>
      </c>
      <c r="P226" s="420" t="str">
        <f>IF(AND(P$66&gt;=Poczatek,P$66&lt;=Koniec),IFERROR(Założenia!X$35,0),0)</f>
        <v>n/d</v>
      </c>
    </row>
    <row r="227" spans="2:16" ht="3.9" customHeight="1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2:16">
      <c r="B228" s="422" t="s">
        <v>768</v>
      </c>
      <c r="C228" s="525" t="str">
        <f>C217</f>
        <v>Uzupełnij dane</v>
      </c>
      <c r="D228" s="525" t="str">
        <f t="shared" ref="D228:P228" si="94">D217</f>
        <v/>
      </c>
      <c r="E228" s="525" t="str">
        <f t="shared" si="94"/>
        <v/>
      </c>
      <c r="F228" s="525" t="str">
        <f t="shared" si="94"/>
        <v/>
      </c>
      <c r="G228" s="525" t="str">
        <f t="shared" si="94"/>
        <v/>
      </c>
      <c r="H228" s="525" t="str">
        <f t="shared" si="94"/>
        <v/>
      </c>
      <c r="I228" s="525" t="str">
        <f t="shared" si="94"/>
        <v/>
      </c>
      <c r="J228" s="525" t="str">
        <f t="shared" si="94"/>
        <v/>
      </c>
      <c r="K228" s="525" t="str">
        <f t="shared" si="94"/>
        <v/>
      </c>
      <c r="L228" s="525" t="str">
        <f t="shared" si="94"/>
        <v/>
      </c>
      <c r="M228" s="525" t="str">
        <f t="shared" si="94"/>
        <v/>
      </c>
      <c r="N228" s="525" t="str">
        <f t="shared" si="94"/>
        <v/>
      </c>
      <c r="O228" s="525" t="str">
        <f t="shared" si="94"/>
        <v/>
      </c>
      <c r="P228" s="525" t="str">
        <f t="shared" si="94"/>
        <v/>
      </c>
    </row>
    <row r="229" spans="2:16" ht="3.9" customHeight="1"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2:16">
      <c r="B230" s="87" t="s">
        <v>696</v>
      </c>
      <c r="C230" s="86">
        <f t="shared" ref="C230:P230" si="95">IF(AND(C$66&gt;=Poczatek,C$66&lt;=Koniec),(C218-C219-C221+C223),0)</f>
        <v>0</v>
      </c>
      <c r="D230" s="86">
        <f t="shared" si="95"/>
        <v>0</v>
      </c>
      <c r="E230" s="86">
        <f t="shared" si="95"/>
        <v>0</v>
      </c>
      <c r="F230" s="86">
        <f t="shared" si="95"/>
        <v>0</v>
      </c>
      <c r="G230" s="86">
        <f t="shared" si="95"/>
        <v>0</v>
      </c>
      <c r="H230" s="86">
        <f t="shared" si="95"/>
        <v>0</v>
      </c>
      <c r="I230" s="86">
        <f t="shared" si="95"/>
        <v>0</v>
      </c>
      <c r="J230" s="86">
        <f t="shared" si="95"/>
        <v>0</v>
      </c>
      <c r="K230" s="86">
        <f t="shared" si="95"/>
        <v>0</v>
      </c>
      <c r="L230" s="86">
        <f t="shared" si="95"/>
        <v>0</v>
      </c>
      <c r="M230" s="86">
        <f t="shared" si="95"/>
        <v>0</v>
      </c>
      <c r="N230" s="86">
        <f t="shared" si="95"/>
        <v>0</v>
      </c>
      <c r="O230" s="86">
        <f t="shared" si="95"/>
        <v>0</v>
      </c>
      <c r="P230" s="86">
        <f t="shared" si="95"/>
        <v>0</v>
      </c>
    </row>
    <row r="231" spans="2:16">
      <c r="B231" s="87" t="s">
        <v>697</v>
      </c>
      <c r="C231" s="86">
        <f>IF(AND(C$66&gt;=Poczatek,C$66&lt;=Koniec),C230,0)</f>
        <v>0</v>
      </c>
      <c r="D231" s="86">
        <f t="shared" ref="D231:P231" si="96">IF(AND(D$66&gt;=Poczatek,D$66&lt;=Koniec),(D230+C231),0)</f>
        <v>0</v>
      </c>
      <c r="E231" s="86">
        <f t="shared" si="96"/>
        <v>0</v>
      </c>
      <c r="F231" s="86">
        <f t="shared" si="96"/>
        <v>0</v>
      </c>
      <c r="G231" s="86">
        <f t="shared" si="96"/>
        <v>0</v>
      </c>
      <c r="H231" s="86">
        <f t="shared" si="96"/>
        <v>0</v>
      </c>
      <c r="I231" s="86">
        <f t="shared" si="96"/>
        <v>0</v>
      </c>
      <c r="J231" s="86">
        <f t="shared" si="96"/>
        <v>0</v>
      </c>
      <c r="K231" s="86">
        <f t="shared" si="96"/>
        <v>0</v>
      </c>
      <c r="L231" s="86">
        <f t="shared" si="96"/>
        <v>0</v>
      </c>
      <c r="M231" s="86">
        <f t="shared" si="96"/>
        <v>0</v>
      </c>
      <c r="N231" s="86">
        <f t="shared" si="96"/>
        <v>0</v>
      </c>
      <c r="O231" s="86">
        <f t="shared" si="96"/>
        <v>0</v>
      </c>
      <c r="P231" s="86">
        <f t="shared" si="96"/>
        <v>0</v>
      </c>
    </row>
    <row r="232" spans="2:16">
      <c r="B232" s="87" t="s">
        <v>699</v>
      </c>
      <c r="C232" s="86">
        <f>IFERROR(ROUND(C226*C230,0),0)</f>
        <v>0</v>
      </c>
      <c r="D232" s="86">
        <f t="shared" ref="D232" si="97">IFERROR(ROUND(D226*D230,0),0)</f>
        <v>0</v>
      </c>
      <c r="E232" s="86">
        <f t="shared" ref="E232:P232" si="98">IFERROR(ROUND(E226*E230,0),0)</f>
        <v>0</v>
      </c>
      <c r="F232" s="86">
        <f t="shared" si="98"/>
        <v>0</v>
      </c>
      <c r="G232" s="86">
        <f t="shared" si="98"/>
        <v>0</v>
      </c>
      <c r="H232" s="86">
        <f t="shared" si="98"/>
        <v>0</v>
      </c>
      <c r="I232" s="86">
        <f t="shared" si="98"/>
        <v>0</v>
      </c>
      <c r="J232" s="86">
        <f t="shared" si="98"/>
        <v>0</v>
      </c>
      <c r="K232" s="86">
        <f t="shared" si="98"/>
        <v>0</v>
      </c>
      <c r="L232" s="86">
        <f t="shared" si="98"/>
        <v>0</v>
      </c>
      <c r="M232" s="86">
        <f t="shared" si="98"/>
        <v>0</v>
      </c>
      <c r="N232" s="86">
        <f t="shared" si="98"/>
        <v>0</v>
      </c>
      <c r="O232" s="86">
        <f t="shared" si="98"/>
        <v>0</v>
      </c>
      <c r="P232" s="86">
        <f t="shared" si="98"/>
        <v>0</v>
      </c>
    </row>
    <row r="233" spans="2:16">
      <c r="B233" s="87" t="s">
        <v>700</v>
      </c>
      <c r="C233" s="86">
        <f>IF(AND(C$66&gt;Koniec_Projekt,C$66&lt;=Koniec),C232,0)</f>
        <v>0</v>
      </c>
      <c r="D233" s="86">
        <f>IF(AND(D$66&gt;Koniec_Projekt,D$66&lt;=Koniec),SUM($C232:D232),0)</f>
        <v>0</v>
      </c>
      <c r="E233" s="86">
        <f>IF(AND(E$66&gt;Koniec_Projekt,E$66&lt;=Koniec),SUM($C232:E232),0)</f>
        <v>0</v>
      </c>
      <c r="F233" s="86">
        <f>IF(AND(F$66&gt;Koniec_Projekt,F$66&lt;=Koniec),SUM($C232:F232),0)</f>
        <v>0</v>
      </c>
      <c r="G233" s="86">
        <f>IF(AND(G$66&gt;Koniec_Projekt,G$66&lt;=Koniec),SUM($C232:G232),0)</f>
        <v>0</v>
      </c>
      <c r="H233" s="86">
        <f>IF(AND(H$66&gt;Koniec_Projekt,H$66&lt;=Koniec),SUM($C232:H232),0)</f>
        <v>0</v>
      </c>
      <c r="I233" s="86">
        <f>IF(AND(I$66&gt;Koniec_Projekt,I$66&lt;=Koniec),SUM($C232:I232),0)</f>
        <v>0</v>
      </c>
      <c r="J233" s="86">
        <f>IF(AND(J$66&gt;Koniec_Projekt,J$66&lt;=Koniec),SUM($C232:J232),0)</f>
        <v>0</v>
      </c>
      <c r="K233" s="86">
        <f>IF(AND(K$66&gt;Koniec_Projekt,K$66&lt;=Koniec),SUM($C232:K232),0)</f>
        <v>0</v>
      </c>
      <c r="L233" s="86">
        <f>IF(AND(L$66&gt;Koniec_Projekt,L$66&lt;=Koniec),SUM($C232:L232),0)</f>
        <v>0</v>
      </c>
      <c r="M233" s="86">
        <f>IF(AND(M$66&gt;Koniec_Projekt,M$66&lt;=Koniec),SUM($C232:M232),0)</f>
        <v>0</v>
      </c>
      <c r="N233" s="86">
        <f>IF(AND(N$66&gt;Koniec_Projekt,N$66&lt;=Koniec),SUM($C232:N232),0)</f>
        <v>0</v>
      </c>
      <c r="O233" s="86">
        <f>IF(AND(O$66&gt;Koniec_Projekt,O$66&lt;=Koniec),SUM($C232:O232),0)</f>
        <v>0</v>
      </c>
      <c r="P233" s="86">
        <f>IF(AND(P$66&gt;Koniec_Projekt,P$66&lt;=Koniec),SUM($C232:P232),0)</f>
        <v>0</v>
      </c>
    </row>
    <row r="234" spans="2:16">
      <c r="B234" s="87" t="s">
        <v>698</v>
      </c>
      <c r="C234" s="421" t="str">
        <f>IF(AND(C$66&gt;=Poczatek,C$66&lt;=Koniec),IFERROR(IRR($C$230:C$230),"n/d"),IF(OR(C$66&lt;Poczatek,C$66&gt;Koniec),"",0))</f>
        <v/>
      </c>
      <c r="D234" s="421" t="str">
        <f>IF(AND(D$66&gt;=Poczatek,D$66&lt;=Koniec),IFERROR(IRR($C$230:D$230),"n/d"),IF(OR(D$66&lt;Poczatek,D$66&gt;Koniec),"",0))</f>
        <v>n/d</v>
      </c>
      <c r="E234" s="421" t="str">
        <f>IF(AND(E$66&gt;=Poczatek,E$66&lt;=Koniec),IFERROR(IRR($C$230:E$230),"n/d"),IF(OR(E$66&lt;Poczatek,E$66&gt;Koniec),"",0))</f>
        <v>n/d</v>
      </c>
      <c r="F234" s="421" t="str">
        <f>IF(AND(F$66&gt;=Poczatek,F$66&lt;=Koniec),IFERROR(IRR($C$230:F$230),"n/d"),IF(OR(F$66&lt;Poczatek,F$66&gt;Koniec),"",0))</f>
        <v>n/d</v>
      </c>
      <c r="G234" s="421" t="str">
        <f>IF(AND(G$66&gt;=Poczatek,G$66&lt;=Koniec),IFERROR(IRR($C$230:G$230),"n/d"),IF(OR(G$66&lt;Poczatek,G$66&gt;Koniec),"",0))</f>
        <v>n/d</v>
      </c>
      <c r="H234" s="421" t="str">
        <f>IF(AND(H$66&gt;=Poczatek,H$66&lt;=Koniec),IFERROR(IRR($C$230:H$230),"n/d"),IF(OR(H$66&lt;Poczatek,H$66&gt;Koniec),"",0))</f>
        <v>n/d</v>
      </c>
      <c r="I234" s="421" t="str">
        <f>IF(AND(I$66&gt;=Poczatek,I$66&lt;=Koniec),IFERROR(IRR($C$230:I$230),"n/d"),IF(OR(I$66&lt;Poczatek,I$66&gt;Koniec),"",0))</f>
        <v>n/d</v>
      </c>
      <c r="J234" s="421" t="str">
        <f>IF(AND(J$66&gt;=Poczatek,J$66&lt;=Koniec),IFERROR(IRR($C$230:J$230),"n/d"),IF(OR(J$66&lt;Poczatek,J$66&gt;Koniec),"",0))</f>
        <v>n/d</v>
      </c>
      <c r="K234" s="421" t="str">
        <f>IF(AND(K$66&gt;=Poczatek,K$66&lt;=Koniec),IFERROR(IRR($C$230:K$230),"n/d"),IF(OR(K$66&lt;Poczatek,K$66&gt;Koniec),"",0))</f>
        <v>n/d</v>
      </c>
      <c r="L234" s="421" t="str">
        <f>IF(AND(L$66&gt;=Poczatek,L$66&lt;=Koniec),IFERROR(IRR($C$230:L$230),"n/d"),IF(OR(L$66&lt;Poczatek,L$66&gt;Koniec),"",0))</f>
        <v>n/d</v>
      </c>
      <c r="M234" s="421" t="str">
        <f>IF(AND(M$66&gt;=Poczatek,M$66&lt;=Koniec),IFERROR(IRR($C$230:M$230),"n/d"),IF(OR(M$66&lt;Poczatek,M$66&gt;Koniec),"",0))</f>
        <v>n/d</v>
      </c>
      <c r="N234" s="421" t="str">
        <f>IF(AND(N$66&gt;=Poczatek,N$66&lt;=Koniec),IFERROR(IRR($C$230:N$230),"n/d"),IF(OR(N$66&lt;Poczatek,N$66&gt;Koniec),"",0))</f>
        <v>n/d</v>
      </c>
      <c r="O234" s="421" t="str">
        <f>IF(AND(O$66&gt;=Poczatek,O$66&lt;=Koniec),IFERROR(IRR($C$230:O$230),"n/d"),IF(OR(O$66&lt;Poczatek,O$66&gt;Koniec),"",0))</f>
        <v>n/d</v>
      </c>
      <c r="P234" s="421" t="str">
        <f>IF(AND(P$66&gt;=Poczatek,P$66&lt;=Koniec),IFERROR(IRR($C$230:P$230),"n/d"),IF(OR(P$66&lt;Poczatek,P$66&gt;Koniec),"",0))</f>
        <v>n/d</v>
      </c>
    </row>
    <row r="235" spans="2:16" ht="3.9" customHeight="1"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2:16">
      <c r="B236" s="422" t="s">
        <v>769</v>
      </c>
      <c r="C236" s="525" t="str">
        <f>C228</f>
        <v>Uzupełnij dane</v>
      </c>
      <c r="D236" s="525" t="str">
        <f t="shared" ref="D236:P236" si="99">D228</f>
        <v/>
      </c>
      <c r="E236" s="525" t="str">
        <f t="shared" si="99"/>
        <v/>
      </c>
      <c r="F236" s="525" t="str">
        <f t="shared" si="99"/>
        <v/>
      </c>
      <c r="G236" s="525" t="str">
        <f t="shared" si="99"/>
        <v/>
      </c>
      <c r="H236" s="525" t="str">
        <f t="shared" si="99"/>
        <v/>
      </c>
      <c r="I236" s="525" t="str">
        <f t="shared" si="99"/>
        <v/>
      </c>
      <c r="J236" s="525" t="str">
        <f t="shared" si="99"/>
        <v/>
      </c>
      <c r="K236" s="525" t="str">
        <f t="shared" si="99"/>
        <v/>
      </c>
      <c r="L236" s="525" t="str">
        <f t="shared" si="99"/>
        <v/>
      </c>
      <c r="M236" s="525" t="str">
        <f t="shared" si="99"/>
        <v/>
      </c>
      <c r="N236" s="525" t="str">
        <f t="shared" si="99"/>
        <v/>
      </c>
      <c r="O236" s="525" t="str">
        <f t="shared" si="99"/>
        <v/>
      </c>
      <c r="P236" s="525" t="str">
        <f t="shared" si="99"/>
        <v/>
      </c>
    </row>
    <row r="237" spans="2:16" ht="3.9" customHeight="1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2:16">
      <c r="B238" s="87" t="s">
        <v>663</v>
      </c>
      <c r="C238" s="86">
        <f>C218-C219-C221+C222+C223</f>
        <v>0</v>
      </c>
      <c r="D238" s="86">
        <f t="shared" ref="D238:P238" ca="1" si="100">D218-D219-D221+D222+D223</f>
        <v>0</v>
      </c>
      <c r="E238" s="86">
        <f t="shared" ca="1" si="100"/>
        <v>0</v>
      </c>
      <c r="F238" s="86">
        <f t="shared" ca="1" si="100"/>
        <v>0</v>
      </c>
      <c r="G238" s="86">
        <f t="shared" ca="1" si="100"/>
        <v>0</v>
      </c>
      <c r="H238" s="86">
        <f t="shared" ca="1" si="100"/>
        <v>0</v>
      </c>
      <c r="I238" s="86">
        <f t="shared" ca="1" si="100"/>
        <v>0</v>
      </c>
      <c r="J238" s="86">
        <f t="shared" ca="1" si="100"/>
        <v>0</v>
      </c>
      <c r="K238" s="86">
        <f t="shared" ca="1" si="100"/>
        <v>0</v>
      </c>
      <c r="L238" s="86">
        <f t="shared" ca="1" si="100"/>
        <v>0</v>
      </c>
      <c r="M238" s="86">
        <f t="shared" ca="1" si="100"/>
        <v>0</v>
      </c>
      <c r="N238" s="86">
        <f t="shared" ca="1" si="100"/>
        <v>0</v>
      </c>
      <c r="O238" s="86">
        <f t="shared" ca="1" si="100"/>
        <v>0</v>
      </c>
      <c r="P238" s="86">
        <f t="shared" ca="1" si="100"/>
        <v>0</v>
      </c>
    </row>
    <row r="239" spans="2:16">
      <c r="B239" s="87" t="s">
        <v>695</v>
      </c>
      <c r="C239" s="86">
        <f>IF(AND(C$66&gt;=Poczatek,C$66&lt;=Koniec),C238,0)</f>
        <v>0</v>
      </c>
      <c r="D239" s="86">
        <f t="shared" ref="D239:P239" ca="1" si="101">IF(AND(D$66&gt;=Poczatek,D$66&lt;=Koniec),(C239+D238),0)</f>
        <v>0</v>
      </c>
      <c r="E239" s="86">
        <f t="shared" ca="1" si="101"/>
        <v>0</v>
      </c>
      <c r="F239" s="86">
        <f t="shared" ca="1" si="101"/>
        <v>0</v>
      </c>
      <c r="G239" s="86">
        <f t="shared" ca="1" si="101"/>
        <v>0</v>
      </c>
      <c r="H239" s="86">
        <f t="shared" ca="1" si="101"/>
        <v>0</v>
      </c>
      <c r="I239" s="86">
        <f t="shared" ca="1" si="101"/>
        <v>0</v>
      </c>
      <c r="J239" s="86">
        <f t="shared" ca="1" si="101"/>
        <v>0</v>
      </c>
      <c r="K239" s="86">
        <f t="shared" ca="1" si="101"/>
        <v>0</v>
      </c>
      <c r="L239" s="86">
        <f t="shared" ca="1" si="101"/>
        <v>0</v>
      </c>
      <c r="M239" s="86">
        <f t="shared" ca="1" si="101"/>
        <v>0</v>
      </c>
      <c r="N239" s="86">
        <f t="shared" ca="1" si="101"/>
        <v>0</v>
      </c>
      <c r="O239" s="86">
        <f t="shared" ca="1" si="101"/>
        <v>0</v>
      </c>
      <c r="P239" s="86">
        <f t="shared" ca="1" si="101"/>
        <v>0</v>
      </c>
    </row>
    <row r="240" spans="2:16">
      <c r="B240" s="87" t="s">
        <v>664</v>
      </c>
      <c r="C240" s="86">
        <f t="shared" ref="C240:D240" si="102">IFERROR(ROUND(C226*C238,0),0)</f>
        <v>0</v>
      </c>
      <c r="D240" s="86">
        <f t="shared" ca="1" si="102"/>
        <v>0</v>
      </c>
      <c r="E240" s="86">
        <f t="shared" ref="E240:P240" ca="1" si="103">IFERROR(ROUND(E226*E238,0),0)</f>
        <v>0</v>
      </c>
      <c r="F240" s="86">
        <f t="shared" ca="1" si="103"/>
        <v>0</v>
      </c>
      <c r="G240" s="86">
        <f t="shared" ca="1" si="103"/>
        <v>0</v>
      </c>
      <c r="H240" s="86">
        <f t="shared" ca="1" si="103"/>
        <v>0</v>
      </c>
      <c r="I240" s="86">
        <f t="shared" ca="1" si="103"/>
        <v>0</v>
      </c>
      <c r="J240" s="86">
        <f t="shared" ca="1" si="103"/>
        <v>0</v>
      </c>
      <c r="K240" s="86">
        <f t="shared" ca="1" si="103"/>
        <v>0</v>
      </c>
      <c r="L240" s="86">
        <f t="shared" ca="1" si="103"/>
        <v>0</v>
      </c>
      <c r="M240" s="86">
        <f t="shared" ca="1" si="103"/>
        <v>0</v>
      </c>
      <c r="N240" s="86">
        <f t="shared" ca="1" si="103"/>
        <v>0</v>
      </c>
      <c r="O240" s="86">
        <f t="shared" ca="1" si="103"/>
        <v>0</v>
      </c>
      <c r="P240" s="86">
        <f t="shared" ca="1" si="103"/>
        <v>0</v>
      </c>
    </row>
    <row r="241" spans="2:16">
      <c r="B241" s="87" t="s">
        <v>694</v>
      </c>
      <c r="C241" s="86">
        <f>IF(AND(C$66&gt;Koniec_Projekt,C$66&lt;=Koniec),C240,0)</f>
        <v>0</v>
      </c>
      <c r="D241" s="86">
        <f>IF(AND(D$66&gt;Koniec_Projekt,D$66&lt;=Koniec),SUM($C240:D240),0)</f>
        <v>0</v>
      </c>
      <c r="E241" s="86">
        <f>IF(AND(E$66&gt;Koniec_Projekt,E$66&lt;=Koniec),SUM($C240:E240),0)</f>
        <v>0</v>
      </c>
      <c r="F241" s="86">
        <f>IF(AND(F$66&gt;Koniec_Projekt,F$66&lt;=Koniec),SUM($C240:F240),0)</f>
        <v>0</v>
      </c>
      <c r="G241" s="86">
        <f>IF(AND(G$66&gt;Koniec_Projekt,G$66&lt;=Koniec),SUM($C240:G240),0)</f>
        <v>0</v>
      </c>
      <c r="H241" s="86">
        <f>IF(AND(H$66&gt;Koniec_Projekt,H$66&lt;=Koniec),SUM($C240:H240),0)</f>
        <v>0</v>
      </c>
      <c r="I241" s="86">
        <f>IF(AND(I$66&gt;Koniec_Projekt,I$66&lt;=Koniec),SUM($C240:I240),0)</f>
        <v>0</v>
      </c>
      <c r="J241" s="86">
        <f>IF(AND(J$66&gt;Koniec_Projekt,J$66&lt;=Koniec),SUM($C240:J240),0)</f>
        <v>0</v>
      </c>
      <c r="K241" s="86">
        <f>IF(AND(K$66&gt;Koniec_Projekt,K$66&lt;=Koniec),SUM($C240:K240),0)</f>
        <v>0</v>
      </c>
      <c r="L241" s="86">
        <f>IF(AND(L$66&gt;Koniec_Projekt,L$66&lt;=Koniec),SUM($C240:L240),0)</f>
        <v>0</v>
      </c>
      <c r="M241" s="86">
        <f>IF(AND(M$66&gt;Koniec_Projekt,M$66&lt;=Koniec),SUM($C240:M240),0)</f>
        <v>0</v>
      </c>
      <c r="N241" s="86">
        <f>IF(AND(N$66&gt;Koniec_Projekt,N$66&lt;=Koniec),SUM($C240:N240),0)</f>
        <v>0</v>
      </c>
      <c r="O241" s="86">
        <f>IF(AND(O$66&gt;Koniec_Projekt,O$66&lt;=Koniec),SUM($C240:O240),0)</f>
        <v>0</v>
      </c>
      <c r="P241" s="86">
        <f>IF(AND(P$66&gt;Koniec_Projekt,P$66&lt;=Koniec),SUM($C240:P240),0)</f>
        <v>0</v>
      </c>
    </row>
    <row r="242" spans="2:16">
      <c r="B242" s="87" t="s">
        <v>665</v>
      </c>
      <c r="C242" s="421" t="str">
        <f>IF(AND(C$66&gt;=Poczatek,C$66&lt;=Koniec),IFERROR(IRR($C$238:C238),"n/d"),IF(OR(C$66&lt;Poczatek,C$66&gt;Koniec),"",0))</f>
        <v/>
      </c>
      <c r="D242" s="421" t="str">
        <f ca="1">IF(AND(D$66&gt;=Poczatek,D$66&lt;=Koniec),IFERROR(IRR($C$238:D238),"n/d"),IF(OR(D$66&lt;Poczatek,D$66&gt;Koniec),"",0))</f>
        <v>n/d</v>
      </c>
      <c r="E242" s="421" t="str">
        <f ca="1">IF(AND(E$66&gt;=Poczatek,E$66&lt;=Koniec),IFERROR(IRR($C$238:E238),"n/d"),IF(OR(E$66&lt;Poczatek,E$66&gt;Koniec),"",0))</f>
        <v>n/d</v>
      </c>
      <c r="F242" s="421" t="str">
        <f ca="1">IF(AND(F$66&gt;=Poczatek,F$66&lt;=Koniec),IFERROR(IRR($C$238:F238),"n/d"),IF(OR(F$66&lt;Poczatek,F$66&gt;Koniec),"",0))</f>
        <v>n/d</v>
      </c>
      <c r="G242" s="421" t="str">
        <f ca="1">IF(AND(G$66&gt;=Poczatek,G$66&lt;=Koniec),IFERROR(IRR($C$238:G238),"n/d"),IF(OR(G$66&lt;Poczatek,G$66&gt;Koniec),"",0))</f>
        <v>n/d</v>
      </c>
      <c r="H242" s="421" t="str">
        <f ca="1">IF(AND(H$66&gt;=Poczatek,H$66&lt;=Koniec),IFERROR(IRR($C$238:H238),"n/d"),IF(OR(H$66&lt;Poczatek,H$66&gt;Koniec),"",0))</f>
        <v>n/d</v>
      </c>
      <c r="I242" s="421" t="str">
        <f ca="1">IF(AND(I$66&gt;=Poczatek,I$66&lt;=Koniec),IFERROR(IRR($C$238:I238),"n/d"),IF(OR(I$66&lt;Poczatek,I$66&gt;Koniec),"",0))</f>
        <v>n/d</v>
      </c>
      <c r="J242" s="421" t="str">
        <f ca="1">IF(AND(J$66&gt;=Poczatek,J$66&lt;=Koniec),IFERROR(IRR($C$238:J238),"n/d"),IF(OR(J$66&lt;Poczatek,J$66&gt;Koniec),"",0))</f>
        <v>n/d</v>
      </c>
      <c r="K242" s="421" t="str">
        <f ca="1">IF(AND(K$66&gt;=Poczatek,K$66&lt;=Koniec),IFERROR(IRR($C$238:K238),"n/d"),IF(OR(K$66&lt;Poczatek,K$66&gt;Koniec),"",0))</f>
        <v>n/d</v>
      </c>
      <c r="L242" s="421" t="str">
        <f ca="1">IF(AND(L$66&gt;=Poczatek,L$66&lt;=Koniec),IFERROR(IRR($C$238:L238),"n/d"),IF(OR(L$66&lt;Poczatek,L$66&gt;Koniec),"",0))</f>
        <v>n/d</v>
      </c>
      <c r="M242" s="421" t="str">
        <f ca="1">IF(AND(M$66&gt;=Poczatek,M$66&lt;=Koniec),IFERROR(IRR($C$238:M238),"n/d"),IF(OR(M$66&lt;Poczatek,M$66&gt;Koniec),"",0))</f>
        <v>n/d</v>
      </c>
      <c r="N242" s="421" t="str">
        <f ca="1">IF(AND(N$66&gt;=Poczatek,N$66&lt;=Koniec),IFERROR(IRR($C$238:N238),"n/d"),IF(OR(N$66&lt;Poczatek,N$66&gt;Koniec),"",0))</f>
        <v>n/d</v>
      </c>
      <c r="O242" s="421" t="str">
        <f ca="1">IF(AND(O$66&gt;=Poczatek,O$66&lt;=Koniec),IFERROR(IRR($C$238:O238),"n/d"),IF(OR(O$66&lt;Poczatek,O$66&gt;Koniec),"",0))</f>
        <v>n/d</v>
      </c>
      <c r="P242" s="421" t="str">
        <f ca="1">IF(AND(P$66&gt;=Poczatek,P$66&lt;=Koniec),IFERROR(IRR($C$238:P238),"n/d"),IF(OR(P$66&lt;Poczatek,P$66&gt;Koniec),"",0))</f>
        <v>n/d</v>
      </c>
    </row>
    <row r="243" spans="2:16"/>
    <row r="244" spans="2:16"/>
    <row r="245" spans="2:16">
      <c r="B245" s="366" t="s">
        <v>770</v>
      </c>
      <c r="C245" s="366"/>
      <c r="D245" s="366"/>
      <c r="E245" s="366"/>
      <c r="F245" s="366"/>
      <c r="G245" s="366"/>
      <c r="H245" s="366"/>
      <c r="I245" s="366"/>
      <c r="J245" s="366"/>
      <c r="K245" s="366"/>
      <c r="L245" s="366"/>
      <c r="M245" s="366"/>
      <c r="N245" s="366"/>
      <c r="O245" s="366"/>
      <c r="P245" s="366"/>
    </row>
    <row r="246" spans="2:16"/>
    <row r="247" spans="2:16">
      <c r="B247" s="368" t="s">
        <v>771</v>
      </c>
      <c r="C247" s="475" t="str">
        <f>C209</f>
        <v>Uzupełnij dane</v>
      </c>
      <c r="D247" s="475" t="str">
        <f t="shared" ref="D247:P247" si="104">D209</f>
        <v/>
      </c>
      <c r="E247" s="475" t="str">
        <f t="shared" si="104"/>
        <v/>
      </c>
      <c r="F247" s="475" t="str">
        <f t="shared" si="104"/>
        <v/>
      </c>
      <c r="G247" s="475" t="str">
        <f t="shared" si="104"/>
        <v/>
      </c>
      <c r="H247" s="475" t="str">
        <f t="shared" si="104"/>
        <v/>
      </c>
      <c r="I247" s="475" t="str">
        <f t="shared" si="104"/>
        <v/>
      </c>
      <c r="J247" s="475" t="str">
        <f t="shared" si="104"/>
        <v/>
      </c>
      <c r="K247" s="475" t="str">
        <f t="shared" si="104"/>
        <v/>
      </c>
      <c r="L247" s="475" t="str">
        <f t="shared" si="104"/>
        <v/>
      </c>
      <c r="M247" s="475" t="str">
        <f t="shared" si="104"/>
        <v/>
      </c>
      <c r="N247" s="475" t="str">
        <f t="shared" si="104"/>
        <v/>
      </c>
      <c r="O247" s="475" t="str">
        <f t="shared" si="104"/>
        <v/>
      </c>
      <c r="P247" s="475" t="str">
        <f t="shared" si="104"/>
        <v/>
      </c>
    </row>
    <row r="248" spans="2:16" ht="3.9" customHeight="1">
      <c r="C248" s="5"/>
      <c r="D248" s="5"/>
      <c r="E248" s="5"/>
      <c r="F248" s="5"/>
      <c r="G248" s="5"/>
      <c r="H248" s="5"/>
      <c r="I248" s="5"/>
    </row>
    <row r="249" spans="2:16">
      <c r="B249" s="103" t="s">
        <v>689</v>
      </c>
      <c r="C249" s="102">
        <f t="shared" ref="C249:P249" si="105">C211+C129</f>
        <v>0</v>
      </c>
      <c r="D249" s="102">
        <f t="shared" ca="1" si="105"/>
        <v>0</v>
      </c>
      <c r="E249" s="102">
        <f t="shared" ca="1" si="105"/>
        <v>0</v>
      </c>
      <c r="F249" s="102">
        <f t="shared" ca="1" si="105"/>
        <v>0</v>
      </c>
      <c r="G249" s="102">
        <f t="shared" ca="1" si="105"/>
        <v>0</v>
      </c>
      <c r="H249" s="102">
        <f t="shared" ca="1" si="105"/>
        <v>0</v>
      </c>
      <c r="I249" s="102">
        <f t="shared" ca="1" si="105"/>
        <v>0</v>
      </c>
      <c r="J249" s="102">
        <f t="shared" ca="1" si="105"/>
        <v>0</v>
      </c>
      <c r="K249" s="102">
        <f t="shared" ca="1" si="105"/>
        <v>0</v>
      </c>
      <c r="L249" s="102">
        <f t="shared" ca="1" si="105"/>
        <v>0</v>
      </c>
      <c r="M249" s="102">
        <f t="shared" ca="1" si="105"/>
        <v>0</v>
      </c>
      <c r="N249" s="102">
        <f t="shared" ca="1" si="105"/>
        <v>0</v>
      </c>
      <c r="O249" s="102">
        <f t="shared" ca="1" si="105"/>
        <v>0</v>
      </c>
      <c r="P249" s="102">
        <f t="shared" ca="1" si="105"/>
        <v>0</v>
      </c>
    </row>
    <row r="250" spans="2:16">
      <c r="B250" s="37" t="s">
        <v>690</v>
      </c>
      <c r="C250" s="33">
        <f t="shared" ref="C250:P250" si="106">C212+C130</f>
        <v>0</v>
      </c>
      <c r="D250" s="33">
        <f t="shared" si="106"/>
        <v>0</v>
      </c>
      <c r="E250" s="33">
        <f t="shared" si="106"/>
        <v>0</v>
      </c>
      <c r="F250" s="33">
        <f t="shared" si="106"/>
        <v>0</v>
      </c>
      <c r="G250" s="33">
        <f t="shared" si="106"/>
        <v>0</v>
      </c>
      <c r="H250" s="33">
        <f t="shared" si="106"/>
        <v>0</v>
      </c>
      <c r="I250" s="33">
        <f t="shared" si="106"/>
        <v>0</v>
      </c>
      <c r="J250" s="33">
        <f t="shared" si="106"/>
        <v>0</v>
      </c>
      <c r="K250" s="33">
        <f t="shared" si="106"/>
        <v>0</v>
      </c>
      <c r="L250" s="33">
        <f t="shared" si="106"/>
        <v>0</v>
      </c>
      <c r="M250" s="33">
        <f t="shared" si="106"/>
        <v>0</v>
      </c>
      <c r="N250" s="33">
        <f t="shared" si="106"/>
        <v>0</v>
      </c>
      <c r="O250" s="33">
        <f t="shared" si="106"/>
        <v>0</v>
      </c>
      <c r="P250" s="33">
        <f t="shared" si="106"/>
        <v>0</v>
      </c>
    </row>
    <row r="251" spans="2:16">
      <c r="B251" s="37" t="s">
        <v>692</v>
      </c>
      <c r="C251" s="33">
        <f t="shared" ref="C251:P251" si="107">C213+C131</f>
        <v>0</v>
      </c>
      <c r="D251" s="33">
        <f t="shared" si="107"/>
        <v>0</v>
      </c>
      <c r="E251" s="33">
        <f t="shared" si="107"/>
        <v>0</v>
      </c>
      <c r="F251" s="33">
        <f t="shared" si="107"/>
        <v>0</v>
      </c>
      <c r="G251" s="33">
        <f t="shared" si="107"/>
        <v>0</v>
      </c>
      <c r="H251" s="33">
        <f t="shared" si="107"/>
        <v>0</v>
      </c>
      <c r="I251" s="33">
        <f t="shared" si="107"/>
        <v>0</v>
      </c>
      <c r="J251" s="33">
        <f t="shared" si="107"/>
        <v>0</v>
      </c>
      <c r="K251" s="33">
        <f t="shared" si="107"/>
        <v>0</v>
      </c>
      <c r="L251" s="33">
        <f t="shared" si="107"/>
        <v>0</v>
      </c>
      <c r="M251" s="33">
        <f t="shared" si="107"/>
        <v>0</v>
      </c>
      <c r="N251" s="33">
        <f t="shared" si="107"/>
        <v>0</v>
      </c>
      <c r="O251" s="33">
        <f t="shared" si="107"/>
        <v>0</v>
      </c>
      <c r="P251" s="33">
        <f t="shared" si="107"/>
        <v>0</v>
      </c>
    </row>
    <row r="252" spans="2:16">
      <c r="B252" s="37" t="s">
        <v>691</v>
      </c>
      <c r="C252" s="33">
        <f t="shared" ref="C252:P252" si="108">C214+C132</f>
        <v>0</v>
      </c>
      <c r="D252" s="33">
        <f t="shared" ca="1" si="108"/>
        <v>0</v>
      </c>
      <c r="E252" s="33">
        <f t="shared" ca="1" si="108"/>
        <v>0</v>
      </c>
      <c r="F252" s="33">
        <f t="shared" ca="1" si="108"/>
        <v>0</v>
      </c>
      <c r="G252" s="33">
        <f t="shared" ca="1" si="108"/>
        <v>0</v>
      </c>
      <c r="H252" s="33">
        <f t="shared" ca="1" si="108"/>
        <v>0</v>
      </c>
      <c r="I252" s="33">
        <f t="shared" ca="1" si="108"/>
        <v>0</v>
      </c>
      <c r="J252" s="33">
        <f t="shared" ca="1" si="108"/>
        <v>0</v>
      </c>
      <c r="K252" s="33">
        <f t="shared" ca="1" si="108"/>
        <v>0</v>
      </c>
      <c r="L252" s="33">
        <f t="shared" ca="1" si="108"/>
        <v>0</v>
      </c>
      <c r="M252" s="33">
        <f t="shared" ca="1" si="108"/>
        <v>0</v>
      </c>
      <c r="N252" s="33">
        <f t="shared" ca="1" si="108"/>
        <v>0</v>
      </c>
      <c r="O252" s="33">
        <f t="shared" ca="1" si="108"/>
        <v>0</v>
      </c>
      <c r="P252" s="33">
        <f t="shared" ca="1" si="108"/>
        <v>0</v>
      </c>
    </row>
    <row r="253" spans="2:16">
      <c r="B253" s="98" t="s">
        <v>335</v>
      </c>
      <c r="C253" s="97">
        <f>SUM(C249:C252)</f>
        <v>0</v>
      </c>
      <c r="D253" s="97">
        <f t="shared" ref="D253:P253" ca="1" si="109">SUM(D249:D252)</f>
        <v>0</v>
      </c>
      <c r="E253" s="97">
        <f t="shared" ca="1" si="109"/>
        <v>0</v>
      </c>
      <c r="F253" s="97">
        <f t="shared" ca="1" si="109"/>
        <v>0</v>
      </c>
      <c r="G253" s="97">
        <f t="shared" ca="1" si="109"/>
        <v>0</v>
      </c>
      <c r="H253" s="97">
        <f t="shared" ca="1" si="109"/>
        <v>0</v>
      </c>
      <c r="I253" s="97">
        <f t="shared" ca="1" si="109"/>
        <v>0</v>
      </c>
      <c r="J253" s="97">
        <f t="shared" ca="1" si="109"/>
        <v>0</v>
      </c>
      <c r="K253" s="97">
        <f t="shared" ca="1" si="109"/>
        <v>0</v>
      </c>
      <c r="L253" s="97">
        <f t="shared" ca="1" si="109"/>
        <v>0</v>
      </c>
      <c r="M253" s="97">
        <f t="shared" ca="1" si="109"/>
        <v>0</v>
      </c>
      <c r="N253" s="97">
        <f t="shared" ca="1" si="109"/>
        <v>0</v>
      </c>
      <c r="O253" s="97">
        <f t="shared" ca="1" si="109"/>
        <v>0</v>
      </c>
      <c r="P253" s="97">
        <f t="shared" ca="1" si="109"/>
        <v>0</v>
      </c>
    </row>
    <row r="254" spans="2:16"/>
    <row r="255" spans="2:16">
      <c r="B255" s="370" t="s">
        <v>772</v>
      </c>
      <c r="C255" s="476" t="str">
        <f>C217</f>
        <v>Uzupełnij dane</v>
      </c>
      <c r="D255" s="476" t="str">
        <f t="shared" ref="D255:P255" si="110">D217</f>
        <v/>
      </c>
      <c r="E255" s="476" t="str">
        <f t="shared" si="110"/>
        <v/>
      </c>
      <c r="F255" s="476" t="str">
        <f t="shared" si="110"/>
        <v/>
      </c>
      <c r="G255" s="476" t="str">
        <f t="shared" si="110"/>
        <v/>
      </c>
      <c r="H255" s="476" t="str">
        <f t="shared" si="110"/>
        <v/>
      </c>
      <c r="I255" s="476" t="str">
        <f t="shared" si="110"/>
        <v/>
      </c>
      <c r="J255" s="476" t="str">
        <f t="shared" si="110"/>
        <v/>
      </c>
      <c r="K255" s="476" t="str">
        <f t="shared" si="110"/>
        <v/>
      </c>
      <c r="L255" s="476" t="str">
        <f t="shared" si="110"/>
        <v/>
      </c>
      <c r="M255" s="476" t="str">
        <f t="shared" si="110"/>
        <v/>
      </c>
      <c r="N255" s="476" t="str">
        <f t="shared" si="110"/>
        <v/>
      </c>
      <c r="O255" s="476" t="str">
        <f t="shared" si="110"/>
        <v/>
      </c>
      <c r="P255" s="476" t="str">
        <f t="shared" si="110"/>
        <v/>
      </c>
    </row>
    <row r="256" spans="2:16">
      <c r="B256" s="101" t="s">
        <v>104</v>
      </c>
      <c r="C256" s="102">
        <f t="shared" ref="C256:P256" si="111">C218+C136</f>
        <v>0</v>
      </c>
      <c r="D256" s="102">
        <f t="shared" si="111"/>
        <v>0</v>
      </c>
      <c r="E256" s="102">
        <f t="shared" si="111"/>
        <v>0</v>
      </c>
      <c r="F256" s="102">
        <f t="shared" si="111"/>
        <v>0</v>
      </c>
      <c r="G256" s="102">
        <f t="shared" si="111"/>
        <v>0</v>
      </c>
      <c r="H256" s="102">
        <f t="shared" si="111"/>
        <v>0</v>
      </c>
      <c r="I256" s="102">
        <f t="shared" si="111"/>
        <v>0</v>
      </c>
      <c r="J256" s="102">
        <f t="shared" si="111"/>
        <v>0</v>
      </c>
      <c r="K256" s="102">
        <f t="shared" si="111"/>
        <v>0</v>
      </c>
      <c r="L256" s="102">
        <f t="shared" si="111"/>
        <v>0</v>
      </c>
      <c r="M256" s="102">
        <f t="shared" si="111"/>
        <v>0</v>
      </c>
      <c r="N256" s="102">
        <f t="shared" si="111"/>
        <v>0</v>
      </c>
      <c r="O256" s="102">
        <f t="shared" si="111"/>
        <v>0</v>
      </c>
      <c r="P256" s="102">
        <f t="shared" si="111"/>
        <v>0</v>
      </c>
    </row>
    <row r="257" spans="2:16">
      <c r="B257" s="52" t="s">
        <v>693</v>
      </c>
      <c r="C257" s="33">
        <f t="shared" ref="C257:P257" si="112">C219+C137</f>
        <v>0</v>
      </c>
      <c r="D257" s="33">
        <f t="shared" si="112"/>
        <v>0</v>
      </c>
      <c r="E257" s="33">
        <f t="shared" si="112"/>
        <v>0</v>
      </c>
      <c r="F257" s="33">
        <f t="shared" si="112"/>
        <v>0</v>
      </c>
      <c r="G257" s="33">
        <f t="shared" si="112"/>
        <v>0</v>
      </c>
      <c r="H257" s="33">
        <f t="shared" si="112"/>
        <v>0</v>
      </c>
      <c r="I257" s="33">
        <f t="shared" si="112"/>
        <v>0</v>
      </c>
      <c r="J257" s="33">
        <f t="shared" si="112"/>
        <v>0</v>
      </c>
      <c r="K257" s="33">
        <f t="shared" si="112"/>
        <v>0</v>
      </c>
      <c r="L257" s="33">
        <f t="shared" si="112"/>
        <v>0</v>
      </c>
      <c r="M257" s="33">
        <f t="shared" si="112"/>
        <v>0</v>
      </c>
      <c r="N257" s="33">
        <f t="shared" si="112"/>
        <v>0</v>
      </c>
      <c r="O257" s="33">
        <f t="shared" si="112"/>
        <v>0</v>
      </c>
      <c r="P257" s="33">
        <f t="shared" si="112"/>
        <v>0</v>
      </c>
    </row>
    <row r="258" spans="2:16">
      <c r="B258" s="52" t="s">
        <v>331</v>
      </c>
      <c r="C258" s="33">
        <f t="shared" ref="C258:P258" si="113">C220+C138</f>
        <v>0</v>
      </c>
      <c r="D258" s="33">
        <f t="shared" ca="1" si="113"/>
        <v>0</v>
      </c>
      <c r="E258" s="33">
        <f t="shared" ca="1" si="113"/>
        <v>0</v>
      </c>
      <c r="F258" s="33">
        <f t="shared" ca="1" si="113"/>
        <v>0</v>
      </c>
      <c r="G258" s="33">
        <f t="shared" ca="1" si="113"/>
        <v>0</v>
      </c>
      <c r="H258" s="33">
        <f t="shared" ca="1" si="113"/>
        <v>0</v>
      </c>
      <c r="I258" s="33">
        <f t="shared" ca="1" si="113"/>
        <v>0</v>
      </c>
      <c r="J258" s="33">
        <f t="shared" ca="1" si="113"/>
        <v>0</v>
      </c>
      <c r="K258" s="33">
        <f t="shared" ca="1" si="113"/>
        <v>0</v>
      </c>
      <c r="L258" s="33">
        <f t="shared" ca="1" si="113"/>
        <v>0</v>
      </c>
      <c r="M258" s="33">
        <f t="shared" ca="1" si="113"/>
        <v>0</v>
      </c>
      <c r="N258" s="33">
        <f t="shared" ca="1" si="113"/>
        <v>0</v>
      </c>
      <c r="O258" s="33">
        <f t="shared" ca="1" si="113"/>
        <v>0</v>
      </c>
      <c r="P258" s="33">
        <f t="shared" ca="1" si="113"/>
        <v>0</v>
      </c>
    </row>
    <row r="259" spans="2:16">
      <c r="B259" s="364" t="s">
        <v>660</v>
      </c>
      <c r="C259" s="537">
        <f t="shared" ref="C259:P259" si="114">C221+C139</f>
        <v>0</v>
      </c>
      <c r="D259" s="537">
        <f t="shared" si="114"/>
        <v>0</v>
      </c>
      <c r="E259" s="537">
        <f t="shared" si="114"/>
        <v>0</v>
      </c>
      <c r="F259" s="537">
        <f t="shared" si="114"/>
        <v>0</v>
      </c>
      <c r="G259" s="537">
        <f t="shared" si="114"/>
        <v>0</v>
      </c>
      <c r="H259" s="537">
        <f t="shared" si="114"/>
        <v>0</v>
      </c>
      <c r="I259" s="537">
        <f t="shared" si="114"/>
        <v>0</v>
      </c>
      <c r="J259" s="537">
        <f t="shared" si="114"/>
        <v>0</v>
      </c>
      <c r="K259" s="537">
        <f t="shared" si="114"/>
        <v>0</v>
      </c>
      <c r="L259" s="537">
        <f t="shared" si="114"/>
        <v>0</v>
      </c>
      <c r="M259" s="537">
        <f t="shared" si="114"/>
        <v>0</v>
      </c>
      <c r="N259" s="537">
        <f t="shared" si="114"/>
        <v>0</v>
      </c>
      <c r="O259" s="537">
        <f t="shared" si="114"/>
        <v>0</v>
      </c>
      <c r="P259" s="537">
        <f t="shared" si="114"/>
        <v>0</v>
      </c>
    </row>
    <row r="260" spans="2:16">
      <c r="B260" s="365" t="s">
        <v>661</v>
      </c>
      <c r="C260" s="538">
        <f t="shared" ref="C260:P260" si="115">C253</f>
        <v>0</v>
      </c>
      <c r="D260" s="538">
        <f t="shared" ca="1" si="115"/>
        <v>0</v>
      </c>
      <c r="E260" s="538">
        <f t="shared" ca="1" si="115"/>
        <v>0</v>
      </c>
      <c r="F260" s="538">
        <f t="shared" ca="1" si="115"/>
        <v>0</v>
      </c>
      <c r="G260" s="538">
        <f t="shared" ca="1" si="115"/>
        <v>0</v>
      </c>
      <c r="H260" s="538">
        <f t="shared" ca="1" si="115"/>
        <v>0</v>
      </c>
      <c r="I260" s="538">
        <f t="shared" ca="1" si="115"/>
        <v>0</v>
      </c>
      <c r="J260" s="538">
        <f t="shared" ca="1" si="115"/>
        <v>0</v>
      </c>
      <c r="K260" s="538">
        <f t="shared" ca="1" si="115"/>
        <v>0</v>
      </c>
      <c r="L260" s="538">
        <f t="shared" ca="1" si="115"/>
        <v>0</v>
      </c>
      <c r="M260" s="538">
        <f t="shared" ca="1" si="115"/>
        <v>0</v>
      </c>
      <c r="N260" s="538">
        <f t="shared" ca="1" si="115"/>
        <v>0</v>
      </c>
      <c r="O260" s="538">
        <f t="shared" ca="1" si="115"/>
        <v>0</v>
      </c>
      <c r="P260" s="538">
        <f t="shared" ca="1" si="115"/>
        <v>0</v>
      </c>
    </row>
    <row r="261" spans="2:16">
      <c r="B261" s="52" t="s">
        <v>662</v>
      </c>
      <c r="C261" s="33">
        <f t="shared" ref="C261:P261" si="116">IF(C$255&lt;=Koniec,IF(OR($C$566=TRUE,$C$567=TRUE),(C223+C141),0),0)</f>
        <v>0</v>
      </c>
      <c r="D261" s="33">
        <f t="shared" si="116"/>
        <v>0</v>
      </c>
      <c r="E261" s="33">
        <f t="shared" si="116"/>
        <v>0</v>
      </c>
      <c r="F261" s="33">
        <f t="shared" si="116"/>
        <v>0</v>
      </c>
      <c r="G261" s="33">
        <f t="shared" si="116"/>
        <v>0</v>
      </c>
      <c r="H261" s="33">
        <f t="shared" si="116"/>
        <v>0</v>
      </c>
      <c r="I261" s="33">
        <f t="shared" si="116"/>
        <v>0</v>
      </c>
      <c r="J261" s="33">
        <f t="shared" si="116"/>
        <v>0</v>
      </c>
      <c r="K261" s="33">
        <f t="shared" si="116"/>
        <v>0</v>
      </c>
      <c r="L261" s="33">
        <f t="shared" si="116"/>
        <v>0</v>
      </c>
      <c r="M261" s="33">
        <f t="shared" si="116"/>
        <v>0</v>
      </c>
      <c r="N261" s="33">
        <f t="shared" si="116"/>
        <v>0</v>
      </c>
      <c r="O261" s="33">
        <f t="shared" si="116"/>
        <v>0</v>
      </c>
      <c r="P261" s="33">
        <f t="shared" si="116"/>
        <v>0</v>
      </c>
    </row>
    <row r="262" spans="2:16" ht="3.9" customHeight="1">
      <c r="B262" s="89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</row>
    <row r="263" spans="2:16">
      <c r="B263" s="52" t="s">
        <v>26</v>
      </c>
      <c r="C263" s="419">
        <f t="shared" ref="C263:P263" si="117">IF(AND(C$66&gt;=Poczatek,C$66&lt;=Koniec),IFERROR(WACC,0),0)</f>
        <v>0</v>
      </c>
      <c r="D263" s="419">
        <f t="shared" si="117"/>
        <v>0</v>
      </c>
      <c r="E263" s="419">
        <f t="shared" si="117"/>
        <v>0</v>
      </c>
      <c r="F263" s="419">
        <f t="shared" si="117"/>
        <v>0</v>
      </c>
      <c r="G263" s="419">
        <f t="shared" si="117"/>
        <v>0</v>
      </c>
      <c r="H263" s="419">
        <f t="shared" si="117"/>
        <v>0</v>
      </c>
      <c r="I263" s="419">
        <f t="shared" si="117"/>
        <v>0</v>
      </c>
      <c r="J263" s="419">
        <f t="shared" si="117"/>
        <v>0</v>
      </c>
      <c r="K263" s="419">
        <f t="shared" si="117"/>
        <v>0</v>
      </c>
      <c r="L263" s="419">
        <f t="shared" si="117"/>
        <v>0</v>
      </c>
      <c r="M263" s="419">
        <f t="shared" si="117"/>
        <v>0</v>
      </c>
      <c r="N263" s="419">
        <f t="shared" si="117"/>
        <v>0</v>
      </c>
      <c r="O263" s="419">
        <f t="shared" si="117"/>
        <v>0</v>
      </c>
      <c r="P263" s="419">
        <f t="shared" si="117"/>
        <v>0</v>
      </c>
    </row>
    <row r="264" spans="2:16">
      <c r="B264" s="52" t="s">
        <v>27</v>
      </c>
      <c r="C264" s="420">
        <f>IF(AND(C$66&gt;=Poczatek,C$66&lt;=Koniec),IFERROR(Założenia!K$35,0),0)</f>
        <v>0</v>
      </c>
      <c r="D264" s="420" t="str">
        <f>IF(AND(D$66&gt;=Poczatek,D$66&lt;=Koniec),IFERROR(Założenia!L$35,0),0)</f>
        <v>n/d</v>
      </c>
      <c r="E264" s="420" t="str">
        <f>IF(AND(E$66&gt;=Poczatek,E$66&lt;=Koniec),IFERROR(Założenia!M$35,0),0)</f>
        <v>n/d</v>
      </c>
      <c r="F264" s="420" t="str">
        <f>IF(AND(F$66&gt;=Poczatek,F$66&lt;=Koniec),IFERROR(Założenia!N$35,0),0)</f>
        <v>n/d</v>
      </c>
      <c r="G264" s="420" t="str">
        <f>IF(AND(G$66&gt;=Poczatek,G$66&lt;=Koniec),IFERROR(Założenia!O$35,0),0)</f>
        <v>n/d</v>
      </c>
      <c r="H264" s="420" t="str">
        <f>IF(AND(H$66&gt;=Poczatek,H$66&lt;=Koniec),IFERROR(Założenia!P$35,0),0)</f>
        <v>n/d</v>
      </c>
      <c r="I264" s="420" t="str">
        <f>IF(AND(I$66&gt;=Poczatek,I$66&lt;=Koniec),IFERROR(Założenia!Q$35,0),0)</f>
        <v>n/d</v>
      </c>
      <c r="J264" s="420" t="str">
        <f>IF(AND(J$66&gt;=Poczatek,J$66&lt;=Koniec),IFERROR(Założenia!R$35,0),0)</f>
        <v>n/d</v>
      </c>
      <c r="K264" s="420" t="str">
        <f>IF(AND(K$66&gt;=Poczatek,K$66&lt;=Koniec),IFERROR(Założenia!S$35,0),0)</f>
        <v>n/d</v>
      </c>
      <c r="L264" s="420" t="str">
        <f>IF(AND(L$66&gt;=Poczatek,L$66&lt;=Koniec),IFERROR(Założenia!T$35,0),0)</f>
        <v>n/d</v>
      </c>
      <c r="M264" s="420" t="str">
        <f>IF(AND(M$66&gt;=Poczatek,M$66&lt;=Koniec),IFERROR(Założenia!U$35,0),0)</f>
        <v>n/d</v>
      </c>
      <c r="N264" s="420" t="str">
        <f>IF(AND(N$66&gt;=Poczatek,N$66&lt;=Koniec),IFERROR(Założenia!V$35,0),0)</f>
        <v>n/d</v>
      </c>
      <c r="O264" s="420" t="str">
        <f>IF(AND(O$66&gt;=Poczatek,O$66&lt;=Koniec),IFERROR(Założenia!W$35,0),0)</f>
        <v>n/d</v>
      </c>
      <c r="P264" s="420" t="str">
        <f>IF(AND(P$66&gt;=Poczatek,P$66&lt;=Koniec),IFERROR(Założenia!X$35,0),0)</f>
        <v>n/d</v>
      </c>
    </row>
    <row r="265" spans="2:16" ht="3.9" customHeight="1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2:16">
      <c r="B266" s="422" t="s">
        <v>773</v>
      </c>
      <c r="C266" s="525" t="str">
        <f>C247</f>
        <v>Uzupełnij dane</v>
      </c>
      <c r="D266" s="525" t="str">
        <f t="shared" ref="D266:P266" si="118">D247</f>
        <v/>
      </c>
      <c r="E266" s="525" t="str">
        <f t="shared" si="118"/>
        <v/>
      </c>
      <c r="F266" s="525" t="str">
        <f t="shared" si="118"/>
        <v/>
      </c>
      <c r="G266" s="525" t="str">
        <f t="shared" si="118"/>
        <v/>
      </c>
      <c r="H266" s="525" t="str">
        <f t="shared" si="118"/>
        <v/>
      </c>
      <c r="I266" s="525" t="str">
        <f t="shared" si="118"/>
        <v/>
      </c>
      <c r="J266" s="525" t="str">
        <f t="shared" si="118"/>
        <v/>
      </c>
      <c r="K266" s="525" t="str">
        <f t="shared" si="118"/>
        <v/>
      </c>
      <c r="L266" s="525" t="str">
        <f t="shared" si="118"/>
        <v/>
      </c>
      <c r="M266" s="525" t="str">
        <f t="shared" si="118"/>
        <v/>
      </c>
      <c r="N266" s="525" t="str">
        <f t="shared" si="118"/>
        <v/>
      </c>
      <c r="O266" s="525" t="str">
        <f t="shared" si="118"/>
        <v/>
      </c>
      <c r="P266" s="525" t="str">
        <f t="shared" si="118"/>
        <v/>
      </c>
    </row>
    <row r="267" spans="2:16" ht="3.9" customHeight="1"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2:16">
      <c r="B268" s="87" t="s">
        <v>696</v>
      </c>
      <c r="C268" s="86">
        <f t="shared" ref="C268:P268" si="119">IF(AND(C$66&gt;=Poczatek,C$66&lt;=Koniec),(C256-C257-C259+C261),0)</f>
        <v>0</v>
      </c>
      <c r="D268" s="86">
        <f t="shared" si="119"/>
        <v>0</v>
      </c>
      <c r="E268" s="86">
        <f t="shared" si="119"/>
        <v>0</v>
      </c>
      <c r="F268" s="86">
        <f t="shared" si="119"/>
        <v>0</v>
      </c>
      <c r="G268" s="86">
        <f t="shared" si="119"/>
        <v>0</v>
      </c>
      <c r="H268" s="86">
        <f t="shared" si="119"/>
        <v>0</v>
      </c>
      <c r="I268" s="86">
        <f t="shared" si="119"/>
        <v>0</v>
      </c>
      <c r="J268" s="86">
        <f t="shared" si="119"/>
        <v>0</v>
      </c>
      <c r="K268" s="86">
        <f t="shared" si="119"/>
        <v>0</v>
      </c>
      <c r="L268" s="86">
        <f t="shared" si="119"/>
        <v>0</v>
      </c>
      <c r="M268" s="86">
        <f t="shared" si="119"/>
        <v>0</v>
      </c>
      <c r="N268" s="86">
        <f t="shared" si="119"/>
        <v>0</v>
      </c>
      <c r="O268" s="86">
        <f t="shared" si="119"/>
        <v>0</v>
      </c>
      <c r="P268" s="86">
        <f t="shared" si="119"/>
        <v>0</v>
      </c>
    </row>
    <row r="269" spans="2:16">
      <c r="B269" s="87" t="s">
        <v>697</v>
      </c>
      <c r="C269" s="86">
        <f>IF(AND(C$66&gt;=Poczatek,C$66&lt;=Koniec),C268,0)</f>
        <v>0</v>
      </c>
      <c r="D269" s="86">
        <f t="shared" ref="D269" si="120">IF(AND(D$66&gt;=Poczatek,D$66&lt;=Koniec),(D268+C269),0)</f>
        <v>0</v>
      </c>
      <c r="E269" s="86">
        <f t="shared" ref="E269" si="121">IF(AND(E$66&gt;=Poczatek,E$66&lt;=Koniec),(E268+D269),0)</f>
        <v>0</v>
      </c>
      <c r="F269" s="86">
        <f t="shared" ref="F269" si="122">IF(AND(F$66&gt;=Poczatek,F$66&lt;=Koniec),(F268+E269),0)</f>
        <v>0</v>
      </c>
      <c r="G269" s="86">
        <f t="shared" ref="G269" si="123">IF(AND(G$66&gt;=Poczatek,G$66&lt;=Koniec),(G268+F269),0)</f>
        <v>0</v>
      </c>
      <c r="H269" s="86">
        <f t="shared" ref="H269" si="124">IF(AND(H$66&gt;=Poczatek,H$66&lt;=Koniec),(H268+G269),0)</f>
        <v>0</v>
      </c>
      <c r="I269" s="86">
        <f t="shared" ref="I269" si="125">IF(AND(I$66&gt;=Poczatek,I$66&lt;=Koniec),(I268+H269),0)</f>
        <v>0</v>
      </c>
      <c r="J269" s="86">
        <f t="shared" ref="J269" si="126">IF(AND(J$66&gt;=Poczatek,J$66&lt;=Koniec),(J268+I269),0)</f>
        <v>0</v>
      </c>
      <c r="K269" s="86">
        <f t="shared" ref="K269" si="127">IF(AND(K$66&gt;=Poczatek,K$66&lt;=Koniec),(K268+J269),0)</f>
        <v>0</v>
      </c>
      <c r="L269" s="86">
        <f t="shared" ref="L269" si="128">IF(AND(L$66&gt;=Poczatek,L$66&lt;=Koniec),(L268+K269),0)</f>
        <v>0</v>
      </c>
      <c r="M269" s="86">
        <f t="shared" ref="M269" si="129">IF(AND(M$66&gt;=Poczatek,M$66&lt;=Koniec),(M268+L269),0)</f>
        <v>0</v>
      </c>
      <c r="N269" s="86">
        <f t="shared" ref="N269" si="130">IF(AND(N$66&gt;=Poczatek,N$66&lt;=Koniec),(N268+M269),0)</f>
        <v>0</v>
      </c>
      <c r="O269" s="86">
        <f t="shared" ref="O269" si="131">IF(AND(O$66&gt;=Poczatek,O$66&lt;=Koniec),(O268+N269),0)</f>
        <v>0</v>
      </c>
      <c r="P269" s="86">
        <f t="shared" ref="P269" si="132">IF(AND(P$66&gt;=Poczatek,P$66&lt;=Koniec),(P268+O269),0)</f>
        <v>0</v>
      </c>
    </row>
    <row r="270" spans="2:16">
      <c r="B270" s="87" t="s">
        <v>699</v>
      </c>
      <c r="C270" s="86">
        <f>IFERROR(ROUND(C264*C268,0),0)</f>
        <v>0</v>
      </c>
      <c r="D270" s="86">
        <f t="shared" ref="D270:P270" si="133">IFERROR(ROUND(D264*D268,0),0)</f>
        <v>0</v>
      </c>
      <c r="E270" s="86">
        <f t="shared" si="133"/>
        <v>0</v>
      </c>
      <c r="F270" s="86">
        <f t="shared" si="133"/>
        <v>0</v>
      </c>
      <c r="G270" s="86">
        <f t="shared" si="133"/>
        <v>0</v>
      </c>
      <c r="H270" s="86">
        <f t="shared" si="133"/>
        <v>0</v>
      </c>
      <c r="I270" s="86">
        <f t="shared" si="133"/>
        <v>0</v>
      </c>
      <c r="J270" s="86">
        <f t="shared" si="133"/>
        <v>0</v>
      </c>
      <c r="K270" s="86">
        <f t="shared" si="133"/>
        <v>0</v>
      </c>
      <c r="L270" s="86">
        <f t="shared" si="133"/>
        <v>0</v>
      </c>
      <c r="M270" s="86">
        <f t="shared" si="133"/>
        <v>0</v>
      </c>
      <c r="N270" s="86">
        <f t="shared" si="133"/>
        <v>0</v>
      </c>
      <c r="O270" s="86">
        <f t="shared" si="133"/>
        <v>0</v>
      </c>
      <c r="P270" s="86">
        <f t="shared" si="133"/>
        <v>0</v>
      </c>
    </row>
    <row r="271" spans="2:16">
      <c r="B271" s="87" t="s">
        <v>700</v>
      </c>
      <c r="C271" s="86">
        <f>IF(AND(C$66&gt;Koniec_Projekt,C$66&lt;=Koniec),C270,0)</f>
        <v>0</v>
      </c>
      <c r="D271" s="86">
        <f>IF(AND(D$66&gt;Koniec_Projekt,D$66&lt;=Koniec),SUM($C270:D270),0)</f>
        <v>0</v>
      </c>
      <c r="E271" s="86">
        <f>IF(AND(E$66&gt;Koniec_Projekt,E$66&lt;=Koniec),SUM($C270:E270),0)</f>
        <v>0</v>
      </c>
      <c r="F271" s="86">
        <f>IF(AND(F$66&gt;Koniec_Projekt,F$66&lt;=Koniec),SUM($C270:F270),0)</f>
        <v>0</v>
      </c>
      <c r="G271" s="86">
        <f>IF(AND(G$66&gt;Koniec_Projekt,G$66&lt;=Koniec),SUM($C270:G270),0)</f>
        <v>0</v>
      </c>
      <c r="H271" s="86">
        <f>IF(AND(H$66&gt;Koniec_Projekt,H$66&lt;=Koniec),SUM($C270:H270),0)</f>
        <v>0</v>
      </c>
      <c r="I271" s="86">
        <f>IF(AND(I$66&gt;Koniec_Projekt,I$66&lt;=Koniec),SUM($C270:I270),0)</f>
        <v>0</v>
      </c>
      <c r="J271" s="86">
        <f>IF(AND(J$66&gt;Koniec_Projekt,J$66&lt;=Koniec),SUM($C270:J270),0)</f>
        <v>0</v>
      </c>
      <c r="K271" s="86">
        <f>IF(AND(K$66&gt;Koniec_Projekt,K$66&lt;=Koniec),SUM($C270:K270),0)</f>
        <v>0</v>
      </c>
      <c r="L271" s="86">
        <f>IF(AND(L$66&gt;Koniec_Projekt,L$66&lt;=Koniec),SUM($C270:L270),0)</f>
        <v>0</v>
      </c>
      <c r="M271" s="86">
        <f>IF(AND(M$66&gt;Koniec_Projekt,M$66&lt;=Koniec),SUM($C270:M270),0)</f>
        <v>0</v>
      </c>
      <c r="N271" s="86">
        <f>IF(AND(N$66&gt;Koniec_Projekt,N$66&lt;=Koniec),SUM($C270:N270),0)</f>
        <v>0</v>
      </c>
      <c r="O271" s="86">
        <f>IF(AND(O$66&gt;Koniec_Projekt,O$66&lt;=Koniec),SUM($C270:O270),0)</f>
        <v>0</v>
      </c>
      <c r="P271" s="86">
        <f>IF(AND(P$66&gt;Koniec_Projekt,P$66&lt;=Koniec),SUM($C270:P270),0)</f>
        <v>0</v>
      </c>
    </row>
    <row r="272" spans="2:16">
      <c r="B272" s="87" t="s">
        <v>698</v>
      </c>
      <c r="C272" s="421" t="str">
        <f>IF(AND(C$66&gt;=Poczatek,C$66&lt;=Koniec),IFERROR(IRR($C$268:C$268),"n/d"),IF(OR(C$66&lt;Poczatek,C$66&gt;Koniec),"",0))</f>
        <v/>
      </c>
      <c r="D272" s="421" t="str">
        <f>IF(AND(D$66&gt;=Poczatek,D$66&lt;=Koniec),IFERROR(IRR($C$268:D$268),"n/d"),IF(OR(D$66&lt;Poczatek,D$66&gt;Koniec),"",0))</f>
        <v>n/d</v>
      </c>
      <c r="E272" s="421" t="str">
        <f>IF(AND(E$66&gt;=Poczatek,E$66&lt;=Koniec),IFERROR(IRR($C$268:E$268),"n/d"),IF(OR(E$66&lt;Poczatek,E$66&gt;Koniec),"",0))</f>
        <v>n/d</v>
      </c>
      <c r="F272" s="421" t="str">
        <f>IF(AND(F$66&gt;=Poczatek,F$66&lt;=Koniec),IFERROR(IRR($C$268:F$268),"n/d"),IF(OR(F$66&lt;Poczatek,F$66&gt;Koniec),"",0))</f>
        <v>n/d</v>
      </c>
      <c r="G272" s="421" t="str">
        <f>IF(AND(G$66&gt;=Poczatek,G$66&lt;=Koniec),IFERROR(IRR($C$268:G$268),"n/d"),IF(OR(G$66&lt;Poczatek,G$66&gt;Koniec),"",0))</f>
        <v>n/d</v>
      </c>
      <c r="H272" s="421" t="str">
        <f>IF(AND(H$66&gt;=Poczatek,H$66&lt;=Koniec),IFERROR(IRR($C$268:H$268),"n/d"),IF(OR(H$66&lt;Poczatek,H$66&gt;Koniec),"",0))</f>
        <v>n/d</v>
      </c>
      <c r="I272" s="421" t="str">
        <f>IF(AND(I$66&gt;=Poczatek,I$66&lt;=Koniec),IFERROR(IRR($C$268:I$268),"n/d"),IF(OR(I$66&lt;Poczatek,I$66&gt;Koniec),"",0))</f>
        <v>n/d</v>
      </c>
      <c r="J272" s="421" t="str">
        <f>IF(AND(J$66&gt;=Poczatek,J$66&lt;=Koniec),IFERROR(IRR($C$268:J$268),"n/d"),IF(OR(J$66&lt;Poczatek,J$66&gt;Koniec),"",0))</f>
        <v>n/d</v>
      </c>
      <c r="K272" s="421" t="str">
        <f>IF(AND(K$66&gt;=Poczatek,K$66&lt;=Koniec),IFERROR(IRR($C$268:K$268),"n/d"),IF(OR(K$66&lt;Poczatek,K$66&gt;Koniec),"",0))</f>
        <v>n/d</v>
      </c>
      <c r="L272" s="421" t="str">
        <f>IF(AND(L$66&gt;=Poczatek,L$66&lt;=Koniec),IFERROR(IRR($C$268:L$268),"n/d"),IF(OR(L$66&lt;Poczatek,L$66&gt;Koniec),"",0))</f>
        <v>n/d</v>
      </c>
      <c r="M272" s="421" t="str">
        <f>IF(AND(M$66&gt;=Poczatek,M$66&lt;=Koniec),IFERROR(IRR($C$268:M$268),"n/d"),IF(OR(M$66&lt;Poczatek,M$66&gt;Koniec),"",0))</f>
        <v>n/d</v>
      </c>
      <c r="N272" s="421" t="str">
        <f>IF(AND(N$66&gt;=Poczatek,N$66&lt;=Koniec),IFERROR(IRR($C$268:N$268),"n/d"),IF(OR(N$66&lt;Poczatek,N$66&gt;Koniec),"",0))</f>
        <v>n/d</v>
      </c>
      <c r="O272" s="421" t="str">
        <f>IF(AND(O$66&gt;=Poczatek,O$66&lt;=Koniec),IFERROR(IRR($C$268:O$268),"n/d"),IF(OR(O$66&lt;Poczatek,O$66&gt;Koniec),"",0))</f>
        <v>n/d</v>
      </c>
      <c r="P272" s="421" t="str">
        <f>IF(AND(P$66&gt;=Poczatek,P$66&lt;=Koniec),IFERROR(IRR($C$268:P$268),"n/d"),IF(OR(P$66&lt;Poczatek,P$66&gt;Koniec),"",0))</f>
        <v>n/d</v>
      </c>
    </row>
    <row r="273" spans="2:16" ht="3.9" customHeight="1"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2:16">
      <c r="B274" s="422" t="s">
        <v>774</v>
      </c>
      <c r="C274" s="525" t="str">
        <f>C266</f>
        <v>Uzupełnij dane</v>
      </c>
      <c r="D274" s="525" t="str">
        <f t="shared" ref="D274:P274" si="134">D266</f>
        <v/>
      </c>
      <c r="E274" s="525" t="str">
        <f t="shared" si="134"/>
        <v/>
      </c>
      <c r="F274" s="525" t="str">
        <f t="shared" si="134"/>
        <v/>
      </c>
      <c r="G274" s="525" t="str">
        <f t="shared" si="134"/>
        <v/>
      </c>
      <c r="H274" s="525" t="str">
        <f t="shared" si="134"/>
        <v/>
      </c>
      <c r="I274" s="525" t="str">
        <f t="shared" si="134"/>
        <v/>
      </c>
      <c r="J274" s="525" t="str">
        <f t="shared" si="134"/>
        <v/>
      </c>
      <c r="K274" s="525" t="str">
        <f t="shared" si="134"/>
        <v/>
      </c>
      <c r="L274" s="525" t="str">
        <f t="shared" si="134"/>
        <v/>
      </c>
      <c r="M274" s="525" t="str">
        <f t="shared" si="134"/>
        <v/>
      </c>
      <c r="N274" s="525" t="str">
        <f t="shared" si="134"/>
        <v/>
      </c>
      <c r="O274" s="525" t="str">
        <f t="shared" si="134"/>
        <v/>
      </c>
      <c r="P274" s="525" t="str">
        <f t="shared" si="134"/>
        <v/>
      </c>
    </row>
    <row r="275" spans="2:16" ht="3.9" customHeight="1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2:16">
      <c r="B276" s="87" t="s">
        <v>663</v>
      </c>
      <c r="C276" s="86">
        <f>C256-C257-C259+C260+C261</f>
        <v>0</v>
      </c>
      <c r="D276" s="86">
        <f t="shared" ref="D276:P276" ca="1" si="135">D256-D257-D259+D260+D261</f>
        <v>0</v>
      </c>
      <c r="E276" s="86">
        <f t="shared" ca="1" si="135"/>
        <v>0</v>
      </c>
      <c r="F276" s="86">
        <f t="shared" ca="1" si="135"/>
        <v>0</v>
      </c>
      <c r="G276" s="86">
        <f t="shared" ca="1" si="135"/>
        <v>0</v>
      </c>
      <c r="H276" s="86">
        <f t="shared" ca="1" si="135"/>
        <v>0</v>
      </c>
      <c r="I276" s="86">
        <f t="shared" ca="1" si="135"/>
        <v>0</v>
      </c>
      <c r="J276" s="86">
        <f t="shared" ca="1" si="135"/>
        <v>0</v>
      </c>
      <c r="K276" s="86">
        <f t="shared" ca="1" si="135"/>
        <v>0</v>
      </c>
      <c r="L276" s="86">
        <f t="shared" ca="1" si="135"/>
        <v>0</v>
      </c>
      <c r="M276" s="86">
        <f t="shared" ca="1" si="135"/>
        <v>0</v>
      </c>
      <c r="N276" s="86">
        <f t="shared" ca="1" si="135"/>
        <v>0</v>
      </c>
      <c r="O276" s="86">
        <f t="shared" ca="1" si="135"/>
        <v>0</v>
      </c>
      <c r="P276" s="86">
        <f t="shared" ca="1" si="135"/>
        <v>0</v>
      </c>
    </row>
    <row r="277" spans="2:16">
      <c r="B277" s="87" t="s">
        <v>695</v>
      </c>
      <c r="C277" s="86">
        <f>IF(AND(C$66&gt;=Poczatek,C$66&lt;=Koniec),C276,0)</f>
        <v>0</v>
      </c>
      <c r="D277" s="86">
        <f t="shared" ref="D277" ca="1" si="136">IF(AND(D$66&gt;=Poczatek,D$66&lt;=Koniec),(C277+D276),0)</f>
        <v>0</v>
      </c>
      <c r="E277" s="86">
        <f t="shared" ref="E277" ca="1" si="137">IF(AND(E$66&gt;=Poczatek,E$66&lt;=Koniec),(D277+E276),0)</f>
        <v>0</v>
      </c>
      <c r="F277" s="86">
        <f t="shared" ref="F277" ca="1" si="138">IF(AND(F$66&gt;=Poczatek,F$66&lt;=Koniec),(E277+F276),0)</f>
        <v>0</v>
      </c>
      <c r="G277" s="86">
        <f t="shared" ref="G277" ca="1" si="139">IF(AND(G$66&gt;=Poczatek,G$66&lt;=Koniec),(F277+G276),0)</f>
        <v>0</v>
      </c>
      <c r="H277" s="86">
        <f t="shared" ref="H277" ca="1" si="140">IF(AND(H$66&gt;=Poczatek,H$66&lt;=Koniec),(G277+H276),0)</f>
        <v>0</v>
      </c>
      <c r="I277" s="86">
        <f t="shared" ref="I277" ca="1" si="141">IF(AND(I$66&gt;=Poczatek,I$66&lt;=Koniec),(H277+I276),0)</f>
        <v>0</v>
      </c>
      <c r="J277" s="86">
        <f t="shared" ref="J277" ca="1" si="142">IF(AND(J$66&gt;=Poczatek,J$66&lt;=Koniec),(I277+J276),0)</f>
        <v>0</v>
      </c>
      <c r="K277" s="86">
        <f t="shared" ref="K277" ca="1" si="143">IF(AND(K$66&gt;=Poczatek,K$66&lt;=Koniec),(J277+K276),0)</f>
        <v>0</v>
      </c>
      <c r="L277" s="86">
        <f t="shared" ref="L277" ca="1" si="144">IF(AND(L$66&gt;=Poczatek,L$66&lt;=Koniec),(K277+L276),0)</f>
        <v>0</v>
      </c>
      <c r="M277" s="86">
        <f t="shared" ref="M277" ca="1" si="145">IF(AND(M$66&gt;=Poczatek,M$66&lt;=Koniec),(L277+M276),0)</f>
        <v>0</v>
      </c>
      <c r="N277" s="86">
        <f t="shared" ref="N277" ca="1" si="146">IF(AND(N$66&gt;=Poczatek,N$66&lt;=Koniec),(M277+N276),0)</f>
        <v>0</v>
      </c>
      <c r="O277" s="86">
        <f t="shared" ref="O277" ca="1" si="147">IF(AND(O$66&gt;=Poczatek,O$66&lt;=Koniec),(N277+O276),0)</f>
        <v>0</v>
      </c>
      <c r="P277" s="86">
        <f t="shared" ref="P277" ca="1" si="148">IF(AND(P$66&gt;=Poczatek,P$66&lt;=Koniec),(O277+P276),0)</f>
        <v>0</v>
      </c>
    </row>
    <row r="278" spans="2:16">
      <c r="B278" s="87" t="s">
        <v>664</v>
      </c>
      <c r="C278" s="86">
        <f t="shared" ref="C278:P278" si="149">IFERROR(ROUND(C264*C276,0),0)</f>
        <v>0</v>
      </c>
      <c r="D278" s="86">
        <f t="shared" ca="1" si="149"/>
        <v>0</v>
      </c>
      <c r="E278" s="86">
        <f t="shared" ca="1" si="149"/>
        <v>0</v>
      </c>
      <c r="F278" s="86">
        <f t="shared" ca="1" si="149"/>
        <v>0</v>
      </c>
      <c r="G278" s="86">
        <f t="shared" ca="1" si="149"/>
        <v>0</v>
      </c>
      <c r="H278" s="86">
        <f t="shared" ca="1" si="149"/>
        <v>0</v>
      </c>
      <c r="I278" s="86">
        <f t="shared" ca="1" si="149"/>
        <v>0</v>
      </c>
      <c r="J278" s="86">
        <f t="shared" ca="1" si="149"/>
        <v>0</v>
      </c>
      <c r="K278" s="86">
        <f t="shared" ca="1" si="149"/>
        <v>0</v>
      </c>
      <c r="L278" s="86">
        <f t="shared" ca="1" si="149"/>
        <v>0</v>
      </c>
      <c r="M278" s="86">
        <f t="shared" ca="1" si="149"/>
        <v>0</v>
      </c>
      <c r="N278" s="86">
        <f t="shared" ca="1" si="149"/>
        <v>0</v>
      </c>
      <c r="O278" s="86">
        <f t="shared" ca="1" si="149"/>
        <v>0</v>
      </c>
      <c r="P278" s="86">
        <f t="shared" ca="1" si="149"/>
        <v>0</v>
      </c>
    </row>
    <row r="279" spans="2:16">
      <c r="B279" s="87" t="s">
        <v>694</v>
      </c>
      <c r="C279" s="86">
        <f>IF(AND(C$66&gt;Koniec_Projekt,C$66&lt;=Koniec),C278,0)</f>
        <v>0</v>
      </c>
      <c r="D279" s="86">
        <f>IF(AND(D$66&gt;Koniec_Projekt,D$66&lt;=Koniec),SUM($C278:D278),0)</f>
        <v>0</v>
      </c>
      <c r="E279" s="86">
        <f>IF(AND(E$66&gt;Koniec_Projekt,E$66&lt;=Koniec),SUM($C278:E278),0)</f>
        <v>0</v>
      </c>
      <c r="F279" s="86">
        <f>IF(AND(F$66&gt;Koniec_Projekt,F$66&lt;=Koniec),SUM($C278:F278),0)</f>
        <v>0</v>
      </c>
      <c r="G279" s="86">
        <f>IF(AND(G$66&gt;Koniec_Projekt,G$66&lt;=Koniec),SUM($C278:G278),0)</f>
        <v>0</v>
      </c>
      <c r="H279" s="86">
        <f>IF(AND(H$66&gt;Koniec_Projekt,H$66&lt;=Koniec),SUM($C278:H278),0)</f>
        <v>0</v>
      </c>
      <c r="I279" s="86">
        <f>IF(AND(I$66&gt;Koniec_Projekt,I$66&lt;=Koniec),SUM($C278:I278),0)</f>
        <v>0</v>
      </c>
      <c r="J279" s="86">
        <f>IF(AND(J$66&gt;Koniec_Projekt,J$66&lt;=Koniec),SUM($C278:J278),0)</f>
        <v>0</v>
      </c>
      <c r="K279" s="86">
        <f>IF(AND(K$66&gt;Koniec_Projekt,K$66&lt;=Koniec),SUM($C278:K278),0)</f>
        <v>0</v>
      </c>
      <c r="L279" s="86">
        <f>IF(AND(L$66&gt;Koniec_Projekt,L$66&lt;=Koniec),SUM($C278:L278),0)</f>
        <v>0</v>
      </c>
      <c r="M279" s="86">
        <f>IF(AND(M$66&gt;Koniec_Projekt,M$66&lt;=Koniec),SUM($C278:M278),0)</f>
        <v>0</v>
      </c>
      <c r="N279" s="86">
        <f>IF(AND(N$66&gt;Koniec_Projekt,N$66&lt;=Koniec),SUM($C278:N278),0)</f>
        <v>0</v>
      </c>
      <c r="O279" s="86">
        <f>IF(AND(O$66&gt;Koniec_Projekt,O$66&lt;=Koniec),SUM($C278:O278),0)</f>
        <v>0</v>
      </c>
      <c r="P279" s="86">
        <f>IF(AND(P$66&gt;Koniec_Projekt,P$66&lt;=Koniec),SUM($C278:P278),0)</f>
        <v>0</v>
      </c>
    </row>
    <row r="280" spans="2:16">
      <c r="B280" s="87" t="s">
        <v>665</v>
      </c>
      <c r="C280" s="421" t="str">
        <f>IF(AND(C$66&gt;=Poczatek,C$66&lt;=Koniec),IFERROR(IRR($C$276:C276),"n/d"),IF(OR(C$66&lt;Poczatek,C$66&gt;Koniec),"",0))</f>
        <v/>
      </c>
      <c r="D280" s="421" t="str">
        <f ca="1">IF(AND(D$66&gt;=Poczatek,D$66&lt;=Koniec),IFERROR(IRR($C$276:D276),"n/d"),IF(OR(D$66&lt;Poczatek,D$66&gt;Koniec),"",0))</f>
        <v>n/d</v>
      </c>
      <c r="E280" s="421" t="str">
        <f ca="1">IF(AND(E$66&gt;=Poczatek,E$66&lt;=Koniec),IFERROR(IRR($C$276:E276),"n/d"),IF(OR(E$66&lt;Poczatek,E$66&gt;Koniec),"",0))</f>
        <v>n/d</v>
      </c>
      <c r="F280" s="421" t="str">
        <f ca="1">IF(AND(F$66&gt;=Poczatek,F$66&lt;=Koniec),IFERROR(IRR($C$276:F276),"n/d"),IF(OR(F$66&lt;Poczatek,F$66&gt;Koniec),"",0))</f>
        <v>n/d</v>
      </c>
      <c r="G280" s="421" t="str">
        <f ca="1">IF(AND(G$66&gt;=Poczatek,G$66&lt;=Koniec),IFERROR(IRR($C$276:G276),"n/d"),IF(OR(G$66&lt;Poczatek,G$66&gt;Koniec),"",0))</f>
        <v>n/d</v>
      </c>
      <c r="H280" s="421" t="str">
        <f ca="1">IF(AND(H$66&gt;=Poczatek,H$66&lt;=Koniec),IFERROR(IRR($C$276:H276),"n/d"),IF(OR(H$66&lt;Poczatek,H$66&gt;Koniec),"",0))</f>
        <v>n/d</v>
      </c>
      <c r="I280" s="421" t="str">
        <f ca="1">IF(AND(I$66&gt;=Poczatek,I$66&lt;=Koniec),IFERROR(IRR($C$276:I276),"n/d"),IF(OR(I$66&lt;Poczatek,I$66&gt;Koniec),"",0))</f>
        <v>n/d</v>
      </c>
      <c r="J280" s="421" t="str">
        <f ca="1">IF(AND(J$66&gt;=Poczatek,J$66&lt;=Koniec),IFERROR(IRR($C$276:J276),"n/d"),IF(OR(J$66&lt;Poczatek,J$66&gt;Koniec),"",0))</f>
        <v>n/d</v>
      </c>
      <c r="K280" s="421" t="str">
        <f ca="1">IF(AND(K$66&gt;=Poczatek,K$66&lt;=Koniec),IFERROR(IRR($C$276:K276),"n/d"),IF(OR(K$66&lt;Poczatek,K$66&gt;Koniec),"",0))</f>
        <v>n/d</v>
      </c>
      <c r="L280" s="421" t="str">
        <f ca="1">IF(AND(L$66&gt;=Poczatek,L$66&lt;=Koniec),IFERROR(IRR($C$276:L276),"n/d"),IF(OR(L$66&lt;Poczatek,L$66&gt;Koniec),"",0))</f>
        <v>n/d</v>
      </c>
      <c r="M280" s="421" t="str">
        <f ca="1">IF(AND(M$66&gt;=Poczatek,M$66&lt;=Koniec),IFERROR(IRR($C$276:M276),"n/d"),IF(OR(M$66&lt;Poczatek,M$66&gt;Koniec),"",0))</f>
        <v>n/d</v>
      </c>
      <c r="N280" s="421" t="str">
        <f ca="1">IF(AND(N$66&gt;=Poczatek,N$66&lt;=Koniec),IFERROR(IRR($C$276:N276),"n/d"),IF(OR(N$66&lt;Poczatek,N$66&gt;Koniec),"",0))</f>
        <v>n/d</v>
      </c>
      <c r="O280" s="421" t="str">
        <f ca="1">IF(AND(O$66&gt;=Poczatek,O$66&lt;=Koniec),IFERROR(IRR($C$276:O276),"n/d"),IF(OR(O$66&lt;Poczatek,O$66&gt;Koniec),"",0))</f>
        <v>n/d</v>
      </c>
      <c r="P280" s="421" t="str">
        <f ca="1">IF(AND(P$66&gt;=Poczatek,P$66&lt;=Koniec),IFERROR(IRR($C$276:P276),"n/d"),IF(OR(P$66&lt;Poczatek,P$66&gt;Koniec),"",0))</f>
        <v>n/d</v>
      </c>
    </row>
    <row r="281" spans="2:16"/>
    <row r="282" spans="2:16" ht="6" customHeight="1">
      <c r="B282" s="366"/>
      <c r="C282" s="366"/>
      <c r="D282" s="366"/>
      <c r="E282" s="366"/>
      <c r="F282" s="366"/>
      <c r="G282" s="366"/>
      <c r="H282" s="366"/>
      <c r="I282" s="366"/>
      <c r="J282" s="366"/>
      <c r="K282" s="366"/>
      <c r="L282" s="366"/>
      <c r="M282" s="366"/>
      <c r="N282" s="366"/>
      <c r="O282" s="366"/>
      <c r="P282" s="366"/>
    </row>
    <row r="283" spans="2:16"/>
    <row r="284" spans="2:16"/>
    <row r="285" spans="2:16">
      <c r="B285" s="367" t="s">
        <v>113</v>
      </c>
      <c r="C285" s="367" t="str">
        <f>C$77</f>
        <v>Uzupełnij dane</v>
      </c>
      <c r="D285" s="367" t="str">
        <f t="shared" ref="D285:P285" si="150">D$77</f>
        <v/>
      </c>
      <c r="E285" s="367" t="str">
        <f t="shared" si="150"/>
        <v/>
      </c>
      <c r="F285" s="367" t="str">
        <f t="shared" si="150"/>
        <v/>
      </c>
      <c r="G285" s="367" t="str">
        <f t="shared" si="150"/>
        <v/>
      </c>
      <c r="H285" s="367" t="str">
        <f t="shared" si="150"/>
        <v/>
      </c>
      <c r="I285" s="367" t="str">
        <f t="shared" si="150"/>
        <v/>
      </c>
      <c r="J285" s="367" t="str">
        <f t="shared" si="150"/>
        <v/>
      </c>
      <c r="K285" s="367" t="str">
        <f t="shared" si="150"/>
        <v/>
      </c>
      <c r="L285" s="367" t="str">
        <f t="shared" si="150"/>
        <v/>
      </c>
      <c r="M285" s="367" t="str">
        <f t="shared" si="150"/>
        <v/>
      </c>
      <c r="N285" s="367" t="str">
        <f t="shared" si="150"/>
        <v/>
      </c>
      <c r="O285" s="367" t="str">
        <f t="shared" si="150"/>
        <v/>
      </c>
      <c r="P285" s="367" t="str">
        <f t="shared" si="150"/>
        <v/>
      </c>
    </row>
    <row r="286" spans="2:16" ht="3.9" customHeight="1"/>
    <row r="287" spans="2:16" ht="12" customHeight="1">
      <c r="B287" s="98" t="s">
        <v>93</v>
      </c>
      <c r="C287" s="97">
        <f t="shared" ref="C287:P287" si="151">SUM(C288:C289)</f>
        <v>0</v>
      </c>
      <c r="D287" s="97">
        <f t="shared" si="151"/>
        <v>0</v>
      </c>
      <c r="E287" s="97">
        <f t="shared" si="151"/>
        <v>0</v>
      </c>
      <c r="F287" s="97">
        <f t="shared" si="151"/>
        <v>0</v>
      </c>
      <c r="G287" s="97">
        <f t="shared" si="151"/>
        <v>0</v>
      </c>
      <c r="H287" s="97">
        <f t="shared" si="151"/>
        <v>0</v>
      </c>
      <c r="I287" s="97">
        <f t="shared" si="151"/>
        <v>0</v>
      </c>
      <c r="J287" s="97">
        <f t="shared" si="151"/>
        <v>0</v>
      </c>
      <c r="K287" s="97">
        <f t="shared" si="151"/>
        <v>0</v>
      </c>
      <c r="L287" s="97">
        <f t="shared" si="151"/>
        <v>0</v>
      </c>
      <c r="M287" s="97">
        <f t="shared" si="151"/>
        <v>0</v>
      </c>
      <c r="N287" s="97">
        <f t="shared" si="151"/>
        <v>0</v>
      </c>
      <c r="O287" s="97">
        <f t="shared" si="151"/>
        <v>0</v>
      </c>
      <c r="P287" s="97">
        <f t="shared" si="151"/>
        <v>0</v>
      </c>
    </row>
    <row r="288" spans="2:16">
      <c r="B288" s="460" t="s">
        <v>95</v>
      </c>
      <c r="C288" s="461">
        <f>C292+C296+C300+C304+C308+C312+C316</f>
        <v>0</v>
      </c>
      <c r="D288" s="461">
        <f t="shared" ref="D288:P288" si="152">D292+D296+D300+D304+D308+D312+D316</f>
        <v>0</v>
      </c>
      <c r="E288" s="461">
        <f t="shared" si="152"/>
        <v>0</v>
      </c>
      <c r="F288" s="461">
        <f t="shared" si="152"/>
        <v>0</v>
      </c>
      <c r="G288" s="461">
        <f t="shared" si="152"/>
        <v>0</v>
      </c>
      <c r="H288" s="461">
        <f t="shared" si="152"/>
        <v>0</v>
      </c>
      <c r="I288" s="461">
        <f t="shared" si="152"/>
        <v>0</v>
      </c>
      <c r="J288" s="461">
        <f t="shared" si="152"/>
        <v>0</v>
      </c>
      <c r="K288" s="462">
        <f t="shared" si="152"/>
        <v>0</v>
      </c>
      <c r="L288" s="462">
        <f t="shared" si="152"/>
        <v>0</v>
      </c>
      <c r="M288" s="462">
        <f t="shared" si="152"/>
        <v>0</v>
      </c>
      <c r="N288" s="462">
        <f t="shared" si="152"/>
        <v>0</v>
      </c>
      <c r="O288" s="462">
        <f t="shared" si="152"/>
        <v>0</v>
      </c>
      <c r="P288" s="462">
        <f t="shared" si="152"/>
        <v>0</v>
      </c>
    </row>
    <row r="289" spans="2:16">
      <c r="B289" s="463" t="s">
        <v>96</v>
      </c>
      <c r="C289" s="464">
        <f>C293+C297+C301+C305+C309+C313+C317</f>
        <v>0</v>
      </c>
      <c r="D289" s="464">
        <f t="shared" ref="D289:P289" si="153">D293+D297+D301+D305+D309+D313+D317</f>
        <v>0</v>
      </c>
      <c r="E289" s="464">
        <f t="shared" si="153"/>
        <v>0</v>
      </c>
      <c r="F289" s="464">
        <f t="shared" si="153"/>
        <v>0</v>
      </c>
      <c r="G289" s="464">
        <f t="shared" si="153"/>
        <v>0</v>
      </c>
      <c r="H289" s="464">
        <f t="shared" si="153"/>
        <v>0</v>
      </c>
      <c r="I289" s="464">
        <f t="shared" si="153"/>
        <v>0</v>
      </c>
      <c r="J289" s="464">
        <f t="shared" si="153"/>
        <v>0</v>
      </c>
      <c r="K289" s="465">
        <f t="shared" si="153"/>
        <v>0</v>
      </c>
      <c r="L289" s="465">
        <f t="shared" si="153"/>
        <v>0</v>
      </c>
      <c r="M289" s="465">
        <f t="shared" si="153"/>
        <v>0</v>
      </c>
      <c r="N289" s="465">
        <f t="shared" si="153"/>
        <v>0</v>
      </c>
      <c r="O289" s="465">
        <f t="shared" si="153"/>
        <v>0</v>
      </c>
      <c r="P289" s="465">
        <f t="shared" si="153"/>
        <v>0</v>
      </c>
    </row>
    <row r="290" spans="2:16" ht="3.9" customHeight="1"/>
    <row r="291" spans="2:16" ht="12" customHeight="1">
      <c r="B291" s="353" t="s">
        <v>94</v>
      </c>
      <c r="C291" s="354">
        <f t="shared" ref="C291:P291" si="154">SUM(C292:C293)</f>
        <v>0</v>
      </c>
      <c r="D291" s="354">
        <f t="shared" si="154"/>
        <v>0</v>
      </c>
      <c r="E291" s="354">
        <f t="shared" si="154"/>
        <v>0</v>
      </c>
      <c r="F291" s="354">
        <f t="shared" si="154"/>
        <v>0</v>
      </c>
      <c r="G291" s="354">
        <f t="shared" si="154"/>
        <v>0</v>
      </c>
      <c r="H291" s="354">
        <f t="shared" si="154"/>
        <v>0</v>
      </c>
      <c r="I291" s="354">
        <f t="shared" si="154"/>
        <v>0</v>
      </c>
      <c r="J291" s="354">
        <f t="shared" si="154"/>
        <v>0</v>
      </c>
      <c r="K291" s="354">
        <f t="shared" si="154"/>
        <v>0</v>
      </c>
      <c r="L291" s="354">
        <f t="shared" si="154"/>
        <v>0</v>
      </c>
      <c r="M291" s="354">
        <f t="shared" si="154"/>
        <v>0</v>
      </c>
      <c r="N291" s="354">
        <f t="shared" si="154"/>
        <v>0</v>
      </c>
      <c r="O291" s="354">
        <f t="shared" si="154"/>
        <v>0</v>
      </c>
      <c r="P291" s="354">
        <f t="shared" si="154"/>
        <v>0</v>
      </c>
    </row>
    <row r="292" spans="2:16" ht="12" customHeight="1">
      <c r="B292" s="355" t="s">
        <v>95</v>
      </c>
      <c r="C292" s="356" cm="1">
        <f t="array" ref="C292">SUMPRODUCT(ISNUMBER(MATCH(mod_st_zpr,$B$285,0))*('Koszty operacyjne'!$K$114:$X$114=Moduły!C$77)*ISNUMBER(MATCH(st_zpr_kw,tak,0)),st_zpr)</f>
        <v>0</v>
      </c>
      <c r="D292" s="356" cm="1">
        <f t="array" ref="D292">SUMPRODUCT(ISNUMBER(MATCH(mod_st_zpr,$B$285,0))*('Koszty operacyjne'!$K$114:$X$114=Moduły!D$77)*ISNUMBER(MATCH(st_zpr_kw,tak,0)),st_zpr)</f>
        <v>0</v>
      </c>
      <c r="E292" s="356" cm="1">
        <f t="array" ref="E292">SUMPRODUCT(ISNUMBER(MATCH(mod_st_zpr,$B$285,0))*('Koszty operacyjne'!$K$114:$X$114=Moduły!E$77)*ISNUMBER(MATCH(st_zpr_kw,tak,0)),st_zpr)</f>
        <v>0</v>
      </c>
      <c r="F292" s="356" cm="1">
        <f t="array" ref="F292">SUMPRODUCT(ISNUMBER(MATCH(mod_st_zpr,$B$285,0))*('Koszty operacyjne'!$K$114:$X$114=Moduły!F$77)*ISNUMBER(MATCH(st_zpr_kw,tak,0)),st_zpr)</f>
        <v>0</v>
      </c>
      <c r="G292" s="356" cm="1">
        <f t="array" ref="G292">SUMPRODUCT(ISNUMBER(MATCH(mod_st_zpr,$B$285,0))*('Koszty operacyjne'!$K$114:$X$114=Moduły!G$77)*ISNUMBER(MATCH(st_zpr_kw,tak,0)),st_zpr)</f>
        <v>0</v>
      </c>
      <c r="H292" s="356" cm="1">
        <f t="array" ref="H292">SUMPRODUCT(ISNUMBER(MATCH(mod_st_zpr,$B$285,0))*('Koszty operacyjne'!$K$114:$X$114=Moduły!H$77)*ISNUMBER(MATCH(st_zpr_kw,tak,0)),st_zpr)</f>
        <v>0</v>
      </c>
      <c r="I292" s="356" cm="1">
        <f t="array" ref="I292">SUMPRODUCT(ISNUMBER(MATCH(mod_st_zpr,$B$285,0))*('Koszty operacyjne'!$K$114:$X$114=Moduły!I$77)*ISNUMBER(MATCH(st_zpr_kw,tak,0)),st_zpr)</f>
        <v>0</v>
      </c>
      <c r="J292" s="356" cm="1">
        <f t="array" ref="J292">SUMPRODUCT(ISNUMBER(MATCH(mod_st_zpr,$B$285,0))*('Koszty operacyjne'!$K$114:$X$114=Moduły!J$77)*ISNUMBER(MATCH(st_zpr_kw,tak,0)),st_zpr)</f>
        <v>0</v>
      </c>
      <c r="K292" s="356" cm="1">
        <f t="array" ref="K292">SUMPRODUCT(ISNUMBER(MATCH(mod_st_zpr,$B$285,0))*('Koszty operacyjne'!$K$114:$X$114=Moduły!K$77)*ISNUMBER(MATCH(st_zpr_kw,tak,0)),st_zpr)</f>
        <v>0</v>
      </c>
      <c r="L292" s="356" cm="1">
        <f t="array" ref="L292">SUMPRODUCT(ISNUMBER(MATCH(mod_st_zpr,$B$285,0))*('Koszty operacyjne'!$K$114:$X$114=Moduły!L$77)*ISNUMBER(MATCH(st_zpr_kw,tak,0)),st_zpr)</f>
        <v>0</v>
      </c>
      <c r="M292" s="356" cm="1">
        <f t="array" ref="M292">SUMPRODUCT(ISNUMBER(MATCH(mod_st_zpr,$B$285,0))*('Koszty operacyjne'!$K$114:$X$114=Moduły!M$77)*ISNUMBER(MATCH(st_zpr_kw,tak,0)),st_zpr)</f>
        <v>0</v>
      </c>
      <c r="N292" s="356" cm="1">
        <f t="array" ref="N292">SUMPRODUCT(ISNUMBER(MATCH(mod_st_zpr,$B$285,0))*('Koszty operacyjne'!$K$114:$X$114=Moduły!N$77)*ISNUMBER(MATCH(st_zpr_kw,tak,0)),st_zpr)</f>
        <v>0</v>
      </c>
      <c r="O292" s="356" cm="1">
        <f t="array" ref="O292">SUMPRODUCT(ISNUMBER(MATCH(mod_st_zpr,$B$285,0))*('Koszty operacyjne'!$K$114:$X$114=Moduły!O$77)*ISNUMBER(MATCH(st_zpr_kw,tak,0)),st_zpr)</f>
        <v>0</v>
      </c>
      <c r="P292" s="356" cm="1">
        <f t="array" ref="P292">SUMPRODUCT(ISNUMBER(MATCH(mod_st_zpr,$B$285,0))*('Koszty operacyjne'!$K$114:$X$114=Moduły!P$77)*ISNUMBER(MATCH(st_zpr_kw,tak,0)),st_zpr)</f>
        <v>0</v>
      </c>
    </row>
    <row r="293" spans="2:16" ht="12" customHeight="1">
      <c r="B293" s="357" t="s">
        <v>96</v>
      </c>
      <c r="C293" s="358" cm="1">
        <f t="array" ref="C293">SUMPRODUCT(ISNUMBER(MATCH(mod_st_zpr,$B$285,0))*('Koszty operacyjne'!$K$114:$X$114=Moduły!C$77)*ISNUMBER(MATCH(st_zpr_kw,nie,0)),st_zpr)</f>
        <v>0</v>
      </c>
      <c r="D293" s="358" cm="1">
        <f t="array" ref="D293">SUMPRODUCT(ISNUMBER(MATCH(mod_st_zpr,$B$285,0))*('Koszty operacyjne'!$K$114:$X$114=Moduły!D$77)*ISNUMBER(MATCH(st_zpr_kw,nie,0)),st_zpr)</f>
        <v>0</v>
      </c>
      <c r="E293" s="358" cm="1">
        <f t="array" ref="E293">SUMPRODUCT(ISNUMBER(MATCH(mod_st_zpr,$B$285,0))*('Koszty operacyjne'!$K$114:$X$114=Moduły!E$77)*ISNUMBER(MATCH(st_zpr_kw,nie,0)),st_zpr)</f>
        <v>0</v>
      </c>
      <c r="F293" s="358" cm="1">
        <f t="array" ref="F293">SUMPRODUCT(ISNUMBER(MATCH(mod_st_zpr,$B$285,0))*('Koszty operacyjne'!$K$114:$X$114=Moduły!F$77)*ISNUMBER(MATCH(st_zpr_kw,nie,0)),st_zpr)</f>
        <v>0</v>
      </c>
      <c r="G293" s="358" cm="1">
        <f t="array" ref="G293">SUMPRODUCT(ISNUMBER(MATCH(mod_st_zpr,$B$285,0))*('Koszty operacyjne'!$K$114:$X$114=Moduły!G$77)*ISNUMBER(MATCH(st_zpr_kw,nie,0)),st_zpr)</f>
        <v>0</v>
      </c>
      <c r="H293" s="358" cm="1">
        <f t="array" ref="H293">SUMPRODUCT(ISNUMBER(MATCH(mod_st_zpr,$B$285,0))*('Koszty operacyjne'!$K$114:$X$114=Moduły!H$77)*ISNUMBER(MATCH(st_zpr_kw,nie,0)),st_zpr)</f>
        <v>0</v>
      </c>
      <c r="I293" s="358" cm="1">
        <f t="array" ref="I293">SUMPRODUCT(ISNUMBER(MATCH(mod_st_zpr,$B$285,0))*('Koszty operacyjne'!$K$114:$X$114=Moduły!I$77)*ISNUMBER(MATCH(st_zpr_kw,nie,0)),st_zpr)</f>
        <v>0</v>
      </c>
      <c r="J293" s="358" cm="1">
        <f t="array" ref="J293">SUMPRODUCT(ISNUMBER(MATCH(mod_st_zpr,$B$285,0))*('Koszty operacyjne'!$K$114:$X$114=Moduły!J$77)*ISNUMBER(MATCH(st_zpr_kw,nie,0)),st_zpr)</f>
        <v>0</v>
      </c>
      <c r="K293" s="359" cm="1">
        <f t="array" ref="K293">SUMPRODUCT(ISNUMBER(MATCH(mod_st_zpr,$B$285,0))*('Koszty operacyjne'!$K$114:$X$114=Moduły!K$77)*ISNUMBER(MATCH(st_zpr_kw,nie,0)),st_zpr)</f>
        <v>0</v>
      </c>
      <c r="L293" s="359" cm="1">
        <f t="array" ref="L293">SUMPRODUCT(ISNUMBER(MATCH(mod_st_zpr,$B$285,0))*('Koszty operacyjne'!$K$114:$X$114=Moduły!L$77)*ISNUMBER(MATCH(st_zpr_kw,nie,0)),st_zpr)</f>
        <v>0</v>
      </c>
      <c r="M293" s="359" cm="1">
        <f t="array" ref="M293">SUMPRODUCT(ISNUMBER(MATCH(mod_st_zpr,$B$285,0))*('Koszty operacyjne'!$K$114:$X$114=Moduły!M$77)*ISNUMBER(MATCH(st_zpr_kw,nie,0)),st_zpr)</f>
        <v>0</v>
      </c>
      <c r="N293" s="359" cm="1">
        <f t="array" ref="N293">SUMPRODUCT(ISNUMBER(MATCH(mod_st_zpr,$B$285,0))*('Koszty operacyjne'!$K$114:$X$114=Moduły!N$77)*ISNUMBER(MATCH(st_zpr_kw,nie,0)),st_zpr)</f>
        <v>0</v>
      </c>
      <c r="O293" s="359" cm="1">
        <f t="array" ref="O293">SUMPRODUCT(ISNUMBER(MATCH(mod_st_zpr,$B$285,0))*('Koszty operacyjne'!$K$114:$X$114=Moduły!O$77)*ISNUMBER(MATCH(st_zpr_kw,nie,0)),st_zpr)</f>
        <v>0</v>
      </c>
      <c r="P293" s="359" cm="1">
        <f t="array" ref="P293">SUMPRODUCT(ISNUMBER(MATCH(mod_st_zpr,$B$285,0))*('Koszty operacyjne'!$K$114:$X$114=Moduły!P$77)*ISNUMBER(MATCH(st_zpr_kw,nie,0)),st_zpr)</f>
        <v>0</v>
      </c>
    </row>
    <row r="294" spans="2:16" ht="3.9" customHeight="1">
      <c r="B294" s="360"/>
      <c r="C294" s="361"/>
      <c r="D294" s="361"/>
      <c r="E294" s="361"/>
      <c r="F294" s="361"/>
      <c r="G294" s="361"/>
      <c r="H294" s="361"/>
      <c r="I294" s="361"/>
      <c r="J294" s="361"/>
      <c r="K294" s="362"/>
      <c r="L294" s="362"/>
      <c r="M294" s="362"/>
      <c r="N294" s="362"/>
      <c r="O294" s="362"/>
      <c r="P294" s="362"/>
    </row>
    <row r="295" spans="2:16" ht="12" customHeight="1">
      <c r="B295" s="353" t="s">
        <v>97</v>
      </c>
      <c r="C295" s="354">
        <f t="shared" ref="C295:P295" si="155">SUM(C296:C297)</f>
        <v>0</v>
      </c>
      <c r="D295" s="354">
        <f t="shared" si="155"/>
        <v>0</v>
      </c>
      <c r="E295" s="354">
        <f t="shared" si="155"/>
        <v>0</v>
      </c>
      <c r="F295" s="354">
        <f t="shared" si="155"/>
        <v>0</v>
      </c>
      <c r="G295" s="354">
        <f t="shared" si="155"/>
        <v>0</v>
      </c>
      <c r="H295" s="354">
        <f t="shared" si="155"/>
        <v>0</v>
      </c>
      <c r="I295" s="354">
        <f t="shared" si="155"/>
        <v>0</v>
      </c>
      <c r="J295" s="354">
        <f t="shared" si="155"/>
        <v>0</v>
      </c>
      <c r="K295" s="354">
        <f t="shared" si="155"/>
        <v>0</v>
      </c>
      <c r="L295" s="354">
        <f t="shared" si="155"/>
        <v>0</v>
      </c>
      <c r="M295" s="354">
        <f t="shared" si="155"/>
        <v>0</v>
      </c>
      <c r="N295" s="354">
        <f t="shared" si="155"/>
        <v>0</v>
      </c>
      <c r="O295" s="354">
        <f t="shared" si="155"/>
        <v>0</v>
      </c>
      <c r="P295" s="354">
        <f t="shared" si="155"/>
        <v>0</v>
      </c>
    </row>
    <row r="296" spans="2:16" ht="12" customHeight="1">
      <c r="B296" s="355" t="s">
        <v>95</v>
      </c>
      <c r="C296" s="356" cm="1">
        <f t="array" ref="C296">SUMPRODUCT(ISNUMBER(MATCH(mod_st_wnp,$B$285,0))*('Koszty operacyjne'!$K$114:$X$114=Moduły!C$77)*ISNUMBER(MATCH(st_wnp_kw,tak,0)),st_wnp)</f>
        <v>0</v>
      </c>
      <c r="D296" s="356" cm="1">
        <f t="array" ref="D296">SUMPRODUCT(ISNUMBER(MATCH(mod_st_wnp,$B$285,0))*('Koszty operacyjne'!$K$114:$X$114=Moduły!D$77)*ISNUMBER(MATCH(st_wnp_kw,tak,0)),st_wnp)</f>
        <v>0</v>
      </c>
      <c r="E296" s="356" cm="1">
        <f t="array" ref="E296">SUMPRODUCT(ISNUMBER(MATCH(mod_st_wnp,$B$285,0))*('Koszty operacyjne'!$K$114:$X$114=Moduły!E$77)*ISNUMBER(MATCH(st_wnp_kw,tak,0)),st_wnp)</f>
        <v>0</v>
      </c>
      <c r="F296" s="356" cm="1">
        <f t="array" ref="F296">SUMPRODUCT(ISNUMBER(MATCH(mod_st_wnp,$B$285,0))*('Koszty operacyjne'!$K$114:$X$114=Moduły!F$77)*ISNUMBER(MATCH(st_wnp_kw,tak,0)),st_wnp)</f>
        <v>0</v>
      </c>
      <c r="G296" s="356" cm="1">
        <f t="array" ref="G296">SUMPRODUCT(ISNUMBER(MATCH(mod_st_wnp,$B$285,0))*('Koszty operacyjne'!$K$114:$X$114=Moduły!G$77)*ISNUMBER(MATCH(st_wnp_kw,tak,0)),st_wnp)</f>
        <v>0</v>
      </c>
      <c r="H296" s="356" cm="1">
        <f t="array" ref="H296">SUMPRODUCT(ISNUMBER(MATCH(mod_st_wnp,$B$285,0))*('Koszty operacyjne'!$K$114:$X$114=Moduły!H$77)*ISNUMBER(MATCH(st_wnp_kw,tak,0)),st_wnp)</f>
        <v>0</v>
      </c>
      <c r="I296" s="356" cm="1">
        <f t="array" ref="I296">SUMPRODUCT(ISNUMBER(MATCH(mod_st_wnp,$B$285,0))*('Koszty operacyjne'!$K$114:$X$114=Moduły!I$77)*ISNUMBER(MATCH(st_wnp_kw,tak,0)),st_wnp)</f>
        <v>0</v>
      </c>
      <c r="J296" s="356" cm="1">
        <f t="array" ref="J296">SUMPRODUCT(ISNUMBER(MATCH(mod_st_wnp,$B$285,0))*('Koszty operacyjne'!$K$114:$X$114=Moduły!J$77)*ISNUMBER(MATCH(st_wnp_kw,tak,0)),st_wnp)</f>
        <v>0</v>
      </c>
      <c r="K296" s="356" cm="1">
        <f t="array" ref="K296">SUMPRODUCT(ISNUMBER(MATCH(mod_st_wnp,$B$285,0))*('Koszty operacyjne'!$K$114:$X$114=Moduły!K$77)*ISNUMBER(MATCH(st_wnp_kw,tak,0)),st_wnp)</f>
        <v>0</v>
      </c>
      <c r="L296" s="356" cm="1">
        <f t="array" ref="L296">SUMPRODUCT(ISNUMBER(MATCH(mod_st_wnp,$B$285,0))*('Koszty operacyjne'!$K$114:$X$114=Moduły!L$77)*ISNUMBER(MATCH(st_wnp_kw,tak,0)),st_wnp)</f>
        <v>0</v>
      </c>
      <c r="M296" s="356" cm="1">
        <f t="array" ref="M296">SUMPRODUCT(ISNUMBER(MATCH(mod_st_wnp,$B$285,0))*('Koszty operacyjne'!$K$114:$X$114=Moduły!M$77)*ISNUMBER(MATCH(st_wnp_kw,tak,0)),st_wnp)</f>
        <v>0</v>
      </c>
      <c r="N296" s="356" cm="1">
        <f t="array" ref="N296">SUMPRODUCT(ISNUMBER(MATCH(mod_st_wnp,$B$285,0))*('Koszty operacyjne'!$K$114:$X$114=Moduły!N$77)*ISNUMBER(MATCH(st_wnp_kw,tak,0)),st_wnp)</f>
        <v>0</v>
      </c>
      <c r="O296" s="356" cm="1">
        <f t="array" ref="O296">SUMPRODUCT(ISNUMBER(MATCH(mod_st_wnp,$B$285,0))*('Koszty operacyjne'!$K$114:$X$114=Moduły!O$77)*ISNUMBER(MATCH(st_wnp_kw,tak,0)),st_wnp)</f>
        <v>0</v>
      </c>
      <c r="P296" s="356" cm="1">
        <f t="array" ref="P296">SUMPRODUCT(ISNUMBER(MATCH(mod_st_wnp,$B$285,0))*('Koszty operacyjne'!$K$114:$X$114=Moduły!P$77)*ISNUMBER(MATCH(st_wnp_kw,tak,0)),st_wnp)</f>
        <v>0</v>
      </c>
    </row>
    <row r="297" spans="2:16" ht="12" customHeight="1">
      <c r="B297" s="357" t="s">
        <v>96</v>
      </c>
      <c r="C297" s="358" cm="1">
        <f t="array" ref="C297">SUMPRODUCT(ISNUMBER(MATCH(mod_st_wnp,$B$285,0))*('Koszty operacyjne'!$K$114:$X$114=Moduły!C$77)*ISNUMBER(MATCH(st_wnp_kw,nie,0)),st_wnp)</f>
        <v>0</v>
      </c>
      <c r="D297" s="358" cm="1">
        <f t="array" ref="D297">SUMPRODUCT(ISNUMBER(MATCH(mod_st_wnp,$B$285,0))*('Koszty operacyjne'!$K$114:$X$114=Moduły!D$77)*ISNUMBER(MATCH(st_wnp_kw,nie,0)),st_wnp)</f>
        <v>0</v>
      </c>
      <c r="E297" s="358" cm="1">
        <f t="array" ref="E297">SUMPRODUCT(ISNUMBER(MATCH(mod_st_wnp,$B$285,0))*('Koszty operacyjne'!$K$114:$X$114=Moduły!E$77)*ISNUMBER(MATCH(st_wnp_kw,nie,0)),st_wnp)</f>
        <v>0</v>
      </c>
      <c r="F297" s="358" cm="1">
        <f t="array" ref="F297">SUMPRODUCT(ISNUMBER(MATCH(mod_st_wnp,$B$285,0))*('Koszty operacyjne'!$K$114:$X$114=Moduły!F$77)*ISNUMBER(MATCH(st_wnp_kw,nie,0)),st_wnp)</f>
        <v>0</v>
      </c>
      <c r="G297" s="358" cm="1">
        <f t="array" ref="G297">SUMPRODUCT(ISNUMBER(MATCH(mod_st_wnp,$B$285,0))*('Koszty operacyjne'!$K$114:$X$114=Moduły!G$77)*ISNUMBER(MATCH(st_wnp_kw,nie,0)),st_wnp)</f>
        <v>0</v>
      </c>
      <c r="H297" s="358" cm="1">
        <f t="array" ref="H297">SUMPRODUCT(ISNUMBER(MATCH(mod_st_wnp,$B$285,0))*('Koszty operacyjne'!$K$114:$X$114=Moduły!H$77)*ISNUMBER(MATCH(st_wnp_kw,nie,0)),st_wnp)</f>
        <v>0</v>
      </c>
      <c r="I297" s="358" cm="1">
        <f t="array" ref="I297">SUMPRODUCT(ISNUMBER(MATCH(mod_st_wnp,$B$285,0))*('Koszty operacyjne'!$K$114:$X$114=Moduły!I$77)*ISNUMBER(MATCH(st_wnp_kw,nie,0)),st_wnp)</f>
        <v>0</v>
      </c>
      <c r="J297" s="358" cm="1">
        <f t="array" ref="J297">SUMPRODUCT(ISNUMBER(MATCH(mod_st_wnp,$B$285,0))*('Koszty operacyjne'!$K$114:$X$114=Moduły!J$77)*ISNUMBER(MATCH(st_wnp_kw,nie,0)),st_wnp)</f>
        <v>0</v>
      </c>
      <c r="K297" s="359" cm="1">
        <f t="array" ref="K297">SUMPRODUCT(ISNUMBER(MATCH(mod_st_wnp,$B$285,0))*('Koszty operacyjne'!$K$114:$X$114=Moduły!K$77)*ISNUMBER(MATCH(st_wnp_kw,nie,0)),st_wnp)</f>
        <v>0</v>
      </c>
      <c r="L297" s="359" cm="1">
        <f t="array" ref="L297">SUMPRODUCT(ISNUMBER(MATCH(mod_st_wnp,$B$285,0))*('Koszty operacyjne'!$K$114:$X$114=Moduły!L$77)*ISNUMBER(MATCH(st_wnp_kw,nie,0)),st_wnp)</f>
        <v>0</v>
      </c>
      <c r="M297" s="359" cm="1">
        <f t="array" ref="M297">SUMPRODUCT(ISNUMBER(MATCH(mod_st_wnp,$B$285,0))*('Koszty operacyjne'!$K$114:$X$114=Moduły!M$77)*ISNUMBER(MATCH(st_wnp_kw,nie,0)),st_wnp)</f>
        <v>0</v>
      </c>
      <c r="N297" s="359" cm="1">
        <f t="array" ref="N297">SUMPRODUCT(ISNUMBER(MATCH(mod_st_wnp,$B$285,0))*('Koszty operacyjne'!$K$114:$X$114=Moduły!N$77)*ISNUMBER(MATCH(st_wnp_kw,nie,0)),st_wnp)</f>
        <v>0</v>
      </c>
      <c r="O297" s="359" cm="1">
        <f t="array" ref="O297">SUMPRODUCT(ISNUMBER(MATCH(mod_st_wnp,$B$285,0))*('Koszty operacyjne'!$K$114:$X$114=Moduły!O$77)*ISNUMBER(MATCH(st_wnp_kw,nie,0)),st_wnp)</f>
        <v>0</v>
      </c>
      <c r="P297" s="359" cm="1">
        <f t="array" ref="P297">SUMPRODUCT(ISNUMBER(MATCH(mod_st_wnp,$B$285,0))*('Koszty operacyjne'!$K$114:$X$114=Moduły!P$77)*ISNUMBER(MATCH(st_wnp_kw,nie,0)),st_wnp)</f>
        <v>0</v>
      </c>
    </row>
    <row r="298" spans="2:16" ht="3.9" customHeight="1">
      <c r="B298" s="8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98</v>
      </c>
      <c r="C299" s="354">
        <f t="shared" ref="C299:P299" si="156">SUM(C300:C301)</f>
        <v>0</v>
      </c>
      <c r="D299" s="354">
        <f t="shared" si="156"/>
        <v>0</v>
      </c>
      <c r="E299" s="354">
        <f t="shared" si="156"/>
        <v>0</v>
      </c>
      <c r="F299" s="354">
        <f t="shared" si="156"/>
        <v>0</v>
      </c>
      <c r="G299" s="354">
        <f t="shared" si="156"/>
        <v>0</v>
      </c>
      <c r="H299" s="354">
        <f t="shared" si="156"/>
        <v>0</v>
      </c>
      <c r="I299" s="354">
        <f t="shared" si="156"/>
        <v>0</v>
      </c>
      <c r="J299" s="354">
        <f t="shared" si="156"/>
        <v>0</v>
      </c>
      <c r="K299" s="354">
        <f t="shared" si="156"/>
        <v>0</v>
      </c>
      <c r="L299" s="354">
        <f t="shared" si="156"/>
        <v>0</v>
      </c>
      <c r="M299" s="354">
        <f t="shared" si="156"/>
        <v>0</v>
      </c>
      <c r="N299" s="354">
        <f t="shared" si="156"/>
        <v>0</v>
      </c>
      <c r="O299" s="354">
        <f t="shared" si="156"/>
        <v>0</v>
      </c>
      <c r="P299" s="354">
        <f t="shared" si="156"/>
        <v>0</v>
      </c>
    </row>
    <row r="300" spans="2:16" ht="12" customHeight="1">
      <c r="B300" s="355" t="s">
        <v>95</v>
      </c>
      <c r="C300" s="356" cm="1">
        <f t="array" ref="C300">SUMPRODUCT(ISNUMBER(MATCH(mod_st_gry,$B$285,0))*('Koszty operacyjne'!$K$114:$X$114=Moduły!C$77)*ISNUMBER(MATCH(st_gry_kw,tak,0)),st_gry)</f>
        <v>0</v>
      </c>
      <c r="D300" s="356" cm="1">
        <f t="array" ref="D300">SUMPRODUCT(ISNUMBER(MATCH(mod_st_gry,$B$285,0))*('Koszty operacyjne'!$K$114:$X$114=Moduły!D$77)*ISNUMBER(MATCH(st_gry_kw,tak,0)),st_gry)</f>
        <v>0</v>
      </c>
      <c r="E300" s="356" cm="1">
        <f t="array" ref="E300">SUMPRODUCT(ISNUMBER(MATCH(mod_st_gry,$B$285,0))*('Koszty operacyjne'!$K$114:$X$114=Moduły!E$77)*ISNUMBER(MATCH(st_gry_kw,tak,0)),st_gry)</f>
        <v>0</v>
      </c>
      <c r="F300" s="356" cm="1">
        <f t="array" ref="F300">SUMPRODUCT(ISNUMBER(MATCH(mod_st_gry,$B$285,0))*('Koszty operacyjne'!$K$114:$X$114=Moduły!F$77)*ISNUMBER(MATCH(st_gry_kw,tak,0)),st_gry)</f>
        <v>0</v>
      </c>
      <c r="G300" s="356" cm="1">
        <f t="array" ref="G300">SUMPRODUCT(ISNUMBER(MATCH(mod_st_gry,$B$285,0))*('Koszty operacyjne'!$K$114:$X$114=Moduły!G$77)*ISNUMBER(MATCH(st_gry_kw,tak,0)),st_gry)</f>
        <v>0</v>
      </c>
      <c r="H300" s="356" cm="1">
        <f t="array" ref="H300">SUMPRODUCT(ISNUMBER(MATCH(mod_st_gry,$B$285,0))*('Koszty operacyjne'!$K$114:$X$114=Moduły!H$77)*ISNUMBER(MATCH(st_gry_kw,tak,0)),st_gry)</f>
        <v>0</v>
      </c>
      <c r="I300" s="356" cm="1">
        <f t="array" ref="I300">SUMPRODUCT(ISNUMBER(MATCH(mod_st_gry,$B$285,0))*('Koszty operacyjne'!$K$114:$X$114=Moduły!I$77)*ISNUMBER(MATCH(st_gry_kw,tak,0)),st_gry)</f>
        <v>0</v>
      </c>
      <c r="J300" s="356" cm="1">
        <f t="array" ref="J300">SUMPRODUCT(ISNUMBER(MATCH(mod_st_gry,$B$285,0))*('Koszty operacyjne'!$K$114:$X$114=Moduły!J$77)*ISNUMBER(MATCH(st_gry_kw,tak,0)),st_gry)</f>
        <v>0</v>
      </c>
      <c r="K300" s="356" cm="1">
        <f t="array" ref="K300">SUMPRODUCT(ISNUMBER(MATCH(mod_st_gry,$B$285,0))*('Koszty operacyjne'!$K$114:$X$114=Moduły!K$77)*ISNUMBER(MATCH(st_gry_kw,tak,0)),st_gry)</f>
        <v>0</v>
      </c>
      <c r="L300" s="356" cm="1">
        <f t="array" ref="L300">SUMPRODUCT(ISNUMBER(MATCH(mod_st_gry,$B$285,0))*('Koszty operacyjne'!$K$114:$X$114=Moduły!L$77)*ISNUMBER(MATCH(st_gry_kw,tak,0)),st_gry)</f>
        <v>0</v>
      </c>
      <c r="M300" s="356" cm="1">
        <f t="array" ref="M300">SUMPRODUCT(ISNUMBER(MATCH(mod_st_gry,$B$285,0))*('Koszty operacyjne'!$K$114:$X$114=Moduły!M$77)*ISNUMBER(MATCH(st_gry_kw,tak,0)),st_gry)</f>
        <v>0</v>
      </c>
      <c r="N300" s="356" cm="1">
        <f t="array" ref="N300">SUMPRODUCT(ISNUMBER(MATCH(mod_st_gry,$B$285,0))*('Koszty operacyjne'!$K$114:$X$114=Moduły!N$77)*ISNUMBER(MATCH(st_gry_kw,tak,0)),st_gry)</f>
        <v>0</v>
      </c>
      <c r="O300" s="356" cm="1">
        <f t="array" ref="O300">SUMPRODUCT(ISNUMBER(MATCH(mod_st_gry,$B$285,0))*('Koszty operacyjne'!$K$114:$X$114=Moduły!O$77)*ISNUMBER(MATCH(st_gry_kw,tak,0)),st_gry)</f>
        <v>0</v>
      </c>
      <c r="P300" s="356" cm="1">
        <f t="array" ref="P300">SUMPRODUCT(ISNUMBER(MATCH(mod_st_gry,$B$285,0))*('Koszty operacyjne'!$K$114:$X$114=Moduły!P$77)*ISNUMBER(MATCH(st_gry_kw,tak,0)),st_gry)</f>
        <v>0</v>
      </c>
    </row>
    <row r="301" spans="2:16" ht="12" customHeight="1">
      <c r="B301" s="357" t="s">
        <v>96</v>
      </c>
      <c r="C301" s="358" cm="1">
        <f t="array" ref="C301">SUMPRODUCT(ISNUMBER(MATCH(mod_st_gry,$B$285,0))*('Koszty operacyjne'!$K$114:$X$114=Moduły!C$77)*ISNUMBER(MATCH(st_gry_kw,nie,0)),st_gry)</f>
        <v>0</v>
      </c>
      <c r="D301" s="358" cm="1">
        <f t="array" ref="D301">SUMPRODUCT(ISNUMBER(MATCH(mod_st_gry,$B$285,0))*('Koszty operacyjne'!$K$114:$X$114=Moduły!D$77)*ISNUMBER(MATCH(st_gry_kw,nie,0)),st_gry)</f>
        <v>0</v>
      </c>
      <c r="E301" s="358" cm="1">
        <f t="array" ref="E301">SUMPRODUCT(ISNUMBER(MATCH(mod_st_gry,$B$285,0))*('Koszty operacyjne'!$K$114:$X$114=Moduły!E$77)*ISNUMBER(MATCH(st_gry_kw,nie,0)),st_gry)</f>
        <v>0</v>
      </c>
      <c r="F301" s="358" cm="1">
        <f t="array" ref="F301">SUMPRODUCT(ISNUMBER(MATCH(mod_st_gry,$B$285,0))*('Koszty operacyjne'!$K$114:$X$114=Moduły!F$77)*ISNUMBER(MATCH(st_gry_kw,nie,0)),st_gry)</f>
        <v>0</v>
      </c>
      <c r="G301" s="358" cm="1">
        <f t="array" ref="G301">SUMPRODUCT(ISNUMBER(MATCH(mod_st_gry,$B$285,0))*('Koszty operacyjne'!$K$114:$X$114=Moduły!G$77)*ISNUMBER(MATCH(st_gry_kw,nie,0)),st_gry)</f>
        <v>0</v>
      </c>
      <c r="H301" s="358" cm="1">
        <f t="array" ref="H301">SUMPRODUCT(ISNUMBER(MATCH(mod_st_gry,$B$285,0))*('Koszty operacyjne'!$K$114:$X$114=Moduły!H$77)*ISNUMBER(MATCH(st_gry_kw,nie,0)),st_gry)</f>
        <v>0</v>
      </c>
      <c r="I301" s="358" cm="1">
        <f t="array" ref="I301">SUMPRODUCT(ISNUMBER(MATCH(mod_st_gry,$B$285,0))*('Koszty operacyjne'!$K$114:$X$114=Moduły!I$77)*ISNUMBER(MATCH(st_gry_kw,nie,0)),st_gry)</f>
        <v>0</v>
      </c>
      <c r="J301" s="358" cm="1">
        <f t="array" ref="J301">SUMPRODUCT(ISNUMBER(MATCH(mod_st_gry,$B$285,0))*('Koszty operacyjne'!$K$114:$X$114=Moduły!J$77)*ISNUMBER(MATCH(st_gry_kw,nie,0)),st_gry)</f>
        <v>0</v>
      </c>
      <c r="K301" s="359" cm="1">
        <f t="array" ref="K301">SUMPRODUCT(ISNUMBER(MATCH(mod_st_gry,$B$285,0))*('Koszty operacyjne'!$K$114:$X$114=Moduły!K$77)*ISNUMBER(MATCH(st_gry_kw,nie,0)),st_gry)</f>
        <v>0</v>
      </c>
      <c r="L301" s="359" cm="1">
        <f t="array" ref="L301">SUMPRODUCT(ISNUMBER(MATCH(mod_st_gry,$B$285,0))*('Koszty operacyjne'!$K$114:$X$114=Moduły!L$77)*ISNUMBER(MATCH(st_gry_kw,nie,0)),st_gry)</f>
        <v>0</v>
      </c>
      <c r="M301" s="359" cm="1">
        <f t="array" ref="M301">SUMPRODUCT(ISNUMBER(MATCH(mod_st_gry,$B$285,0))*('Koszty operacyjne'!$K$114:$X$114=Moduły!M$77)*ISNUMBER(MATCH(st_gry_kw,nie,0)),st_gry)</f>
        <v>0</v>
      </c>
      <c r="N301" s="359" cm="1">
        <f t="array" ref="N301">SUMPRODUCT(ISNUMBER(MATCH(mod_st_gry,$B$285,0))*('Koszty operacyjne'!$K$114:$X$114=Moduły!N$77)*ISNUMBER(MATCH(st_gry_kw,nie,0)),st_gry)</f>
        <v>0</v>
      </c>
      <c r="O301" s="359" cm="1">
        <f t="array" ref="O301">SUMPRODUCT(ISNUMBER(MATCH(mod_st_gry,$B$285,0))*('Koszty operacyjne'!$K$114:$X$114=Moduły!O$77)*ISNUMBER(MATCH(st_gry_kw,nie,0)),st_gry)</f>
        <v>0</v>
      </c>
      <c r="P301" s="359" cm="1">
        <f t="array" ref="P301">SUMPRODUCT(ISNUMBER(MATCH(mod_st_gry,$B$285,0))*('Koszty operacyjne'!$K$114:$X$114=Moduły!P$77)*ISNUMBER(MATCH(st_gry_kw,nie,0)),st_gry)</f>
        <v>0</v>
      </c>
    </row>
    <row r="302" spans="2:16" ht="3.9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99</v>
      </c>
      <c r="C303" s="354">
        <f t="shared" ref="C303:P303" si="157">SUM(C304:C305)</f>
        <v>0</v>
      </c>
      <c r="D303" s="354">
        <f t="shared" si="157"/>
        <v>0</v>
      </c>
      <c r="E303" s="354">
        <f t="shared" si="157"/>
        <v>0</v>
      </c>
      <c r="F303" s="354">
        <f t="shared" si="157"/>
        <v>0</v>
      </c>
      <c r="G303" s="354">
        <f t="shared" si="157"/>
        <v>0</v>
      </c>
      <c r="H303" s="354">
        <f t="shared" si="157"/>
        <v>0</v>
      </c>
      <c r="I303" s="354">
        <f t="shared" si="157"/>
        <v>0</v>
      </c>
      <c r="J303" s="354">
        <f t="shared" si="157"/>
        <v>0</v>
      </c>
      <c r="K303" s="354">
        <f t="shared" si="157"/>
        <v>0</v>
      </c>
      <c r="L303" s="354">
        <f t="shared" si="157"/>
        <v>0</v>
      </c>
      <c r="M303" s="354">
        <f t="shared" si="157"/>
        <v>0</v>
      </c>
      <c r="N303" s="354">
        <f t="shared" si="157"/>
        <v>0</v>
      </c>
      <c r="O303" s="354">
        <f t="shared" si="157"/>
        <v>0</v>
      </c>
      <c r="P303" s="354">
        <f t="shared" si="157"/>
        <v>0</v>
      </c>
    </row>
    <row r="304" spans="2:16" ht="12" customHeight="1">
      <c r="B304" s="355" t="s">
        <v>95</v>
      </c>
      <c r="C304" s="356" cm="1">
        <f t="array" ref="C304">SUMPRODUCT(ISNUMBER(MATCH(mod_st_bib,$B$285,0))*('Koszty operacyjne'!$K$114:$X$114=Moduły!C$77)*ISNUMBER(MATCH(st_bib_kw,tak,0)),st_bib)+SUMPRODUCT(ISNUMBER(MATCH(mod_st_bib_wbudowie,$B$285,0))*('Koszty operacyjne'!$K$114:$X$114=Moduły!C$77)*ISNUMBER(MATCH(st_bib_wbudowie_kw,tak,0)),st_bib_wbudowie)</f>
        <v>0</v>
      </c>
      <c r="D304" s="356" cm="1">
        <f t="array" ref="D304">SUMPRODUCT(ISNUMBER(MATCH(mod_st_bib,$B$285,0))*('Koszty operacyjne'!$K$114:$X$114=Moduły!D$77)*ISNUMBER(MATCH(st_bib_kw,tak,0)),st_bib)+SUMPRODUCT(ISNUMBER(MATCH(mod_st_bib_wbudowie,$B$285,0))*('Koszty operacyjne'!$K$114:$X$114=Moduły!D$77)*ISNUMBER(MATCH(st_bib_wbudowie_kw,tak,0)),st_bib_wbudowie)</f>
        <v>0</v>
      </c>
      <c r="E304" s="356" cm="1">
        <f t="array" ref="E304">SUMPRODUCT(ISNUMBER(MATCH(mod_st_bib,$B$285,0))*('Koszty operacyjne'!$K$114:$X$114=Moduły!E$77)*ISNUMBER(MATCH(st_bib_kw,tak,0)),st_bib)+SUMPRODUCT(ISNUMBER(MATCH(mod_st_bib_wbudowie,$B$285,0))*('Koszty operacyjne'!$K$114:$X$114=Moduły!E$77)*ISNUMBER(MATCH(st_bib_wbudowie_kw,tak,0)),st_bib_wbudowie)</f>
        <v>0</v>
      </c>
      <c r="F304" s="356" cm="1">
        <f t="array" ref="F304">SUMPRODUCT(ISNUMBER(MATCH(mod_st_bib,$B$285,0))*('Koszty operacyjne'!$K$114:$X$114=Moduły!F$77)*ISNUMBER(MATCH(st_bib_kw,tak,0)),st_bib)+SUMPRODUCT(ISNUMBER(MATCH(mod_st_bib_wbudowie,$B$285,0))*('Koszty operacyjne'!$K$114:$X$114=Moduły!F$77)*ISNUMBER(MATCH(st_bib_wbudowie_kw,tak,0)),st_bib_wbudowie)</f>
        <v>0</v>
      </c>
      <c r="G304" s="356" cm="1">
        <f t="array" ref="G304">SUMPRODUCT(ISNUMBER(MATCH(mod_st_bib,$B$285,0))*('Koszty operacyjne'!$K$114:$X$114=Moduły!G$77)*ISNUMBER(MATCH(st_bib_kw,tak,0)),st_bib)+SUMPRODUCT(ISNUMBER(MATCH(mod_st_bib_wbudowie,$B$285,0))*('Koszty operacyjne'!$K$114:$X$114=Moduły!G$77)*ISNUMBER(MATCH(st_bib_wbudowie_kw,tak,0)),st_bib_wbudowie)</f>
        <v>0</v>
      </c>
      <c r="H304" s="356" cm="1">
        <f t="array" ref="H304">SUMPRODUCT(ISNUMBER(MATCH(mod_st_bib,$B$285,0))*('Koszty operacyjne'!$K$114:$X$114=Moduły!H$77)*ISNUMBER(MATCH(st_bib_kw,tak,0)),st_bib)+SUMPRODUCT(ISNUMBER(MATCH(mod_st_bib_wbudowie,$B$285,0))*('Koszty operacyjne'!$K$114:$X$114=Moduły!H$77)*ISNUMBER(MATCH(st_bib_wbudowie_kw,tak,0)),st_bib_wbudowie)</f>
        <v>0</v>
      </c>
      <c r="I304" s="356" cm="1">
        <f t="array" ref="I304">SUMPRODUCT(ISNUMBER(MATCH(mod_st_bib,$B$285,0))*('Koszty operacyjne'!$K$114:$X$114=Moduły!I$77)*ISNUMBER(MATCH(st_bib_kw,tak,0)),st_bib)+SUMPRODUCT(ISNUMBER(MATCH(mod_st_bib_wbudowie,$B$285,0))*('Koszty operacyjne'!$K$114:$X$114=Moduły!I$77)*ISNUMBER(MATCH(st_bib_wbudowie_kw,tak,0)),st_bib_wbudowie)</f>
        <v>0</v>
      </c>
      <c r="J304" s="356" cm="1">
        <f t="array" ref="J304">SUMPRODUCT(ISNUMBER(MATCH(mod_st_bib,$B$285,0))*('Koszty operacyjne'!$K$114:$X$114=Moduły!J$77)*ISNUMBER(MATCH(st_bib_kw,tak,0)),st_bib)+SUMPRODUCT(ISNUMBER(MATCH(mod_st_bib_wbudowie,$B$285,0))*('Koszty operacyjne'!$K$114:$X$114=Moduły!J$77)*ISNUMBER(MATCH(st_bib_wbudowie_kw,tak,0)),st_bib_wbudowie)</f>
        <v>0</v>
      </c>
      <c r="K304" s="356" cm="1">
        <f t="array" ref="K304">SUMPRODUCT(ISNUMBER(MATCH(mod_st_bib,$B$285,0))*('Koszty operacyjne'!$K$114:$X$114=Moduły!K$77)*ISNUMBER(MATCH(st_bib_kw,tak,0)),st_bib)+SUMPRODUCT(ISNUMBER(MATCH(mod_st_bib_wbudowie,$B$285,0))*('Koszty operacyjne'!$K$114:$X$114=Moduły!K$77)*ISNUMBER(MATCH(st_bib_wbudowie_kw,tak,0)),st_bib_wbudowie)</f>
        <v>0</v>
      </c>
      <c r="L304" s="356" cm="1">
        <f t="array" ref="L304">SUMPRODUCT(ISNUMBER(MATCH(mod_st_bib,$B$285,0))*('Koszty operacyjne'!$K$114:$X$114=Moduły!L$77)*ISNUMBER(MATCH(st_bib_kw,tak,0)),st_bib)+SUMPRODUCT(ISNUMBER(MATCH(mod_st_bib_wbudowie,$B$285,0))*('Koszty operacyjne'!$K$114:$X$114=Moduły!L$77)*ISNUMBER(MATCH(st_bib_wbudowie_kw,tak,0)),st_bib_wbudowie)</f>
        <v>0</v>
      </c>
      <c r="M304" s="356" cm="1">
        <f t="array" ref="M304">SUMPRODUCT(ISNUMBER(MATCH(mod_st_bib,$B$285,0))*('Koszty operacyjne'!$K$114:$X$114=Moduły!M$77)*ISNUMBER(MATCH(st_bib_kw,tak,0)),st_bib)+SUMPRODUCT(ISNUMBER(MATCH(mod_st_bib_wbudowie,$B$285,0))*('Koszty operacyjne'!$K$114:$X$114=Moduły!M$77)*ISNUMBER(MATCH(st_bib_wbudowie_kw,tak,0)),st_bib_wbudowie)</f>
        <v>0</v>
      </c>
      <c r="N304" s="356" cm="1">
        <f t="array" ref="N304">SUMPRODUCT(ISNUMBER(MATCH(mod_st_bib,$B$285,0))*('Koszty operacyjne'!$K$114:$X$114=Moduły!N$77)*ISNUMBER(MATCH(st_bib_kw,tak,0)),st_bib)+SUMPRODUCT(ISNUMBER(MATCH(mod_st_bib_wbudowie,$B$285,0))*('Koszty operacyjne'!$K$114:$X$114=Moduły!N$77)*ISNUMBER(MATCH(st_bib_wbudowie_kw,tak,0)),st_bib_wbudowie)</f>
        <v>0</v>
      </c>
      <c r="O304" s="356" cm="1">
        <f t="array" ref="O304">SUMPRODUCT(ISNUMBER(MATCH(mod_st_bib,$B$285,0))*('Koszty operacyjne'!$K$114:$X$114=Moduły!O$77)*ISNUMBER(MATCH(st_bib_kw,tak,0)),st_bib)+SUMPRODUCT(ISNUMBER(MATCH(mod_st_bib_wbudowie,$B$285,0))*('Koszty operacyjne'!$K$114:$X$114=Moduły!O$77)*ISNUMBER(MATCH(st_bib_wbudowie_kw,tak,0)),st_bib_wbudowie)</f>
        <v>0</v>
      </c>
      <c r="P304" s="356" cm="1">
        <f t="array" ref="P304">SUMPRODUCT(ISNUMBER(MATCH(mod_st_bib,$B$285,0))*('Koszty operacyjne'!$K$114:$X$114=Moduły!P$77)*ISNUMBER(MATCH(st_bib_kw,tak,0)),st_bib)+SUMPRODUCT(ISNUMBER(MATCH(mod_st_bib_wbudowie,$B$285,0))*('Koszty operacyjne'!$K$114:$X$114=Moduły!P$77)*ISNUMBER(MATCH(st_bib_wbudowie_kw,tak,0)),st_bib_wbudowie)</f>
        <v>0</v>
      </c>
    </row>
    <row r="305" spans="2:16" ht="12" customHeight="1">
      <c r="B305" s="357" t="s">
        <v>96</v>
      </c>
      <c r="C305" s="358" cm="1">
        <f t="array" ref="C305">SUMPRODUCT(ISNUMBER(MATCH(mod_st_bib,$B$285,0))*('Koszty operacyjne'!$K$114:$X$114=Moduły!C$77)*ISNUMBER(MATCH(st_bib_kw,nie,0)),st_bib)+SUMPRODUCT(ISNUMBER(MATCH(mod_st_bib_wbudowie,$B$285,0))*('Koszty operacyjne'!$K$114:$X$114=Moduły!C$77)*ISNUMBER(MATCH(st_bib_wbudowie_kw,nie,0)),st_bib_wbudowie)</f>
        <v>0</v>
      </c>
      <c r="D305" s="358" cm="1">
        <f t="array" ref="D305">SUMPRODUCT(ISNUMBER(MATCH(mod_st_bib,$B$285,0))*('Koszty operacyjne'!$K$114:$X$114=Moduły!D$77)*ISNUMBER(MATCH(st_bib_kw,nie,0)),st_bib)+SUMPRODUCT(ISNUMBER(MATCH(mod_st_bib_wbudowie,$B$285,0))*('Koszty operacyjne'!$K$114:$X$114=Moduły!D$77)*ISNUMBER(MATCH(st_bib_wbudowie_kw,nie,0)),st_bib_wbudowie)</f>
        <v>0</v>
      </c>
      <c r="E305" s="358" cm="1">
        <f t="array" ref="E305">SUMPRODUCT(ISNUMBER(MATCH(mod_st_bib,$B$285,0))*('Koszty operacyjne'!$K$114:$X$114=Moduły!E$77)*ISNUMBER(MATCH(st_bib_kw,nie,0)),st_bib)+SUMPRODUCT(ISNUMBER(MATCH(mod_st_bib_wbudowie,$B$285,0))*('Koszty operacyjne'!$K$114:$X$114=Moduły!E$77)*ISNUMBER(MATCH(st_bib_wbudowie_kw,nie,0)),st_bib_wbudowie)</f>
        <v>0</v>
      </c>
      <c r="F305" s="358" cm="1">
        <f t="array" ref="F305">SUMPRODUCT(ISNUMBER(MATCH(mod_st_bib,$B$285,0))*('Koszty operacyjne'!$K$114:$X$114=Moduły!F$77)*ISNUMBER(MATCH(st_bib_kw,nie,0)),st_bib)+SUMPRODUCT(ISNUMBER(MATCH(mod_st_bib_wbudowie,$B$285,0))*('Koszty operacyjne'!$K$114:$X$114=Moduły!F$77)*ISNUMBER(MATCH(st_bib_wbudowie_kw,nie,0)),st_bib_wbudowie)</f>
        <v>0</v>
      </c>
      <c r="G305" s="358" cm="1">
        <f t="array" ref="G305">SUMPRODUCT(ISNUMBER(MATCH(mod_st_bib,$B$285,0))*('Koszty operacyjne'!$K$114:$X$114=Moduły!G$77)*ISNUMBER(MATCH(st_bib_kw,nie,0)),st_bib)+SUMPRODUCT(ISNUMBER(MATCH(mod_st_bib_wbudowie,$B$285,0))*('Koszty operacyjne'!$K$114:$X$114=Moduły!G$77)*ISNUMBER(MATCH(st_bib_wbudowie_kw,nie,0)),st_bib_wbudowie)</f>
        <v>0</v>
      </c>
      <c r="H305" s="358" cm="1">
        <f t="array" ref="H305">SUMPRODUCT(ISNUMBER(MATCH(mod_st_bib,$B$285,0))*('Koszty operacyjne'!$K$114:$X$114=Moduły!H$77)*ISNUMBER(MATCH(st_bib_kw,nie,0)),st_bib)+SUMPRODUCT(ISNUMBER(MATCH(mod_st_bib_wbudowie,$B$285,0))*('Koszty operacyjne'!$K$114:$X$114=Moduły!H$77)*ISNUMBER(MATCH(st_bib_wbudowie_kw,nie,0)),st_bib_wbudowie)</f>
        <v>0</v>
      </c>
      <c r="I305" s="358" cm="1">
        <f t="array" ref="I305">SUMPRODUCT(ISNUMBER(MATCH(mod_st_bib,$B$285,0))*('Koszty operacyjne'!$K$114:$X$114=Moduły!I$77)*ISNUMBER(MATCH(st_bib_kw,nie,0)),st_bib)+SUMPRODUCT(ISNUMBER(MATCH(mod_st_bib_wbudowie,$B$285,0))*('Koszty operacyjne'!$K$114:$X$114=Moduły!I$77)*ISNUMBER(MATCH(st_bib_wbudowie_kw,nie,0)),st_bib_wbudowie)</f>
        <v>0</v>
      </c>
      <c r="J305" s="358" cm="1">
        <f t="array" ref="J305">SUMPRODUCT(ISNUMBER(MATCH(mod_st_bib,$B$285,0))*('Koszty operacyjne'!$K$114:$X$114=Moduły!J$77)*ISNUMBER(MATCH(st_bib_kw,nie,0)),st_bib)+SUMPRODUCT(ISNUMBER(MATCH(mod_st_bib_wbudowie,$B$285,0))*('Koszty operacyjne'!$K$114:$X$114=Moduły!J$77)*ISNUMBER(MATCH(st_bib_wbudowie_kw,nie,0)),st_bib_wbudowie)</f>
        <v>0</v>
      </c>
      <c r="K305" s="358" cm="1">
        <f t="array" ref="K305">SUMPRODUCT(ISNUMBER(MATCH(mod_st_bib,$B$285,0))*('Koszty operacyjne'!$K$114:$X$114=Moduły!K$77)*ISNUMBER(MATCH(st_bib_kw,nie,0)),st_bib)+SUMPRODUCT(ISNUMBER(MATCH(mod_st_bib_wbudowie,$B$285,0))*('Koszty operacyjne'!$K$114:$X$114=Moduły!K$77)*ISNUMBER(MATCH(st_bib_wbudowie_kw,nie,0)),st_bib_wbudowie)</f>
        <v>0</v>
      </c>
      <c r="L305" s="358" cm="1">
        <f t="array" ref="L305">SUMPRODUCT(ISNUMBER(MATCH(mod_st_bib,$B$285,0))*('Koszty operacyjne'!$K$114:$X$114=Moduły!L$77)*ISNUMBER(MATCH(st_bib_kw,nie,0)),st_bib)+SUMPRODUCT(ISNUMBER(MATCH(mod_st_bib_wbudowie,$B$285,0))*('Koszty operacyjne'!$K$114:$X$114=Moduły!L$77)*ISNUMBER(MATCH(st_bib_wbudowie_kw,nie,0)),st_bib_wbudowie)</f>
        <v>0</v>
      </c>
      <c r="M305" s="358" cm="1">
        <f t="array" ref="M305">SUMPRODUCT(ISNUMBER(MATCH(mod_st_bib,$B$285,0))*('Koszty operacyjne'!$K$114:$X$114=Moduły!M$77)*ISNUMBER(MATCH(st_bib_kw,nie,0)),st_bib)+SUMPRODUCT(ISNUMBER(MATCH(mod_st_bib_wbudowie,$B$285,0))*('Koszty operacyjne'!$K$114:$X$114=Moduły!M$77)*ISNUMBER(MATCH(st_bib_wbudowie_kw,nie,0)),st_bib_wbudowie)</f>
        <v>0</v>
      </c>
      <c r="N305" s="358" cm="1">
        <f t="array" ref="N305">SUMPRODUCT(ISNUMBER(MATCH(mod_st_bib,$B$285,0))*('Koszty operacyjne'!$K$114:$X$114=Moduły!N$77)*ISNUMBER(MATCH(st_bib_kw,nie,0)),st_bib)+SUMPRODUCT(ISNUMBER(MATCH(mod_st_bib_wbudowie,$B$285,0))*('Koszty operacyjne'!$K$114:$X$114=Moduły!N$77)*ISNUMBER(MATCH(st_bib_wbudowie_kw,nie,0)),st_bib_wbudowie)</f>
        <v>0</v>
      </c>
      <c r="O305" s="358" cm="1">
        <f t="array" ref="O305">SUMPRODUCT(ISNUMBER(MATCH(mod_st_bib,$B$285,0))*('Koszty operacyjne'!$K$114:$X$114=Moduły!O$77)*ISNUMBER(MATCH(st_bib_kw,nie,0)),st_bib)+SUMPRODUCT(ISNUMBER(MATCH(mod_st_bib_wbudowie,$B$285,0))*('Koszty operacyjne'!$K$114:$X$114=Moduły!O$77)*ISNUMBER(MATCH(st_bib_wbudowie_kw,nie,0)),st_bib_wbudowie)</f>
        <v>0</v>
      </c>
      <c r="P305" s="358" cm="1">
        <f t="array" ref="P305">SUMPRODUCT(ISNUMBER(MATCH(mod_st_bib,$B$285,0))*('Koszty operacyjne'!$K$114:$X$114=Moduły!P$77)*ISNUMBER(MATCH(st_bib_kw,nie,0)),st_bib)+SUMPRODUCT(ISNUMBER(MATCH(mod_st_bib_wbudowie,$B$285,0))*('Koszty operacyjne'!$K$114:$X$114=Moduły!P$77)*ISNUMBER(MATCH(st_bib_wbudowie_kw,nie,0)),st_bib_wbudowie)</f>
        <v>0</v>
      </c>
    </row>
    <row r="306" spans="2:16" ht="3.9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100</v>
      </c>
      <c r="C307" s="354">
        <f t="shared" ref="C307:P307" si="158">SUM(C308:C309)</f>
        <v>0</v>
      </c>
      <c r="D307" s="354">
        <f t="shared" si="158"/>
        <v>0</v>
      </c>
      <c r="E307" s="354">
        <f t="shared" si="158"/>
        <v>0</v>
      </c>
      <c r="F307" s="354">
        <f t="shared" si="158"/>
        <v>0</v>
      </c>
      <c r="G307" s="354">
        <f t="shared" si="158"/>
        <v>0</v>
      </c>
      <c r="H307" s="354">
        <f t="shared" si="158"/>
        <v>0</v>
      </c>
      <c r="I307" s="354">
        <f t="shared" si="158"/>
        <v>0</v>
      </c>
      <c r="J307" s="354">
        <f t="shared" si="158"/>
        <v>0</v>
      </c>
      <c r="K307" s="354">
        <f t="shared" si="158"/>
        <v>0</v>
      </c>
      <c r="L307" s="354">
        <f t="shared" si="158"/>
        <v>0</v>
      </c>
      <c r="M307" s="354">
        <f t="shared" si="158"/>
        <v>0</v>
      </c>
      <c r="N307" s="354">
        <f t="shared" si="158"/>
        <v>0</v>
      </c>
      <c r="O307" s="354">
        <f t="shared" si="158"/>
        <v>0</v>
      </c>
      <c r="P307" s="354">
        <f t="shared" si="158"/>
        <v>0</v>
      </c>
    </row>
    <row r="308" spans="2:16" ht="12" customHeight="1">
      <c r="B308" s="355" t="s">
        <v>95</v>
      </c>
      <c r="C308" s="356" cm="1">
        <f t="array" ref="C308">SUMPRODUCT(ISNUMBER(MATCH(mod_st_utm,$B$285,0))*('Koszty operacyjne'!$K$114:$X$114=Moduły!C$77)*ISNUMBER(MATCH(st_utm_kw,tak,0)),st_utm)+SUMPRODUCT(ISNUMBER(MATCH(mod_st_utm_wbudowie,$B$285,0))*('Koszty operacyjne'!$K$114:$X$114=Moduły!C$77)*ISNUMBER(MATCH(st_utm_kw_wbudowie,tak,0)),st_utm_wbudowie)</f>
        <v>0</v>
      </c>
      <c r="D308" s="356" cm="1">
        <f t="array" ref="D308">SUMPRODUCT(ISNUMBER(MATCH(mod_st_utm,$B$285,0))*('Koszty operacyjne'!$K$114:$X$114=Moduły!D$77)*ISNUMBER(MATCH(st_utm_kw,tak,0)),st_utm)+SUMPRODUCT(ISNUMBER(MATCH(mod_st_utm_wbudowie,$B$285,0))*('Koszty operacyjne'!$K$114:$X$114=Moduły!D$77)*ISNUMBER(MATCH(st_utm_kw_wbudowie,tak,0)),st_utm_wbudowie)</f>
        <v>0</v>
      </c>
      <c r="E308" s="356" cm="1">
        <f t="array" ref="E308">SUMPRODUCT(ISNUMBER(MATCH(mod_st_utm,$B$285,0))*('Koszty operacyjne'!$K$114:$X$114=Moduły!E$77)*ISNUMBER(MATCH(st_utm_kw,tak,0)),st_utm)+SUMPRODUCT(ISNUMBER(MATCH(mod_st_utm_wbudowie,$B$285,0))*('Koszty operacyjne'!$K$114:$X$114=Moduły!E$77)*ISNUMBER(MATCH(st_utm_kw_wbudowie,tak,0)),st_utm_wbudowie)</f>
        <v>0</v>
      </c>
      <c r="F308" s="356" cm="1">
        <f t="array" ref="F308">SUMPRODUCT(ISNUMBER(MATCH(mod_st_utm,$B$285,0))*('Koszty operacyjne'!$K$114:$X$114=Moduły!F$77)*ISNUMBER(MATCH(st_utm_kw,tak,0)),st_utm)+SUMPRODUCT(ISNUMBER(MATCH(mod_st_utm_wbudowie,$B$285,0))*('Koszty operacyjne'!$K$114:$X$114=Moduły!F$77)*ISNUMBER(MATCH(st_utm_kw_wbudowie,tak,0)),st_utm_wbudowie)</f>
        <v>0</v>
      </c>
      <c r="G308" s="356" cm="1">
        <f t="array" ref="G308">SUMPRODUCT(ISNUMBER(MATCH(mod_st_utm,$B$285,0))*('Koszty operacyjne'!$K$114:$X$114=Moduły!G$77)*ISNUMBER(MATCH(st_utm_kw,tak,0)),st_utm)+SUMPRODUCT(ISNUMBER(MATCH(mod_st_utm_wbudowie,$B$285,0))*('Koszty operacyjne'!$K$114:$X$114=Moduły!G$77)*ISNUMBER(MATCH(st_utm_kw_wbudowie,tak,0)),st_utm_wbudowie)</f>
        <v>0</v>
      </c>
      <c r="H308" s="356" cm="1">
        <f t="array" ref="H308">SUMPRODUCT(ISNUMBER(MATCH(mod_st_utm,$B$285,0))*('Koszty operacyjne'!$K$114:$X$114=Moduły!H$77)*ISNUMBER(MATCH(st_utm_kw,tak,0)),st_utm)+SUMPRODUCT(ISNUMBER(MATCH(mod_st_utm_wbudowie,$B$285,0))*('Koszty operacyjne'!$K$114:$X$114=Moduły!H$77)*ISNUMBER(MATCH(st_utm_kw_wbudowie,tak,0)),st_utm_wbudowie)</f>
        <v>0</v>
      </c>
      <c r="I308" s="356" cm="1">
        <f t="array" ref="I308">SUMPRODUCT(ISNUMBER(MATCH(mod_st_utm,$B$285,0))*('Koszty operacyjne'!$K$114:$X$114=Moduły!I$77)*ISNUMBER(MATCH(st_utm_kw,tak,0)),st_utm)+SUMPRODUCT(ISNUMBER(MATCH(mod_st_utm_wbudowie,$B$285,0))*('Koszty operacyjne'!$K$114:$X$114=Moduły!I$77)*ISNUMBER(MATCH(st_utm_kw_wbudowie,tak,0)),st_utm_wbudowie)</f>
        <v>0</v>
      </c>
      <c r="J308" s="356" cm="1">
        <f t="array" ref="J308">SUMPRODUCT(ISNUMBER(MATCH(mod_st_utm,$B$285,0))*('Koszty operacyjne'!$K$114:$X$114=Moduły!J$77)*ISNUMBER(MATCH(st_utm_kw,tak,0)),st_utm)+SUMPRODUCT(ISNUMBER(MATCH(mod_st_utm_wbudowie,$B$285,0))*('Koszty operacyjne'!$K$114:$X$114=Moduły!J$77)*ISNUMBER(MATCH(st_utm_kw_wbudowie,tak,0)),st_utm_wbudowie)</f>
        <v>0</v>
      </c>
      <c r="K308" s="356" cm="1">
        <f t="array" ref="K308">SUMPRODUCT(ISNUMBER(MATCH(mod_st_utm,$B$285,0))*('Koszty operacyjne'!$K$114:$X$114=Moduły!K$77)*ISNUMBER(MATCH(st_utm_kw,tak,0)),st_utm)+SUMPRODUCT(ISNUMBER(MATCH(mod_st_utm_wbudowie,$B$285,0))*('Koszty operacyjne'!$K$114:$X$114=Moduły!K$77)*ISNUMBER(MATCH(st_utm_kw_wbudowie,tak,0)),st_utm_wbudowie)</f>
        <v>0</v>
      </c>
      <c r="L308" s="356" cm="1">
        <f t="array" ref="L308">SUMPRODUCT(ISNUMBER(MATCH(mod_st_utm,$B$285,0))*('Koszty operacyjne'!$K$114:$X$114=Moduły!L$77)*ISNUMBER(MATCH(st_utm_kw,tak,0)),st_utm)+SUMPRODUCT(ISNUMBER(MATCH(mod_st_utm_wbudowie,$B$285,0))*('Koszty operacyjne'!$K$114:$X$114=Moduły!L$77)*ISNUMBER(MATCH(st_utm_kw_wbudowie,tak,0)),st_utm_wbudowie)</f>
        <v>0</v>
      </c>
      <c r="M308" s="356" cm="1">
        <f t="array" ref="M308">SUMPRODUCT(ISNUMBER(MATCH(mod_st_utm,$B$285,0))*('Koszty operacyjne'!$K$114:$X$114=Moduły!M$77)*ISNUMBER(MATCH(st_utm_kw,tak,0)),st_utm)+SUMPRODUCT(ISNUMBER(MATCH(mod_st_utm_wbudowie,$B$285,0))*('Koszty operacyjne'!$K$114:$X$114=Moduły!M$77)*ISNUMBER(MATCH(st_utm_kw_wbudowie,tak,0)),st_utm_wbudowie)</f>
        <v>0</v>
      </c>
      <c r="N308" s="356" cm="1">
        <f t="array" ref="N308">SUMPRODUCT(ISNUMBER(MATCH(mod_st_utm,$B$285,0))*('Koszty operacyjne'!$K$114:$X$114=Moduły!N$77)*ISNUMBER(MATCH(st_utm_kw,tak,0)),st_utm)+SUMPRODUCT(ISNUMBER(MATCH(mod_st_utm_wbudowie,$B$285,0))*('Koszty operacyjne'!$K$114:$X$114=Moduły!N$77)*ISNUMBER(MATCH(st_utm_kw_wbudowie,tak,0)),st_utm_wbudowie)</f>
        <v>0</v>
      </c>
      <c r="O308" s="356" cm="1">
        <f t="array" ref="O308">SUMPRODUCT(ISNUMBER(MATCH(mod_st_utm,$B$285,0))*('Koszty operacyjne'!$K$114:$X$114=Moduły!O$77)*ISNUMBER(MATCH(st_utm_kw,tak,0)),st_utm)+SUMPRODUCT(ISNUMBER(MATCH(mod_st_utm_wbudowie,$B$285,0))*('Koszty operacyjne'!$K$114:$X$114=Moduły!O$77)*ISNUMBER(MATCH(st_utm_kw_wbudowie,tak,0)),st_utm_wbudowie)</f>
        <v>0</v>
      </c>
      <c r="P308" s="356" cm="1">
        <f t="array" ref="P308">SUMPRODUCT(ISNUMBER(MATCH(mod_st_utm,$B$285,0))*('Koszty operacyjne'!$K$114:$X$114=Moduły!P$77)*ISNUMBER(MATCH(st_utm_kw,tak,0)),st_utm)+SUMPRODUCT(ISNUMBER(MATCH(mod_st_utm_wbudowie,$B$285,0))*('Koszty operacyjne'!$K$114:$X$114=Moduły!P$77)*ISNUMBER(MATCH(st_utm_kw_wbudowie,tak,0)),st_utm_wbudowie)</f>
        <v>0</v>
      </c>
    </row>
    <row r="309" spans="2:16" ht="12" customHeight="1">
      <c r="B309" s="357" t="s">
        <v>96</v>
      </c>
      <c r="C309" s="358" cm="1">
        <f t="array" ref="C309">SUMPRODUCT(ISNUMBER(MATCH(mod_st_utm,$B$285,0))*('Koszty operacyjne'!$K$114:$X$114=Moduły!C$77)*ISNUMBER(MATCH(st_utm_kw,nie,0)),st_utm)+SUMPRODUCT(ISNUMBER(MATCH(mod_st_utm_wbudowie,$B$285,0))*('Koszty operacyjne'!$K$114:$X$114=Moduły!C$77)*ISNUMBER(MATCH(st_utm_kw_wbudowie,nie,0)),st_utm_wbudowie)</f>
        <v>0</v>
      </c>
      <c r="D309" s="358" cm="1">
        <f t="array" ref="D309">SUMPRODUCT(ISNUMBER(MATCH(mod_st_utm,$B$285,0))*('Koszty operacyjne'!$K$114:$X$114=Moduły!D$77)*ISNUMBER(MATCH(st_utm_kw,nie,0)),st_utm)+SUMPRODUCT(ISNUMBER(MATCH(mod_st_utm_wbudowie,$B$285,0))*('Koszty operacyjne'!$K$114:$X$114=Moduły!D$77)*ISNUMBER(MATCH(st_utm_kw_wbudowie,nie,0)),st_utm_wbudowie)</f>
        <v>0</v>
      </c>
      <c r="E309" s="358" cm="1">
        <f t="array" ref="E309">SUMPRODUCT(ISNUMBER(MATCH(mod_st_utm,$B$285,0))*('Koszty operacyjne'!$K$114:$X$114=Moduły!E$77)*ISNUMBER(MATCH(st_utm_kw,nie,0)),st_utm)+SUMPRODUCT(ISNUMBER(MATCH(mod_st_utm_wbudowie,$B$285,0))*('Koszty operacyjne'!$K$114:$X$114=Moduły!E$77)*ISNUMBER(MATCH(st_utm_kw_wbudowie,nie,0)),st_utm_wbudowie)</f>
        <v>0</v>
      </c>
      <c r="F309" s="358" cm="1">
        <f t="array" ref="F309">SUMPRODUCT(ISNUMBER(MATCH(mod_st_utm,$B$285,0))*('Koszty operacyjne'!$K$114:$X$114=Moduły!F$77)*ISNUMBER(MATCH(st_utm_kw,nie,0)),st_utm)+SUMPRODUCT(ISNUMBER(MATCH(mod_st_utm_wbudowie,$B$285,0))*('Koszty operacyjne'!$K$114:$X$114=Moduły!F$77)*ISNUMBER(MATCH(st_utm_kw_wbudowie,nie,0)),st_utm_wbudowie)</f>
        <v>0</v>
      </c>
      <c r="G309" s="358" cm="1">
        <f t="array" ref="G309">SUMPRODUCT(ISNUMBER(MATCH(mod_st_utm,$B$285,0))*('Koszty operacyjne'!$K$114:$X$114=Moduły!G$77)*ISNUMBER(MATCH(st_utm_kw,nie,0)),st_utm)+SUMPRODUCT(ISNUMBER(MATCH(mod_st_utm_wbudowie,$B$285,0))*('Koszty operacyjne'!$K$114:$X$114=Moduły!G$77)*ISNUMBER(MATCH(st_utm_kw_wbudowie,nie,0)),st_utm_wbudowie)</f>
        <v>0</v>
      </c>
      <c r="H309" s="358" cm="1">
        <f t="array" ref="H309">SUMPRODUCT(ISNUMBER(MATCH(mod_st_utm,$B$285,0))*('Koszty operacyjne'!$K$114:$X$114=Moduły!H$77)*ISNUMBER(MATCH(st_utm_kw,nie,0)),st_utm)+SUMPRODUCT(ISNUMBER(MATCH(mod_st_utm_wbudowie,$B$285,0))*('Koszty operacyjne'!$K$114:$X$114=Moduły!H$77)*ISNUMBER(MATCH(st_utm_kw_wbudowie,nie,0)),st_utm_wbudowie)</f>
        <v>0</v>
      </c>
      <c r="I309" s="358" cm="1">
        <f t="array" ref="I309">SUMPRODUCT(ISNUMBER(MATCH(mod_st_utm,$B$285,0))*('Koszty operacyjne'!$K$114:$X$114=Moduły!I$77)*ISNUMBER(MATCH(st_utm_kw,nie,0)),st_utm)+SUMPRODUCT(ISNUMBER(MATCH(mod_st_utm_wbudowie,$B$285,0))*('Koszty operacyjne'!$K$114:$X$114=Moduły!I$77)*ISNUMBER(MATCH(st_utm_kw_wbudowie,nie,0)),st_utm_wbudowie)</f>
        <v>0</v>
      </c>
      <c r="J309" s="358" cm="1">
        <f t="array" ref="J309">SUMPRODUCT(ISNUMBER(MATCH(mod_st_utm,$B$285,0))*('Koszty operacyjne'!$K$114:$X$114=Moduły!J$77)*ISNUMBER(MATCH(st_utm_kw,nie,0)),st_utm)+SUMPRODUCT(ISNUMBER(MATCH(mod_st_utm_wbudowie,$B$285,0))*('Koszty operacyjne'!$K$114:$X$114=Moduły!J$77)*ISNUMBER(MATCH(st_utm_kw_wbudowie,nie,0)),st_utm_wbudowie)</f>
        <v>0</v>
      </c>
      <c r="K309" s="358" cm="1">
        <f t="array" ref="K309">SUMPRODUCT(ISNUMBER(MATCH(mod_st_utm,$B$285,0))*('Koszty operacyjne'!$K$114:$X$114=Moduły!K$77)*ISNUMBER(MATCH(st_utm_kw,nie,0)),st_utm)+SUMPRODUCT(ISNUMBER(MATCH(mod_st_utm_wbudowie,$B$285,0))*('Koszty operacyjne'!$K$114:$X$114=Moduły!K$77)*ISNUMBER(MATCH(st_utm_kw_wbudowie,nie,0)),st_utm_wbudowie)</f>
        <v>0</v>
      </c>
      <c r="L309" s="358" cm="1">
        <f t="array" ref="L309">SUMPRODUCT(ISNUMBER(MATCH(mod_st_utm,$B$285,0))*('Koszty operacyjne'!$K$114:$X$114=Moduły!L$77)*ISNUMBER(MATCH(st_utm_kw,nie,0)),st_utm)+SUMPRODUCT(ISNUMBER(MATCH(mod_st_utm_wbudowie,$B$285,0))*('Koszty operacyjne'!$K$114:$X$114=Moduły!L$77)*ISNUMBER(MATCH(st_utm_kw_wbudowie,nie,0)),st_utm_wbudowie)</f>
        <v>0</v>
      </c>
      <c r="M309" s="358" cm="1">
        <f t="array" ref="M309">SUMPRODUCT(ISNUMBER(MATCH(mod_st_utm,$B$285,0))*('Koszty operacyjne'!$K$114:$X$114=Moduły!M$77)*ISNUMBER(MATCH(st_utm_kw,nie,0)),st_utm)+SUMPRODUCT(ISNUMBER(MATCH(mod_st_utm_wbudowie,$B$285,0))*('Koszty operacyjne'!$K$114:$X$114=Moduły!M$77)*ISNUMBER(MATCH(st_utm_kw_wbudowie,nie,0)),st_utm_wbudowie)</f>
        <v>0</v>
      </c>
      <c r="N309" s="358" cm="1">
        <f t="array" ref="N309">SUMPRODUCT(ISNUMBER(MATCH(mod_st_utm,$B$285,0))*('Koszty operacyjne'!$K$114:$X$114=Moduły!N$77)*ISNUMBER(MATCH(st_utm_kw,nie,0)),st_utm)+SUMPRODUCT(ISNUMBER(MATCH(mod_st_utm_wbudowie,$B$285,0))*('Koszty operacyjne'!$K$114:$X$114=Moduły!N$77)*ISNUMBER(MATCH(st_utm_kw_wbudowie,nie,0)),st_utm_wbudowie)</f>
        <v>0</v>
      </c>
      <c r="O309" s="358" cm="1">
        <f t="array" ref="O309">SUMPRODUCT(ISNUMBER(MATCH(mod_st_utm,$B$285,0))*('Koszty operacyjne'!$K$114:$X$114=Moduły!O$77)*ISNUMBER(MATCH(st_utm_kw,nie,0)),st_utm)+SUMPRODUCT(ISNUMBER(MATCH(mod_st_utm_wbudowie,$B$285,0))*('Koszty operacyjne'!$K$114:$X$114=Moduły!O$77)*ISNUMBER(MATCH(st_utm_kw_wbudowie,nie,0)),st_utm_wbudowie)</f>
        <v>0</v>
      </c>
      <c r="P309" s="358" cm="1">
        <f t="array" ref="P309">SUMPRODUCT(ISNUMBER(MATCH(mod_st_utm,$B$285,0))*('Koszty operacyjne'!$K$114:$X$114=Moduły!P$77)*ISNUMBER(MATCH(st_utm_kw,nie,0)),st_utm)+SUMPRODUCT(ISNUMBER(MATCH(mod_st_utm_wbudowie,$B$285,0))*('Koszty operacyjne'!$K$114:$X$114=Moduły!P$77)*ISNUMBER(MATCH(st_utm_kw_wbudowie,nie,0)),st_utm_wbudowie)</f>
        <v>0</v>
      </c>
    </row>
    <row r="310" spans="2:16" ht="3.9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101</v>
      </c>
      <c r="C311" s="354">
        <f t="shared" ref="C311:P311" si="159">SUM(C312:C313)</f>
        <v>0</v>
      </c>
      <c r="D311" s="354">
        <f t="shared" si="159"/>
        <v>0</v>
      </c>
      <c r="E311" s="354">
        <f t="shared" si="159"/>
        <v>0</v>
      </c>
      <c r="F311" s="354">
        <f t="shared" si="159"/>
        <v>0</v>
      </c>
      <c r="G311" s="354">
        <f t="shared" si="159"/>
        <v>0</v>
      </c>
      <c r="H311" s="354">
        <f t="shared" si="159"/>
        <v>0</v>
      </c>
      <c r="I311" s="354">
        <f t="shared" si="159"/>
        <v>0</v>
      </c>
      <c r="J311" s="354">
        <f t="shared" si="159"/>
        <v>0</v>
      </c>
      <c r="K311" s="354">
        <f t="shared" si="159"/>
        <v>0</v>
      </c>
      <c r="L311" s="354">
        <f t="shared" si="159"/>
        <v>0</v>
      </c>
      <c r="M311" s="354">
        <f t="shared" si="159"/>
        <v>0</v>
      </c>
      <c r="N311" s="354">
        <f t="shared" si="159"/>
        <v>0</v>
      </c>
      <c r="O311" s="354">
        <f t="shared" si="159"/>
        <v>0</v>
      </c>
      <c r="P311" s="354">
        <f t="shared" si="159"/>
        <v>0</v>
      </c>
    </row>
    <row r="312" spans="2:16" ht="12" customHeight="1">
      <c r="B312" s="355" t="s">
        <v>95</v>
      </c>
      <c r="C312" s="356" cm="1">
        <f t="array" ref="C312">SUMPRODUCT(ISNUMBER(MATCH(mod_st_stu,$B$285,0))*('Koszty operacyjne'!$K$114:$X$114=Moduły!C$77)*ISNUMBER(MATCH(st_stu_kw,tak,0)),st_stu)</f>
        <v>0</v>
      </c>
      <c r="D312" s="356" cm="1">
        <f t="array" ref="D312">SUMPRODUCT(ISNUMBER(MATCH(mod_st_stu,$B$285,0))*('Koszty operacyjne'!$K$114:$X$114=Moduły!D$77)*ISNUMBER(MATCH(st_stu_kw,tak,0)),st_stu)</f>
        <v>0</v>
      </c>
      <c r="E312" s="356" cm="1">
        <f t="array" ref="E312">SUMPRODUCT(ISNUMBER(MATCH(mod_st_stu,$B$285,0))*('Koszty operacyjne'!$K$114:$X$114=Moduły!E$77)*ISNUMBER(MATCH(st_stu_kw,tak,0)),st_stu)</f>
        <v>0</v>
      </c>
      <c r="F312" s="356" cm="1">
        <f t="array" ref="F312">SUMPRODUCT(ISNUMBER(MATCH(mod_st_stu,$B$285,0))*('Koszty operacyjne'!$K$114:$X$114=Moduły!F$77)*ISNUMBER(MATCH(st_stu_kw,tak,0)),st_stu)</f>
        <v>0</v>
      </c>
      <c r="G312" s="356" cm="1">
        <f t="array" ref="G312">SUMPRODUCT(ISNUMBER(MATCH(mod_st_stu,$B$285,0))*('Koszty operacyjne'!$K$114:$X$114=Moduły!G$77)*ISNUMBER(MATCH(st_stu_kw,tak,0)),st_stu)</f>
        <v>0</v>
      </c>
      <c r="H312" s="356" cm="1">
        <f t="array" ref="H312">SUMPRODUCT(ISNUMBER(MATCH(mod_st_stu,$B$285,0))*('Koszty operacyjne'!$K$114:$X$114=Moduły!H$77)*ISNUMBER(MATCH(st_stu_kw,tak,0)),st_stu)</f>
        <v>0</v>
      </c>
      <c r="I312" s="356" cm="1">
        <f t="array" ref="I312">SUMPRODUCT(ISNUMBER(MATCH(mod_st_stu,$B$285,0))*('Koszty operacyjne'!$K$114:$X$114=Moduły!I$77)*ISNUMBER(MATCH(st_stu_kw,tak,0)),st_stu)</f>
        <v>0</v>
      </c>
      <c r="J312" s="356" cm="1">
        <f t="array" ref="J312">SUMPRODUCT(ISNUMBER(MATCH(mod_st_stu,$B$285,0))*('Koszty operacyjne'!$K$114:$X$114=Moduły!J$77)*ISNUMBER(MATCH(st_stu_kw,tak,0)),st_stu)</f>
        <v>0</v>
      </c>
      <c r="K312" s="356" cm="1">
        <f t="array" ref="K312">SUMPRODUCT(ISNUMBER(MATCH(mod_st_stu,$B$285,0))*('Koszty operacyjne'!$K$114:$X$114=Moduły!K$77)*ISNUMBER(MATCH(st_stu_kw,tak,0)),st_stu)</f>
        <v>0</v>
      </c>
      <c r="L312" s="356" cm="1">
        <f t="array" ref="L312">SUMPRODUCT(ISNUMBER(MATCH(mod_st_stu,$B$285,0))*('Koszty operacyjne'!$K$114:$X$114=Moduły!L$77)*ISNUMBER(MATCH(st_stu_kw,tak,0)),st_stu)</f>
        <v>0</v>
      </c>
      <c r="M312" s="356" cm="1">
        <f t="array" ref="M312">SUMPRODUCT(ISNUMBER(MATCH(mod_st_stu,$B$285,0))*('Koszty operacyjne'!$K$114:$X$114=Moduły!M$77)*ISNUMBER(MATCH(st_stu_kw,tak,0)),st_stu)</f>
        <v>0</v>
      </c>
      <c r="N312" s="356" cm="1">
        <f t="array" ref="N312">SUMPRODUCT(ISNUMBER(MATCH(mod_st_stu,$B$285,0))*('Koszty operacyjne'!$K$114:$X$114=Moduły!N$77)*ISNUMBER(MATCH(st_stu_kw,tak,0)),st_stu)</f>
        <v>0</v>
      </c>
      <c r="O312" s="356" cm="1">
        <f t="array" ref="O312">SUMPRODUCT(ISNUMBER(MATCH(mod_st_stu,$B$285,0))*('Koszty operacyjne'!$K$114:$X$114=Moduły!O$77)*ISNUMBER(MATCH(st_stu_kw,tak,0)),st_stu)</f>
        <v>0</v>
      </c>
      <c r="P312" s="356" cm="1">
        <f t="array" ref="P312">SUMPRODUCT(ISNUMBER(MATCH(mod_st_stu,$B$285,0))*('Koszty operacyjne'!$K$114:$X$114=Moduły!P$77)*ISNUMBER(MATCH(st_stu_kw,tak,0)),st_stu)</f>
        <v>0</v>
      </c>
    </row>
    <row r="313" spans="2:16" ht="12" customHeight="1">
      <c r="B313" s="357" t="s">
        <v>96</v>
      </c>
      <c r="C313" s="358" cm="1">
        <f t="array" ref="C313">SUMPRODUCT(ISNUMBER(MATCH(mod_st_stu,$B$285,0))*('Koszty operacyjne'!$K$114:$X$114=Moduły!C$77)*ISNUMBER(MATCH(st_stu_kw,nie,0)),st_stu)</f>
        <v>0</v>
      </c>
      <c r="D313" s="358" cm="1">
        <f t="array" ref="D313">SUMPRODUCT(ISNUMBER(MATCH(mod_st_stu,$B$285,0))*('Koszty operacyjne'!$K$114:$X$114=Moduły!D$77)*ISNUMBER(MATCH(st_stu_kw,nie,0)),st_stu)</f>
        <v>0</v>
      </c>
      <c r="E313" s="358" cm="1">
        <f t="array" ref="E313">SUMPRODUCT(ISNUMBER(MATCH(mod_st_stu,$B$285,0))*('Koszty operacyjne'!$K$114:$X$114=Moduły!E$77)*ISNUMBER(MATCH(st_stu_kw,nie,0)),st_stu)</f>
        <v>0</v>
      </c>
      <c r="F313" s="358" cm="1">
        <f t="array" ref="F313">SUMPRODUCT(ISNUMBER(MATCH(mod_st_stu,$B$285,0))*('Koszty operacyjne'!$K$114:$X$114=Moduły!F$77)*ISNUMBER(MATCH(st_stu_kw,nie,0)),st_stu)</f>
        <v>0</v>
      </c>
      <c r="G313" s="358" cm="1">
        <f t="array" ref="G313">SUMPRODUCT(ISNUMBER(MATCH(mod_st_stu,$B$285,0))*('Koszty operacyjne'!$K$114:$X$114=Moduły!G$77)*ISNUMBER(MATCH(st_stu_kw,nie,0)),st_stu)</f>
        <v>0</v>
      </c>
      <c r="H313" s="358" cm="1">
        <f t="array" ref="H313">SUMPRODUCT(ISNUMBER(MATCH(mod_st_stu,$B$285,0))*('Koszty operacyjne'!$K$114:$X$114=Moduły!H$77)*ISNUMBER(MATCH(st_stu_kw,nie,0)),st_stu)</f>
        <v>0</v>
      </c>
      <c r="I313" s="358" cm="1">
        <f t="array" ref="I313">SUMPRODUCT(ISNUMBER(MATCH(mod_st_stu,$B$285,0))*('Koszty operacyjne'!$K$114:$X$114=Moduły!I$77)*ISNUMBER(MATCH(st_stu_kw,nie,0)),st_stu)</f>
        <v>0</v>
      </c>
      <c r="J313" s="358" cm="1">
        <f t="array" ref="J313">SUMPRODUCT(ISNUMBER(MATCH(mod_st_stu,$B$285,0))*('Koszty operacyjne'!$K$114:$X$114=Moduły!J$77)*ISNUMBER(MATCH(st_stu_kw,nie,0)),st_stu)</f>
        <v>0</v>
      </c>
      <c r="K313" s="359" cm="1">
        <f t="array" ref="K313">SUMPRODUCT(ISNUMBER(MATCH(mod_st_stu,$B$285,0))*('Koszty operacyjne'!$K$114:$X$114=Moduły!K$77)*ISNUMBER(MATCH(st_stu_kw,nie,0)),st_stu)</f>
        <v>0</v>
      </c>
      <c r="L313" s="359" cm="1">
        <f t="array" ref="L313">SUMPRODUCT(ISNUMBER(MATCH(mod_st_stu,$B$285,0))*('Koszty operacyjne'!$K$114:$X$114=Moduły!L$77)*ISNUMBER(MATCH(st_stu_kw,nie,0)),st_stu)</f>
        <v>0</v>
      </c>
      <c r="M313" s="359" cm="1">
        <f t="array" ref="M313">SUMPRODUCT(ISNUMBER(MATCH(mod_st_stu,$B$285,0))*('Koszty operacyjne'!$K$114:$X$114=Moduły!M$77)*ISNUMBER(MATCH(st_stu_kw,nie,0)),st_stu)</f>
        <v>0</v>
      </c>
      <c r="N313" s="359" cm="1">
        <f t="array" ref="N313">SUMPRODUCT(ISNUMBER(MATCH(mod_st_stu,$B$285,0))*('Koszty operacyjne'!$K$114:$X$114=Moduły!N$77)*ISNUMBER(MATCH(st_stu_kw,nie,0)),st_stu)</f>
        <v>0</v>
      </c>
      <c r="O313" s="359" cm="1">
        <f t="array" ref="O313">SUMPRODUCT(ISNUMBER(MATCH(mod_st_stu,$B$285,0))*('Koszty operacyjne'!$K$114:$X$114=Moduły!O$77)*ISNUMBER(MATCH(st_stu_kw,nie,0)),st_stu)</f>
        <v>0</v>
      </c>
      <c r="P313" s="359" cm="1">
        <f t="array" ref="P313">SUMPRODUCT(ISNUMBER(MATCH(mod_st_stu,$B$285,0))*('Koszty operacyjne'!$K$114:$X$114=Moduły!P$77)*ISNUMBER(MATCH(st_stu_kw,nie,0)),st_stu)</f>
        <v>0</v>
      </c>
    </row>
    <row r="314" spans="2:16" ht="3.9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102</v>
      </c>
      <c r="C315" s="354">
        <f t="shared" ref="C315:P315" si="160">SUM(C316:C317)</f>
        <v>0</v>
      </c>
      <c r="D315" s="354">
        <f t="shared" si="160"/>
        <v>0</v>
      </c>
      <c r="E315" s="354">
        <f t="shared" si="160"/>
        <v>0</v>
      </c>
      <c r="F315" s="354">
        <f t="shared" si="160"/>
        <v>0</v>
      </c>
      <c r="G315" s="354">
        <f t="shared" si="160"/>
        <v>0</v>
      </c>
      <c r="H315" s="354">
        <f t="shared" si="160"/>
        <v>0</v>
      </c>
      <c r="I315" s="354">
        <f t="shared" si="160"/>
        <v>0</v>
      </c>
      <c r="J315" s="354">
        <f t="shared" si="160"/>
        <v>0</v>
      </c>
      <c r="K315" s="354">
        <f t="shared" si="160"/>
        <v>0</v>
      </c>
      <c r="L315" s="354">
        <f t="shared" si="160"/>
        <v>0</v>
      </c>
      <c r="M315" s="354">
        <f t="shared" si="160"/>
        <v>0</v>
      </c>
      <c r="N315" s="354">
        <f t="shared" si="160"/>
        <v>0</v>
      </c>
      <c r="O315" s="354">
        <f t="shared" si="160"/>
        <v>0</v>
      </c>
      <c r="P315" s="354">
        <f t="shared" si="160"/>
        <v>0</v>
      </c>
    </row>
    <row r="316" spans="2:16" ht="12" customHeight="1">
      <c r="B316" s="355" t="s">
        <v>95</v>
      </c>
      <c r="C316" s="356" cm="1">
        <f t="array" ref="C316">SUMPRODUCT(ISNUMBER(MATCH(mod_st_ist,$B$285,0))*('Koszty operacyjne'!$K$114:$X$114=Moduły!C$77)*ISNUMBER(MATCH(st_ist_kw,tak,0)),st_ist)</f>
        <v>0</v>
      </c>
      <c r="D316" s="356" cm="1">
        <f t="array" ref="D316">SUMPRODUCT(ISNUMBER(MATCH(mod_st_ist,$B$285,0))*('Koszty operacyjne'!$K$114:$X$114=Moduły!D$77)*ISNUMBER(MATCH(st_ist_kw,tak,0)),st_ist)</f>
        <v>0</v>
      </c>
      <c r="E316" s="356" cm="1">
        <f t="array" ref="E316">SUMPRODUCT(ISNUMBER(MATCH(mod_st_ist,$B$285,0))*('Koszty operacyjne'!$K$114:$X$114=Moduły!E$77)*ISNUMBER(MATCH(st_ist_kw,tak,0)),st_ist)</f>
        <v>0</v>
      </c>
      <c r="F316" s="356" cm="1">
        <f t="array" ref="F316">SUMPRODUCT(ISNUMBER(MATCH(mod_st_ist,$B$285,0))*('Koszty operacyjne'!$K$114:$X$114=Moduły!F$77)*ISNUMBER(MATCH(st_ist_kw,tak,0)),st_ist)</f>
        <v>0</v>
      </c>
      <c r="G316" s="356" cm="1">
        <f t="array" ref="G316">SUMPRODUCT(ISNUMBER(MATCH(mod_st_ist,$B$285,0))*('Koszty operacyjne'!$K$114:$X$114=Moduły!G$77)*ISNUMBER(MATCH(st_ist_kw,tak,0)),st_ist)</f>
        <v>0</v>
      </c>
      <c r="H316" s="356" cm="1">
        <f t="array" ref="H316">SUMPRODUCT(ISNUMBER(MATCH(mod_st_ist,$B$285,0))*('Koszty operacyjne'!$K$114:$X$114=Moduły!H$77)*ISNUMBER(MATCH(st_ist_kw,tak,0)),st_ist)</f>
        <v>0</v>
      </c>
      <c r="I316" s="356" cm="1">
        <f t="array" ref="I316">SUMPRODUCT(ISNUMBER(MATCH(mod_st_ist,$B$285,0))*('Koszty operacyjne'!$K$114:$X$114=Moduły!I$77)*ISNUMBER(MATCH(st_ist_kw,tak,0)),st_ist)</f>
        <v>0</v>
      </c>
      <c r="J316" s="356" cm="1">
        <f t="array" ref="J316">SUMPRODUCT(ISNUMBER(MATCH(mod_st_ist,$B$285,0))*('Koszty operacyjne'!$K$114:$X$114=Moduły!J$77)*ISNUMBER(MATCH(st_ist_kw,tak,0)),st_ist)</f>
        <v>0</v>
      </c>
      <c r="K316" s="356" cm="1">
        <f t="array" ref="K316">SUMPRODUCT(ISNUMBER(MATCH(mod_st_ist,$B$285,0))*('Koszty operacyjne'!$K$114:$X$114=Moduły!K$77)*ISNUMBER(MATCH(st_ist_kw,tak,0)),st_ist)</f>
        <v>0</v>
      </c>
      <c r="L316" s="356" cm="1">
        <f t="array" ref="L316">SUMPRODUCT(ISNUMBER(MATCH(mod_st_ist,$B$285,0))*('Koszty operacyjne'!$K$114:$X$114=Moduły!L$77)*ISNUMBER(MATCH(st_ist_kw,tak,0)),st_ist)</f>
        <v>0</v>
      </c>
      <c r="M316" s="356" cm="1">
        <f t="array" ref="M316">SUMPRODUCT(ISNUMBER(MATCH(mod_st_ist,$B$285,0))*('Koszty operacyjne'!$K$114:$X$114=Moduły!M$77)*ISNUMBER(MATCH(st_ist_kw,tak,0)),st_ist)</f>
        <v>0</v>
      </c>
      <c r="N316" s="356" cm="1">
        <f t="array" ref="N316">SUMPRODUCT(ISNUMBER(MATCH(mod_st_ist,$B$285,0))*('Koszty operacyjne'!$K$114:$X$114=Moduły!N$77)*ISNUMBER(MATCH(st_ist_kw,tak,0)),st_ist)</f>
        <v>0</v>
      </c>
      <c r="O316" s="356" cm="1">
        <f t="array" ref="O316">SUMPRODUCT(ISNUMBER(MATCH(mod_st_ist,$B$285,0))*('Koszty operacyjne'!$K$114:$X$114=Moduły!O$77)*ISNUMBER(MATCH(st_ist_kw,tak,0)),st_ist)</f>
        <v>0</v>
      </c>
      <c r="P316" s="356" cm="1">
        <f t="array" ref="P316">SUMPRODUCT(ISNUMBER(MATCH(mod_st_ist,$B$285,0))*('Koszty operacyjne'!$K$114:$X$114=Moduły!P$77)*ISNUMBER(MATCH(st_ist_kw,tak,0)),st_ist)</f>
        <v>0</v>
      </c>
    </row>
    <row r="317" spans="2:16" ht="12" customHeight="1">
      <c r="B317" s="357" t="s">
        <v>96</v>
      </c>
      <c r="C317" s="358" cm="1">
        <f t="array" ref="C317">SUMPRODUCT(ISNUMBER(MATCH(mod_st_ist,$B$285,0))*('Koszty operacyjne'!$K$114:$X$114=Moduły!C$77)*ISNUMBER(MATCH(st_ist_kw,nie,0)),st_ist)</f>
        <v>0</v>
      </c>
      <c r="D317" s="358" cm="1">
        <f t="array" ref="D317">SUMPRODUCT(ISNUMBER(MATCH(mod_st_ist,$B$285,0))*('Koszty operacyjne'!$K$114:$X$114=Moduły!D$77)*ISNUMBER(MATCH(st_ist_kw,nie,0)),st_ist)</f>
        <v>0</v>
      </c>
      <c r="E317" s="358" cm="1">
        <f t="array" ref="E317">SUMPRODUCT(ISNUMBER(MATCH(mod_st_ist,$B$285,0))*('Koszty operacyjne'!$K$114:$X$114=Moduły!E$77)*ISNUMBER(MATCH(st_ist_kw,nie,0)),st_ist)</f>
        <v>0</v>
      </c>
      <c r="F317" s="358" cm="1">
        <f t="array" ref="F317">SUMPRODUCT(ISNUMBER(MATCH(mod_st_ist,$B$285,0))*('Koszty operacyjne'!$K$114:$X$114=Moduły!F$77)*ISNUMBER(MATCH(st_ist_kw,nie,0)),st_ist)</f>
        <v>0</v>
      </c>
      <c r="G317" s="358" cm="1">
        <f t="array" ref="G317">SUMPRODUCT(ISNUMBER(MATCH(mod_st_ist,$B$285,0))*('Koszty operacyjne'!$K$114:$X$114=Moduły!G$77)*ISNUMBER(MATCH(st_ist_kw,nie,0)),st_ist)</f>
        <v>0</v>
      </c>
      <c r="H317" s="358" cm="1">
        <f t="array" ref="H317">SUMPRODUCT(ISNUMBER(MATCH(mod_st_ist,$B$285,0))*('Koszty operacyjne'!$K$114:$X$114=Moduły!H$77)*ISNUMBER(MATCH(st_ist_kw,nie,0)),st_ist)</f>
        <v>0</v>
      </c>
      <c r="I317" s="358" cm="1">
        <f t="array" ref="I317">SUMPRODUCT(ISNUMBER(MATCH(mod_st_ist,$B$285,0))*('Koszty operacyjne'!$K$114:$X$114=Moduły!I$77)*ISNUMBER(MATCH(st_ist_kw,nie,0)),st_ist)</f>
        <v>0</v>
      </c>
      <c r="J317" s="358" cm="1">
        <f t="array" ref="J317">SUMPRODUCT(ISNUMBER(MATCH(mod_st_ist,$B$285,0))*('Koszty operacyjne'!$K$114:$X$114=Moduły!J$77)*ISNUMBER(MATCH(st_ist_kw,nie,0)),st_ist)</f>
        <v>0</v>
      </c>
      <c r="K317" s="359" cm="1">
        <f t="array" ref="K317">SUMPRODUCT(ISNUMBER(MATCH(mod_st_ist,$B$285,0))*('Koszty operacyjne'!$K$114:$X$114=Moduły!K$77)*ISNUMBER(MATCH(st_ist_kw,nie,0)),st_ist)</f>
        <v>0</v>
      </c>
      <c r="L317" s="359" cm="1">
        <f t="array" ref="L317">SUMPRODUCT(ISNUMBER(MATCH(mod_st_ist,$B$285,0))*('Koszty operacyjne'!$K$114:$X$114=Moduły!L$77)*ISNUMBER(MATCH(st_ist_kw,nie,0)),st_ist)</f>
        <v>0</v>
      </c>
      <c r="M317" s="359" cm="1">
        <f t="array" ref="M317">SUMPRODUCT(ISNUMBER(MATCH(mod_st_ist,$B$285,0))*('Koszty operacyjne'!$K$114:$X$114=Moduły!M$77)*ISNUMBER(MATCH(st_ist_kw,nie,0)),st_ist)</f>
        <v>0</v>
      </c>
      <c r="N317" s="359" cm="1">
        <f t="array" ref="N317">SUMPRODUCT(ISNUMBER(MATCH(mod_st_ist,$B$285,0))*('Koszty operacyjne'!$K$114:$X$114=Moduły!N$77)*ISNUMBER(MATCH(st_ist_kw,nie,0)),st_ist)</f>
        <v>0</v>
      </c>
      <c r="O317" s="359" cm="1">
        <f t="array" ref="O317">SUMPRODUCT(ISNUMBER(MATCH(mod_st_ist,$B$285,0))*('Koszty operacyjne'!$K$114:$X$114=Moduły!O$77)*ISNUMBER(MATCH(st_ist_kw,nie,0)),st_ist)</f>
        <v>0</v>
      </c>
      <c r="P317" s="359" cm="1">
        <f t="array" ref="P317">SUMPRODUCT(ISNUMBER(MATCH(mod_st_ist,$B$285,0))*('Koszty operacyjne'!$K$114:$X$114=Moduły!P$77)*ISNUMBER(MATCH(st_ist_kw,nie,0)),st_ist)</f>
        <v>0</v>
      </c>
    </row>
    <row r="318" spans="2:16" ht="12" customHeight="1"/>
    <row r="319" spans="2:16">
      <c r="B319" s="98" t="s">
        <v>104</v>
      </c>
      <c r="C319" s="97" cm="1">
        <f t="array" ref="C319">SUMPRODUCT(ISNUMBER(MATCH(mod_pp_ppu,$B$285,0))*('Koszty operacyjne'!$K$114:$X$114=Moduły!C$77),pp_ppu)+SUMPRODUCT(ISNUMBER(MATCH(mod_pp_ptim,$B$285,0))*('Koszty operacyjne'!$K$114:$X$114=Moduły!C$77),pp_ptim)</f>
        <v>0</v>
      </c>
      <c r="D319" s="97" cm="1">
        <f t="array" ref="D319">SUMPRODUCT(ISNUMBER(MATCH(mod_pp_ppu,$B$285,0))*('Koszty operacyjne'!$K$114:$X$114=Moduły!D$77),pp_ppu)+SUMPRODUCT(ISNUMBER(MATCH(mod_pp_ptim,$B$285,0))*('Koszty operacyjne'!$K$114:$X$114=Moduły!D$77),pp_ptim)</f>
        <v>0</v>
      </c>
      <c r="E319" s="97" cm="1">
        <f t="array" ref="E319">SUMPRODUCT(ISNUMBER(MATCH(mod_pp_ppu,$B$285,0))*('Koszty operacyjne'!$K$114:$X$114=Moduły!E$77),pp_ppu)+SUMPRODUCT(ISNUMBER(MATCH(mod_pp_ptim,$B$285,0))*('Koszty operacyjne'!$K$114:$X$114=Moduły!E$77),pp_ptim)</f>
        <v>0</v>
      </c>
      <c r="F319" s="97" cm="1">
        <f t="array" ref="F319">SUMPRODUCT(ISNUMBER(MATCH(mod_pp_ppu,$B$285,0))*('Koszty operacyjne'!$K$114:$X$114=Moduły!F$77),pp_ppu)+SUMPRODUCT(ISNUMBER(MATCH(mod_pp_ptim,$B$285,0))*('Koszty operacyjne'!$K$114:$X$114=Moduły!F$77),pp_ptim)</f>
        <v>0</v>
      </c>
      <c r="G319" s="97" cm="1">
        <f t="array" ref="G319">SUMPRODUCT(ISNUMBER(MATCH(mod_pp_ppu,$B$285,0))*('Koszty operacyjne'!$K$114:$X$114=Moduły!G$77),pp_ppu)+SUMPRODUCT(ISNUMBER(MATCH(mod_pp_ptim,$B$285,0))*('Koszty operacyjne'!$K$114:$X$114=Moduły!G$77),pp_ptim)</f>
        <v>0</v>
      </c>
      <c r="H319" s="97" cm="1">
        <f t="array" ref="H319">SUMPRODUCT(ISNUMBER(MATCH(mod_pp_ppu,$B$285,0))*('Koszty operacyjne'!$K$114:$X$114=Moduły!H$77),pp_ppu)+SUMPRODUCT(ISNUMBER(MATCH(mod_pp_ptim,$B$285,0))*('Koszty operacyjne'!$K$114:$X$114=Moduły!H$77),pp_ptim)</f>
        <v>0</v>
      </c>
      <c r="I319" s="97" cm="1">
        <f t="array" ref="I319">SUMPRODUCT(ISNUMBER(MATCH(mod_pp_ppu,$B$285,0))*('Koszty operacyjne'!$K$114:$X$114=Moduły!I$77),pp_ppu)+SUMPRODUCT(ISNUMBER(MATCH(mod_pp_ptim,$B$285,0))*('Koszty operacyjne'!$K$114:$X$114=Moduły!I$77),pp_ptim)</f>
        <v>0</v>
      </c>
      <c r="J319" s="97" cm="1">
        <f t="array" ref="J319">SUMPRODUCT(ISNUMBER(MATCH(mod_pp_ppu,$B$285,0))*('Koszty operacyjne'!$K$114:$X$114=Moduły!J$77),pp_ppu)+SUMPRODUCT(ISNUMBER(MATCH(mod_pp_ptim,$B$285,0))*('Koszty operacyjne'!$K$114:$X$114=Moduły!J$77),pp_ptim)</f>
        <v>0</v>
      </c>
      <c r="K319" s="97" cm="1">
        <f t="array" ref="K319">SUMPRODUCT(ISNUMBER(MATCH(mod_pp_ppu,$B$285,0))*('Koszty operacyjne'!$K$114:$X$114=Moduły!K$77),pp_ppu)+SUMPRODUCT(ISNUMBER(MATCH(mod_pp_ptim,$B$285,0))*('Koszty operacyjne'!$K$114:$X$114=Moduły!K$77),pp_ptim)</f>
        <v>0</v>
      </c>
      <c r="L319" s="97" cm="1">
        <f t="array" ref="L319">SUMPRODUCT(ISNUMBER(MATCH(mod_pp_ppu,$B$285,0))*('Koszty operacyjne'!$K$114:$X$114=Moduły!L$77),pp_ppu)+SUMPRODUCT(ISNUMBER(MATCH(mod_pp_ptim,$B$285,0))*('Koszty operacyjne'!$K$114:$X$114=Moduły!L$77),pp_ptim)</f>
        <v>0</v>
      </c>
      <c r="M319" s="97" cm="1">
        <f t="array" ref="M319">SUMPRODUCT(ISNUMBER(MATCH(mod_pp_ppu,$B$285,0))*('Koszty operacyjne'!$K$114:$X$114=Moduły!M$77),pp_ppu)+SUMPRODUCT(ISNUMBER(MATCH(mod_pp_ptim,$B$285,0))*('Koszty operacyjne'!$K$114:$X$114=Moduły!M$77),pp_ptim)</f>
        <v>0</v>
      </c>
      <c r="N319" s="97" cm="1">
        <f t="array" ref="N319">SUMPRODUCT(ISNUMBER(MATCH(mod_pp_ppu,$B$285,0))*('Koszty operacyjne'!$K$114:$X$114=Moduły!N$77),pp_ppu)+SUMPRODUCT(ISNUMBER(MATCH(mod_pp_ptim,$B$285,0))*('Koszty operacyjne'!$K$114:$X$114=Moduły!N$77),pp_ptim)</f>
        <v>0</v>
      </c>
      <c r="O319" s="97" cm="1">
        <f t="array" ref="O319">SUMPRODUCT(ISNUMBER(MATCH(mod_pp_ppu,$B$285,0))*('Koszty operacyjne'!$K$114:$X$114=Moduły!O$77),pp_ppu)+SUMPRODUCT(ISNUMBER(MATCH(mod_pp_ptim,$B$285,0))*('Koszty operacyjne'!$K$114:$X$114=Moduły!O$77),pp_ptim)</f>
        <v>0</v>
      </c>
      <c r="P319" s="97" cm="1">
        <f t="array" ref="P319">SUMPRODUCT(ISNUMBER(MATCH(mod_pp_ppu,$B$285,0))*('Koszty operacyjne'!$K$114:$X$114=Moduły!P$77),pp_ppu)+SUMPRODUCT(ISNUMBER(MATCH(mod_pp_ptim,$B$285,0))*('Koszty operacyjne'!$K$114:$X$114=Moduły!P$77),pp_ptim)</f>
        <v>0</v>
      </c>
    </row>
    <row r="320" spans="2:16" ht="3.9" customHeight="1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2:16">
      <c r="B321" s="98" t="s">
        <v>105</v>
      </c>
      <c r="C321" s="97">
        <f t="shared" ref="C321:L321" ca="1" si="161">SUM(C322:C329)</f>
        <v>0</v>
      </c>
      <c r="D321" s="97">
        <f t="shared" ca="1" si="161"/>
        <v>0</v>
      </c>
      <c r="E321" s="97">
        <f t="shared" ca="1" si="161"/>
        <v>0</v>
      </c>
      <c r="F321" s="97">
        <f t="shared" ca="1" si="161"/>
        <v>0</v>
      </c>
      <c r="G321" s="97">
        <f t="shared" ca="1" si="161"/>
        <v>0</v>
      </c>
      <c r="H321" s="97">
        <f t="shared" ca="1" si="161"/>
        <v>0</v>
      </c>
      <c r="I321" s="97">
        <f t="shared" ca="1" si="161"/>
        <v>0</v>
      </c>
      <c r="J321" s="97">
        <f t="shared" ca="1" si="161"/>
        <v>0</v>
      </c>
      <c r="K321" s="97">
        <f t="shared" ca="1" si="161"/>
        <v>0</v>
      </c>
      <c r="L321" s="97">
        <f t="shared" ca="1" si="161"/>
        <v>0</v>
      </c>
      <c r="M321" s="97">
        <f ca="1">SUM(M322:M329)</f>
        <v>0</v>
      </c>
      <c r="N321" s="97">
        <f ca="1">SUM(N322:N329)</f>
        <v>0</v>
      </c>
      <c r="O321" s="97">
        <f ca="1">SUM(O322:O329)</f>
        <v>0</v>
      </c>
      <c r="P321" s="97">
        <f ca="1">SUM(P322:P329)</f>
        <v>0</v>
      </c>
    </row>
    <row r="322" spans="2:16">
      <c r="B322" s="103" t="s">
        <v>106</v>
      </c>
      <c r="C322" s="102" cm="1">
        <f t="array" aca="1" ref="C322" ca="1">SUMPRODUCT(ISNUMBER(MATCH(mod_st_am,$B$285,0))*('Koszty operacyjne'!$K$114:$X$114=Moduły!C$77),st_am)</f>
        <v>0</v>
      </c>
      <c r="D322" s="102" cm="1">
        <f t="array" aca="1" ref="D322" ca="1">SUMPRODUCT(ISNUMBER(MATCH(mod_st_am,$B$285,0))*('Koszty operacyjne'!$K$114:$X$114=Moduły!D$77),st_am)</f>
        <v>0</v>
      </c>
      <c r="E322" s="102" cm="1">
        <f t="array" aca="1" ref="E322" ca="1">SUMPRODUCT(ISNUMBER(MATCH(mod_st_am,$B$285,0))*('Koszty operacyjne'!$K$114:$X$114=Moduły!E$77),st_am)</f>
        <v>0</v>
      </c>
      <c r="F322" s="102" cm="1">
        <f t="array" aca="1" ref="F322" ca="1">SUMPRODUCT(ISNUMBER(MATCH(mod_st_am,$B$285,0))*('Koszty operacyjne'!$K$114:$X$114=Moduły!F$77),st_am)</f>
        <v>0</v>
      </c>
      <c r="G322" s="102" cm="1">
        <f t="array" aca="1" ref="G322" ca="1">SUMPRODUCT(ISNUMBER(MATCH(mod_st_am,$B$285,0))*('Koszty operacyjne'!$K$114:$X$114=Moduły!G$77),st_am)</f>
        <v>0</v>
      </c>
      <c r="H322" s="102" cm="1">
        <f t="array" aca="1" ref="H322" ca="1">SUMPRODUCT(ISNUMBER(MATCH(mod_st_am,$B$285,0))*('Koszty operacyjne'!$K$114:$X$114=Moduły!H$77),st_am)</f>
        <v>0</v>
      </c>
      <c r="I322" s="102" cm="1">
        <f t="array" aca="1" ref="I322" ca="1">SUMPRODUCT(ISNUMBER(MATCH(mod_st_am,$B$285,0))*('Koszty operacyjne'!$K$114:$X$114=Moduły!I$77),st_am)</f>
        <v>0</v>
      </c>
      <c r="J322" s="102" cm="1">
        <f t="array" aca="1" ref="J322" ca="1">SUMPRODUCT(ISNUMBER(MATCH(mod_st_am,$B$285,0))*('Koszty operacyjne'!$K$114:$X$114=Moduły!J$77),st_am)</f>
        <v>0</v>
      </c>
      <c r="K322" s="102" cm="1">
        <f t="array" aca="1" ref="K322" ca="1">SUMPRODUCT(ISNUMBER(MATCH(mod_st_am,$B$285,0))*('Koszty operacyjne'!$K$114:$X$114=Moduły!K$77),st_am)</f>
        <v>0</v>
      </c>
      <c r="L322" s="102" cm="1">
        <f t="array" aca="1" ref="L322" ca="1">SUMPRODUCT(ISNUMBER(MATCH(mod_st_am,$B$285,0))*('Koszty operacyjne'!$K$114:$X$114=Moduły!L$77),st_am)</f>
        <v>0</v>
      </c>
      <c r="M322" s="102" cm="1">
        <f t="array" aca="1" ref="M322" ca="1">SUMPRODUCT(ISNUMBER(MATCH(mod_st_am,$B$285,0))*('Koszty operacyjne'!$K$114:$X$114=Moduły!M$77),st_am)</f>
        <v>0</v>
      </c>
      <c r="N322" s="102" cm="1">
        <f t="array" aca="1" ref="N322" ca="1">SUMPRODUCT(ISNUMBER(MATCH(mod_st_am,$B$285,0))*('Koszty operacyjne'!$K$114:$X$114=Moduły!N$77),st_am)</f>
        <v>0</v>
      </c>
      <c r="O322" s="102" cm="1">
        <f t="array" aca="1" ref="O322" ca="1">SUMPRODUCT(ISNUMBER(MATCH(mod_st_am,$B$285,0))*('Koszty operacyjne'!$K$114:$X$114=Moduły!O$77),st_am)</f>
        <v>0</v>
      </c>
      <c r="P322" s="102" cm="1">
        <f t="array" aca="1" ref="P322" ca="1">SUMPRODUCT(ISNUMBER(MATCH(mod_st_am,$B$285,0))*('Koszty operacyjne'!$K$114:$X$114=Moduły!P$77),st_am)</f>
        <v>0</v>
      </c>
    </row>
    <row r="323" spans="2:16">
      <c r="B323" s="37" t="s">
        <v>107</v>
      </c>
      <c r="C323" s="33" cm="1">
        <f t="array" ref="C323">SUMPRODUCT(ISNUMBER(MATCH(mod_ko_zme,$B$285,0))*('Koszty operacyjne'!$K$114:$X$114=Moduły!C$77),ko_zme)</f>
        <v>0</v>
      </c>
      <c r="D323" s="33" cm="1">
        <f t="array" ref="D323">SUMPRODUCT(ISNUMBER(MATCH(mod_ko_zme,$B$285,0))*('Koszty operacyjne'!$K$114:$X$114=Moduły!D$77),ko_zme)</f>
        <v>0</v>
      </c>
      <c r="E323" s="33" cm="1">
        <f t="array" ref="E323">SUMPRODUCT(ISNUMBER(MATCH(mod_ko_zme,$B$285,0))*('Koszty operacyjne'!$K$114:$X$114=Moduły!E$77),ko_zme)</f>
        <v>0</v>
      </c>
      <c r="F323" s="33" cm="1">
        <f t="array" ref="F323">SUMPRODUCT(ISNUMBER(MATCH(mod_ko_zme,$B$285,0))*('Koszty operacyjne'!$K$114:$X$114=Moduły!F$77),ko_zme)</f>
        <v>0</v>
      </c>
      <c r="G323" s="33" cm="1">
        <f t="array" ref="G323">SUMPRODUCT(ISNUMBER(MATCH(mod_ko_zme,$B$285,0))*('Koszty operacyjne'!$K$114:$X$114=Moduły!G$77),ko_zme)</f>
        <v>0</v>
      </c>
      <c r="H323" s="33" cm="1">
        <f t="array" ref="H323">SUMPRODUCT(ISNUMBER(MATCH(mod_ko_zme,$B$285,0))*('Koszty operacyjne'!$K$114:$X$114=Moduły!H$77),ko_zme)</f>
        <v>0</v>
      </c>
      <c r="I323" s="33" cm="1">
        <f t="array" ref="I323">SUMPRODUCT(ISNUMBER(MATCH(mod_ko_zme,$B$285,0))*('Koszty operacyjne'!$K$114:$X$114=Moduły!I$77),ko_zme)</f>
        <v>0</v>
      </c>
      <c r="J323" s="33" cm="1">
        <f t="array" ref="J323">SUMPRODUCT(ISNUMBER(MATCH(mod_ko_zme,$B$285,0))*('Koszty operacyjne'!$K$114:$X$114=Moduły!J$77),ko_zme)</f>
        <v>0</v>
      </c>
      <c r="K323" s="33" cm="1">
        <f t="array" ref="K323">SUMPRODUCT(ISNUMBER(MATCH(mod_ko_zme,$B$285,0))*('Koszty operacyjne'!$K$114:$X$114=Moduły!K$77),ko_zme)</f>
        <v>0</v>
      </c>
      <c r="L323" s="33" cm="1">
        <f t="array" ref="L323">SUMPRODUCT(ISNUMBER(MATCH(mod_ko_zme,$B$285,0))*('Koszty operacyjne'!$K$114:$X$114=Moduły!L$77),ko_zme)</f>
        <v>0</v>
      </c>
      <c r="M323" s="33" cm="1">
        <f t="array" ref="M323">SUMPRODUCT(ISNUMBER(MATCH(mod_ko_zme,$B$285,0))*('Koszty operacyjne'!$K$114:$X$114=Moduły!M$77),ko_zme)</f>
        <v>0</v>
      </c>
      <c r="N323" s="33" cm="1">
        <f t="array" ref="N323">SUMPRODUCT(ISNUMBER(MATCH(mod_ko_zme,$B$285,0))*('Koszty operacyjne'!$K$114:$X$114=Moduły!N$77),ko_zme)</f>
        <v>0</v>
      </c>
      <c r="O323" s="33" cm="1">
        <f t="array" ref="O323">SUMPRODUCT(ISNUMBER(MATCH(mod_ko_zme,$B$285,0))*('Koszty operacyjne'!$K$114:$X$114=Moduły!O$77),ko_zme)</f>
        <v>0</v>
      </c>
      <c r="P323" s="33" cm="1">
        <f t="array" ref="P323">SUMPRODUCT(ISNUMBER(MATCH(mod_ko_zme,$B$285,0))*('Koszty operacyjne'!$K$114:$X$114=Moduły!P$77),ko_zme)</f>
        <v>0</v>
      </c>
    </row>
    <row r="324" spans="2:16">
      <c r="B324" s="37" t="s">
        <v>108</v>
      </c>
      <c r="C324" s="33" cm="1">
        <f t="array" ref="C324">SUMPRODUCT(ISNUMBER(MATCH(mod_ko_uoe,$B$285,0))*('Koszty operacyjne'!$K$114:$X$114=Moduły!C$77),ko_uoe)</f>
        <v>0</v>
      </c>
      <c r="D324" s="33" cm="1">
        <f t="array" ref="D324">SUMPRODUCT(ISNUMBER(MATCH(mod_ko_uoe,$B$285,0))*('Koszty operacyjne'!$K$114:$X$114=Moduły!D$77),ko_uoe)</f>
        <v>0</v>
      </c>
      <c r="E324" s="33" cm="1">
        <f t="array" ref="E324">SUMPRODUCT(ISNUMBER(MATCH(mod_ko_uoe,$B$285,0))*('Koszty operacyjne'!$K$114:$X$114=Moduły!E$77),ko_uoe)</f>
        <v>0</v>
      </c>
      <c r="F324" s="33" cm="1">
        <f t="array" ref="F324">SUMPRODUCT(ISNUMBER(MATCH(mod_ko_uoe,$B$285,0))*('Koszty operacyjne'!$K$114:$X$114=Moduły!F$77),ko_uoe)</f>
        <v>0</v>
      </c>
      <c r="G324" s="33" cm="1">
        <f t="array" ref="G324">SUMPRODUCT(ISNUMBER(MATCH(mod_ko_uoe,$B$285,0))*('Koszty operacyjne'!$K$114:$X$114=Moduły!G$77),ko_uoe)</f>
        <v>0</v>
      </c>
      <c r="H324" s="33" cm="1">
        <f t="array" ref="H324">SUMPRODUCT(ISNUMBER(MATCH(mod_ko_uoe,$B$285,0))*('Koszty operacyjne'!$K$114:$X$114=Moduły!H$77),ko_uoe)</f>
        <v>0</v>
      </c>
      <c r="I324" s="33" cm="1">
        <f t="array" ref="I324">SUMPRODUCT(ISNUMBER(MATCH(mod_ko_uoe,$B$285,0))*('Koszty operacyjne'!$K$114:$X$114=Moduły!I$77),ko_uoe)</f>
        <v>0</v>
      </c>
      <c r="J324" s="33" cm="1">
        <f t="array" ref="J324">SUMPRODUCT(ISNUMBER(MATCH(mod_ko_uoe,$B$285,0))*('Koszty operacyjne'!$K$114:$X$114=Moduły!J$77),ko_uoe)</f>
        <v>0</v>
      </c>
      <c r="K324" s="33" cm="1">
        <f t="array" ref="K324">SUMPRODUCT(ISNUMBER(MATCH(mod_ko_uoe,$B$285,0))*('Koszty operacyjne'!$K$114:$X$114=Moduły!K$77),ko_uoe)</f>
        <v>0</v>
      </c>
      <c r="L324" s="33" cm="1">
        <f t="array" ref="L324">SUMPRODUCT(ISNUMBER(MATCH(mod_ko_uoe,$B$285,0))*('Koszty operacyjne'!$K$114:$X$114=Moduły!L$77),ko_uoe)</f>
        <v>0</v>
      </c>
      <c r="M324" s="33" cm="1">
        <f t="array" ref="M324">SUMPRODUCT(ISNUMBER(MATCH(mod_ko_uoe,$B$285,0))*('Koszty operacyjne'!$K$114:$X$114=Moduły!M$77),ko_uoe)</f>
        <v>0</v>
      </c>
      <c r="N324" s="33" cm="1">
        <f t="array" ref="N324">SUMPRODUCT(ISNUMBER(MATCH(mod_ko_uoe,$B$285,0))*('Koszty operacyjne'!$K$114:$X$114=Moduły!N$77),ko_uoe)</f>
        <v>0</v>
      </c>
      <c r="O324" s="33" cm="1">
        <f t="array" ref="O324">SUMPRODUCT(ISNUMBER(MATCH(mod_ko_uoe,$B$285,0))*('Koszty operacyjne'!$K$114:$X$114=Moduły!O$77),ko_uoe)</f>
        <v>0</v>
      </c>
      <c r="P324" s="33" cm="1">
        <f t="array" ref="P324">SUMPRODUCT(ISNUMBER(MATCH(mod_ko_uoe,$B$285,0))*('Koszty operacyjne'!$K$114:$X$114=Moduły!P$77),ko_uoe)</f>
        <v>0</v>
      </c>
    </row>
    <row r="325" spans="2:16">
      <c r="B325" s="37" t="s">
        <v>778</v>
      </c>
      <c r="C325" s="33" cm="1">
        <f t="array" ref="C325">SUMPRODUCT(ISNUMBER(MATCH(mod_ko_pio,$B$285,0))*('Koszty operacyjne'!$K$114:$X$114=Moduły!C$77),ko_pio)</f>
        <v>0</v>
      </c>
      <c r="D325" s="33" cm="1">
        <f t="array" ref="D325">SUMPRODUCT(ISNUMBER(MATCH(mod_ko_pio,$B$285,0))*('Koszty operacyjne'!$K$114:$X$114=Moduły!D$77),ko_pio)</f>
        <v>0</v>
      </c>
      <c r="E325" s="33" cm="1">
        <f t="array" ref="E325">SUMPRODUCT(ISNUMBER(MATCH(mod_ko_pio,$B$285,0))*('Koszty operacyjne'!$K$114:$X$114=Moduły!E$77),ko_pio)</f>
        <v>0</v>
      </c>
      <c r="F325" s="33" cm="1">
        <f t="array" ref="F325">SUMPRODUCT(ISNUMBER(MATCH(mod_ko_pio,$B$285,0))*('Koszty operacyjne'!$K$114:$X$114=Moduły!F$77),ko_pio)</f>
        <v>0</v>
      </c>
      <c r="G325" s="33" cm="1">
        <f t="array" ref="G325">SUMPRODUCT(ISNUMBER(MATCH(mod_ko_pio,$B$285,0))*('Koszty operacyjne'!$K$114:$X$114=Moduły!G$77),ko_pio)</f>
        <v>0</v>
      </c>
      <c r="H325" s="33" cm="1">
        <f t="array" ref="H325">SUMPRODUCT(ISNUMBER(MATCH(mod_ko_pio,$B$285,0))*('Koszty operacyjne'!$K$114:$X$114=Moduły!H$77),ko_pio)</f>
        <v>0</v>
      </c>
      <c r="I325" s="33" cm="1">
        <f t="array" ref="I325">SUMPRODUCT(ISNUMBER(MATCH(mod_ko_pio,$B$285,0))*('Koszty operacyjne'!$K$114:$X$114=Moduły!I$77),ko_pio)</f>
        <v>0</v>
      </c>
      <c r="J325" s="33" cm="1">
        <f t="array" ref="J325">SUMPRODUCT(ISNUMBER(MATCH(mod_ko_pio,$B$285,0))*('Koszty operacyjne'!$K$114:$X$114=Moduły!J$77),ko_pio)</f>
        <v>0</v>
      </c>
      <c r="K325" s="33" cm="1">
        <f t="array" ref="K325">SUMPRODUCT(ISNUMBER(MATCH(mod_ko_pio,$B$285,0))*('Koszty operacyjne'!$K$114:$X$114=Moduły!K$77),ko_pio)</f>
        <v>0</v>
      </c>
      <c r="L325" s="33" cm="1">
        <f t="array" ref="L325">SUMPRODUCT(ISNUMBER(MATCH(mod_ko_pio,$B$285,0))*('Koszty operacyjne'!$K$114:$X$114=Moduły!L$77),ko_pio)</f>
        <v>0</v>
      </c>
      <c r="M325" s="33" cm="1">
        <f t="array" ref="M325">SUMPRODUCT(ISNUMBER(MATCH(mod_ko_pio,$B$285,0))*('Koszty operacyjne'!$K$114:$X$114=Moduły!M$77),ko_pio)</f>
        <v>0</v>
      </c>
      <c r="N325" s="33" cm="1">
        <f t="array" ref="N325">SUMPRODUCT(ISNUMBER(MATCH(mod_ko_pio,$B$285,0))*('Koszty operacyjne'!$K$114:$X$114=Moduły!N$77),ko_pio)</f>
        <v>0</v>
      </c>
      <c r="O325" s="33" cm="1">
        <f t="array" ref="O325">SUMPRODUCT(ISNUMBER(MATCH(mod_ko_pio,$B$285,0))*('Koszty operacyjne'!$K$114:$X$114=Moduły!O$77),ko_pio)</f>
        <v>0</v>
      </c>
      <c r="P325" s="33" cm="1">
        <f t="array" ref="P325">SUMPRODUCT(ISNUMBER(MATCH(mod_ko_pio,$B$285,0))*('Koszty operacyjne'!$K$114:$X$114=Moduły!P$77),ko_pio)</f>
        <v>0</v>
      </c>
    </row>
    <row r="326" spans="2:16">
      <c r="B326" s="37" t="s">
        <v>109</v>
      </c>
      <c r="C326" s="33" cm="1">
        <f t="array" ref="C326">SUMPRODUCT(ISNUMBER(MATCH(mod_ko_wyn,$B$285,0))*('Koszty operacyjne'!$K$114:$X$114=Moduły!C$77),ko_wyn)</f>
        <v>0</v>
      </c>
      <c r="D326" s="33" cm="1">
        <f t="array" ref="D326">SUMPRODUCT(ISNUMBER(MATCH(mod_ko_wyn,$B$285,0))*('Koszty operacyjne'!$K$114:$X$114=Moduły!D$77),ko_wyn)</f>
        <v>0</v>
      </c>
      <c r="E326" s="33" cm="1">
        <f t="array" ref="E326">SUMPRODUCT(ISNUMBER(MATCH(mod_ko_wyn,$B$285,0))*('Koszty operacyjne'!$K$114:$X$114=Moduły!E$77),ko_wyn)</f>
        <v>0</v>
      </c>
      <c r="F326" s="33" cm="1">
        <f t="array" ref="F326">SUMPRODUCT(ISNUMBER(MATCH(mod_ko_wyn,$B$285,0))*('Koszty operacyjne'!$K$114:$X$114=Moduły!F$77),ko_wyn)</f>
        <v>0</v>
      </c>
      <c r="G326" s="33" cm="1">
        <f t="array" ref="G326">SUMPRODUCT(ISNUMBER(MATCH(mod_ko_wyn,$B$285,0))*('Koszty operacyjne'!$K$114:$X$114=Moduły!G$77),ko_wyn)</f>
        <v>0</v>
      </c>
      <c r="H326" s="33" cm="1">
        <f t="array" ref="H326">SUMPRODUCT(ISNUMBER(MATCH(mod_ko_wyn,$B$285,0))*('Koszty operacyjne'!$K$114:$X$114=Moduły!H$77),ko_wyn)</f>
        <v>0</v>
      </c>
      <c r="I326" s="33" cm="1">
        <f t="array" ref="I326">SUMPRODUCT(ISNUMBER(MATCH(mod_ko_wyn,$B$285,0))*('Koszty operacyjne'!$K$114:$X$114=Moduły!I$77),ko_wyn)</f>
        <v>0</v>
      </c>
      <c r="J326" s="33" cm="1">
        <f t="array" ref="J326">SUMPRODUCT(ISNUMBER(MATCH(mod_ko_wyn,$B$285,0))*('Koszty operacyjne'!$K$114:$X$114=Moduły!J$77),ko_wyn)</f>
        <v>0</v>
      </c>
      <c r="K326" s="33" cm="1">
        <f t="array" ref="K326">SUMPRODUCT(ISNUMBER(MATCH(mod_ko_wyn,$B$285,0))*('Koszty operacyjne'!$K$114:$X$114=Moduły!K$77),ko_wyn)</f>
        <v>0</v>
      </c>
      <c r="L326" s="33" cm="1">
        <f t="array" ref="L326">SUMPRODUCT(ISNUMBER(MATCH(mod_ko_wyn,$B$285,0))*('Koszty operacyjne'!$K$114:$X$114=Moduły!L$77),ko_wyn)</f>
        <v>0</v>
      </c>
      <c r="M326" s="33" cm="1">
        <f t="array" ref="M326">SUMPRODUCT(ISNUMBER(MATCH(mod_ko_wyn,$B$285,0))*('Koszty operacyjne'!$K$114:$X$114=Moduły!M$77),ko_wyn)</f>
        <v>0</v>
      </c>
      <c r="N326" s="33" cm="1">
        <f t="array" ref="N326">SUMPRODUCT(ISNUMBER(MATCH(mod_ko_wyn,$B$285,0))*('Koszty operacyjne'!$K$114:$X$114=Moduły!N$77),ko_wyn)</f>
        <v>0</v>
      </c>
      <c r="O326" s="33" cm="1">
        <f t="array" ref="O326">SUMPRODUCT(ISNUMBER(MATCH(mod_ko_wyn,$B$285,0))*('Koszty operacyjne'!$K$114:$X$114=Moduły!O$77),ko_wyn)</f>
        <v>0</v>
      </c>
      <c r="P326" s="33" cm="1">
        <f t="array" ref="P326">SUMPRODUCT(ISNUMBER(MATCH(mod_ko_wyn,$B$285,0))*('Koszty operacyjne'!$K$114:$X$114=Moduły!P$77),ko_wyn)</f>
        <v>0</v>
      </c>
    </row>
    <row r="327" spans="2:16">
      <c r="B327" s="37" t="s">
        <v>110</v>
      </c>
      <c r="C327" s="33" cm="1">
        <f t="array" ref="C327">SUMPRODUCT(ISNUMBER(MATCH(mod_ko_zus,$B$285,0))*('Koszty operacyjne'!$K$114:$X$114=Moduły!C$77),ko_zus)</f>
        <v>0</v>
      </c>
      <c r="D327" s="33" cm="1">
        <f t="array" ref="D327">SUMPRODUCT(ISNUMBER(MATCH(mod_ko_zus,$B$285,0))*('Koszty operacyjne'!$K$114:$X$114=Moduły!D$77),ko_zus)</f>
        <v>0</v>
      </c>
      <c r="E327" s="33" cm="1">
        <f t="array" ref="E327">SUMPRODUCT(ISNUMBER(MATCH(mod_ko_zus,$B$285,0))*('Koszty operacyjne'!$K$114:$X$114=Moduły!E$77),ko_zus)</f>
        <v>0</v>
      </c>
      <c r="F327" s="33" cm="1">
        <f t="array" ref="F327">SUMPRODUCT(ISNUMBER(MATCH(mod_ko_zus,$B$285,0))*('Koszty operacyjne'!$K$114:$X$114=Moduły!F$77),ko_zus)</f>
        <v>0</v>
      </c>
      <c r="G327" s="33" cm="1">
        <f t="array" ref="G327">SUMPRODUCT(ISNUMBER(MATCH(mod_ko_zus,$B$285,0))*('Koszty operacyjne'!$K$114:$X$114=Moduły!G$77),ko_zus)</f>
        <v>0</v>
      </c>
      <c r="H327" s="33" cm="1">
        <f t="array" ref="H327">SUMPRODUCT(ISNUMBER(MATCH(mod_ko_zus,$B$285,0))*('Koszty operacyjne'!$K$114:$X$114=Moduły!H$77),ko_zus)</f>
        <v>0</v>
      </c>
      <c r="I327" s="33" cm="1">
        <f t="array" ref="I327">SUMPRODUCT(ISNUMBER(MATCH(mod_ko_zus,$B$285,0))*('Koszty operacyjne'!$K$114:$X$114=Moduły!I$77),ko_zus)</f>
        <v>0</v>
      </c>
      <c r="J327" s="33" cm="1">
        <f t="array" ref="J327">SUMPRODUCT(ISNUMBER(MATCH(mod_ko_zus,$B$285,0))*('Koszty operacyjne'!$K$114:$X$114=Moduły!J$77),ko_zus)</f>
        <v>0</v>
      </c>
      <c r="K327" s="33" cm="1">
        <f t="array" ref="K327">SUMPRODUCT(ISNUMBER(MATCH(mod_ko_zus,$B$285,0))*('Koszty operacyjne'!$K$114:$X$114=Moduły!K$77),ko_zus)</f>
        <v>0</v>
      </c>
      <c r="L327" s="33" cm="1">
        <f t="array" ref="L327">SUMPRODUCT(ISNUMBER(MATCH(mod_ko_zus,$B$285,0))*('Koszty operacyjne'!$K$114:$X$114=Moduły!L$77),ko_zus)</f>
        <v>0</v>
      </c>
      <c r="M327" s="33" cm="1">
        <f t="array" ref="M327">SUMPRODUCT(ISNUMBER(MATCH(mod_ko_zus,$B$285,0))*('Koszty operacyjne'!$K$114:$X$114=Moduły!M$77),ko_zus)</f>
        <v>0</v>
      </c>
      <c r="N327" s="33" cm="1">
        <f t="array" ref="N327">SUMPRODUCT(ISNUMBER(MATCH(mod_ko_zus,$B$285,0))*('Koszty operacyjne'!$K$114:$X$114=Moduły!N$77),ko_zus)</f>
        <v>0</v>
      </c>
      <c r="O327" s="33" cm="1">
        <f t="array" ref="O327">SUMPRODUCT(ISNUMBER(MATCH(mod_ko_zus,$B$285,0))*('Koszty operacyjne'!$K$114:$X$114=Moduły!O$77),ko_zus)</f>
        <v>0</v>
      </c>
      <c r="P327" s="33" cm="1">
        <f t="array" ref="P327">SUMPRODUCT(ISNUMBER(MATCH(mod_ko_zus,$B$285,0))*('Koszty operacyjne'!$K$114:$X$114=Moduły!P$77),ko_zus)</f>
        <v>0</v>
      </c>
    </row>
    <row r="328" spans="2:16">
      <c r="B328" s="37" t="s">
        <v>111</v>
      </c>
      <c r="C328" s="33" cm="1">
        <f t="array" ref="C328">SUMPRODUCT(ISNUMBER(MATCH(mod_ko_pkr,$B$285,0))*('Koszty operacyjne'!$K$114:$X$114=Moduły!C$77),ko_pkr)</f>
        <v>0</v>
      </c>
      <c r="D328" s="33" cm="1">
        <f t="array" ref="D328">SUMPRODUCT(ISNUMBER(MATCH(mod_ko_pkr,$B$285,0))*('Koszty operacyjne'!$K$114:$X$114=Moduły!D$77),ko_pkr)</f>
        <v>0</v>
      </c>
      <c r="E328" s="33" cm="1">
        <f t="array" ref="E328">SUMPRODUCT(ISNUMBER(MATCH(mod_ko_pkr,$B$285,0))*('Koszty operacyjne'!$K$114:$X$114=Moduły!E$77),ko_pkr)</f>
        <v>0</v>
      </c>
      <c r="F328" s="33" cm="1">
        <f t="array" ref="F328">SUMPRODUCT(ISNUMBER(MATCH(mod_ko_pkr,$B$285,0))*('Koszty operacyjne'!$K$114:$X$114=Moduły!F$77),ko_pkr)</f>
        <v>0</v>
      </c>
      <c r="G328" s="33" cm="1">
        <f t="array" ref="G328">SUMPRODUCT(ISNUMBER(MATCH(mod_ko_pkr,$B$285,0))*('Koszty operacyjne'!$K$114:$X$114=Moduły!G$77),ko_pkr)</f>
        <v>0</v>
      </c>
      <c r="H328" s="33" cm="1">
        <f t="array" ref="H328">SUMPRODUCT(ISNUMBER(MATCH(mod_ko_pkr,$B$285,0))*('Koszty operacyjne'!$K$114:$X$114=Moduły!H$77),ko_pkr)</f>
        <v>0</v>
      </c>
      <c r="I328" s="33" cm="1">
        <f t="array" ref="I328">SUMPRODUCT(ISNUMBER(MATCH(mod_ko_pkr,$B$285,0))*('Koszty operacyjne'!$K$114:$X$114=Moduły!I$77),ko_pkr)</f>
        <v>0</v>
      </c>
      <c r="J328" s="33" cm="1">
        <f t="array" ref="J328">SUMPRODUCT(ISNUMBER(MATCH(mod_ko_pkr,$B$285,0))*('Koszty operacyjne'!$K$114:$X$114=Moduły!J$77),ko_pkr)</f>
        <v>0</v>
      </c>
      <c r="K328" s="33" cm="1">
        <f t="array" ref="K328">SUMPRODUCT(ISNUMBER(MATCH(mod_ko_pkr,$B$285,0))*('Koszty operacyjne'!$K$114:$X$114=Moduły!K$77),ko_pkr)</f>
        <v>0</v>
      </c>
      <c r="L328" s="33" cm="1">
        <f t="array" ref="L328">SUMPRODUCT(ISNUMBER(MATCH(mod_ko_pkr,$B$285,0))*('Koszty operacyjne'!$K$114:$X$114=Moduły!L$77),ko_pkr)</f>
        <v>0</v>
      </c>
      <c r="M328" s="33" cm="1">
        <f t="array" ref="M328">SUMPRODUCT(ISNUMBER(MATCH(mod_ko_pkr,$B$285,0))*('Koszty operacyjne'!$K$114:$X$114=Moduły!M$77),ko_pkr)</f>
        <v>0</v>
      </c>
      <c r="N328" s="33" cm="1">
        <f t="array" ref="N328">SUMPRODUCT(ISNUMBER(MATCH(mod_ko_pkr,$B$285,0))*('Koszty operacyjne'!$K$114:$X$114=Moduły!N$77),ko_pkr)</f>
        <v>0</v>
      </c>
      <c r="O328" s="33" cm="1">
        <f t="array" ref="O328">SUMPRODUCT(ISNUMBER(MATCH(mod_ko_pkr,$B$285,0))*('Koszty operacyjne'!$K$114:$X$114=Moduły!O$77),ko_pkr)</f>
        <v>0</v>
      </c>
      <c r="P328" s="33" cm="1">
        <f t="array" ref="P328">SUMPRODUCT(ISNUMBER(MATCH(mod_ko_pkr,$B$285,0))*('Koszty operacyjne'!$K$114:$X$114=Moduły!P$77),ko_pkr)</f>
        <v>0</v>
      </c>
    </row>
    <row r="329" spans="2:16">
      <c r="B329" s="37" t="s">
        <v>112</v>
      </c>
      <c r="C329" s="33" cm="1">
        <f t="array" ref="C329">SUMPRODUCT(ISNUMBER(MATCH(mod_pp_ptim_wstim,$B$285,0))*('Koszty operacyjne'!$K$114:$X$114=Moduły!C$77),pp_ptim_wstim)</f>
        <v>0</v>
      </c>
      <c r="D329" s="33" cm="1">
        <f t="array" ref="D329">SUMPRODUCT(ISNUMBER(MATCH(mod_pp_ptim_wstim,$B$285,0))*('Koszty operacyjne'!$K$114:$X$114=Moduły!D$77),pp_ptim_wstim)</f>
        <v>0</v>
      </c>
      <c r="E329" s="33" cm="1">
        <f t="array" ref="E329">SUMPRODUCT(ISNUMBER(MATCH(mod_pp_ptim_wstim,$B$285,0))*('Koszty operacyjne'!$K$114:$X$114=Moduły!E$77),pp_ptim_wstim)</f>
        <v>0</v>
      </c>
      <c r="F329" s="33" cm="1">
        <f t="array" ref="F329">SUMPRODUCT(ISNUMBER(MATCH(mod_pp_ptim_wstim,$B$285,0))*('Koszty operacyjne'!$K$114:$X$114=Moduły!F$77),pp_ptim_wstim)</f>
        <v>0</v>
      </c>
      <c r="G329" s="33" cm="1">
        <f t="array" ref="G329">SUMPRODUCT(ISNUMBER(MATCH(mod_pp_ptim_wstim,$B$285,0))*('Koszty operacyjne'!$K$114:$X$114=Moduły!G$77),pp_ptim_wstim)</f>
        <v>0</v>
      </c>
      <c r="H329" s="33" cm="1">
        <f t="array" ref="H329">SUMPRODUCT(ISNUMBER(MATCH(mod_pp_ptim_wstim,$B$285,0))*('Koszty operacyjne'!$K$114:$X$114=Moduły!H$77),pp_ptim_wstim)</f>
        <v>0</v>
      </c>
      <c r="I329" s="33" cm="1">
        <f t="array" ref="I329">SUMPRODUCT(ISNUMBER(MATCH(mod_pp_ptim_wstim,$B$285,0))*('Koszty operacyjne'!$K$114:$X$114=Moduły!I$77),pp_ptim_wstim)</f>
        <v>0</v>
      </c>
      <c r="J329" s="33" cm="1">
        <f t="array" ref="J329">SUMPRODUCT(ISNUMBER(MATCH(mod_pp_ptim_wstim,$B$285,0))*('Koszty operacyjne'!$K$114:$X$114=Moduły!J$77),pp_ptim_wstim)</f>
        <v>0</v>
      </c>
      <c r="K329" s="33" cm="1">
        <f t="array" ref="K329">SUMPRODUCT(ISNUMBER(MATCH(mod_pp_ptim_wstim,$B$285,0))*('Koszty operacyjne'!$K$114:$X$114=Moduły!K$77),pp_ptim_wstim)</f>
        <v>0</v>
      </c>
      <c r="L329" s="33" cm="1">
        <f t="array" ref="L329">SUMPRODUCT(ISNUMBER(MATCH(mod_pp_ptim_wstim,$B$285,0))*('Koszty operacyjne'!$K$114:$X$114=Moduły!L$77),pp_ptim_wstim)</f>
        <v>0</v>
      </c>
      <c r="M329" s="33" cm="1">
        <f t="array" ref="M329">SUMPRODUCT(ISNUMBER(MATCH(mod_pp_ptim_wstim,$B$285,0))*('Koszty operacyjne'!$K$114:$X$114=Moduły!M$77),pp_ptim_wstim)</f>
        <v>0</v>
      </c>
      <c r="N329" s="33" cm="1">
        <f t="array" ref="N329">SUMPRODUCT(ISNUMBER(MATCH(mod_pp_ptim_wstim,$B$285,0))*('Koszty operacyjne'!$K$114:$X$114=Moduły!N$77),pp_ptim_wstim)</f>
        <v>0</v>
      </c>
      <c r="O329" s="33" cm="1">
        <f t="array" ref="O329">SUMPRODUCT(ISNUMBER(MATCH(mod_pp_ptim_wstim,$B$285,0))*('Koszty operacyjne'!$K$114:$X$114=Moduły!O$77),pp_ptim_wstim)</f>
        <v>0</v>
      </c>
      <c r="P329" s="33" cm="1">
        <f t="array" ref="P329">SUMPRODUCT(ISNUMBER(MATCH(mod_pp_ptim_wstim,$B$285,0))*('Koszty operacyjne'!$K$114:$X$114=Moduły!P$77),pp_ptim_wstim)</f>
        <v>0</v>
      </c>
    </row>
    <row r="330" spans="2:16"/>
    <row r="331" spans="2:16"/>
    <row r="332" spans="2:16">
      <c r="B332" s="367" t="s">
        <v>114</v>
      </c>
      <c r="C332" s="367" t="str">
        <f>C$77</f>
        <v>Uzupełnij dane</v>
      </c>
      <c r="D332" s="367" t="str">
        <f t="shared" ref="D332:P332" si="162">D$77</f>
        <v/>
      </c>
      <c r="E332" s="367" t="str">
        <f t="shared" si="162"/>
        <v/>
      </c>
      <c r="F332" s="367" t="str">
        <f t="shared" si="162"/>
        <v/>
      </c>
      <c r="G332" s="367" t="str">
        <f t="shared" si="162"/>
        <v/>
      </c>
      <c r="H332" s="367" t="str">
        <f t="shared" si="162"/>
        <v/>
      </c>
      <c r="I332" s="367" t="str">
        <f t="shared" si="162"/>
        <v/>
      </c>
      <c r="J332" s="367" t="str">
        <f t="shared" si="162"/>
        <v/>
      </c>
      <c r="K332" s="367" t="str">
        <f t="shared" si="162"/>
        <v/>
      </c>
      <c r="L332" s="367" t="str">
        <f t="shared" si="162"/>
        <v/>
      </c>
      <c r="M332" s="367" t="str">
        <f t="shared" si="162"/>
        <v/>
      </c>
      <c r="N332" s="367" t="str">
        <f t="shared" si="162"/>
        <v/>
      </c>
      <c r="O332" s="367" t="str">
        <f t="shared" si="162"/>
        <v/>
      </c>
      <c r="P332" s="367" t="str">
        <f t="shared" si="162"/>
        <v/>
      </c>
    </row>
    <row r="333" spans="2:16" ht="3.9" customHeight="1"/>
    <row r="334" spans="2:16" ht="12" customHeight="1">
      <c r="B334" s="98" t="s">
        <v>93</v>
      </c>
      <c r="C334" s="97">
        <f t="shared" ref="C334:P334" si="163">SUM(C335:C336)</f>
        <v>0</v>
      </c>
      <c r="D334" s="97">
        <f t="shared" si="163"/>
        <v>0</v>
      </c>
      <c r="E334" s="97">
        <f t="shared" si="163"/>
        <v>0</v>
      </c>
      <c r="F334" s="97">
        <f t="shared" si="163"/>
        <v>0</v>
      </c>
      <c r="G334" s="97">
        <f t="shared" si="163"/>
        <v>0</v>
      </c>
      <c r="H334" s="97">
        <f t="shared" si="163"/>
        <v>0</v>
      </c>
      <c r="I334" s="97">
        <f t="shared" si="163"/>
        <v>0</v>
      </c>
      <c r="J334" s="97">
        <f t="shared" si="163"/>
        <v>0</v>
      </c>
      <c r="K334" s="97">
        <f t="shared" si="163"/>
        <v>0</v>
      </c>
      <c r="L334" s="97">
        <f t="shared" si="163"/>
        <v>0</v>
      </c>
      <c r="M334" s="97">
        <f t="shared" si="163"/>
        <v>0</v>
      </c>
      <c r="N334" s="97">
        <f t="shared" si="163"/>
        <v>0</v>
      </c>
      <c r="O334" s="97">
        <f t="shared" si="163"/>
        <v>0</v>
      </c>
      <c r="P334" s="97">
        <f t="shared" si="163"/>
        <v>0</v>
      </c>
    </row>
    <row r="335" spans="2:16">
      <c r="B335" s="460" t="s">
        <v>95</v>
      </c>
      <c r="C335" s="461">
        <f>C339+C343+C347+C351+C355+C359+C363</f>
        <v>0</v>
      </c>
      <c r="D335" s="461">
        <f t="shared" ref="D335:P335" si="164">D339+D343+D347+D351+D355+D359+D363</f>
        <v>0</v>
      </c>
      <c r="E335" s="461">
        <f t="shared" si="164"/>
        <v>0</v>
      </c>
      <c r="F335" s="461">
        <f t="shared" si="164"/>
        <v>0</v>
      </c>
      <c r="G335" s="461">
        <f t="shared" si="164"/>
        <v>0</v>
      </c>
      <c r="H335" s="461">
        <f t="shared" si="164"/>
        <v>0</v>
      </c>
      <c r="I335" s="461">
        <f t="shared" si="164"/>
        <v>0</v>
      </c>
      <c r="J335" s="461">
        <f t="shared" si="164"/>
        <v>0</v>
      </c>
      <c r="K335" s="462">
        <f t="shared" si="164"/>
        <v>0</v>
      </c>
      <c r="L335" s="462">
        <f t="shared" si="164"/>
        <v>0</v>
      </c>
      <c r="M335" s="462">
        <f t="shared" si="164"/>
        <v>0</v>
      </c>
      <c r="N335" s="462">
        <f t="shared" si="164"/>
        <v>0</v>
      </c>
      <c r="O335" s="462">
        <f t="shared" si="164"/>
        <v>0</v>
      </c>
      <c r="P335" s="462">
        <f t="shared" si="164"/>
        <v>0</v>
      </c>
    </row>
    <row r="336" spans="2:16">
      <c r="B336" s="463" t="s">
        <v>96</v>
      </c>
      <c r="C336" s="464">
        <f>C340+C344+C348+C352+C356+C360+C364</f>
        <v>0</v>
      </c>
      <c r="D336" s="464">
        <f t="shared" ref="D336:P336" si="165">D340+D344+D348+D352+D356+D360+D364</f>
        <v>0</v>
      </c>
      <c r="E336" s="464">
        <f t="shared" si="165"/>
        <v>0</v>
      </c>
      <c r="F336" s="464">
        <f t="shared" si="165"/>
        <v>0</v>
      </c>
      <c r="G336" s="464">
        <f t="shared" si="165"/>
        <v>0</v>
      </c>
      <c r="H336" s="464">
        <f t="shared" si="165"/>
        <v>0</v>
      </c>
      <c r="I336" s="464">
        <f t="shared" si="165"/>
        <v>0</v>
      </c>
      <c r="J336" s="464">
        <f t="shared" si="165"/>
        <v>0</v>
      </c>
      <c r="K336" s="465">
        <f t="shared" si="165"/>
        <v>0</v>
      </c>
      <c r="L336" s="465">
        <f t="shared" si="165"/>
        <v>0</v>
      </c>
      <c r="M336" s="465">
        <f t="shared" si="165"/>
        <v>0</v>
      </c>
      <c r="N336" s="465">
        <f t="shared" si="165"/>
        <v>0</v>
      </c>
      <c r="O336" s="465">
        <f t="shared" si="165"/>
        <v>0</v>
      </c>
      <c r="P336" s="465">
        <f t="shared" si="165"/>
        <v>0</v>
      </c>
    </row>
    <row r="337" spans="2:16" ht="3.9" customHeight="1"/>
    <row r="338" spans="2:16" ht="12" customHeight="1">
      <c r="B338" s="353" t="s">
        <v>94</v>
      </c>
      <c r="C338" s="354">
        <f t="shared" ref="C338:P338" si="166">SUM(C339:C340)</f>
        <v>0</v>
      </c>
      <c r="D338" s="354">
        <f t="shared" si="166"/>
        <v>0</v>
      </c>
      <c r="E338" s="354">
        <f t="shared" si="166"/>
        <v>0</v>
      </c>
      <c r="F338" s="354">
        <f t="shared" si="166"/>
        <v>0</v>
      </c>
      <c r="G338" s="354">
        <f t="shared" si="166"/>
        <v>0</v>
      </c>
      <c r="H338" s="354">
        <f t="shared" si="166"/>
        <v>0</v>
      </c>
      <c r="I338" s="354">
        <f t="shared" si="166"/>
        <v>0</v>
      </c>
      <c r="J338" s="354">
        <f t="shared" si="166"/>
        <v>0</v>
      </c>
      <c r="K338" s="354">
        <f t="shared" si="166"/>
        <v>0</v>
      </c>
      <c r="L338" s="354">
        <f t="shared" si="166"/>
        <v>0</v>
      </c>
      <c r="M338" s="354">
        <f t="shared" si="166"/>
        <v>0</v>
      </c>
      <c r="N338" s="354">
        <f t="shared" si="166"/>
        <v>0</v>
      </c>
      <c r="O338" s="354">
        <f t="shared" si="166"/>
        <v>0</v>
      </c>
      <c r="P338" s="354">
        <f t="shared" si="166"/>
        <v>0</v>
      </c>
    </row>
    <row r="339" spans="2:16" ht="12" customHeight="1">
      <c r="B339" s="355" t="s">
        <v>95</v>
      </c>
      <c r="C339" s="356" cm="1">
        <f t="array" ref="C339">SUMPRODUCT(ISNUMBER(MATCH(mod_st_zpr,$B$332,0))*('Koszty operacyjne'!$K$114:$X$114=Moduły!C$77)*ISNUMBER(MATCH(st_zpr_kw,tak,0)),st_zpr)</f>
        <v>0</v>
      </c>
      <c r="D339" s="356" cm="1">
        <f t="array" ref="D339">SUMPRODUCT(ISNUMBER(MATCH(mod_st_zpr,$B$332,0))*('Koszty operacyjne'!$K$114:$X$114=Moduły!D$77)*ISNUMBER(MATCH(st_zpr_kw,tak,0)),st_zpr)</f>
        <v>0</v>
      </c>
      <c r="E339" s="356" cm="1">
        <f t="array" ref="E339">SUMPRODUCT(ISNUMBER(MATCH(mod_st_zpr,$B$332,0))*('Koszty operacyjne'!$K$114:$X$114=Moduły!E$77)*ISNUMBER(MATCH(st_zpr_kw,tak,0)),st_zpr)</f>
        <v>0</v>
      </c>
      <c r="F339" s="356" cm="1">
        <f t="array" ref="F339">SUMPRODUCT(ISNUMBER(MATCH(mod_st_zpr,$B$332,0))*('Koszty operacyjne'!$K$114:$X$114=Moduły!F$77)*ISNUMBER(MATCH(st_zpr_kw,tak,0)),st_zpr)</f>
        <v>0</v>
      </c>
      <c r="G339" s="356" cm="1">
        <f t="array" ref="G339">SUMPRODUCT(ISNUMBER(MATCH(mod_st_zpr,$B$332,0))*('Koszty operacyjne'!$K$114:$X$114=Moduły!G$77)*ISNUMBER(MATCH(st_zpr_kw,tak,0)),st_zpr)</f>
        <v>0</v>
      </c>
      <c r="H339" s="356" cm="1">
        <f t="array" ref="H339">SUMPRODUCT(ISNUMBER(MATCH(mod_st_zpr,$B$332,0))*('Koszty operacyjne'!$K$114:$X$114=Moduły!H$77)*ISNUMBER(MATCH(st_zpr_kw,tak,0)),st_zpr)</f>
        <v>0</v>
      </c>
      <c r="I339" s="356" cm="1">
        <f t="array" ref="I339">SUMPRODUCT(ISNUMBER(MATCH(mod_st_zpr,$B$332,0))*('Koszty operacyjne'!$K$114:$X$114=Moduły!I$77)*ISNUMBER(MATCH(st_zpr_kw,tak,0)),st_zpr)</f>
        <v>0</v>
      </c>
      <c r="J339" s="356" cm="1">
        <f t="array" ref="J339">SUMPRODUCT(ISNUMBER(MATCH(mod_st_zpr,$B$332,0))*('Koszty operacyjne'!$K$114:$X$114=Moduły!J$77)*ISNUMBER(MATCH(st_zpr_kw,tak,0)),st_zpr)</f>
        <v>0</v>
      </c>
      <c r="K339" s="356" cm="1">
        <f t="array" ref="K339">SUMPRODUCT(ISNUMBER(MATCH(mod_st_zpr,$B$332,0))*('Koszty operacyjne'!$K$114:$X$114=Moduły!K$77)*ISNUMBER(MATCH(st_zpr_kw,tak,0)),st_zpr)</f>
        <v>0</v>
      </c>
      <c r="L339" s="356" cm="1">
        <f t="array" ref="L339">SUMPRODUCT(ISNUMBER(MATCH(mod_st_zpr,$B$332,0))*('Koszty operacyjne'!$K$114:$X$114=Moduły!L$77)*ISNUMBER(MATCH(st_zpr_kw,tak,0)),st_zpr)</f>
        <v>0</v>
      </c>
      <c r="M339" s="356" cm="1">
        <f t="array" ref="M339">SUMPRODUCT(ISNUMBER(MATCH(mod_st_zpr,$B$332,0))*('Koszty operacyjne'!$K$114:$X$114=Moduły!M$77)*ISNUMBER(MATCH(st_zpr_kw,tak,0)),st_zpr)</f>
        <v>0</v>
      </c>
      <c r="N339" s="356" cm="1">
        <f t="array" ref="N339">SUMPRODUCT(ISNUMBER(MATCH(mod_st_zpr,$B$332,0))*('Koszty operacyjne'!$K$114:$X$114=Moduły!N$77)*ISNUMBER(MATCH(st_zpr_kw,tak,0)),st_zpr)</f>
        <v>0</v>
      </c>
      <c r="O339" s="356" cm="1">
        <f t="array" ref="O339">SUMPRODUCT(ISNUMBER(MATCH(mod_st_zpr,$B$332,0))*('Koszty operacyjne'!$K$114:$X$114=Moduły!O$77)*ISNUMBER(MATCH(st_zpr_kw,tak,0)),st_zpr)</f>
        <v>0</v>
      </c>
      <c r="P339" s="356" cm="1">
        <f t="array" ref="P339">SUMPRODUCT(ISNUMBER(MATCH(mod_st_zpr,$B$332,0))*('Koszty operacyjne'!$K$114:$X$114=Moduły!P$77)*ISNUMBER(MATCH(st_zpr_kw,tak,0)),st_zpr)</f>
        <v>0</v>
      </c>
    </row>
    <row r="340" spans="2:16" ht="12" customHeight="1">
      <c r="B340" s="357" t="s">
        <v>96</v>
      </c>
      <c r="C340" s="358" cm="1">
        <f t="array" ref="C340">SUMPRODUCT(ISNUMBER(MATCH(mod_st_zpr,$B$332,0))*('Koszty operacyjne'!$K$114:$X$114=Moduły!C$77)*ISNUMBER(MATCH(st_zpr_kw,nie,0)),st_zpr)</f>
        <v>0</v>
      </c>
      <c r="D340" s="358" cm="1">
        <f t="array" ref="D340">SUMPRODUCT(ISNUMBER(MATCH(mod_st_zpr,$B$332,0))*('Koszty operacyjne'!$K$114:$X$114=Moduły!D$77)*ISNUMBER(MATCH(st_zpr_kw,nie,0)),st_zpr)</f>
        <v>0</v>
      </c>
      <c r="E340" s="358" cm="1">
        <f t="array" ref="E340">SUMPRODUCT(ISNUMBER(MATCH(mod_st_zpr,$B$332,0))*('Koszty operacyjne'!$K$114:$X$114=Moduły!E$77)*ISNUMBER(MATCH(st_zpr_kw,nie,0)),st_zpr)</f>
        <v>0</v>
      </c>
      <c r="F340" s="358" cm="1">
        <f t="array" ref="F340">SUMPRODUCT(ISNUMBER(MATCH(mod_st_zpr,$B$332,0))*('Koszty operacyjne'!$K$114:$X$114=Moduły!F$77)*ISNUMBER(MATCH(st_zpr_kw,nie,0)),st_zpr)</f>
        <v>0</v>
      </c>
      <c r="G340" s="358" cm="1">
        <f t="array" ref="G340">SUMPRODUCT(ISNUMBER(MATCH(mod_st_zpr,$B$332,0))*('Koszty operacyjne'!$K$114:$X$114=Moduły!G$77)*ISNUMBER(MATCH(st_zpr_kw,nie,0)),st_zpr)</f>
        <v>0</v>
      </c>
      <c r="H340" s="358" cm="1">
        <f t="array" ref="H340">SUMPRODUCT(ISNUMBER(MATCH(mod_st_zpr,$B$332,0))*('Koszty operacyjne'!$K$114:$X$114=Moduły!H$77)*ISNUMBER(MATCH(st_zpr_kw,nie,0)),st_zpr)</f>
        <v>0</v>
      </c>
      <c r="I340" s="358" cm="1">
        <f t="array" ref="I340">SUMPRODUCT(ISNUMBER(MATCH(mod_st_zpr,$B$332,0))*('Koszty operacyjne'!$K$114:$X$114=Moduły!I$77)*ISNUMBER(MATCH(st_zpr_kw,nie,0)),st_zpr)</f>
        <v>0</v>
      </c>
      <c r="J340" s="358" cm="1">
        <f t="array" ref="J340">SUMPRODUCT(ISNUMBER(MATCH(mod_st_zpr,$B$332,0))*('Koszty operacyjne'!$K$114:$X$114=Moduły!J$77)*ISNUMBER(MATCH(st_zpr_kw,nie,0)),st_zpr)</f>
        <v>0</v>
      </c>
      <c r="K340" s="359" cm="1">
        <f t="array" ref="K340">SUMPRODUCT(ISNUMBER(MATCH(mod_st_zpr,$B$332,0))*('Koszty operacyjne'!$K$114:$X$114=Moduły!K$77)*ISNUMBER(MATCH(st_zpr_kw,nie,0)),st_zpr)</f>
        <v>0</v>
      </c>
      <c r="L340" s="359" cm="1">
        <f t="array" ref="L340">SUMPRODUCT(ISNUMBER(MATCH(mod_st_zpr,$B$332,0))*('Koszty operacyjne'!$K$114:$X$114=Moduły!L$77)*ISNUMBER(MATCH(st_zpr_kw,nie,0)),st_zpr)</f>
        <v>0</v>
      </c>
      <c r="M340" s="359" cm="1">
        <f t="array" ref="M340">SUMPRODUCT(ISNUMBER(MATCH(mod_st_zpr,$B$332,0))*('Koszty operacyjne'!$K$114:$X$114=Moduły!M$77)*ISNUMBER(MATCH(st_zpr_kw,nie,0)),st_zpr)</f>
        <v>0</v>
      </c>
      <c r="N340" s="359" cm="1">
        <f t="array" ref="N340">SUMPRODUCT(ISNUMBER(MATCH(mod_st_zpr,$B$332,0))*('Koszty operacyjne'!$K$114:$X$114=Moduły!N$77)*ISNUMBER(MATCH(st_zpr_kw,nie,0)),st_zpr)</f>
        <v>0</v>
      </c>
      <c r="O340" s="359" cm="1">
        <f t="array" ref="O340">SUMPRODUCT(ISNUMBER(MATCH(mod_st_zpr,$B$332,0))*('Koszty operacyjne'!$K$114:$X$114=Moduły!O$77)*ISNUMBER(MATCH(st_zpr_kw,nie,0)),st_zpr)</f>
        <v>0</v>
      </c>
      <c r="P340" s="359" cm="1">
        <f t="array" ref="P340">SUMPRODUCT(ISNUMBER(MATCH(mod_st_zpr,$B$332,0))*('Koszty operacyjne'!$K$114:$X$114=Moduły!P$77)*ISNUMBER(MATCH(st_zpr_kw,nie,0)),st_zpr)</f>
        <v>0</v>
      </c>
    </row>
    <row r="341" spans="2:16" ht="3.9" customHeight="1">
      <c r="B341" s="360"/>
      <c r="C341" s="361"/>
      <c r="D341" s="361"/>
      <c r="E341" s="361"/>
      <c r="F341" s="361"/>
      <c r="G341" s="361"/>
      <c r="H341" s="361"/>
      <c r="I341" s="361"/>
      <c r="J341" s="361"/>
      <c r="K341" s="362"/>
      <c r="L341" s="362"/>
      <c r="M341" s="362"/>
      <c r="N341" s="362"/>
      <c r="O341" s="362"/>
      <c r="P341" s="362"/>
    </row>
    <row r="342" spans="2:16" ht="12" customHeight="1">
      <c r="B342" s="353" t="s">
        <v>97</v>
      </c>
      <c r="C342" s="354">
        <f t="shared" ref="C342:P342" si="167">SUM(C343:C344)</f>
        <v>0</v>
      </c>
      <c r="D342" s="354">
        <f t="shared" si="167"/>
        <v>0</v>
      </c>
      <c r="E342" s="354">
        <f t="shared" si="167"/>
        <v>0</v>
      </c>
      <c r="F342" s="354">
        <f t="shared" si="167"/>
        <v>0</v>
      </c>
      <c r="G342" s="354">
        <f t="shared" si="167"/>
        <v>0</v>
      </c>
      <c r="H342" s="354">
        <f t="shared" si="167"/>
        <v>0</v>
      </c>
      <c r="I342" s="354">
        <f t="shared" si="167"/>
        <v>0</v>
      </c>
      <c r="J342" s="354">
        <f t="shared" si="167"/>
        <v>0</v>
      </c>
      <c r="K342" s="354">
        <f t="shared" si="167"/>
        <v>0</v>
      </c>
      <c r="L342" s="354">
        <f t="shared" si="167"/>
        <v>0</v>
      </c>
      <c r="M342" s="354">
        <f t="shared" si="167"/>
        <v>0</v>
      </c>
      <c r="N342" s="354">
        <f t="shared" si="167"/>
        <v>0</v>
      </c>
      <c r="O342" s="354">
        <f t="shared" si="167"/>
        <v>0</v>
      </c>
      <c r="P342" s="354">
        <f t="shared" si="167"/>
        <v>0</v>
      </c>
    </row>
    <row r="343" spans="2:16" ht="12" customHeight="1">
      <c r="B343" s="355" t="s">
        <v>95</v>
      </c>
      <c r="C343" s="356" cm="1">
        <f t="array" ref="C343">SUMPRODUCT(ISNUMBER(MATCH(mod_st_wnp,$B$332,0))*('Koszty operacyjne'!$K$114:$X$114=Moduły!C$77)*ISNUMBER(MATCH(st_wnp_kw,tak,0)),st_wnp)</f>
        <v>0</v>
      </c>
      <c r="D343" s="356" cm="1">
        <f t="array" ref="D343">SUMPRODUCT(ISNUMBER(MATCH(mod_st_wnp,$B$332,0))*('Koszty operacyjne'!$K$114:$X$114=Moduły!D$77)*ISNUMBER(MATCH(st_wnp_kw,tak,0)),st_wnp)</f>
        <v>0</v>
      </c>
      <c r="E343" s="356" cm="1">
        <f t="array" ref="E343">SUMPRODUCT(ISNUMBER(MATCH(mod_st_wnp,$B$332,0))*('Koszty operacyjne'!$K$114:$X$114=Moduły!E$77)*ISNUMBER(MATCH(st_wnp_kw,tak,0)),st_wnp)</f>
        <v>0</v>
      </c>
      <c r="F343" s="356" cm="1">
        <f t="array" ref="F343">SUMPRODUCT(ISNUMBER(MATCH(mod_st_wnp,$B$332,0))*('Koszty operacyjne'!$K$114:$X$114=Moduły!F$77)*ISNUMBER(MATCH(st_wnp_kw,tak,0)),st_wnp)</f>
        <v>0</v>
      </c>
      <c r="G343" s="356" cm="1">
        <f t="array" ref="G343">SUMPRODUCT(ISNUMBER(MATCH(mod_st_wnp,$B$332,0))*('Koszty operacyjne'!$K$114:$X$114=Moduły!G$77)*ISNUMBER(MATCH(st_wnp_kw,tak,0)),st_wnp)</f>
        <v>0</v>
      </c>
      <c r="H343" s="356" cm="1">
        <f t="array" ref="H343">SUMPRODUCT(ISNUMBER(MATCH(mod_st_wnp,$B$332,0))*('Koszty operacyjne'!$K$114:$X$114=Moduły!H$77)*ISNUMBER(MATCH(st_wnp_kw,tak,0)),st_wnp)</f>
        <v>0</v>
      </c>
      <c r="I343" s="356" cm="1">
        <f t="array" ref="I343">SUMPRODUCT(ISNUMBER(MATCH(mod_st_wnp,$B$332,0))*('Koszty operacyjne'!$K$114:$X$114=Moduły!I$77)*ISNUMBER(MATCH(st_wnp_kw,tak,0)),st_wnp)</f>
        <v>0</v>
      </c>
      <c r="J343" s="356" cm="1">
        <f t="array" ref="J343">SUMPRODUCT(ISNUMBER(MATCH(mod_st_wnp,$B$332,0))*('Koszty operacyjne'!$K$114:$X$114=Moduły!J$77)*ISNUMBER(MATCH(st_wnp_kw,tak,0)),st_wnp)</f>
        <v>0</v>
      </c>
      <c r="K343" s="356" cm="1">
        <f t="array" ref="K343">SUMPRODUCT(ISNUMBER(MATCH(mod_st_wnp,$B$332,0))*('Koszty operacyjne'!$K$114:$X$114=Moduły!K$77)*ISNUMBER(MATCH(st_wnp_kw,tak,0)),st_wnp)</f>
        <v>0</v>
      </c>
      <c r="L343" s="356" cm="1">
        <f t="array" ref="L343">SUMPRODUCT(ISNUMBER(MATCH(mod_st_wnp,$B$332,0))*('Koszty operacyjne'!$K$114:$X$114=Moduły!L$77)*ISNUMBER(MATCH(st_wnp_kw,tak,0)),st_wnp)</f>
        <v>0</v>
      </c>
      <c r="M343" s="356" cm="1">
        <f t="array" ref="M343">SUMPRODUCT(ISNUMBER(MATCH(mod_st_wnp,$B$332,0))*('Koszty operacyjne'!$K$114:$X$114=Moduły!M$77)*ISNUMBER(MATCH(st_wnp_kw,tak,0)),st_wnp)</f>
        <v>0</v>
      </c>
      <c r="N343" s="356" cm="1">
        <f t="array" ref="N343">SUMPRODUCT(ISNUMBER(MATCH(mod_st_wnp,$B$332,0))*('Koszty operacyjne'!$K$114:$X$114=Moduły!N$77)*ISNUMBER(MATCH(st_wnp_kw,tak,0)),st_wnp)</f>
        <v>0</v>
      </c>
      <c r="O343" s="356" cm="1">
        <f t="array" ref="O343">SUMPRODUCT(ISNUMBER(MATCH(mod_st_wnp,$B$332,0))*('Koszty operacyjne'!$K$114:$X$114=Moduły!O$77)*ISNUMBER(MATCH(st_wnp_kw,tak,0)),st_wnp)</f>
        <v>0</v>
      </c>
      <c r="P343" s="356" cm="1">
        <f t="array" ref="P343">SUMPRODUCT(ISNUMBER(MATCH(mod_st_wnp,$B$332,0))*('Koszty operacyjne'!$K$114:$X$114=Moduły!P$77)*ISNUMBER(MATCH(st_wnp_kw,tak,0)),st_wnp)</f>
        <v>0</v>
      </c>
    </row>
    <row r="344" spans="2:16" ht="12" customHeight="1">
      <c r="B344" s="357" t="s">
        <v>96</v>
      </c>
      <c r="C344" s="358" cm="1">
        <f t="array" ref="C344">SUMPRODUCT(ISNUMBER(MATCH(mod_st_wnp,$B$332,0))*('Koszty operacyjne'!$K$114:$X$114=Moduły!C$77)*ISNUMBER(MATCH(st_wnp_kw,nie,0)),st_wnp)</f>
        <v>0</v>
      </c>
      <c r="D344" s="358" cm="1">
        <f t="array" ref="D344">SUMPRODUCT(ISNUMBER(MATCH(mod_st_wnp,$B$332,0))*('Koszty operacyjne'!$K$114:$X$114=Moduły!D$77)*ISNUMBER(MATCH(st_wnp_kw,nie,0)),st_wnp)</f>
        <v>0</v>
      </c>
      <c r="E344" s="358" cm="1">
        <f t="array" ref="E344">SUMPRODUCT(ISNUMBER(MATCH(mod_st_wnp,$B$332,0))*('Koszty operacyjne'!$K$114:$X$114=Moduły!E$77)*ISNUMBER(MATCH(st_wnp_kw,nie,0)),st_wnp)</f>
        <v>0</v>
      </c>
      <c r="F344" s="358" cm="1">
        <f t="array" ref="F344">SUMPRODUCT(ISNUMBER(MATCH(mod_st_wnp,$B$332,0))*('Koszty operacyjne'!$K$114:$X$114=Moduły!F$77)*ISNUMBER(MATCH(st_wnp_kw,nie,0)),st_wnp)</f>
        <v>0</v>
      </c>
      <c r="G344" s="358" cm="1">
        <f t="array" ref="G344">SUMPRODUCT(ISNUMBER(MATCH(mod_st_wnp,$B$332,0))*('Koszty operacyjne'!$K$114:$X$114=Moduły!G$77)*ISNUMBER(MATCH(st_wnp_kw,nie,0)),st_wnp)</f>
        <v>0</v>
      </c>
      <c r="H344" s="358" cm="1">
        <f t="array" ref="H344">SUMPRODUCT(ISNUMBER(MATCH(mod_st_wnp,$B$332,0))*('Koszty operacyjne'!$K$114:$X$114=Moduły!H$77)*ISNUMBER(MATCH(st_wnp_kw,nie,0)),st_wnp)</f>
        <v>0</v>
      </c>
      <c r="I344" s="358" cm="1">
        <f t="array" ref="I344">SUMPRODUCT(ISNUMBER(MATCH(mod_st_wnp,$B$332,0))*('Koszty operacyjne'!$K$114:$X$114=Moduły!I$77)*ISNUMBER(MATCH(st_wnp_kw,nie,0)),st_wnp)</f>
        <v>0</v>
      </c>
      <c r="J344" s="358" cm="1">
        <f t="array" ref="J344">SUMPRODUCT(ISNUMBER(MATCH(mod_st_wnp,$B$332,0))*('Koszty operacyjne'!$K$114:$X$114=Moduły!J$77)*ISNUMBER(MATCH(st_wnp_kw,nie,0)),st_wnp)</f>
        <v>0</v>
      </c>
      <c r="K344" s="359" cm="1">
        <f t="array" ref="K344">SUMPRODUCT(ISNUMBER(MATCH(mod_st_wnp,$B$332,0))*('Koszty operacyjne'!$K$114:$X$114=Moduły!K$77)*ISNUMBER(MATCH(st_wnp_kw,nie,0)),st_wnp)</f>
        <v>0</v>
      </c>
      <c r="L344" s="359" cm="1">
        <f t="array" ref="L344">SUMPRODUCT(ISNUMBER(MATCH(mod_st_wnp,$B$332,0))*('Koszty operacyjne'!$K$114:$X$114=Moduły!L$77)*ISNUMBER(MATCH(st_wnp_kw,nie,0)),st_wnp)</f>
        <v>0</v>
      </c>
      <c r="M344" s="359" cm="1">
        <f t="array" ref="M344">SUMPRODUCT(ISNUMBER(MATCH(mod_st_wnp,$B$332,0))*('Koszty operacyjne'!$K$114:$X$114=Moduły!M$77)*ISNUMBER(MATCH(st_wnp_kw,nie,0)),st_wnp)</f>
        <v>0</v>
      </c>
      <c r="N344" s="359" cm="1">
        <f t="array" ref="N344">SUMPRODUCT(ISNUMBER(MATCH(mod_st_wnp,$B$332,0))*('Koszty operacyjne'!$K$114:$X$114=Moduły!N$77)*ISNUMBER(MATCH(st_wnp_kw,nie,0)),st_wnp)</f>
        <v>0</v>
      </c>
      <c r="O344" s="359" cm="1">
        <f t="array" ref="O344">SUMPRODUCT(ISNUMBER(MATCH(mod_st_wnp,$B$332,0))*('Koszty operacyjne'!$K$114:$X$114=Moduły!O$77)*ISNUMBER(MATCH(st_wnp_kw,nie,0)),st_wnp)</f>
        <v>0</v>
      </c>
      <c r="P344" s="359" cm="1">
        <f t="array" ref="P344">SUMPRODUCT(ISNUMBER(MATCH(mod_st_wnp,$B$332,0))*('Koszty operacyjne'!$K$114:$X$114=Moduły!P$77)*ISNUMBER(MATCH(st_wnp_kw,nie,0)),st_wnp)</f>
        <v>0</v>
      </c>
    </row>
    <row r="345" spans="2:16" ht="3.9" customHeight="1">
      <c r="B345" s="8"/>
      <c r="C345" s="361"/>
      <c r="D345" s="361"/>
      <c r="E345" s="361"/>
      <c r="F345" s="361"/>
      <c r="G345" s="361"/>
      <c r="H345" s="361"/>
      <c r="I345" s="361"/>
      <c r="J345" s="361"/>
      <c r="K345" s="362"/>
      <c r="L345" s="362"/>
      <c r="M345" s="362"/>
      <c r="N345" s="362"/>
      <c r="O345" s="362"/>
      <c r="P345" s="362"/>
    </row>
    <row r="346" spans="2:16" ht="12" customHeight="1">
      <c r="B346" s="353" t="s">
        <v>98</v>
      </c>
      <c r="C346" s="354">
        <f t="shared" ref="C346:P346" si="168">SUM(C347:C348)</f>
        <v>0</v>
      </c>
      <c r="D346" s="354">
        <f t="shared" si="168"/>
        <v>0</v>
      </c>
      <c r="E346" s="354">
        <f t="shared" si="168"/>
        <v>0</v>
      </c>
      <c r="F346" s="354">
        <f t="shared" si="168"/>
        <v>0</v>
      </c>
      <c r="G346" s="354">
        <f t="shared" si="168"/>
        <v>0</v>
      </c>
      <c r="H346" s="354">
        <f t="shared" si="168"/>
        <v>0</v>
      </c>
      <c r="I346" s="354">
        <f t="shared" si="168"/>
        <v>0</v>
      </c>
      <c r="J346" s="354">
        <f t="shared" si="168"/>
        <v>0</v>
      </c>
      <c r="K346" s="354">
        <f t="shared" si="168"/>
        <v>0</v>
      </c>
      <c r="L346" s="354">
        <f t="shared" si="168"/>
        <v>0</v>
      </c>
      <c r="M346" s="354">
        <f t="shared" si="168"/>
        <v>0</v>
      </c>
      <c r="N346" s="354">
        <f t="shared" si="168"/>
        <v>0</v>
      </c>
      <c r="O346" s="354">
        <f t="shared" si="168"/>
        <v>0</v>
      </c>
      <c r="P346" s="354">
        <f t="shared" si="168"/>
        <v>0</v>
      </c>
    </row>
    <row r="347" spans="2:16" ht="12" customHeight="1">
      <c r="B347" s="355" t="s">
        <v>95</v>
      </c>
      <c r="C347" s="356" cm="1">
        <f t="array" ref="C347">SUMPRODUCT(ISNUMBER(MATCH(mod_st_gry,$B$332,0))*('Koszty operacyjne'!$K$114:$X$114=Moduły!C$77)*ISNUMBER(MATCH(st_gry_kw,tak,0)),st_gry)</f>
        <v>0</v>
      </c>
      <c r="D347" s="356" cm="1">
        <f t="array" ref="D347">SUMPRODUCT(ISNUMBER(MATCH(mod_st_gry,$B$332,0))*('Koszty operacyjne'!$K$114:$X$114=Moduły!D$77)*ISNUMBER(MATCH(st_gry_kw,tak,0)),st_gry)</f>
        <v>0</v>
      </c>
      <c r="E347" s="356" cm="1">
        <f t="array" ref="E347">SUMPRODUCT(ISNUMBER(MATCH(mod_st_gry,$B$332,0))*('Koszty operacyjne'!$K$114:$X$114=Moduły!E$77)*ISNUMBER(MATCH(st_gry_kw,tak,0)),st_gry)</f>
        <v>0</v>
      </c>
      <c r="F347" s="356" cm="1">
        <f t="array" ref="F347">SUMPRODUCT(ISNUMBER(MATCH(mod_st_gry,$B$332,0))*('Koszty operacyjne'!$K$114:$X$114=Moduły!F$77)*ISNUMBER(MATCH(st_gry_kw,tak,0)),st_gry)</f>
        <v>0</v>
      </c>
      <c r="G347" s="356" cm="1">
        <f t="array" ref="G347">SUMPRODUCT(ISNUMBER(MATCH(mod_st_gry,$B$332,0))*('Koszty operacyjne'!$K$114:$X$114=Moduły!G$77)*ISNUMBER(MATCH(st_gry_kw,tak,0)),st_gry)</f>
        <v>0</v>
      </c>
      <c r="H347" s="356" cm="1">
        <f t="array" ref="H347">SUMPRODUCT(ISNUMBER(MATCH(mod_st_gry,$B$332,0))*('Koszty operacyjne'!$K$114:$X$114=Moduły!H$77)*ISNUMBER(MATCH(st_gry_kw,tak,0)),st_gry)</f>
        <v>0</v>
      </c>
      <c r="I347" s="356" cm="1">
        <f t="array" ref="I347">SUMPRODUCT(ISNUMBER(MATCH(mod_st_gry,$B$332,0))*('Koszty operacyjne'!$K$114:$X$114=Moduły!I$77)*ISNUMBER(MATCH(st_gry_kw,tak,0)),st_gry)</f>
        <v>0</v>
      </c>
      <c r="J347" s="356" cm="1">
        <f t="array" ref="J347">SUMPRODUCT(ISNUMBER(MATCH(mod_st_gry,$B$332,0))*('Koszty operacyjne'!$K$114:$X$114=Moduły!J$77)*ISNUMBER(MATCH(st_gry_kw,tak,0)),st_gry)</f>
        <v>0</v>
      </c>
      <c r="K347" s="356" cm="1">
        <f t="array" ref="K347">SUMPRODUCT(ISNUMBER(MATCH(mod_st_gry,$B$332,0))*('Koszty operacyjne'!$K$114:$X$114=Moduły!K$77)*ISNUMBER(MATCH(st_gry_kw,tak,0)),st_gry)</f>
        <v>0</v>
      </c>
      <c r="L347" s="356" cm="1">
        <f t="array" ref="L347">SUMPRODUCT(ISNUMBER(MATCH(mod_st_gry,$B$332,0))*('Koszty operacyjne'!$K$114:$X$114=Moduły!L$77)*ISNUMBER(MATCH(st_gry_kw,tak,0)),st_gry)</f>
        <v>0</v>
      </c>
      <c r="M347" s="356" cm="1">
        <f t="array" ref="M347">SUMPRODUCT(ISNUMBER(MATCH(mod_st_gry,$B$332,0))*('Koszty operacyjne'!$K$114:$X$114=Moduły!M$77)*ISNUMBER(MATCH(st_gry_kw,tak,0)),st_gry)</f>
        <v>0</v>
      </c>
      <c r="N347" s="356" cm="1">
        <f t="array" ref="N347">SUMPRODUCT(ISNUMBER(MATCH(mod_st_gry,$B$332,0))*('Koszty operacyjne'!$K$114:$X$114=Moduły!N$77)*ISNUMBER(MATCH(st_gry_kw,tak,0)),st_gry)</f>
        <v>0</v>
      </c>
      <c r="O347" s="356" cm="1">
        <f t="array" ref="O347">SUMPRODUCT(ISNUMBER(MATCH(mod_st_gry,$B$332,0))*('Koszty operacyjne'!$K$114:$X$114=Moduły!O$77)*ISNUMBER(MATCH(st_gry_kw,tak,0)),st_gry)</f>
        <v>0</v>
      </c>
      <c r="P347" s="356" cm="1">
        <f t="array" ref="P347">SUMPRODUCT(ISNUMBER(MATCH(mod_st_gry,$B$332,0))*('Koszty operacyjne'!$K$114:$X$114=Moduły!P$77)*ISNUMBER(MATCH(st_gry_kw,tak,0)),st_gry)</f>
        <v>0</v>
      </c>
    </row>
    <row r="348" spans="2:16" ht="12" customHeight="1">
      <c r="B348" s="357" t="s">
        <v>96</v>
      </c>
      <c r="C348" s="358" cm="1">
        <f t="array" ref="C348">SUMPRODUCT(ISNUMBER(MATCH(mod_st_gry,$B$332,0))*('Koszty operacyjne'!$K$114:$X$114=Moduły!C$77)*ISNUMBER(MATCH(st_gry_kw,nie,0)),st_gry)</f>
        <v>0</v>
      </c>
      <c r="D348" s="358" cm="1">
        <f t="array" ref="D348">SUMPRODUCT(ISNUMBER(MATCH(mod_st_gry,$B$332,0))*('Koszty operacyjne'!$K$114:$X$114=Moduły!D$77)*ISNUMBER(MATCH(st_gry_kw,nie,0)),st_gry)</f>
        <v>0</v>
      </c>
      <c r="E348" s="358" cm="1">
        <f t="array" ref="E348">SUMPRODUCT(ISNUMBER(MATCH(mod_st_gry,$B$332,0))*('Koszty operacyjne'!$K$114:$X$114=Moduły!E$77)*ISNUMBER(MATCH(st_gry_kw,nie,0)),st_gry)</f>
        <v>0</v>
      </c>
      <c r="F348" s="358" cm="1">
        <f t="array" ref="F348">SUMPRODUCT(ISNUMBER(MATCH(mod_st_gry,$B$332,0))*('Koszty operacyjne'!$K$114:$X$114=Moduły!F$77)*ISNUMBER(MATCH(st_gry_kw,nie,0)),st_gry)</f>
        <v>0</v>
      </c>
      <c r="G348" s="358" cm="1">
        <f t="array" ref="G348">SUMPRODUCT(ISNUMBER(MATCH(mod_st_gry,$B$332,0))*('Koszty operacyjne'!$K$114:$X$114=Moduły!G$77)*ISNUMBER(MATCH(st_gry_kw,nie,0)),st_gry)</f>
        <v>0</v>
      </c>
      <c r="H348" s="358" cm="1">
        <f t="array" ref="H348">SUMPRODUCT(ISNUMBER(MATCH(mod_st_gry,$B$332,0))*('Koszty operacyjne'!$K$114:$X$114=Moduły!H$77)*ISNUMBER(MATCH(st_gry_kw,nie,0)),st_gry)</f>
        <v>0</v>
      </c>
      <c r="I348" s="358" cm="1">
        <f t="array" ref="I348">SUMPRODUCT(ISNUMBER(MATCH(mod_st_gry,$B$332,0))*('Koszty operacyjne'!$K$114:$X$114=Moduły!I$77)*ISNUMBER(MATCH(st_gry_kw,nie,0)),st_gry)</f>
        <v>0</v>
      </c>
      <c r="J348" s="358" cm="1">
        <f t="array" ref="J348">SUMPRODUCT(ISNUMBER(MATCH(mod_st_gry,$B$332,0))*('Koszty operacyjne'!$K$114:$X$114=Moduły!J$77)*ISNUMBER(MATCH(st_gry_kw,nie,0)),st_gry)</f>
        <v>0</v>
      </c>
      <c r="K348" s="359" cm="1">
        <f t="array" ref="K348">SUMPRODUCT(ISNUMBER(MATCH(mod_st_gry,$B$332,0))*('Koszty operacyjne'!$K$114:$X$114=Moduły!K$77)*ISNUMBER(MATCH(st_gry_kw,nie,0)),st_gry)</f>
        <v>0</v>
      </c>
      <c r="L348" s="359" cm="1">
        <f t="array" ref="L348">SUMPRODUCT(ISNUMBER(MATCH(mod_st_gry,$B$332,0))*('Koszty operacyjne'!$K$114:$X$114=Moduły!L$77)*ISNUMBER(MATCH(st_gry_kw,nie,0)),st_gry)</f>
        <v>0</v>
      </c>
      <c r="M348" s="359" cm="1">
        <f t="array" ref="M348">SUMPRODUCT(ISNUMBER(MATCH(mod_st_gry,$B$332,0))*('Koszty operacyjne'!$K$114:$X$114=Moduły!M$77)*ISNUMBER(MATCH(st_gry_kw,nie,0)),st_gry)</f>
        <v>0</v>
      </c>
      <c r="N348" s="359" cm="1">
        <f t="array" ref="N348">SUMPRODUCT(ISNUMBER(MATCH(mod_st_gry,$B$332,0))*('Koszty operacyjne'!$K$114:$X$114=Moduły!N$77)*ISNUMBER(MATCH(st_gry_kw,nie,0)),st_gry)</f>
        <v>0</v>
      </c>
      <c r="O348" s="359" cm="1">
        <f t="array" ref="O348">SUMPRODUCT(ISNUMBER(MATCH(mod_st_gry,$B$332,0))*('Koszty operacyjne'!$K$114:$X$114=Moduły!O$77)*ISNUMBER(MATCH(st_gry_kw,nie,0)),st_gry)</f>
        <v>0</v>
      </c>
      <c r="P348" s="359" cm="1">
        <f t="array" ref="P348">SUMPRODUCT(ISNUMBER(MATCH(mod_st_gry,$B$332,0))*('Koszty operacyjne'!$K$114:$X$114=Moduły!P$77)*ISNUMBER(MATCH(st_gry_kw,nie,0)),st_gry)</f>
        <v>0</v>
      </c>
    </row>
    <row r="349" spans="2:16" ht="3.9" customHeight="1">
      <c r="B349" s="8"/>
      <c r="C349" s="361"/>
      <c r="D349" s="361"/>
      <c r="E349" s="361"/>
      <c r="F349" s="361"/>
      <c r="G349" s="361"/>
      <c r="H349" s="361"/>
      <c r="I349" s="361"/>
      <c r="J349" s="361"/>
      <c r="K349" s="362"/>
      <c r="L349" s="362"/>
      <c r="M349" s="362"/>
      <c r="N349" s="362"/>
      <c r="O349" s="362"/>
      <c r="P349" s="362"/>
    </row>
    <row r="350" spans="2:16" ht="12" customHeight="1">
      <c r="B350" s="353" t="s">
        <v>99</v>
      </c>
      <c r="C350" s="354">
        <f t="shared" ref="C350:P350" si="169">SUM(C351:C352)</f>
        <v>0</v>
      </c>
      <c r="D350" s="354">
        <f t="shared" si="169"/>
        <v>0</v>
      </c>
      <c r="E350" s="354">
        <f t="shared" si="169"/>
        <v>0</v>
      </c>
      <c r="F350" s="354">
        <f t="shared" si="169"/>
        <v>0</v>
      </c>
      <c r="G350" s="354">
        <f t="shared" si="169"/>
        <v>0</v>
      </c>
      <c r="H350" s="354">
        <f t="shared" si="169"/>
        <v>0</v>
      </c>
      <c r="I350" s="354">
        <f t="shared" si="169"/>
        <v>0</v>
      </c>
      <c r="J350" s="354">
        <f t="shared" si="169"/>
        <v>0</v>
      </c>
      <c r="K350" s="354">
        <f t="shared" si="169"/>
        <v>0</v>
      </c>
      <c r="L350" s="354">
        <f t="shared" si="169"/>
        <v>0</v>
      </c>
      <c r="M350" s="354">
        <f t="shared" si="169"/>
        <v>0</v>
      </c>
      <c r="N350" s="354">
        <f t="shared" si="169"/>
        <v>0</v>
      </c>
      <c r="O350" s="354">
        <f t="shared" si="169"/>
        <v>0</v>
      </c>
      <c r="P350" s="354">
        <f t="shared" si="169"/>
        <v>0</v>
      </c>
    </row>
    <row r="351" spans="2:16" ht="12" customHeight="1">
      <c r="B351" s="355" t="s">
        <v>95</v>
      </c>
      <c r="C351" s="356" cm="1">
        <f t="array" ref="C351">SUMPRODUCT(ISNUMBER(MATCH(mod_st_bib,$B$332,0))*('Koszty operacyjne'!$K$114:$X$114=Moduły!C$77)*ISNUMBER(MATCH(st_bib_kw,tak,0)),st_bib)+SUMPRODUCT(ISNUMBER(MATCH(mod_st_bib_wbudowie,$B$332,0))*('Koszty operacyjne'!$K$114:$X$114=Moduły!C$77)*ISNUMBER(MATCH(st_bib_wbudowie_kw,tak,0)),st_bib_wbudowie)</f>
        <v>0</v>
      </c>
      <c r="D351" s="356" cm="1">
        <f t="array" ref="D351">SUMPRODUCT(ISNUMBER(MATCH(mod_st_bib,$B$332,0))*('Koszty operacyjne'!$K$114:$X$114=Moduły!D$77)*ISNUMBER(MATCH(st_bib_kw,tak,0)),st_bib)+SUMPRODUCT(ISNUMBER(MATCH(mod_st_bib_wbudowie,$B$332,0))*('Koszty operacyjne'!$K$114:$X$114=Moduły!D$77)*ISNUMBER(MATCH(st_bib_wbudowie_kw,tak,0)),st_bib_wbudowie)</f>
        <v>0</v>
      </c>
      <c r="E351" s="356" cm="1">
        <f t="array" ref="E351">SUMPRODUCT(ISNUMBER(MATCH(mod_st_bib,$B$332,0))*('Koszty operacyjne'!$K$114:$X$114=Moduły!E$77)*ISNUMBER(MATCH(st_bib_kw,tak,0)),st_bib)+SUMPRODUCT(ISNUMBER(MATCH(mod_st_bib_wbudowie,$B$332,0))*('Koszty operacyjne'!$K$114:$X$114=Moduły!E$77)*ISNUMBER(MATCH(st_bib_wbudowie_kw,tak,0)),st_bib_wbudowie)</f>
        <v>0</v>
      </c>
      <c r="F351" s="356" cm="1">
        <f t="array" ref="F351">SUMPRODUCT(ISNUMBER(MATCH(mod_st_bib,$B$332,0))*('Koszty operacyjne'!$K$114:$X$114=Moduły!F$77)*ISNUMBER(MATCH(st_bib_kw,tak,0)),st_bib)+SUMPRODUCT(ISNUMBER(MATCH(mod_st_bib_wbudowie,$B$332,0))*('Koszty operacyjne'!$K$114:$X$114=Moduły!F$77)*ISNUMBER(MATCH(st_bib_wbudowie_kw,tak,0)),st_bib_wbudowie)</f>
        <v>0</v>
      </c>
      <c r="G351" s="356" cm="1">
        <f t="array" ref="G351">SUMPRODUCT(ISNUMBER(MATCH(mod_st_bib,$B$332,0))*('Koszty operacyjne'!$K$114:$X$114=Moduły!G$77)*ISNUMBER(MATCH(st_bib_kw,tak,0)),st_bib)+SUMPRODUCT(ISNUMBER(MATCH(mod_st_bib_wbudowie,$B$332,0))*('Koszty operacyjne'!$K$114:$X$114=Moduły!G$77)*ISNUMBER(MATCH(st_bib_wbudowie_kw,tak,0)),st_bib_wbudowie)</f>
        <v>0</v>
      </c>
      <c r="H351" s="356" cm="1">
        <f t="array" ref="H351">SUMPRODUCT(ISNUMBER(MATCH(mod_st_bib,$B$332,0))*('Koszty operacyjne'!$K$114:$X$114=Moduły!H$77)*ISNUMBER(MATCH(st_bib_kw,tak,0)),st_bib)+SUMPRODUCT(ISNUMBER(MATCH(mod_st_bib_wbudowie,$B$332,0))*('Koszty operacyjne'!$K$114:$X$114=Moduły!H$77)*ISNUMBER(MATCH(st_bib_wbudowie_kw,tak,0)),st_bib_wbudowie)</f>
        <v>0</v>
      </c>
      <c r="I351" s="356" cm="1">
        <f t="array" ref="I351">SUMPRODUCT(ISNUMBER(MATCH(mod_st_bib,$B$332,0))*('Koszty operacyjne'!$K$114:$X$114=Moduły!I$77)*ISNUMBER(MATCH(st_bib_kw,tak,0)),st_bib)+SUMPRODUCT(ISNUMBER(MATCH(mod_st_bib_wbudowie,$B$332,0))*('Koszty operacyjne'!$K$114:$X$114=Moduły!I$77)*ISNUMBER(MATCH(st_bib_wbudowie_kw,tak,0)),st_bib_wbudowie)</f>
        <v>0</v>
      </c>
      <c r="J351" s="356" cm="1">
        <f t="array" ref="J351">SUMPRODUCT(ISNUMBER(MATCH(mod_st_bib,$B$332,0))*('Koszty operacyjne'!$K$114:$X$114=Moduły!J$77)*ISNUMBER(MATCH(st_bib_kw,tak,0)),st_bib)+SUMPRODUCT(ISNUMBER(MATCH(mod_st_bib_wbudowie,$B$332,0))*('Koszty operacyjne'!$K$114:$X$114=Moduły!J$77)*ISNUMBER(MATCH(st_bib_wbudowie_kw,tak,0)),st_bib_wbudowie)</f>
        <v>0</v>
      </c>
      <c r="K351" s="356" cm="1">
        <f t="array" ref="K351">SUMPRODUCT(ISNUMBER(MATCH(mod_st_bib,$B$332,0))*('Koszty operacyjne'!$K$114:$X$114=Moduły!K$77)*ISNUMBER(MATCH(st_bib_kw,tak,0)),st_bib)+SUMPRODUCT(ISNUMBER(MATCH(mod_st_bib_wbudowie,$B$332,0))*('Koszty operacyjne'!$K$114:$X$114=Moduły!K$77)*ISNUMBER(MATCH(st_bib_wbudowie_kw,tak,0)),st_bib_wbudowie)</f>
        <v>0</v>
      </c>
      <c r="L351" s="356" cm="1">
        <f t="array" ref="L351">SUMPRODUCT(ISNUMBER(MATCH(mod_st_bib,$B$332,0))*('Koszty operacyjne'!$K$114:$X$114=Moduły!L$77)*ISNUMBER(MATCH(st_bib_kw,tak,0)),st_bib)+SUMPRODUCT(ISNUMBER(MATCH(mod_st_bib_wbudowie,$B$332,0))*('Koszty operacyjne'!$K$114:$X$114=Moduły!L$77)*ISNUMBER(MATCH(st_bib_wbudowie_kw,tak,0)),st_bib_wbudowie)</f>
        <v>0</v>
      </c>
      <c r="M351" s="356" cm="1">
        <f t="array" ref="M351">SUMPRODUCT(ISNUMBER(MATCH(mod_st_bib,$B$332,0))*('Koszty operacyjne'!$K$114:$X$114=Moduły!M$77)*ISNUMBER(MATCH(st_bib_kw,tak,0)),st_bib)+SUMPRODUCT(ISNUMBER(MATCH(mod_st_bib_wbudowie,$B$332,0))*('Koszty operacyjne'!$K$114:$X$114=Moduły!M$77)*ISNUMBER(MATCH(st_bib_wbudowie_kw,tak,0)),st_bib_wbudowie)</f>
        <v>0</v>
      </c>
      <c r="N351" s="356" cm="1">
        <f t="array" ref="N351">SUMPRODUCT(ISNUMBER(MATCH(mod_st_bib,$B$332,0))*('Koszty operacyjne'!$K$114:$X$114=Moduły!N$77)*ISNUMBER(MATCH(st_bib_kw,tak,0)),st_bib)+SUMPRODUCT(ISNUMBER(MATCH(mod_st_bib_wbudowie,$B$332,0))*('Koszty operacyjne'!$K$114:$X$114=Moduły!N$77)*ISNUMBER(MATCH(st_bib_wbudowie_kw,tak,0)),st_bib_wbudowie)</f>
        <v>0</v>
      </c>
      <c r="O351" s="356" cm="1">
        <f t="array" ref="O351">SUMPRODUCT(ISNUMBER(MATCH(mod_st_bib,$B$332,0))*('Koszty operacyjne'!$K$114:$X$114=Moduły!O$77)*ISNUMBER(MATCH(st_bib_kw,tak,0)),st_bib)+SUMPRODUCT(ISNUMBER(MATCH(mod_st_bib_wbudowie,$B$332,0))*('Koszty operacyjne'!$K$114:$X$114=Moduły!O$77)*ISNUMBER(MATCH(st_bib_wbudowie_kw,tak,0)),st_bib_wbudowie)</f>
        <v>0</v>
      </c>
      <c r="P351" s="356" cm="1">
        <f t="array" ref="P351">SUMPRODUCT(ISNUMBER(MATCH(mod_st_bib,$B$332,0))*('Koszty operacyjne'!$K$114:$X$114=Moduły!P$77)*ISNUMBER(MATCH(st_bib_kw,tak,0)),st_bib)+SUMPRODUCT(ISNUMBER(MATCH(mod_st_bib_wbudowie,$B$332,0))*('Koszty operacyjne'!$K$114:$X$114=Moduły!P$77)*ISNUMBER(MATCH(st_bib_wbudowie_kw,tak,0)),st_bib_wbudowie)</f>
        <v>0</v>
      </c>
    </row>
    <row r="352" spans="2:16" ht="12" customHeight="1">
      <c r="B352" s="357" t="s">
        <v>96</v>
      </c>
      <c r="C352" s="358" cm="1">
        <f t="array" ref="C352">SUMPRODUCT(ISNUMBER(MATCH(mod_st_bib,$B$332,0))*('Koszty operacyjne'!$K$114:$X$114=Moduły!C$77)*ISNUMBER(MATCH(st_bib_kw,nie,0)),st_bib)+SUMPRODUCT(ISNUMBER(MATCH(mod_st_bib_wbudowie,$B$332,0))*('Koszty operacyjne'!$K$114:$X$114=Moduły!C$77)*ISNUMBER(MATCH(st_bib_wbudowie_kw,nie,0)),st_bib_wbudowie)</f>
        <v>0</v>
      </c>
      <c r="D352" s="358" cm="1">
        <f t="array" ref="D352">SUMPRODUCT(ISNUMBER(MATCH(mod_st_bib,$B$332,0))*('Koszty operacyjne'!$K$114:$X$114=Moduły!D$77)*ISNUMBER(MATCH(st_bib_kw,nie,0)),st_bib)+SUMPRODUCT(ISNUMBER(MATCH(mod_st_bib_wbudowie,$B$332,0))*('Koszty operacyjne'!$K$114:$X$114=Moduły!D$77)*ISNUMBER(MATCH(st_bib_wbudowie_kw,nie,0)),st_bib_wbudowie)</f>
        <v>0</v>
      </c>
      <c r="E352" s="358" cm="1">
        <f t="array" ref="E352">SUMPRODUCT(ISNUMBER(MATCH(mod_st_bib,$B$332,0))*('Koszty operacyjne'!$K$114:$X$114=Moduły!E$77)*ISNUMBER(MATCH(st_bib_kw,nie,0)),st_bib)+SUMPRODUCT(ISNUMBER(MATCH(mod_st_bib_wbudowie,$B$332,0))*('Koszty operacyjne'!$K$114:$X$114=Moduły!E$77)*ISNUMBER(MATCH(st_bib_wbudowie_kw,nie,0)),st_bib_wbudowie)</f>
        <v>0</v>
      </c>
      <c r="F352" s="358" cm="1">
        <f t="array" ref="F352">SUMPRODUCT(ISNUMBER(MATCH(mod_st_bib,$B$332,0))*('Koszty operacyjne'!$K$114:$X$114=Moduły!F$77)*ISNUMBER(MATCH(st_bib_kw,nie,0)),st_bib)+SUMPRODUCT(ISNUMBER(MATCH(mod_st_bib_wbudowie,$B$332,0))*('Koszty operacyjne'!$K$114:$X$114=Moduły!F$77)*ISNUMBER(MATCH(st_bib_wbudowie_kw,nie,0)),st_bib_wbudowie)</f>
        <v>0</v>
      </c>
      <c r="G352" s="358" cm="1">
        <f t="array" ref="G352">SUMPRODUCT(ISNUMBER(MATCH(mod_st_bib,$B$332,0))*('Koszty operacyjne'!$K$114:$X$114=Moduły!G$77)*ISNUMBER(MATCH(st_bib_kw,nie,0)),st_bib)+SUMPRODUCT(ISNUMBER(MATCH(mod_st_bib_wbudowie,$B$332,0))*('Koszty operacyjne'!$K$114:$X$114=Moduły!G$77)*ISNUMBER(MATCH(st_bib_wbudowie_kw,nie,0)),st_bib_wbudowie)</f>
        <v>0</v>
      </c>
      <c r="H352" s="358" cm="1">
        <f t="array" ref="H352">SUMPRODUCT(ISNUMBER(MATCH(mod_st_bib,$B$332,0))*('Koszty operacyjne'!$K$114:$X$114=Moduły!H$77)*ISNUMBER(MATCH(st_bib_kw,nie,0)),st_bib)+SUMPRODUCT(ISNUMBER(MATCH(mod_st_bib_wbudowie,$B$332,0))*('Koszty operacyjne'!$K$114:$X$114=Moduły!H$77)*ISNUMBER(MATCH(st_bib_wbudowie_kw,nie,0)),st_bib_wbudowie)</f>
        <v>0</v>
      </c>
      <c r="I352" s="358" cm="1">
        <f t="array" ref="I352">SUMPRODUCT(ISNUMBER(MATCH(mod_st_bib,$B$332,0))*('Koszty operacyjne'!$K$114:$X$114=Moduły!I$77)*ISNUMBER(MATCH(st_bib_kw,nie,0)),st_bib)+SUMPRODUCT(ISNUMBER(MATCH(mod_st_bib_wbudowie,$B$332,0))*('Koszty operacyjne'!$K$114:$X$114=Moduły!I$77)*ISNUMBER(MATCH(st_bib_wbudowie_kw,nie,0)),st_bib_wbudowie)</f>
        <v>0</v>
      </c>
      <c r="J352" s="358" cm="1">
        <f t="array" ref="J352">SUMPRODUCT(ISNUMBER(MATCH(mod_st_bib,$B$332,0))*('Koszty operacyjne'!$K$114:$X$114=Moduły!J$77)*ISNUMBER(MATCH(st_bib_kw,nie,0)),st_bib)+SUMPRODUCT(ISNUMBER(MATCH(mod_st_bib_wbudowie,$B$332,0))*('Koszty operacyjne'!$K$114:$X$114=Moduły!J$77)*ISNUMBER(MATCH(st_bib_wbudowie_kw,nie,0)),st_bib_wbudowie)</f>
        <v>0</v>
      </c>
      <c r="K352" s="358" cm="1">
        <f t="array" ref="K352">SUMPRODUCT(ISNUMBER(MATCH(mod_st_bib,$B$332,0))*('Koszty operacyjne'!$K$114:$X$114=Moduły!K$77)*ISNUMBER(MATCH(st_bib_kw,nie,0)),st_bib)+SUMPRODUCT(ISNUMBER(MATCH(mod_st_bib_wbudowie,$B$332,0))*('Koszty operacyjne'!$K$114:$X$114=Moduły!K$77)*ISNUMBER(MATCH(st_bib_wbudowie_kw,nie,0)),st_bib_wbudowie)</f>
        <v>0</v>
      </c>
      <c r="L352" s="358" cm="1">
        <f t="array" ref="L352">SUMPRODUCT(ISNUMBER(MATCH(mod_st_bib,$B$332,0))*('Koszty operacyjne'!$K$114:$X$114=Moduły!L$77)*ISNUMBER(MATCH(st_bib_kw,nie,0)),st_bib)+SUMPRODUCT(ISNUMBER(MATCH(mod_st_bib_wbudowie,$B$332,0))*('Koszty operacyjne'!$K$114:$X$114=Moduły!L$77)*ISNUMBER(MATCH(st_bib_wbudowie_kw,nie,0)),st_bib_wbudowie)</f>
        <v>0</v>
      </c>
      <c r="M352" s="358" cm="1">
        <f t="array" ref="M352">SUMPRODUCT(ISNUMBER(MATCH(mod_st_bib,$B$332,0))*('Koszty operacyjne'!$K$114:$X$114=Moduły!M$77)*ISNUMBER(MATCH(st_bib_kw,nie,0)),st_bib)+SUMPRODUCT(ISNUMBER(MATCH(mod_st_bib_wbudowie,$B$332,0))*('Koszty operacyjne'!$K$114:$X$114=Moduły!M$77)*ISNUMBER(MATCH(st_bib_wbudowie_kw,nie,0)),st_bib_wbudowie)</f>
        <v>0</v>
      </c>
      <c r="N352" s="358" cm="1">
        <f t="array" ref="N352">SUMPRODUCT(ISNUMBER(MATCH(mod_st_bib,$B$332,0))*('Koszty operacyjne'!$K$114:$X$114=Moduły!N$77)*ISNUMBER(MATCH(st_bib_kw,nie,0)),st_bib)+SUMPRODUCT(ISNUMBER(MATCH(mod_st_bib_wbudowie,$B$332,0))*('Koszty operacyjne'!$K$114:$X$114=Moduły!N$77)*ISNUMBER(MATCH(st_bib_wbudowie_kw,nie,0)),st_bib_wbudowie)</f>
        <v>0</v>
      </c>
      <c r="O352" s="358" cm="1">
        <f t="array" ref="O352">SUMPRODUCT(ISNUMBER(MATCH(mod_st_bib,$B$332,0))*('Koszty operacyjne'!$K$114:$X$114=Moduły!O$77)*ISNUMBER(MATCH(st_bib_kw,nie,0)),st_bib)+SUMPRODUCT(ISNUMBER(MATCH(mod_st_bib_wbudowie,$B$332,0))*('Koszty operacyjne'!$K$114:$X$114=Moduły!O$77)*ISNUMBER(MATCH(st_bib_wbudowie_kw,nie,0)),st_bib_wbudowie)</f>
        <v>0</v>
      </c>
      <c r="P352" s="358" cm="1">
        <f t="array" ref="P352">SUMPRODUCT(ISNUMBER(MATCH(mod_st_bib,$B$332,0))*('Koszty operacyjne'!$K$114:$X$114=Moduły!P$77)*ISNUMBER(MATCH(st_bib_kw,nie,0)),st_bib)+SUMPRODUCT(ISNUMBER(MATCH(mod_st_bib_wbudowie,$B$332,0))*('Koszty operacyjne'!$K$114:$X$114=Moduły!P$77)*ISNUMBER(MATCH(st_bib_wbudowie_kw,nie,0)),st_bib_wbudowie)</f>
        <v>0</v>
      </c>
    </row>
    <row r="353" spans="2:16" ht="3.9" customHeight="1">
      <c r="B353" s="8"/>
      <c r="C353" s="361"/>
      <c r="D353" s="361"/>
      <c r="E353" s="361"/>
      <c r="F353" s="361"/>
      <c r="G353" s="361"/>
      <c r="H353" s="361"/>
      <c r="I353" s="361"/>
      <c r="J353" s="361"/>
      <c r="K353" s="362"/>
      <c r="L353" s="362"/>
      <c r="M353" s="362"/>
      <c r="N353" s="362"/>
      <c r="O353" s="362"/>
      <c r="P353" s="362"/>
    </row>
    <row r="354" spans="2:16" ht="12" customHeight="1">
      <c r="B354" s="353" t="s">
        <v>100</v>
      </c>
      <c r="C354" s="354">
        <f t="shared" ref="C354:P354" si="170">SUM(C355:C356)</f>
        <v>0</v>
      </c>
      <c r="D354" s="354">
        <f t="shared" si="170"/>
        <v>0</v>
      </c>
      <c r="E354" s="354">
        <f t="shared" si="170"/>
        <v>0</v>
      </c>
      <c r="F354" s="354">
        <f t="shared" si="170"/>
        <v>0</v>
      </c>
      <c r="G354" s="354">
        <f t="shared" si="170"/>
        <v>0</v>
      </c>
      <c r="H354" s="354">
        <f t="shared" si="170"/>
        <v>0</v>
      </c>
      <c r="I354" s="354">
        <f t="shared" si="170"/>
        <v>0</v>
      </c>
      <c r="J354" s="354">
        <f t="shared" si="170"/>
        <v>0</v>
      </c>
      <c r="K354" s="354">
        <f t="shared" si="170"/>
        <v>0</v>
      </c>
      <c r="L354" s="354">
        <f t="shared" si="170"/>
        <v>0</v>
      </c>
      <c r="M354" s="354">
        <f t="shared" si="170"/>
        <v>0</v>
      </c>
      <c r="N354" s="354">
        <f t="shared" si="170"/>
        <v>0</v>
      </c>
      <c r="O354" s="354">
        <f t="shared" si="170"/>
        <v>0</v>
      </c>
      <c r="P354" s="354">
        <f t="shared" si="170"/>
        <v>0</v>
      </c>
    </row>
    <row r="355" spans="2:16" ht="12" customHeight="1">
      <c r="B355" s="355" t="s">
        <v>95</v>
      </c>
      <c r="C355" s="356" cm="1">
        <f t="array" ref="C355">SUMPRODUCT(ISNUMBER(MATCH(mod_st_utm,$B$332,0))*('Koszty operacyjne'!$K$114:$X$114=Moduły!C$77)*ISNUMBER(MATCH(st_utm_kw,tak,0)),st_utm)+SUMPRODUCT(ISNUMBER(MATCH(mod_st_utm_wbudowie,$B$332,0))*('Koszty operacyjne'!$K$114:$X$114=Moduły!C$77)*ISNUMBER(MATCH(st_utm_kw_wbudowie,tak,0)),st_utm_wbudowie)</f>
        <v>0</v>
      </c>
      <c r="D355" s="356" cm="1">
        <f t="array" ref="D355">SUMPRODUCT(ISNUMBER(MATCH(mod_st_utm,$B$332,0))*('Koszty operacyjne'!$K$114:$X$114=Moduły!D$77)*ISNUMBER(MATCH(st_utm_kw,tak,0)),st_utm)+SUMPRODUCT(ISNUMBER(MATCH(mod_st_utm_wbudowie,$B$332,0))*('Koszty operacyjne'!$K$114:$X$114=Moduły!D$77)*ISNUMBER(MATCH(st_utm_kw_wbudowie,tak,0)),st_utm_wbudowie)</f>
        <v>0</v>
      </c>
      <c r="E355" s="356" cm="1">
        <f t="array" ref="E355">SUMPRODUCT(ISNUMBER(MATCH(mod_st_utm,$B$332,0))*('Koszty operacyjne'!$K$114:$X$114=Moduły!E$77)*ISNUMBER(MATCH(st_utm_kw,tak,0)),st_utm)+SUMPRODUCT(ISNUMBER(MATCH(mod_st_utm_wbudowie,$B$332,0))*('Koszty operacyjne'!$K$114:$X$114=Moduły!E$77)*ISNUMBER(MATCH(st_utm_kw_wbudowie,tak,0)),st_utm_wbudowie)</f>
        <v>0</v>
      </c>
      <c r="F355" s="356" cm="1">
        <f t="array" ref="F355">SUMPRODUCT(ISNUMBER(MATCH(mod_st_utm,$B$332,0))*('Koszty operacyjne'!$K$114:$X$114=Moduły!F$77)*ISNUMBER(MATCH(st_utm_kw,tak,0)),st_utm)+SUMPRODUCT(ISNUMBER(MATCH(mod_st_utm_wbudowie,$B$332,0))*('Koszty operacyjne'!$K$114:$X$114=Moduły!F$77)*ISNUMBER(MATCH(st_utm_kw_wbudowie,tak,0)),st_utm_wbudowie)</f>
        <v>0</v>
      </c>
      <c r="G355" s="356" cm="1">
        <f t="array" ref="G355">SUMPRODUCT(ISNUMBER(MATCH(mod_st_utm,$B$332,0))*('Koszty operacyjne'!$K$114:$X$114=Moduły!G$77)*ISNUMBER(MATCH(st_utm_kw,tak,0)),st_utm)+SUMPRODUCT(ISNUMBER(MATCH(mod_st_utm_wbudowie,$B$332,0))*('Koszty operacyjne'!$K$114:$X$114=Moduły!G$77)*ISNUMBER(MATCH(st_utm_kw_wbudowie,tak,0)),st_utm_wbudowie)</f>
        <v>0</v>
      </c>
      <c r="H355" s="356" cm="1">
        <f t="array" ref="H355">SUMPRODUCT(ISNUMBER(MATCH(mod_st_utm,$B$332,0))*('Koszty operacyjne'!$K$114:$X$114=Moduły!H$77)*ISNUMBER(MATCH(st_utm_kw,tak,0)),st_utm)+SUMPRODUCT(ISNUMBER(MATCH(mod_st_utm_wbudowie,$B$332,0))*('Koszty operacyjne'!$K$114:$X$114=Moduły!H$77)*ISNUMBER(MATCH(st_utm_kw_wbudowie,tak,0)),st_utm_wbudowie)</f>
        <v>0</v>
      </c>
      <c r="I355" s="356" cm="1">
        <f t="array" ref="I355">SUMPRODUCT(ISNUMBER(MATCH(mod_st_utm,$B$332,0))*('Koszty operacyjne'!$K$114:$X$114=Moduły!I$77)*ISNUMBER(MATCH(st_utm_kw,tak,0)),st_utm)+SUMPRODUCT(ISNUMBER(MATCH(mod_st_utm_wbudowie,$B$332,0))*('Koszty operacyjne'!$K$114:$X$114=Moduły!I$77)*ISNUMBER(MATCH(st_utm_kw_wbudowie,tak,0)),st_utm_wbudowie)</f>
        <v>0</v>
      </c>
      <c r="J355" s="356" cm="1">
        <f t="array" ref="J355">SUMPRODUCT(ISNUMBER(MATCH(mod_st_utm,$B$332,0))*('Koszty operacyjne'!$K$114:$X$114=Moduły!J$77)*ISNUMBER(MATCH(st_utm_kw,tak,0)),st_utm)+SUMPRODUCT(ISNUMBER(MATCH(mod_st_utm_wbudowie,$B$332,0))*('Koszty operacyjne'!$K$114:$X$114=Moduły!J$77)*ISNUMBER(MATCH(st_utm_kw_wbudowie,tak,0)),st_utm_wbudowie)</f>
        <v>0</v>
      </c>
      <c r="K355" s="356" cm="1">
        <f t="array" ref="K355">SUMPRODUCT(ISNUMBER(MATCH(mod_st_utm,$B$332,0))*('Koszty operacyjne'!$K$114:$X$114=Moduły!K$77)*ISNUMBER(MATCH(st_utm_kw,tak,0)),st_utm)+SUMPRODUCT(ISNUMBER(MATCH(mod_st_utm_wbudowie,$B$332,0))*('Koszty operacyjne'!$K$114:$X$114=Moduły!K$77)*ISNUMBER(MATCH(st_utm_kw_wbudowie,tak,0)),st_utm_wbudowie)</f>
        <v>0</v>
      </c>
      <c r="L355" s="356" cm="1">
        <f t="array" ref="L355">SUMPRODUCT(ISNUMBER(MATCH(mod_st_utm,$B$332,0))*('Koszty operacyjne'!$K$114:$X$114=Moduły!L$77)*ISNUMBER(MATCH(st_utm_kw,tak,0)),st_utm)+SUMPRODUCT(ISNUMBER(MATCH(mod_st_utm_wbudowie,$B$332,0))*('Koszty operacyjne'!$K$114:$X$114=Moduły!L$77)*ISNUMBER(MATCH(st_utm_kw_wbudowie,tak,0)),st_utm_wbudowie)</f>
        <v>0</v>
      </c>
      <c r="M355" s="356" cm="1">
        <f t="array" ref="M355">SUMPRODUCT(ISNUMBER(MATCH(mod_st_utm,$B$332,0))*('Koszty operacyjne'!$K$114:$X$114=Moduły!M$77)*ISNUMBER(MATCH(st_utm_kw,tak,0)),st_utm)+SUMPRODUCT(ISNUMBER(MATCH(mod_st_utm_wbudowie,$B$332,0))*('Koszty operacyjne'!$K$114:$X$114=Moduły!M$77)*ISNUMBER(MATCH(st_utm_kw_wbudowie,tak,0)),st_utm_wbudowie)</f>
        <v>0</v>
      </c>
      <c r="N355" s="356" cm="1">
        <f t="array" ref="N355">SUMPRODUCT(ISNUMBER(MATCH(mod_st_utm,$B$332,0))*('Koszty operacyjne'!$K$114:$X$114=Moduły!N$77)*ISNUMBER(MATCH(st_utm_kw,tak,0)),st_utm)+SUMPRODUCT(ISNUMBER(MATCH(mod_st_utm_wbudowie,$B$332,0))*('Koszty operacyjne'!$K$114:$X$114=Moduły!N$77)*ISNUMBER(MATCH(st_utm_kw_wbudowie,tak,0)),st_utm_wbudowie)</f>
        <v>0</v>
      </c>
      <c r="O355" s="356" cm="1">
        <f t="array" ref="O355">SUMPRODUCT(ISNUMBER(MATCH(mod_st_utm,$B$332,0))*('Koszty operacyjne'!$K$114:$X$114=Moduły!O$77)*ISNUMBER(MATCH(st_utm_kw,tak,0)),st_utm)+SUMPRODUCT(ISNUMBER(MATCH(mod_st_utm_wbudowie,$B$332,0))*('Koszty operacyjne'!$K$114:$X$114=Moduły!O$77)*ISNUMBER(MATCH(st_utm_kw_wbudowie,tak,0)),st_utm_wbudowie)</f>
        <v>0</v>
      </c>
      <c r="P355" s="356" cm="1">
        <f t="array" ref="P355">SUMPRODUCT(ISNUMBER(MATCH(mod_st_utm,$B$332,0))*('Koszty operacyjne'!$K$114:$X$114=Moduły!P$77)*ISNUMBER(MATCH(st_utm_kw,tak,0)),st_utm)+SUMPRODUCT(ISNUMBER(MATCH(mod_st_utm_wbudowie,$B$332,0))*('Koszty operacyjne'!$K$114:$X$114=Moduły!P$77)*ISNUMBER(MATCH(st_utm_kw_wbudowie,tak,0)),st_utm_wbudowie)</f>
        <v>0</v>
      </c>
    </row>
    <row r="356" spans="2:16" ht="12" customHeight="1">
      <c r="B356" s="357" t="s">
        <v>96</v>
      </c>
      <c r="C356" s="358" cm="1">
        <f t="array" ref="C356">SUMPRODUCT(ISNUMBER(MATCH(mod_st_utm,$B$332,0))*('Koszty operacyjne'!$K$114:$X$114=Moduły!C$77)*ISNUMBER(MATCH(st_utm_kw,nie,0)),st_utm)+SUMPRODUCT(ISNUMBER(MATCH(mod_st_utm_wbudowie,$B$332,0))*('Koszty operacyjne'!$K$114:$X$114=Moduły!C$77)*ISNUMBER(MATCH(st_utm_kw_wbudowie,nie,0)),st_utm_wbudowie)</f>
        <v>0</v>
      </c>
      <c r="D356" s="358" cm="1">
        <f t="array" ref="D356">SUMPRODUCT(ISNUMBER(MATCH(mod_st_utm,$B$332,0))*('Koszty operacyjne'!$K$114:$X$114=Moduły!D$77)*ISNUMBER(MATCH(st_utm_kw,nie,0)),st_utm)+SUMPRODUCT(ISNUMBER(MATCH(mod_st_utm_wbudowie,$B$332,0))*('Koszty operacyjne'!$K$114:$X$114=Moduły!D$77)*ISNUMBER(MATCH(st_utm_kw_wbudowie,nie,0)),st_utm_wbudowie)</f>
        <v>0</v>
      </c>
      <c r="E356" s="358" cm="1">
        <f t="array" ref="E356">SUMPRODUCT(ISNUMBER(MATCH(mod_st_utm,$B$332,0))*('Koszty operacyjne'!$K$114:$X$114=Moduły!E$77)*ISNUMBER(MATCH(st_utm_kw,nie,0)),st_utm)+SUMPRODUCT(ISNUMBER(MATCH(mod_st_utm_wbudowie,$B$332,0))*('Koszty operacyjne'!$K$114:$X$114=Moduły!E$77)*ISNUMBER(MATCH(st_utm_kw_wbudowie,nie,0)),st_utm_wbudowie)</f>
        <v>0</v>
      </c>
      <c r="F356" s="358" cm="1">
        <f t="array" ref="F356">SUMPRODUCT(ISNUMBER(MATCH(mod_st_utm,$B$332,0))*('Koszty operacyjne'!$K$114:$X$114=Moduły!F$77)*ISNUMBER(MATCH(st_utm_kw,nie,0)),st_utm)+SUMPRODUCT(ISNUMBER(MATCH(mod_st_utm_wbudowie,$B$332,0))*('Koszty operacyjne'!$K$114:$X$114=Moduły!F$77)*ISNUMBER(MATCH(st_utm_kw_wbudowie,nie,0)),st_utm_wbudowie)</f>
        <v>0</v>
      </c>
      <c r="G356" s="358" cm="1">
        <f t="array" ref="G356">SUMPRODUCT(ISNUMBER(MATCH(mod_st_utm,$B$332,0))*('Koszty operacyjne'!$K$114:$X$114=Moduły!G$77)*ISNUMBER(MATCH(st_utm_kw,nie,0)),st_utm)+SUMPRODUCT(ISNUMBER(MATCH(mod_st_utm_wbudowie,$B$332,0))*('Koszty operacyjne'!$K$114:$X$114=Moduły!G$77)*ISNUMBER(MATCH(st_utm_kw_wbudowie,nie,0)),st_utm_wbudowie)</f>
        <v>0</v>
      </c>
      <c r="H356" s="358" cm="1">
        <f t="array" ref="H356">SUMPRODUCT(ISNUMBER(MATCH(mod_st_utm,$B$332,0))*('Koszty operacyjne'!$K$114:$X$114=Moduły!H$77)*ISNUMBER(MATCH(st_utm_kw,nie,0)),st_utm)+SUMPRODUCT(ISNUMBER(MATCH(mod_st_utm_wbudowie,$B$332,0))*('Koszty operacyjne'!$K$114:$X$114=Moduły!H$77)*ISNUMBER(MATCH(st_utm_kw_wbudowie,nie,0)),st_utm_wbudowie)</f>
        <v>0</v>
      </c>
      <c r="I356" s="358" cm="1">
        <f t="array" ref="I356">SUMPRODUCT(ISNUMBER(MATCH(mod_st_utm,$B$332,0))*('Koszty operacyjne'!$K$114:$X$114=Moduły!I$77)*ISNUMBER(MATCH(st_utm_kw,nie,0)),st_utm)+SUMPRODUCT(ISNUMBER(MATCH(mod_st_utm_wbudowie,$B$332,0))*('Koszty operacyjne'!$K$114:$X$114=Moduły!I$77)*ISNUMBER(MATCH(st_utm_kw_wbudowie,nie,0)),st_utm_wbudowie)</f>
        <v>0</v>
      </c>
      <c r="J356" s="358" cm="1">
        <f t="array" ref="J356">SUMPRODUCT(ISNUMBER(MATCH(mod_st_utm,$B$332,0))*('Koszty operacyjne'!$K$114:$X$114=Moduły!J$77)*ISNUMBER(MATCH(st_utm_kw,nie,0)),st_utm)+SUMPRODUCT(ISNUMBER(MATCH(mod_st_utm_wbudowie,$B$332,0))*('Koszty operacyjne'!$K$114:$X$114=Moduły!J$77)*ISNUMBER(MATCH(st_utm_kw_wbudowie,nie,0)),st_utm_wbudowie)</f>
        <v>0</v>
      </c>
      <c r="K356" s="358" cm="1">
        <f t="array" ref="K356">SUMPRODUCT(ISNUMBER(MATCH(mod_st_utm,$B$332,0))*('Koszty operacyjne'!$K$114:$X$114=Moduły!K$77)*ISNUMBER(MATCH(st_utm_kw,nie,0)),st_utm)+SUMPRODUCT(ISNUMBER(MATCH(mod_st_utm_wbudowie,$B$332,0))*('Koszty operacyjne'!$K$114:$X$114=Moduły!K$77)*ISNUMBER(MATCH(st_utm_kw_wbudowie,nie,0)),st_utm_wbudowie)</f>
        <v>0</v>
      </c>
      <c r="L356" s="358" cm="1">
        <f t="array" ref="L356">SUMPRODUCT(ISNUMBER(MATCH(mod_st_utm,$B$332,0))*('Koszty operacyjne'!$K$114:$X$114=Moduły!L$77)*ISNUMBER(MATCH(st_utm_kw,nie,0)),st_utm)+SUMPRODUCT(ISNUMBER(MATCH(mod_st_utm_wbudowie,$B$332,0))*('Koszty operacyjne'!$K$114:$X$114=Moduły!L$77)*ISNUMBER(MATCH(st_utm_kw_wbudowie,nie,0)),st_utm_wbudowie)</f>
        <v>0</v>
      </c>
      <c r="M356" s="358" cm="1">
        <f t="array" ref="M356">SUMPRODUCT(ISNUMBER(MATCH(mod_st_utm,$B$332,0))*('Koszty operacyjne'!$K$114:$X$114=Moduły!M$77)*ISNUMBER(MATCH(st_utm_kw,nie,0)),st_utm)+SUMPRODUCT(ISNUMBER(MATCH(mod_st_utm_wbudowie,$B$332,0))*('Koszty operacyjne'!$K$114:$X$114=Moduły!M$77)*ISNUMBER(MATCH(st_utm_kw_wbudowie,nie,0)),st_utm_wbudowie)</f>
        <v>0</v>
      </c>
      <c r="N356" s="358" cm="1">
        <f t="array" ref="N356">SUMPRODUCT(ISNUMBER(MATCH(mod_st_utm,$B$332,0))*('Koszty operacyjne'!$K$114:$X$114=Moduły!N$77)*ISNUMBER(MATCH(st_utm_kw,nie,0)),st_utm)+SUMPRODUCT(ISNUMBER(MATCH(mod_st_utm_wbudowie,$B$332,0))*('Koszty operacyjne'!$K$114:$X$114=Moduły!N$77)*ISNUMBER(MATCH(st_utm_kw_wbudowie,nie,0)),st_utm_wbudowie)</f>
        <v>0</v>
      </c>
      <c r="O356" s="358" cm="1">
        <f t="array" ref="O356">SUMPRODUCT(ISNUMBER(MATCH(mod_st_utm,$B$332,0))*('Koszty operacyjne'!$K$114:$X$114=Moduły!O$77)*ISNUMBER(MATCH(st_utm_kw,nie,0)),st_utm)+SUMPRODUCT(ISNUMBER(MATCH(mod_st_utm_wbudowie,$B$332,0))*('Koszty operacyjne'!$K$114:$X$114=Moduły!O$77)*ISNUMBER(MATCH(st_utm_kw_wbudowie,nie,0)),st_utm_wbudowie)</f>
        <v>0</v>
      </c>
      <c r="P356" s="358" cm="1">
        <f t="array" ref="P356">SUMPRODUCT(ISNUMBER(MATCH(mod_st_utm,$B$332,0))*('Koszty operacyjne'!$K$114:$X$114=Moduły!P$77)*ISNUMBER(MATCH(st_utm_kw,nie,0)),st_utm)+SUMPRODUCT(ISNUMBER(MATCH(mod_st_utm_wbudowie,$B$332,0))*('Koszty operacyjne'!$K$114:$X$114=Moduły!P$77)*ISNUMBER(MATCH(st_utm_kw_wbudowie,nie,0)),st_utm_wbudowie)</f>
        <v>0</v>
      </c>
    </row>
    <row r="357" spans="2:16" ht="3.9" customHeight="1">
      <c r="B357" s="8"/>
      <c r="C357" s="361"/>
      <c r="D357" s="361"/>
      <c r="E357" s="361"/>
      <c r="F357" s="361"/>
      <c r="G357" s="361"/>
      <c r="H357" s="361"/>
      <c r="I357" s="361"/>
      <c r="J357" s="361"/>
      <c r="K357" s="362"/>
      <c r="L357" s="362"/>
      <c r="M357" s="362"/>
      <c r="N357" s="362"/>
      <c r="O357" s="362"/>
      <c r="P357" s="362"/>
    </row>
    <row r="358" spans="2:16" ht="12" customHeight="1">
      <c r="B358" s="353" t="s">
        <v>101</v>
      </c>
      <c r="C358" s="354">
        <f t="shared" ref="C358:P358" si="171">SUM(C359:C360)</f>
        <v>0</v>
      </c>
      <c r="D358" s="354">
        <f t="shared" si="171"/>
        <v>0</v>
      </c>
      <c r="E358" s="354">
        <f t="shared" si="171"/>
        <v>0</v>
      </c>
      <c r="F358" s="354">
        <f t="shared" si="171"/>
        <v>0</v>
      </c>
      <c r="G358" s="354">
        <f t="shared" si="171"/>
        <v>0</v>
      </c>
      <c r="H358" s="354">
        <f t="shared" si="171"/>
        <v>0</v>
      </c>
      <c r="I358" s="354">
        <f t="shared" si="171"/>
        <v>0</v>
      </c>
      <c r="J358" s="354">
        <f t="shared" si="171"/>
        <v>0</v>
      </c>
      <c r="K358" s="354">
        <f t="shared" si="171"/>
        <v>0</v>
      </c>
      <c r="L358" s="354">
        <f t="shared" si="171"/>
        <v>0</v>
      </c>
      <c r="M358" s="354">
        <f t="shared" si="171"/>
        <v>0</v>
      </c>
      <c r="N358" s="354">
        <f t="shared" si="171"/>
        <v>0</v>
      </c>
      <c r="O358" s="354">
        <f t="shared" si="171"/>
        <v>0</v>
      </c>
      <c r="P358" s="354">
        <f t="shared" si="171"/>
        <v>0</v>
      </c>
    </row>
    <row r="359" spans="2:16" ht="12" customHeight="1">
      <c r="B359" s="355" t="s">
        <v>95</v>
      </c>
      <c r="C359" s="356" cm="1">
        <f t="array" ref="C359">SUMPRODUCT(ISNUMBER(MATCH(mod_st_stu,$B$332,0))*('Koszty operacyjne'!$K$114:$X$114=Moduły!C$77)*ISNUMBER(MATCH(st_stu_kw,tak,0)),st_stu)</f>
        <v>0</v>
      </c>
      <c r="D359" s="356" cm="1">
        <f t="array" ref="D359">SUMPRODUCT(ISNUMBER(MATCH(mod_st_stu,$B$332,0))*('Koszty operacyjne'!$K$114:$X$114=Moduły!D$77)*ISNUMBER(MATCH(st_stu_kw,tak,0)),st_stu)</f>
        <v>0</v>
      </c>
      <c r="E359" s="356" cm="1">
        <f t="array" ref="E359">SUMPRODUCT(ISNUMBER(MATCH(mod_st_stu,$B$332,0))*('Koszty operacyjne'!$K$114:$X$114=Moduły!E$77)*ISNUMBER(MATCH(st_stu_kw,tak,0)),st_stu)</f>
        <v>0</v>
      </c>
      <c r="F359" s="356" cm="1">
        <f t="array" ref="F359">SUMPRODUCT(ISNUMBER(MATCH(mod_st_stu,$B$332,0))*('Koszty operacyjne'!$K$114:$X$114=Moduły!F$77)*ISNUMBER(MATCH(st_stu_kw,tak,0)),st_stu)</f>
        <v>0</v>
      </c>
      <c r="G359" s="356" cm="1">
        <f t="array" ref="G359">SUMPRODUCT(ISNUMBER(MATCH(mod_st_stu,$B$332,0))*('Koszty operacyjne'!$K$114:$X$114=Moduły!G$77)*ISNUMBER(MATCH(st_stu_kw,tak,0)),st_stu)</f>
        <v>0</v>
      </c>
      <c r="H359" s="356" cm="1">
        <f t="array" ref="H359">SUMPRODUCT(ISNUMBER(MATCH(mod_st_stu,$B$332,0))*('Koszty operacyjne'!$K$114:$X$114=Moduły!H$77)*ISNUMBER(MATCH(st_stu_kw,tak,0)),st_stu)</f>
        <v>0</v>
      </c>
      <c r="I359" s="356" cm="1">
        <f t="array" ref="I359">SUMPRODUCT(ISNUMBER(MATCH(mod_st_stu,$B$332,0))*('Koszty operacyjne'!$K$114:$X$114=Moduły!I$77)*ISNUMBER(MATCH(st_stu_kw,tak,0)),st_stu)</f>
        <v>0</v>
      </c>
      <c r="J359" s="356" cm="1">
        <f t="array" ref="J359">SUMPRODUCT(ISNUMBER(MATCH(mod_st_stu,$B$332,0))*('Koszty operacyjne'!$K$114:$X$114=Moduły!J$77)*ISNUMBER(MATCH(st_stu_kw,tak,0)),st_stu)</f>
        <v>0</v>
      </c>
      <c r="K359" s="356" cm="1">
        <f t="array" ref="K359">SUMPRODUCT(ISNUMBER(MATCH(mod_st_stu,$B$332,0))*('Koszty operacyjne'!$K$114:$X$114=Moduły!K$77)*ISNUMBER(MATCH(st_stu_kw,tak,0)),st_stu)</f>
        <v>0</v>
      </c>
      <c r="L359" s="356" cm="1">
        <f t="array" ref="L359">SUMPRODUCT(ISNUMBER(MATCH(mod_st_stu,$B$332,0))*('Koszty operacyjne'!$K$114:$X$114=Moduły!L$77)*ISNUMBER(MATCH(st_stu_kw,tak,0)),st_stu)</f>
        <v>0</v>
      </c>
      <c r="M359" s="356" cm="1">
        <f t="array" ref="M359">SUMPRODUCT(ISNUMBER(MATCH(mod_st_stu,$B$332,0))*('Koszty operacyjne'!$K$114:$X$114=Moduły!M$77)*ISNUMBER(MATCH(st_stu_kw,tak,0)),st_stu)</f>
        <v>0</v>
      </c>
      <c r="N359" s="356" cm="1">
        <f t="array" ref="N359">SUMPRODUCT(ISNUMBER(MATCH(mod_st_stu,$B$332,0))*('Koszty operacyjne'!$K$114:$X$114=Moduły!N$77)*ISNUMBER(MATCH(st_stu_kw,tak,0)),st_stu)</f>
        <v>0</v>
      </c>
      <c r="O359" s="356" cm="1">
        <f t="array" ref="O359">SUMPRODUCT(ISNUMBER(MATCH(mod_st_stu,$B$332,0))*('Koszty operacyjne'!$K$114:$X$114=Moduły!O$77)*ISNUMBER(MATCH(st_stu_kw,tak,0)),st_stu)</f>
        <v>0</v>
      </c>
      <c r="P359" s="356" cm="1">
        <f t="array" ref="P359">SUMPRODUCT(ISNUMBER(MATCH(mod_st_stu,$B$332,0))*('Koszty operacyjne'!$K$114:$X$114=Moduły!P$77)*ISNUMBER(MATCH(st_stu_kw,tak,0)),st_stu)</f>
        <v>0</v>
      </c>
    </row>
    <row r="360" spans="2:16" ht="12" customHeight="1">
      <c r="B360" s="357" t="s">
        <v>96</v>
      </c>
      <c r="C360" s="358" cm="1">
        <f t="array" ref="C360">SUMPRODUCT(ISNUMBER(MATCH(mod_st_stu,$B$332,0))*('Koszty operacyjne'!$K$114:$X$114=Moduły!C$77)*ISNUMBER(MATCH(st_stu_kw,nie,0)),st_stu)</f>
        <v>0</v>
      </c>
      <c r="D360" s="358" cm="1">
        <f t="array" ref="D360">SUMPRODUCT(ISNUMBER(MATCH(mod_st_stu,$B$332,0))*('Koszty operacyjne'!$K$114:$X$114=Moduły!D$77)*ISNUMBER(MATCH(st_stu_kw,nie,0)),st_stu)</f>
        <v>0</v>
      </c>
      <c r="E360" s="358" cm="1">
        <f t="array" ref="E360">SUMPRODUCT(ISNUMBER(MATCH(mod_st_stu,$B$332,0))*('Koszty operacyjne'!$K$114:$X$114=Moduły!E$77)*ISNUMBER(MATCH(st_stu_kw,nie,0)),st_stu)</f>
        <v>0</v>
      </c>
      <c r="F360" s="358" cm="1">
        <f t="array" ref="F360">SUMPRODUCT(ISNUMBER(MATCH(mod_st_stu,$B$332,0))*('Koszty operacyjne'!$K$114:$X$114=Moduły!F$77)*ISNUMBER(MATCH(st_stu_kw,nie,0)),st_stu)</f>
        <v>0</v>
      </c>
      <c r="G360" s="358" cm="1">
        <f t="array" ref="G360">SUMPRODUCT(ISNUMBER(MATCH(mod_st_stu,$B$332,0))*('Koszty operacyjne'!$K$114:$X$114=Moduły!G$77)*ISNUMBER(MATCH(st_stu_kw,nie,0)),st_stu)</f>
        <v>0</v>
      </c>
      <c r="H360" s="358" cm="1">
        <f t="array" ref="H360">SUMPRODUCT(ISNUMBER(MATCH(mod_st_stu,$B$332,0))*('Koszty operacyjne'!$K$114:$X$114=Moduły!H$77)*ISNUMBER(MATCH(st_stu_kw,nie,0)),st_stu)</f>
        <v>0</v>
      </c>
      <c r="I360" s="358" cm="1">
        <f t="array" ref="I360">SUMPRODUCT(ISNUMBER(MATCH(mod_st_stu,$B$332,0))*('Koszty operacyjne'!$K$114:$X$114=Moduły!I$77)*ISNUMBER(MATCH(st_stu_kw,nie,0)),st_stu)</f>
        <v>0</v>
      </c>
      <c r="J360" s="358" cm="1">
        <f t="array" ref="J360">SUMPRODUCT(ISNUMBER(MATCH(mod_st_stu,$B$332,0))*('Koszty operacyjne'!$K$114:$X$114=Moduły!J$77)*ISNUMBER(MATCH(st_stu_kw,nie,0)),st_stu)</f>
        <v>0</v>
      </c>
      <c r="K360" s="359" cm="1">
        <f t="array" ref="K360">SUMPRODUCT(ISNUMBER(MATCH(mod_st_stu,$B$332,0))*('Koszty operacyjne'!$K$114:$X$114=Moduły!K$77)*ISNUMBER(MATCH(st_stu_kw,nie,0)),st_stu)</f>
        <v>0</v>
      </c>
      <c r="L360" s="359" cm="1">
        <f t="array" ref="L360">SUMPRODUCT(ISNUMBER(MATCH(mod_st_stu,$B$332,0))*('Koszty operacyjne'!$K$114:$X$114=Moduły!L$77)*ISNUMBER(MATCH(st_stu_kw,nie,0)),st_stu)</f>
        <v>0</v>
      </c>
      <c r="M360" s="359" cm="1">
        <f t="array" ref="M360">SUMPRODUCT(ISNUMBER(MATCH(mod_st_stu,$B$332,0))*('Koszty operacyjne'!$K$114:$X$114=Moduły!M$77)*ISNUMBER(MATCH(st_stu_kw,nie,0)),st_stu)</f>
        <v>0</v>
      </c>
      <c r="N360" s="359" cm="1">
        <f t="array" ref="N360">SUMPRODUCT(ISNUMBER(MATCH(mod_st_stu,$B$332,0))*('Koszty operacyjne'!$K$114:$X$114=Moduły!N$77)*ISNUMBER(MATCH(st_stu_kw,nie,0)),st_stu)</f>
        <v>0</v>
      </c>
      <c r="O360" s="359" cm="1">
        <f t="array" ref="O360">SUMPRODUCT(ISNUMBER(MATCH(mod_st_stu,$B$332,0))*('Koszty operacyjne'!$K$114:$X$114=Moduły!O$77)*ISNUMBER(MATCH(st_stu_kw,nie,0)),st_stu)</f>
        <v>0</v>
      </c>
      <c r="P360" s="359" cm="1">
        <f t="array" ref="P360">SUMPRODUCT(ISNUMBER(MATCH(mod_st_stu,$B$332,0))*('Koszty operacyjne'!$K$114:$X$114=Moduły!P$77)*ISNUMBER(MATCH(st_stu_kw,nie,0)),st_stu)</f>
        <v>0</v>
      </c>
    </row>
    <row r="361" spans="2:16" ht="3.9" customHeight="1">
      <c r="B361" s="8"/>
      <c r="C361" s="361"/>
      <c r="D361" s="361"/>
      <c r="E361" s="361"/>
      <c r="F361" s="361"/>
      <c r="G361" s="361"/>
      <c r="H361" s="361"/>
      <c r="I361" s="361"/>
      <c r="J361" s="361"/>
      <c r="K361" s="362"/>
      <c r="L361" s="362"/>
      <c r="M361" s="362"/>
      <c r="N361" s="362"/>
      <c r="O361" s="362"/>
      <c r="P361" s="362"/>
    </row>
    <row r="362" spans="2:16" ht="12" customHeight="1">
      <c r="B362" s="353" t="s">
        <v>102</v>
      </c>
      <c r="C362" s="354">
        <f t="shared" ref="C362:P362" si="172">SUM(C363:C364)</f>
        <v>0</v>
      </c>
      <c r="D362" s="354">
        <f t="shared" si="172"/>
        <v>0</v>
      </c>
      <c r="E362" s="354">
        <f t="shared" si="172"/>
        <v>0</v>
      </c>
      <c r="F362" s="354">
        <f t="shared" si="172"/>
        <v>0</v>
      </c>
      <c r="G362" s="354">
        <f t="shared" si="172"/>
        <v>0</v>
      </c>
      <c r="H362" s="354">
        <f t="shared" si="172"/>
        <v>0</v>
      </c>
      <c r="I362" s="354">
        <f t="shared" si="172"/>
        <v>0</v>
      </c>
      <c r="J362" s="354">
        <f t="shared" si="172"/>
        <v>0</v>
      </c>
      <c r="K362" s="354">
        <f t="shared" si="172"/>
        <v>0</v>
      </c>
      <c r="L362" s="354">
        <f t="shared" si="172"/>
        <v>0</v>
      </c>
      <c r="M362" s="354">
        <f t="shared" si="172"/>
        <v>0</v>
      </c>
      <c r="N362" s="354">
        <f t="shared" si="172"/>
        <v>0</v>
      </c>
      <c r="O362" s="354">
        <f t="shared" si="172"/>
        <v>0</v>
      </c>
      <c r="P362" s="354">
        <f t="shared" si="172"/>
        <v>0</v>
      </c>
    </row>
    <row r="363" spans="2:16" ht="12" customHeight="1">
      <c r="B363" s="355" t="s">
        <v>95</v>
      </c>
      <c r="C363" s="356" cm="1">
        <f t="array" ref="C363">SUMPRODUCT(ISNUMBER(MATCH(mod_st_ist,$B$332,0))*('Koszty operacyjne'!$K$114:$X$114=Moduły!C$77)*ISNUMBER(MATCH(st_ist_kw,tak,0)),st_ist)</f>
        <v>0</v>
      </c>
      <c r="D363" s="356" cm="1">
        <f t="array" ref="D363">SUMPRODUCT(ISNUMBER(MATCH(mod_st_ist,$B$332,0))*('Koszty operacyjne'!$K$114:$X$114=Moduły!D$77)*ISNUMBER(MATCH(st_ist_kw,tak,0)),st_ist)</f>
        <v>0</v>
      </c>
      <c r="E363" s="356" cm="1">
        <f t="array" ref="E363">SUMPRODUCT(ISNUMBER(MATCH(mod_st_ist,$B$332,0))*('Koszty operacyjne'!$K$114:$X$114=Moduły!E$77)*ISNUMBER(MATCH(st_ist_kw,tak,0)),st_ist)</f>
        <v>0</v>
      </c>
      <c r="F363" s="356" cm="1">
        <f t="array" ref="F363">SUMPRODUCT(ISNUMBER(MATCH(mod_st_ist,$B$332,0))*('Koszty operacyjne'!$K$114:$X$114=Moduły!F$77)*ISNUMBER(MATCH(st_ist_kw,tak,0)),st_ist)</f>
        <v>0</v>
      </c>
      <c r="G363" s="356" cm="1">
        <f t="array" ref="G363">SUMPRODUCT(ISNUMBER(MATCH(mod_st_ist,$B$332,0))*('Koszty operacyjne'!$K$114:$X$114=Moduły!G$77)*ISNUMBER(MATCH(st_ist_kw,tak,0)),st_ist)</f>
        <v>0</v>
      </c>
      <c r="H363" s="356" cm="1">
        <f t="array" ref="H363">SUMPRODUCT(ISNUMBER(MATCH(mod_st_ist,$B$332,0))*('Koszty operacyjne'!$K$114:$X$114=Moduły!H$77)*ISNUMBER(MATCH(st_ist_kw,tak,0)),st_ist)</f>
        <v>0</v>
      </c>
      <c r="I363" s="356" cm="1">
        <f t="array" ref="I363">SUMPRODUCT(ISNUMBER(MATCH(mod_st_ist,$B$332,0))*('Koszty operacyjne'!$K$114:$X$114=Moduły!I$77)*ISNUMBER(MATCH(st_ist_kw,tak,0)),st_ist)</f>
        <v>0</v>
      </c>
      <c r="J363" s="356" cm="1">
        <f t="array" ref="J363">SUMPRODUCT(ISNUMBER(MATCH(mod_st_ist,$B$332,0))*('Koszty operacyjne'!$K$114:$X$114=Moduły!J$77)*ISNUMBER(MATCH(st_ist_kw,tak,0)),st_ist)</f>
        <v>0</v>
      </c>
      <c r="K363" s="356" cm="1">
        <f t="array" ref="K363">SUMPRODUCT(ISNUMBER(MATCH(mod_st_ist,$B$332,0))*('Koszty operacyjne'!$K$114:$X$114=Moduły!K$77)*ISNUMBER(MATCH(st_ist_kw,tak,0)),st_ist)</f>
        <v>0</v>
      </c>
      <c r="L363" s="356" cm="1">
        <f t="array" ref="L363">SUMPRODUCT(ISNUMBER(MATCH(mod_st_ist,$B$332,0))*('Koszty operacyjne'!$K$114:$X$114=Moduły!L$77)*ISNUMBER(MATCH(st_ist_kw,tak,0)),st_ist)</f>
        <v>0</v>
      </c>
      <c r="M363" s="356" cm="1">
        <f t="array" ref="M363">SUMPRODUCT(ISNUMBER(MATCH(mod_st_ist,$B$332,0))*('Koszty operacyjne'!$K$114:$X$114=Moduły!M$77)*ISNUMBER(MATCH(st_ist_kw,tak,0)),st_ist)</f>
        <v>0</v>
      </c>
      <c r="N363" s="356" cm="1">
        <f t="array" ref="N363">SUMPRODUCT(ISNUMBER(MATCH(mod_st_ist,$B$332,0))*('Koszty operacyjne'!$K$114:$X$114=Moduły!N$77)*ISNUMBER(MATCH(st_ist_kw,tak,0)),st_ist)</f>
        <v>0</v>
      </c>
      <c r="O363" s="356" cm="1">
        <f t="array" ref="O363">SUMPRODUCT(ISNUMBER(MATCH(mod_st_ist,$B$332,0))*('Koszty operacyjne'!$K$114:$X$114=Moduły!O$77)*ISNUMBER(MATCH(st_ist_kw,tak,0)),st_ist)</f>
        <v>0</v>
      </c>
      <c r="P363" s="356" cm="1">
        <f t="array" ref="P363">SUMPRODUCT(ISNUMBER(MATCH(mod_st_ist,$B$332,0))*('Koszty operacyjne'!$K$114:$X$114=Moduły!P$77)*ISNUMBER(MATCH(st_ist_kw,tak,0)),st_ist)</f>
        <v>0</v>
      </c>
    </row>
    <row r="364" spans="2:16" ht="12" customHeight="1">
      <c r="B364" s="357" t="s">
        <v>96</v>
      </c>
      <c r="C364" s="358" cm="1">
        <f t="array" ref="C364">SUMPRODUCT(ISNUMBER(MATCH(mod_st_ist,$B$332,0))*('Koszty operacyjne'!$K$114:$X$114=Moduły!C$77)*ISNUMBER(MATCH(st_ist_kw,nie,0)),st_ist)</f>
        <v>0</v>
      </c>
      <c r="D364" s="358" cm="1">
        <f t="array" ref="D364">SUMPRODUCT(ISNUMBER(MATCH(mod_st_ist,$B$332,0))*('Koszty operacyjne'!$K$114:$X$114=Moduły!D$77)*ISNUMBER(MATCH(st_ist_kw,nie,0)),st_ist)</f>
        <v>0</v>
      </c>
      <c r="E364" s="358" cm="1">
        <f t="array" ref="E364">SUMPRODUCT(ISNUMBER(MATCH(mod_st_ist,$B$332,0))*('Koszty operacyjne'!$K$114:$X$114=Moduły!E$77)*ISNUMBER(MATCH(st_ist_kw,nie,0)),st_ist)</f>
        <v>0</v>
      </c>
      <c r="F364" s="358" cm="1">
        <f t="array" ref="F364">SUMPRODUCT(ISNUMBER(MATCH(mod_st_ist,$B$332,0))*('Koszty operacyjne'!$K$114:$X$114=Moduły!F$77)*ISNUMBER(MATCH(st_ist_kw,nie,0)),st_ist)</f>
        <v>0</v>
      </c>
      <c r="G364" s="358" cm="1">
        <f t="array" ref="G364">SUMPRODUCT(ISNUMBER(MATCH(mod_st_ist,$B$332,0))*('Koszty operacyjne'!$K$114:$X$114=Moduły!G$77)*ISNUMBER(MATCH(st_ist_kw,nie,0)),st_ist)</f>
        <v>0</v>
      </c>
      <c r="H364" s="358" cm="1">
        <f t="array" ref="H364">SUMPRODUCT(ISNUMBER(MATCH(mod_st_ist,$B$332,0))*('Koszty operacyjne'!$K$114:$X$114=Moduły!H$77)*ISNUMBER(MATCH(st_ist_kw,nie,0)),st_ist)</f>
        <v>0</v>
      </c>
      <c r="I364" s="358" cm="1">
        <f t="array" ref="I364">SUMPRODUCT(ISNUMBER(MATCH(mod_st_ist,$B$332,0))*('Koszty operacyjne'!$K$114:$X$114=Moduły!I$77)*ISNUMBER(MATCH(st_ist_kw,nie,0)),st_ist)</f>
        <v>0</v>
      </c>
      <c r="J364" s="358" cm="1">
        <f t="array" ref="J364">SUMPRODUCT(ISNUMBER(MATCH(mod_st_ist,$B$332,0))*('Koszty operacyjne'!$K$114:$X$114=Moduły!J$77)*ISNUMBER(MATCH(st_ist_kw,nie,0)),st_ist)</f>
        <v>0</v>
      </c>
      <c r="K364" s="359" cm="1">
        <f t="array" ref="K364">SUMPRODUCT(ISNUMBER(MATCH(mod_st_ist,$B$332,0))*('Koszty operacyjne'!$K$114:$X$114=Moduły!K$77)*ISNUMBER(MATCH(st_ist_kw,nie,0)),st_ist)</f>
        <v>0</v>
      </c>
      <c r="L364" s="359" cm="1">
        <f t="array" ref="L364">SUMPRODUCT(ISNUMBER(MATCH(mod_st_ist,$B$332,0))*('Koszty operacyjne'!$K$114:$X$114=Moduły!L$77)*ISNUMBER(MATCH(st_ist_kw,nie,0)),st_ist)</f>
        <v>0</v>
      </c>
      <c r="M364" s="359" cm="1">
        <f t="array" ref="M364">SUMPRODUCT(ISNUMBER(MATCH(mod_st_ist,$B$332,0))*('Koszty operacyjne'!$K$114:$X$114=Moduły!M$77)*ISNUMBER(MATCH(st_ist_kw,nie,0)),st_ist)</f>
        <v>0</v>
      </c>
      <c r="N364" s="359" cm="1">
        <f t="array" ref="N364">SUMPRODUCT(ISNUMBER(MATCH(mod_st_ist,$B$332,0))*('Koszty operacyjne'!$K$114:$X$114=Moduły!N$77)*ISNUMBER(MATCH(st_ist_kw,nie,0)),st_ist)</f>
        <v>0</v>
      </c>
      <c r="O364" s="359" cm="1">
        <f t="array" ref="O364">SUMPRODUCT(ISNUMBER(MATCH(mod_st_ist,$B$332,0))*('Koszty operacyjne'!$K$114:$X$114=Moduły!O$77)*ISNUMBER(MATCH(st_ist_kw,nie,0)),st_ist)</f>
        <v>0</v>
      </c>
      <c r="P364" s="359" cm="1">
        <f t="array" ref="P364">SUMPRODUCT(ISNUMBER(MATCH(mod_st_ist,$B$332,0))*('Koszty operacyjne'!$K$114:$X$114=Moduły!P$77)*ISNUMBER(MATCH(st_ist_kw,nie,0)),st_ist)</f>
        <v>0</v>
      </c>
    </row>
    <row r="365" spans="2:16" ht="12" customHeight="1"/>
    <row r="366" spans="2:16">
      <c r="B366" s="98" t="s">
        <v>104</v>
      </c>
      <c r="C366" s="97" cm="1">
        <f t="array" ref="C366">SUMPRODUCT(ISNUMBER(MATCH(mod_pp_ppu,$B$332,0))*('Koszty operacyjne'!$K$114:$X$114=Moduły!C$77),pp_ppu)+SUMPRODUCT(ISNUMBER(MATCH(mod_pp_ptim,$B$332,0))*('Koszty operacyjne'!$K$114:$X$114=Moduły!C$77),pp_ptim)</f>
        <v>0</v>
      </c>
      <c r="D366" s="97" cm="1">
        <f t="array" ref="D366">SUMPRODUCT(ISNUMBER(MATCH(mod_pp_ppu,$B$332,0))*('Koszty operacyjne'!$K$114:$X$114=Moduły!D$77),pp_ppu)+SUMPRODUCT(ISNUMBER(MATCH(mod_pp_ptim,$B$332,0))*('Koszty operacyjne'!$K$114:$X$114=Moduły!D$77),pp_ptim)</f>
        <v>0</v>
      </c>
      <c r="E366" s="97" cm="1">
        <f t="array" ref="E366">SUMPRODUCT(ISNUMBER(MATCH(mod_pp_ppu,$B$332,0))*('Koszty operacyjne'!$K$114:$X$114=Moduły!E$77),pp_ppu)+SUMPRODUCT(ISNUMBER(MATCH(mod_pp_ptim,$B$332,0))*('Koszty operacyjne'!$K$114:$X$114=Moduły!E$77),pp_ptim)</f>
        <v>0</v>
      </c>
      <c r="F366" s="97" cm="1">
        <f t="array" ref="F366">SUMPRODUCT(ISNUMBER(MATCH(mod_pp_ppu,$B$332,0))*('Koszty operacyjne'!$K$114:$X$114=Moduły!F$77),pp_ppu)+SUMPRODUCT(ISNUMBER(MATCH(mod_pp_ptim,$B$332,0))*('Koszty operacyjne'!$K$114:$X$114=Moduły!F$77),pp_ptim)</f>
        <v>0</v>
      </c>
      <c r="G366" s="97" cm="1">
        <f t="array" ref="G366">SUMPRODUCT(ISNUMBER(MATCH(mod_pp_ppu,$B$332,0))*('Koszty operacyjne'!$K$114:$X$114=Moduły!G$77),pp_ppu)+SUMPRODUCT(ISNUMBER(MATCH(mod_pp_ptim,$B$332,0))*('Koszty operacyjne'!$K$114:$X$114=Moduły!G$77),pp_ptim)</f>
        <v>0</v>
      </c>
      <c r="H366" s="97" cm="1">
        <f t="array" ref="H366">SUMPRODUCT(ISNUMBER(MATCH(mod_pp_ppu,$B$332,0))*('Koszty operacyjne'!$K$114:$X$114=Moduły!H$77),pp_ppu)+SUMPRODUCT(ISNUMBER(MATCH(mod_pp_ptim,$B$332,0))*('Koszty operacyjne'!$K$114:$X$114=Moduły!H$77),pp_ptim)</f>
        <v>0</v>
      </c>
      <c r="I366" s="97" cm="1">
        <f t="array" ref="I366">SUMPRODUCT(ISNUMBER(MATCH(mod_pp_ppu,$B$332,0))*('Koszty operacyjne'!$K$114:$X$114=Moduły!I$77),pp_ppu)+SUMPRODUCT(ISNUMBER(MATCH(mod_pp_ptim,$B$332,0))*('Koszty operacyjne'!$K$114:$X$114=Moduły!I$77),pp_ptim)</f>
        <v>0</v>
      </c>
      <c r="J366" s="97" cm="1">
        <f t="array" ref="J366">SUMPRODUCT(ISNUMBER(MATCH(mod_pp_ppu,$B$332,0))*('Koszty operacyjne'!$K$114:$X$114=Moduły!J$77),pp_ppu)+SUMPRODUCT(ISNUMBER(MATCH(mod_pp_ptim,$B$332,0))*('Koszty operacyjne'!$K$114:$X$114=Moduły!J$77),pp_ptim)</f>
        <v>0</v>
      </c>
      <c r="K366" s="97" cm="1">
        <f t="array" ref="K366">SUMPRODUCT(ISNUMBER(MATCH(mod_pp_ppu,$B$332,0))*('Koszty operacyjne'!$K$114:$X$114=Moduły!K$77),pp_ppu)+SUMPRODUCT(ISNUMBER(MATCH(mod_pp_ptim,$B$332,0))*('Koszty operacyjne'!$K$114:$X$114=Moduły!K$77),pp_ptim)</f>
        <v>0</v>
      </c>
      <c r="L366" s="97" cm="1">
        <f t="array" ref="L366">SUMPRODUCT(ISNUMBER(MATCH(mod_pp_ppu,$B$332,0))*('Koszty operacyjne'!$K$114:$X$114=Moduły!L$77),pp_ppu)+SUMPRODUCT(ISNUMBER(MATCH(mod_pp_ptim,$B$332,0))*('Koszty operacyjne'!$K$114:$X$114=Moduły!L$77),pp_ptim)</f>
        <v>0</v>
      </c>
      <c r="M366" s="97" cm="1">
        <f t="array" ref="M366">SUMPRODUCT(ISNUMBER(MATCH(mod_pp_ppu,$B$332,0))*('Koszty operacyjne'!$K$114:$X$114=Moduły!M$77),pp_ppu)+SUMPRODUCT(ISNUMBER(MATCH(mod_pp_ptim,$B$332,0))*('Koszty operacyjne'!$K$114:$X$114=Moduły!M$77),pp_ptim)</f>
        <v>0</v>
      </c>
      <c r="N366" s="97" cm="1">
        <f t="array" ref="N366">SUMPRODUCT(ISNUMBER(MATCH(mod_pp_ppu,$B$332,0))*('Koszty operacyjne'!$K$114:$X$114=Moduły!N$77),pp_ppu)+SUMPRODUCT(ISNUMBER(MATCH(mod_pp_ptim,$B$332,0))*('Koszty operacyjne'!$K$114:$X$114=Moduły!N$77),pp_ptim)</f>
        <v>0</v>
      </c>
      <c r="O366" s="97" cm="1">
        <f t="array" ref="O366">SUMPRODUCT(ISNUMBER(MATCH(mod_pp_ppu,$B$332,0))*('Koszty operacyjne'!$K$114:$X$114=Moduły!O$77),pp_ppu)+SUMPRODUCT(ISNUMBER(MATCH(mod_pp_ptim,$B$332,0))*('Koszty operacyjne'!$K$114:$X$114=Moduły!O$77),pp_ptim)</f>
        <v>0</v>
      </c>
      <c r="P366" s="97" cm="1">
        <f t="array" ref="P366">SUMPRODUCT(ISNUMBER(MATCH(mod_pp_ppu,$B$332,0))*('Koszty operacyjne'!$K$114:$X$114=Moduły!P$77),pp_ppu)+SUMPRODUCT(ISNUMBER(MATCH(mod_pp_ptim,$B$332,0))*('Koszty operacyjne'!$K$114:$X$114=Moduły!P$77),pp_ptim)</f>
        <v>0</v>
      </c>
    </row>
    <row r="367" spans="2:16" ht="3.9" customHeight="1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2:16">
      <c r="B368" s="98" t="s">
        <v>105</v>
      </c>
      <c r="C368" s="97">
        <f t="shared" ref="C368:L368" ca="1" si="173">SUM(C369:C376)</f>
        <v>0</v>
      </c>
      <c r="D368" s="97">
        <f t="shared" ca="1" si="173"/>
        <v>0</v>
      </c>
      <c r="E368" s="97">
        <f t="shared" ca="1" si="173"/>
        <v>0</v>
      </c>
      <c r="F368" s="97">
        <f t="shared" ca="1" si="173"/>
        <v>0</v>
      </c>
      <c r="G368" s="97">
        <f t="shared" ca="1" si="173"/>
        <v>0</v>
      </c>
      <c r="H368" s="97">
        <f t="shared" ca="1" si="173"/>
        <v>0</v>
      </c>
      <c r="I368" s="97">
        <f t="shared" ca="1" si="173"/>
        <v>0</v>
      </c>
      <c r="J368" s="97">
        <f t="shared" ca="1" si="173"/>
        <v>0</v>
      </c>
      <c r="K368" s="97">
        <f t="shared" ca="1" si="173"/>
        <v>0</v>
      </c>
      <c r="L368" s="97">
        <f t="shared" ca="1" si="173"/>
        <v>0</v>
      </c>
      <c r="M368" s="97">
        <f ca="1">SUM(M369:M376)</f>
        <v>0</v>
      </c>
      <c r="N368" s="97">
        <f ca="1">SUM(N369:N376)</f>
        <v>0</v>
      </c>
      <c r="O368" s="97">
        <f ca="1">SUM(O369:O376)</f>
        <v>0</v>
      </c>
      <c r="P368" s="97">
        <f ca="1">SUM(P369:P376)</f>
        <v>0</v>
      </c>
    </row>
    <row r="369" spans="2:16">
      <c r="B369" s="103" t="s">
        <v>106</v>
      </c>
      <c r="C369" s="102" cm="1">
        <f t="array" aca="1" ref="C369" ca="1">SUMPRODUCT(ISNUMBER(MATCH(mod_st_am,$B$332,0))*('Koszty operacyjne'!$K$114:$X$114=Moduły!C$77),st_am)</f>
        <v>0</v>
      </c>
      <c r="D369" s="102" cm="1">
        <f t="array" aca="1" ref="D369" ca="1">SUMPRODUCT(ISNUMBER(MATCH(mod_st_am,$B$332,0))*('Koszty operacyjne'!$K$114:$X$114=Moduły!D$77),st_am)</f>
        <v>0</v>
      </c>
      <c r="E369" s="102" cm="1">
        <f t="array" aca="1" ref="E369" ca="1">SUMPRODUCT(ISNUMBER(MATCH(mod_st_am,$B$332,0))*('Koszty operacyjne'!$K$114:$X$114=Moduły!E$77),st_am)</f>
        <v>0</v>
      </c>
      <c r="F369" s="102" cm="1">
        <f t="array" aca="1" ref="F369" ca="1">SUMPRODUCT(ISNUMBER(MATCH(mod_st_am,$B$332,0))*('Koszty operacyjne'!$K$114:$X$114=Moduły!F$77),st_am)</f>
        <v>0</v>
      </c>
      <c r="G369" s="102" cm="1">
        <f t="array" aca="1" ref="G369" ca="1">SUMPRODUCT(ISNUMBER(MATCH(mod_st_am,$B$332,0))*('Koszty operacyjne'!$K$114:$X$114=Moduły!G$77),st_am)</f>
        <v>0</v>
      </c>
      <c r="H369" s="102" cm="1">
        <f t="array" aca="1" ref="H369" ca="1">SUMPRODUCT(ISNUMBER(MATCH(mod_st_am,$B$332,0))*('Koszty operacyjne'!$K$114:$X$114=Moduły!H$77),st_am)</f>
        <v>0</v>
      </c>
      <c r="I369" s="102" cm="1">
        <f t="array" aca="1" ref="I369" ca="1">SUMPRODUCT(ISNUMBER(MATCH(mod_st_am,$B$332,0))*('Koszty operacyjne'!$K$114:$X$114=Moduły!I$77),st_am)</f>
        <v>0</v>
      </c>
      <c r="J369" s="102" cm="1">
        <f t="array" aca="1" ref="J369" ca="1">SUMPRODUCT(ISNUMBER(MATCH(mod_st_am,$B$332,0))*('Koszty operacyjne'!$K$114:$X$114=Moduły!J$77),st_am)</f>
        <v>0</v>
      </c>
      <c r="K369" s="102" cm="1">
        <f t="array" aca="1" ref="K369" ca="1">SUMPRODUCT(ISNUMBER(MATCH(mod_st_am,$B$332,0))*('Koszty operacyjne'!$K$114:$X$114=Moduły!K$77),st_am)</f>
        <v>0</v>
      </c>
      <c r="L369" s="102" cm="1">
        <f t="array" aca="1" ref="L369" ca="1">SUMPRODUCT(ISNUMBER(MATCH(mod_st_am,$B$332,0))*('Koszty operacyjne'!$K$114:$X$114=Moduły!L$77),st_am)</f>
        <v>0</v>
      </c>
      <c r="M369" s="102" cm="1">
        <f t="array" aca="1" ref="M369" ca="1">SUMPRODUCT(ISNUMBER(MATCH(mod_st_am,$B$332,0))*('Koszty operacyjne'!$K$114:$X$114=Moduły!M$77),st_am)</f>
        <v>0</v>
      </c>
      <c r="N369" s="102" cm="1">
        <f t="array" aca="1" ref="N369" ca="1">SUMPRODUCT(ISNUMBER(MATCH(mod_st_am,$B$332,0))*('Koszty operacyjne'!$K$114:$X$114=Moduły!N$77),st_am)</f>
        <v>0</v>
      </c>
      <c r="O369" s="102" cm="1">
        <f t="array" aca="1" ref="O369" ca="1">SUMPRODUCT(ISNUMBER(MATCH(mod_st_am,$B$332,0))*('Koszty operacyjne'!$K$114:$X$114=Moduły!O$77),st_am)</f>
        <v>0</v>
      </c>
      <c r="P369" s="102" cm="1">
        <f t="array" aca="1" ref="P369" ca="1">SUMPRODUCT(ISNUMBER(MATCH(mod_st_am,$B$332,0))*('Koszty operacyjne'!$K$114:$X$114=Moduły!P$77),st_am)</f>
        <v>0</v>
      </c>
    </row>
    <row r="370" spans="2:16">
      <c r="B370" s="37" t="s">
        <v>107</v>
      </c>
      <c r="C370" s="33" cm="1">
        <f t="array" ref="C370">SUMPRODUCT(ISNUMBER(MATCH(mod_ko_zme,$B$332,0))*('Koszty operacyjne'!$K$114:$X$114=Moduły!C$77),ko_zme)</f>
        <v>0</v>
      </c>
      <c r="D370" s="33" cm="1">
        <f t="array" ref="D370">SUMPRODUCT(ISNUMBER(MATCH(mod_ko_zme,$B$332,0))*('Koszty operacyjne'!$K$114:$X$114=Moduły!D$77),ko_zme)</f>
        <v>0</v>
      </c>
      <c r="E370" s="33" cm="1">
        <f t="array" ref="E370">SUMPRODUCT(ISNUMBER(MATCH(mod_ko_zme,$B$332,0))*('Koszty operacyjne'!$K$114:$X$114=Moduły!E$77),ko_zme)</f>
        <v>0</v>
      </c>
      <c r="F370" s="33" cm="1">
        <f t="array" ref="F370">SUMPRODUCT(ISNUMBER(MATCH(mod_ko_zme,$B$332,0))*('Koszty operacyjne'!$K$114:$X$114=Moduły!F$77),ko_zme)</f>
        <v>0</v>
      </c>
      <c r="G370" s="33" cm="1">
        <f t="array" ref="G370">SUMPRODUCT(ISNUMBER(MATCH(mod_ko_zme,$B$332,0))*('Koszty operacyjne'!$K$114:$X$114=Moduły!G$77),ko_zme)</f>
        <v>0</v>
      </c>
      <c r="H370" s="33" cm="1">
        <f t="array" ref="H370">SUMPRODUCT(ISNUMBER(MATCH(mod_ko_zme,$B$332,0))*('Koszty operacyjne'!$K$114:$X$114=Moduły!H$77),ko_zme)</f>
        <v>0</v>
      </c>
      <c r="I370" s="33" cm="1">
        <f t="array" ref="I370">SUMPRODUCT(ISNUMBER(MATCH(mod_ko_zme,$B$332,0))*('Koszty operacyjne'!$K$114:$X$114=Moduły!I$77),ko_zme)</f>
        <v>0</v>
      </c>
      <c r="J370" s="33" cm="1">
        <f t="array" ref="J370">SUMPRODUCT(ISNUMBER(MATCH(mod_ko_zme,$B$332,0))*('Koszty operacyjne'!$K$114:$X$114=Moduły!J$77),ko_zme)</f>
        <v>0</v>
      </c>
      <c r="K370" s="33" cm="1">
        <f t="array" ref="K370">SUMPRODUCT(ISNUMBER(MATCH(mod_ko_zme,$B$332,0))*('Koszty operacyjne'!$K$114:$X$114=Moduły!K$77),ko_zme)</f>
        <v>0</v>
      </c>
      <c r="L370" s="33" cm="1">
        <f t="array" ref="L370">SUMPRODUCT(ISNUMBER(MATCH(mod_ko_zme,$B$332,0))*('Koszty operacyjne'!$K$114:$X$114=Moduły!L$77),ko_zme)</f>
        <v>0</v>
      </c>
      <c r="M370" s="33" cm="1">
        <f t="array" ref="M370">SUMPRODUCT(ISNUMBER(MATCH(mod_ko_zme,$B$332,0))*('Koszty operacyjne'!$K$114:$X$114=Moduły!M$77),ko_zme)</f>
        <v>0</v>
      </c>
      <c r="N370" s="33" cm="1">
        <f t="array" ref="N370">SUMPRODUCT(ISNUMBER(MATCH(mod_ko_zme,$B$332,0))*('Koszty operacyjne'!$K$114:$X$114=Moduły!N$77),ko_zme)</f>
        <v>0</v>
      </c>
      <c r="O370" s="33" cm="1">
        <f t="array" ref="O370">SUMPRODUCT(ISNUMBER(MATCH(mod_ko_zme,$B$332,0))*('Koszty operacyjne'!$K$114:$X$114=Moduły!O$77),ko_zme)</f>
        <v>0</v>
      </c>
      <c r="P370" s="33" cm="1">
        <f t="array" ref="P370">SUMPRODUCT(ISNUMBER(MATCH(mod_ko_zme,$B$332,0))*('Koszty operacyjne'!$K$114:$X$114=Moduły!P$77),ko_zme)</f>
        <v>0</v>
      </c>
    </row>
    <row r="371" spans="2:16">
      <c r="B371" s="37" t="s">
        <v>108</v>
      </c>
      <c r="C371" s="33" cm="1">
        <f t="array" ref="C371">SUMPRODUCT(ISNUMBER(MATCH(mod_ko_uoe,$B$332,0))*('Koszty operacyjne'!$K$114:$X$114=Moduły!C$77),ko_uoe)</f>
        <v>0</v>
      </c>
      <c r="D371" s="33" cm="1">
        <f t="array" ref="D371">SUMPRODUCT(ISNUMBER(MATCH(mod_ko_uoe,$B$332,0))*('Koszty operacyjne'!$K$114:$X$114=Moduły!D$77),ko_uoe)</f>
        <v>0</v>
      </c>
      <c r="E371" s="33" cm="1">
        <f t="array" ref="E371">SUMPRODUCT(ISNUMBER(MATCH(mod_ko_uoe,$B$332,0))*('Koszty operacyjne'!$K$114:$X$114=Moduły!E$77),ko_uoe)</f>
        <v>0</v>
      </c>
      <c r="F371" s="33" cm="1">
        <f t="array" ref="F371">SUMPRODUCT(ISNUMBER(MATCH(mod_ko_uoe,$B$332,0))*('Koszty operacyjne'!$K$114:$X$114=Moduły!F$77),ko_uoe)</f>
        <v>0</v>
      </c>
      <c r="G371" s="33" cm="1">
        <f t="array" ref="G371">SUMPRODUCT(ISNUMBER(MATCH(mod_ko_uoe,$B$332,0))*('Koszty operacyjne'!$K$114:$X$114=Moduły!G$77),ko_uoe)</f>
        <v>0</v>
      </c>
      <c r="H371" s="33" cm="1">
        <f t="array" ref="H371">SUMPRODUCT(ISNUMBER(MATCH(mod_ko_uoe,$B$332,0))*('Koszty operacyjne'!$K$114:$X$114=Moduły!H$77),ko_uoe)</f>
        <v>0</v>
      </c>
      <c r="I371" s="33" cm="1">
        <f t="array" ref="I371">SUMPRODUCT(ISNUMBER(MATCH(mod_ko_uoe,$B$332,0))*('Koszty operacyjne'!$K$114:$X$114=Moduły!I$77),ko_uoe)</f>
        <v>0</v>
      </c>
      <c r="J371" s="33" cm="1">
        <f t="array" ref="J371">SUMPRODUCT(ISNUMBER(MATCH(mod_ko_uoe,$B$332,0))*('Koszty operacyjne'!$K$114:$X$114=Moduły!J$77),ko_uoe)</f>
        <v>0</v>
      </c>
      <c r="K371" s="33" cm="1">
        <f t="array" ref="K371">SUMPRODUCT(ISNUMBER(MATCH(mod_ko_uoe,$B$332,0))*('Koszty operacyjne'!$K$114:$X$114=Moduły!K$77),ko_uoe)</f>
        <v>0</v>
      </c>
      <c r="L371" s="33" cm="1">
        <f t="array" ref="L371">SUMPRODUCT(ISNUMBER(MATCH(mod_ko_uoe,$B$332,0))*('Koszty operacyjne'!$K$114:$X$114=Moduły!L$77),ko_uoe)</f>
        <v>0</v>
      </c>
      <c r="M371" s="33" cm="1">
        <f t="array" ref="M371">SUMPRODUCT(ISNUMBER(MATCH(mod_ko_uoe,$B$332,0))*('Koszty operacyjne'!$K$114:$X$114=Moduły!M$77),ko_uoe)</f>
        <v>0</v>
      </c>
      <c r="N371" s="33" cm="1">
        <f t="array" ref="N371">SUMPRODUCT(ISNUMBER(MATCH(mod_ko_uoe,$B$332,0))*('Koszty operacyjne'!$K$114:$X$114=Moduły!N$77),ko_uoe)</f>
        <v>0</v>
      </c>
      <c r="O371" s="33" cm="1">
        <f t="array" ref="O371">SUMPRODUCT(ISNUMBER(MATCH(mod_ko_uoe,$B$332,0))*('Koszty operacyjne'!$K$114:$X$114=Moduły!O$77),ko_uoe)</f>
        <v>0</v>
      </c>
      <c r="P371" s="33" cm="1">
        <f t="array" ref="P371">SUMPRODUCT(ISNUMBER(MATCH(mod_ko_uoe,$B$332,0))*('Koszty operacyjne'!$K$114:$X$114=Moduły!P$77),ko_uoe)</f>
        <v>0</v>
      </c>
    </row>
    <row r="372" spans="2:16">
      <c r="B372" s="37" t="s">
        <v>778</v>
      </c>
      <c r="C372" s="33" cm="1">
        <f t="array" ref="C372">SUMPRODUCT(ISNUMBER(MATCH(mod_ko_pio,$B$332,0))*('Koszty operacyjne'!$K$114:$X$114=Moduły!C$77),ko_pio)</f>
        <v>0</v>
      </c>
      <c r="D372" s="33" cm="1">
        <f t="array" ref="D372">SUMPRODUCT(ISNUMBER(MATCH(mod_ko_pio,$B$332,0))*('Koszty operacyjne'!$K$114:$X$114=Moduły!D$77),ko_pio)</f>
        <v>0</v>
      </c>
      <c r="E372" s="33" cm="1">
        <f t="array" ref="E372">SUMPRODUCT(ISNUMBER(MATCH(mod_ko_pio,$B$332,0))*('Koszty operacyjne'!$K$114:$X$114=Moduły!E$77),ko_pio)</f>
        <v>0</v>
      </c>
      <c r="F372" s="33" cm="1">
        <f t="array" ref="F372">SUMPRODUCT(ISNUMBER(MATCH(mod_ko_pio,$B$332,0))*('Koszty operacyjne'!$K$114:$X$114=Moduły!F$77),ko_pio)</f>
        <v>0</v>
      </c>
      <c r="G372" s="33" cm="1">
        <f t="array" ref="G372">SUMPRODUCT(ISNUMBER(MATCH(mod_ko_pio,$B$332,0))*('Koszty operacyjne'!$K$114:$X$114=Moduły!G$77),ko_pio)</f>
        <v>0</v>
      </c>
      <c r="H372" s="33" cm="1">
        <f t="array" ref="H372">SUMPRODUCT(ISNUMBER(MATCH(mod_ko_pio,$B$332,0))*('Koszty operacyjne'!$K$114:$X$114=Moduły!H$77),ko_pio)</f>
        <v>0</v>
      </c>
      <c r="I372" s="33" cm="1">
        <f t="array" ref="I372">SUMPRODUCT(ISNUMBER(MATCH(mod_ko_pio,$B$332,0))*('Koszty operacyjne'!$K$114:$X$114=Moduły!I$77),ko_pio)</f>
        <v>0</v>
      </c>
      <c r="J372" s="33" cm="1">
        <f t="array" ref="J372">SUMPRODUCT(ISNUMBER(MATCH(mod_ko_pio,$B$332,0))*('Koszty operacyjne'!$K$114:$X$114=Moduły!J$77),ko_pio)</f>
        <v>0</v>
      </c>
      <c r="K372" s="33" cm="1">
        <f t="array" ref="K372">SUMPRODUCT(ISNUMBER(MATCH(mod_ko_pio,$B$332,0))*('Koszty operacyjne'!$K$114:$X$114=Moduły!K$77),ko_pio)</f>
        <v>0</v>
      </c>
      <c r="L372" s="33" cm="1">
        <f t="array" ref="L372">SUMPRODUCT(ISNUMBER(MATCH(mod_ko_pio,$B$332,0))*('Koszty operacyjne'!$K$114:$X$114=Moduły!L$77),ko_pio)</f>
        <v>0</v>
      </c>
      <c r="M372" s="33" cm="1">
        <f t="array" ref="M372">SUMPRODUCT(ISNUMBER(MATCH(mod_ko_pio,$B$332,0))*('Koszty operacyjne'!$K$114:$X$114=Moduły!M$77),ko_pio)</f>
        <v>0</v>
      </c>
      <c r="N372" s="33" cm="1">
        <f t="array" ref="N372">SUMPRODUCT(ISNUMBER(MATCH(mod_ko_pio,$B$332,0))*('Koszty operacyjne'!$K$114:$X$114=Moduły!N$77),ko_pio)</f>
        <v>0</v>
      </c>
      <c r="O372" s="33" cm="1">
        <f t="array" ref="O372">SUMPRODUCT(ISNUMBER(MATCH(mod_ko_pio,$B$332,0))*('Koszty operacyjne'!$K$114:$X$114=Moduły!O$77),ko_pio)</f>
        <v>0</v>
      </c>
      <c r="P372" s="33" cm="1">
        <f t="array" ref="P372">SUMPRODUCT(ISNUMBER(MATCH(mod_ko_pio,$B$332,0))*('Koszty operacyjne'!$K$114:$X$114=Moduły!P$77),ko_pio)</f>
        <v>0</v>
      </c>
    </row>
    <row r="373" spans="2:16">
      <c r="B373" s="37" t="s">
        <v>109</v>
      </c>
      <c r="C373" s="33" cm="1">
        <f t="array" ref="C373">SUMPRODUCT(ISNUMBER(MATCH(mod_ko_wyn,$B$332,0))*('Koszty operacyjne'!$K$114:$X$114=Moduły!C$77),ko_wyn)</f>
        <v>0</v>
      </c>
      <c r="D373" s="33" cm="1">
        <f t="array" ref="D373">SUMPRODUCT(ISNUMBER(MATCH(mod_ko_wyn,$B$332,0))*('Koszty operacyjne'!$K$114:$X$114=Moduły!D$77),ko_wyn)</f>
        <v>0</v>
      </c>
      <c r="E373" s="33" cm="1">
        <f t="array" ref="E373">SUMPRODUCT(ISNUMBER(MATCH(mod_ko_wyn,$B$332,0))*('Koszty operacyjne'!$K$114:$X$114=Moduły!E$77),ko_wyn)</f>
        <v>0</v>
      </c>
      <c r="F373" s="33" cm="1">
        <f t="array" ref="F373">SUMPRODUCT(ISNUMBER(MATCH(mod_ko_wyn,$B$332,0))*('Koszty operacyjne'!$K$114:$X$114=Moduły!F$77),ko_wyn)</f>
        <v>0</v>
      </c>
      <c r="G373" s="33" cm="1">
        <f t="array" ref="G373">SUMPRODUCT(ISNUMBER(MATCH(mod_ko_wyn,$B$332,0))*('Koszty operacyjne'!$K$114:$X$114=Moduły!G$77),ko_wyn)</f>
        <v>0</v>
      </c>
      <c r="H373" s="33" cm="1">
        <f t="array" ref="H373">SUMPRODUCT(ISNUMBER(MATCH(mod_ko_wyn,$B$332,0))*('Koszty operacyjne'!$K$114:$X$114=Moduły!H$77),ko_wyn)</f>
        <v>0</v>
      </c>
      <c r="I373" s="33" cm="1">
        <f t="array" ref="I373">SUMPRODUCT(ISNUMBER(MATCH(mod_ko_wyn,$B$332,0))*('Koszty operacyjne'!$K$114:$X$114=Moduły!I$77),ko_wyn)</f>
        <v>0</v>
      </c>
      <c r="J373" s="33" cm="1">
        <f t="array" ref="J373">SUMPRODUCT(ISNUMBER(MATCH(mod_ko_wyn,$B$332,0))*('Koszty operacyjne'!$K$114:$X$114=Moduły!J$77),ko_wyn)</f>
        <v>0</v>
      </c>
      <c r="K373" s="33" cm="1">
        <f t="array" ref="K373">SUMPRODUCT(ISNUMBER(MATCH(mod_ko_wyn,$B$332,0))*('Koszty operacyjne'!$K$114:$X$114=Moduły!K$77),ko_wyn)</f>
        <v>0</v>
      </c>
      <c r="L373" s="33" cm="1">
        <f t="array" ref="L373">SUMPRODUCT(ISNUMBER(MATCH(mod_ko_wyn,$B$332,0))*('Koszty operacyjne'!$K$114:$X$114=Moduły!L$77),ko_wyn)</f>
        <v>0</v>
      </c>
      <c r="M373" s="33" cm="1">
        <f t="array" ref="M373">SUMPRODUCT(ISNUMBER(MATCH(mod_ko_wyn,$B$332,0))*('Koszty operacyjne'!$K$114:$X$114=Moduły!M$77),ko_wyn)</f>
        <v>0</v>
      </c>
      <c r="N373" s="33" cm="1">
        <f t="array" ref="N373">SUMPRODUCT(ISNUMBER(MATCH(mod_ko_wyn,$B$332,0))*('Koszty operacyjne'!$K$114:$X$114=Moduły!N$77),ko_wyn)</f>
        <v>0</v>
      </c>
      <c r="O373" s="33" cm="1">
        <f t="array" ref="O373">SUMPRODUCT(ISNUMBER(MATCH(mod_ko_wyn,$B$332,0))*('Koszty operacyjne'!$K$114:$X$114=Moduły!O$77),ko_wyn)</f>
        <v>0</v>
      </c>
      <c r="P373" s="33" cm="1">
        <f t="array" ref="P373">SUMPRODUCT(ISNUMBER(MATCH(mod_ko_wyn,$B$332,0))*('Koszty operacyjne'!$K$114:$X$114=Moduły!P$77),ko_wyn)</f>
        <v>0</v>
      </c>
    </row>
    <row r="374" spans="2:16">
      <c r="B374" s="37" t="s">
        <v>110</v>
      </c>
      <c r="C374" s="33" cm="1">
        <f t="array" ref="C374">SUMPRODUCT(ISNUMBER(MATCH(mod_ko_zus,$B$332,0))*('Koszty operacyjne'!$K$114:$X$114=Moduły!C$77),ko_zus)</f>
        <v>0</v>
      </c>
      <c r="D374" s="33" cm="1">
        <f t="array" ref="D374">SUMPRODUCT(ISNUMBER(MATCH(mod_ko_zus,$B$332,0))*('Koszty operacyjne'!$K$114:$X$114=Moduły!D$77),ko_zus)</f>
        <v>0</v>
      </c>
      <c r="E374" s="33" cm="1">
        <f t="array" ref="E374">SUMPRODUCT(ISNUMBER(MATCH(mod_ko_zus,$B$332,0))*('Koszty operacyjne'!$K$114:$X$114=Moduły!E$77),ko_zus)</f>
        <v>0</v>
      </c>
      <c r="F374" s="33" cm="1">
        <f t="array" ref="F374">SUMPRODUCT(ISNUMBER(MATCH(mod_ko_zus,$B$332,0))*('Koszty operacyjne'!$K$114:$X$114=Moduły!F$77),ko_zus)</f>
        <v>0</v>
      </c>
      <c r="G374" s="33" cm="1">
        <f t="array" ref="G374">SUMPRODUCT(ISNUMBER(MATCH(mod_ko_zus,$B$332,0))*('Koszty operacyjne'!$K$114:$X$114=Moduły!G$77),ko_zus)</f>
        <v>0</v>
      </c>
      <c r="H374" s="33" cm="1">
        <f t="array" ref="H374">SUMPRODUCT(ISNUMBER(MATCH(mod_ko_zus,$B$332,0))*('Koszty operacyjne'!$K$114:$X$114=Moduły!H$77),ko_zus)</f>
        <v>0</v>
      </c>
      <c r="I374" s="33" cm="1">
        <f t="array" ref="I374">SUMPRODUCT(ISNUMBER(MATCH(mod_ko_zus,$B$332,0))*('Koszty operacyjne'!$K$114:$X$114=Moduły!I$77),ko_zus)</f>
        <v>0</v>
      </c>
      <c r="J374" s="33" cm="1">
        <f t="array" ref="J374">SUMPRODUCT(ISNUMBER(MATCH(mod_ko_zus,$B$332,0))*('Koszty operacyjne'!$K$114:$X$114=Moduły!J$77),ko_zus)</f>
        <v>0</v>
      </c>
      <c r="K374" s="33" cm="1">
        <f t="array" ref="K374">SUMPRODUCT(ISNUMBER(MATCH(mod_ko_zus,$B$332,0))*('Koszty operacyjne'!$K$114:$X$114=Moduły!K$77),ko_zus)</f>
        <v>0</v>
      </c>
      <c r="L374" s="33" cm="1">
        <f t="array" ref="L374">SUMPRODUCT(ISNUMBER(MATCH(mod_ko_zus,$B$332,0))*('Koszty operacyjne'!$K$114:$X$114=Moduły!L$77),ko_zus)</f>
        <v>0</v>
      </c>
      <c r="M374" s="33" cm="1">
        <f t="array" ref="M374">SUMPRODUCT(ISNUMBER(MATCH(mod_ko_zus,$B$332,0))*('Koszty operacyjne'!$K$114:$X$114=Moduły!M$77),ko_zus)</f>
        <v>0</v>
      </c>
      <c r="N374" s="33" cm="1">
        <f t="array" ref="N374">SUMPRODUCT(ISNUMBER(MATCH(mod_ko_zus,$B$332,0))*('Koszty operacyjne'!$K$114:$X$114=Moduły!N$77),ko_zus)</f>
        <v>0</v>
      </c>
      <c r="O374" s="33" cm="1">
        <f t="array" ref="O374">SUMPRODUCT(ISNUMBER(MATCH(mod_ko_zus,$B$332,0))*('Koszty operacyjne'!$K$114:$X$114=Moduły!O$77),ko_zus)</f>
        <v>0</v>
      </c>
      <c r="P374" s="33" cm="1">
        <f t="array" ref="P374">SUMPRODUCT(ISNUMBER(MATCH(mod_ko_zus,$B$332,0))*('Koszty operacyjne'!$K$114:$X$114=Moduły!P$77),ko_zus)</f>
        <v>0</v>
      </c>
    </row>
    <row r="375" spans="2:16">
      <c r="B375" s="37" t="s">
        <v>111</v>
      </c>
      <c r="C375" s="33" cm="1">
        <f t="array" ref="C375">SUMPRODUCT(ISNUMBER(MATCH(mod_ko_pkr,$B$332,0))*('Koszty operacyjne'!$K$114:$X$114=Moduły!C$77),ko_pkr)</f>
        <v>0</v>
      </c>
      <c r="D375" s="33" cm="1">
        <f t="array" ref="D375">SUMPRODUCT(ISNUMBER(MATCH(mod_ko_pkr,$B$332,0))*('Koszty operacyjne'!$K$114:$X$114=Moduły!D$77),ko_pkr)</f>
        <v>0</v>
      </c>
      <c r="E375" s="33" cm="1">
        <f t="array" ref="E375">SUMPRODUCT(ISNUMBER(MATCH(mod_ko_pkr,$B$332,0))*('Koszty operacyjne'!$K$114:$X$114=Moduły!E$77),ko_pkr)</f>
        <v>0</v>
      </c>
      <c r="F375" s="33" cm="1">
        <f t="array" ref="F375">SUMPRODUCT(ISNUMBER(MATCH(mod_ko_pkr,$B$332,0))*('Koszty operacyjne'!$K$114:$X$114=Moduły!F$77),ko_pkr)</f>
        <v>0</v>
      </c>
      <c r="G375" s="33" cm="1">
        <f t="array" ref="G375">SUMPRODUCT(ISNUMBER(MATCH(mod_ko_pkr,$B$332,0))*('Koszty operacyjne'!$K$114:$X$114=Moduły!G$77),ko_pkr)</f>
        <v>0</v>
      </c>
      <c r="H375" s="33" cm="1">
        <f t="array" ref="H375">SUMPRODUCT(ISNUMBER(MATCH(mod_ko_pkr,$B$332,0))*('Koszty operacyjne'!$K$114:$X$114=Moduły!H$77),ko_pkr)</f>
        <v>0</v>
      </c>
      <c r="I375" s="33" cm="1">
        <f t="array" ref="I375">SUMPRODUCT(ISNUMBER(MATCH(mod_ko_pkr,$B$332,0))*('Koszty operacyjne'!$K$114:$X$114=Moduły!I$77),ko_pkr)</f>
        <v>0</v>
      </c>
      <c r="J375" s="33" cm="1">
        <f t="array" ref="J375">SUMPRODUCT(ISNUMBER(MATCH(mod_ko_pkr,$B$332,0))*('Koszty operacyjne'!$K$114:$X$114=Moduły!J$77),ko_pkr)</f>
        <v>0</v>
      </c>
      <c r="K375" s="33" cm="1">
        <f t="array" ref="K375">SUMPRODUCT(ISNUMBER(MATCH(mod_ko_pkr,$B$332,0))*('Koszty operacyjne'!$K$114:$X$114=Moduły!K$77),ko_pkr)</f>
        <v>0</v>
      </c>
      <c r="L375" s="33" cm="1">
        <f t="array" ref="L375">SUMPRODUCT(ISNUMBER(MATCH(mod_ko_pkr,$B$332,0))*('Koszty operacyjne'!$K$114:$X$114=Moduły!L$77),ko_pkr)</f>
        <v>0</v>
      </c>
      <c r="M375" s="33" cm="1">
        <f t="array" ref="M375">SUMPRODUCT(ISNUMBER(MATCH(mod_ko_pkr,$B$332,0))*('Koszty operacyjne'!$K$114:$X$114=Moduły!M$77),ko_pkr)</f>
        <v>0</v>
      </c>
      <c r="N375" s="33" cm="1">
        <f t="array" ref="N375">SUMPRODUCT(ISNUMBER(MATCH(mod_ko_pkr,$B$332,0))*('Koszty operacyjne'!$K$114:$X$114=Moduły!N$77),ko_pkr)</f>
        <v>0</v>
      </c>
      <c r="O375" s="33" cm="1">
        <f t="array" ref="O375">SUMPRODUCT(ISNUMBER(MATCH(mod_ko_pkr,$B$332,0))*('Koszty operacyjne'!$K$114:$X$114=Moduły!O$77),ko_pkr)</f>
        <v>0</v>
      </c>
      <c r="P375" s="33" cm="1">
        <f t="array" ref="P375">SUMPRODUCT(ISNUMBER(MATCH(mod_ko_pkr,$B$332,0))*('Koszty operacyjne'!$K$114:$X$114=Moduły!P$77),ko_pkr)</f>
        <v>0</v>
      </c>
    </row>
    <row r="376" spans="2:16">
      <c r="B376" s="37" t="s">
        <v>112</v>
      </c>
      <c r="C376" s="33" cm="1">
        <f t="array" ref="C376">SUMPRODUCT(ISNUMBER(MATCH(mod_pp_ptim_wstim,$B$332,0))*('Koszty operacyjne'!$K$114:$X$114=Moduły!C$77),pp_ptim_wstim)</f>
        <v>0</v>
      </c>
      <c r="D376" s="33" cm="1">
        <f t="array" ref="D376">SUMPRODUCT(ISNUMBER(MATCH(mod_pp_ptim_wstim,$B$332,0))*('Koszty operacyjne'!$K$114:$X$114=Moduły!D$77),pp_ptim_wstim)</f>
        <v>0</v>
      </c>
      <c r="E376" s="33" cm="1">
        <f t="array" ref="E376">SUMPRODUCT(ISNUMBER(MATCH(mod_pp_ptim_wstim,$B$332,0))*('Koszty operacyjne'!$K$114:$X$114=Moduły!E$77),pp_ptim_wstim)</f>
        <v>0</v>
      </c>
      <c r="F376" s="33" cm="1">
        <f t="array" ref="F376">SUMPRODUCT(ISNUMBER(MATCH(mod_pp_ptim_wstim,$B$332,0))*('Koszty operacyjne'!$K$114:$X$114=Moduły!F$77),pp_ptim_wstim)</f>
        <v>0</v>
      </c>
      <c r="G376" s="33" cm="1">
        <f t="array" ref="G376">SUMPRODUCT(ISNUMBER(MATCH(mod_pp_ptim_wstim,$B$332,0))*('Koszty operacyjne'!$K$114:$X$114=Moduły!G$77),pp_ptim_wstim)</f>
        <v>0</v>
      </c>
      <c r="H376" s="33" cm="1">
        <f t="array" ref="H376">SUMPRODUCT(ISNUMBER(MATCH(mod_pp_ptim_wstim,$B$332,0))*('Koszty operacyjne'!$K$114:$X$114=Moduły!H$77),pp_ptim_wstim)</f>
        <v>0</v>
      </c>
      <c r="I376" s="33" cm="1">
        <f t="array" ref="I376">SUMPRODUCT(ISNUMBER(MATCH(mod_pp_ptim_wstim,$B$332,0))*('Koszty operacyjne'!$K$114:$X$114=Moduły!I$77),pp_ptim_wstim)</f>
        <v>0</v>
      </c>
      <c r="J376" s="33" cm="1">
        <f t="array" ref="J376">SUMPRODUCT(ISNUMBER(MATCH(mod_pp_ptim_wstim,$B$332,0))*('Koszty operacyjne'!$K$114:$X$114=Moduły!J$77),pp_ptim_wstim)</f>
        <v>0</v>
      </c>
      <c r="K376" s="33" cm="1">
        <f t="array" ref="K376">SUMPRODUCT(ISNUMBER(MATCH(mod_pp_ptim_wstim,$B$332,0))*('Koszty operacyjne'!$K$114:$X$114=Moduły!K$77),pp_ptim_wstim)</f>
        <v>0</v>
      </c>
      <c r="L376" s="33" cm="1">
        <f t="array" ref="L376">SUMPRODUCT(ISNUMBER(MATCH(mod_pp_ptim_wstim,$B$332,0))*('Koszty operacyjne'!$K$114:$X$114=Moduły!L$77),pp_ptim_wstim)</f>
        <v>0</v>
      </c>
      <c r="M376" s="33" cm="1">
        <f t="array" ref="M376">SUMPRODUCT(ISNUMBER(MATCH(mod_pp_ptim_wstim,$B$332,0))*('Koszty operacyjne'!$K$114:$X$114=Moduły!M$77),pp_ptim_wstim)</f>
        <v>0</v>
      </c>
      <c r="N376" s="33" cm="1">
        <f t="array" ref="N376">SUMPRODUCT(ISNUMBER(MATCH(mod_pp_ptim_wstim,$B$332,0))*('Koszty operacyjne'!$K$114:$X$114=Moduły!N$77),pp_ptim_wstim)</f>
        <v>0</v>
      </c>
      <c r="O376" s="33" cm="1">
        <f t="array" ref="O376">SUMPRODUCT(ISNUMBER(MATCH(mod_pp_ptim_wstim,$B$332,0))*('Koszty operacyjne'!$K$114:$X$114=Moduły!O$77),pp_ptim_wstim)</f>
        <v>0</v>
      </c>
      <c r="P376" s="33" cm="1">
        <f t="array" ref="P376">SUMPRODUCT(ISNUMBER(MATCH(mod_pp_ptim_wstim,$B$332,0))*('Koszty operacyjne'!$K$114:$X$114=Moduły!P$77),pp_ptim_wstim)</f>
        <v>0</v>
      </c>
    </row>
    <row r="377" spans="2:16"/>
    <row r="378" spans="2:16"/>
    <row r="379" spans="2:16">
      <c r="B379" s="367" t="s">
        <v>115</v>
      </c>
      <c r="C379" s="367" t="str">
        <f>C$77</f>
        <v>Uzupełnij dane</v>
      </c>
      <c r="D379" s="367" t="str">
        <f t="shared" ref="D379:P379" si="174">D$77</f>
        <v/>
      </c>
      <c r="E379" s="367" t="str">
        <f t="shared" si="174"/>
        <v/>
      </c>
      <c r="F379" s="367" t="str">
        <f t="shared" si="174"/>
        <v/>
      </c>
      <c r="G379" s="367" t="str">
        <f t="shared" si="174"/>
        <v/>
      </c>
      <c r="H379" s="367" t="str">
        <f t="shared" si="174"/>
        <v/>
      </c>
      <c r="I379" s="367" t="str">
        <f t="shared" si="174"/>
        <v/>
      </c>
      <c r="J379" s="367" t="str">
        <f t="shared" si="174"/>
        <v/>
      </c>
      <c r="K379" s="367" t="str">
        <f t="shared" si="174"/>
        <v/>
      </c>
      <c r="L379" s="367" t="str">
        <f t="shared" si="174"/>
        <v/>
      </c>
      <c r="M379" s="367" t="str">
        <f t="shared" si="174"/>
        <v/>
      </c>
      <c r="N379" s="367" t="str">
        <f t="shared" si="174"/>
        <v/>
      </c>
      <c r="O379" s="367" t="str">
        <f t="shared" si="174"/>
        <v/>
      </c>
      <c r="P379" s="367" t="str">
        <f t="shared" si="174"/>
        <v/>
      </c>
    </row>
    <row r="380" spans="2:16" ht="3.9" customHeight="1"/>
    <row r="381" spans="2:16" ht="12" customHeight="1">
      <c r="B381" s="98" t="s">
        <v>93</v>
      </c>
      <c r="C381" s="97">
        <f t="shared" ref="C381:P381" si="175">SUM(C382:C383)</f>
        <v>0</v>
      </c>
      <c r="D381" s="97">
        <f t="shared" si="175"/>
        <v>0</v>
      </c>
      <c r="E381" s="97">
        <f t="shared" si="175"/>
        <v>0</v>
      </c>
      <c r="F381" s="97">
        <f t="shared" si="175"/>
        <v>0</v>
      </c>
      <c r="G381" s="97">
        <f t="shared" si="175"/>
        <v>0</v>
      </c>
      <c r="H381" s="97">
        <f t="shared" si="175"/>
        <v>0</v>
      </c>
      <c r="I381" s="97">
        <f t="shared" si="175"/>
        <v>0</v>
      </c>
      <c r="J381" s="97">
        <f t="shared" si="175"/>
        <v>0</v>
      </c>
      <c r="K381" s="97">
        <f t="shared" si="175"/>
        <v>0</v>
      </c>
      <c r="L381" s="97">
        <f t="shared" si="175"/>
        <v>0</v>
      </c>
      <c r="M381" s="97">
        <f t="shared" si="175"/>
        <v>0</v>
      </c>
      <c r="N381" s="97">
        <f t="shared" si="175"/>
        <v>0</v>
      </c>
      <c r="O381" s="97">
        <f t="shared" si="175"/>
        <v>0</v>
      </c>
      <c r="P381" s="97">
        <f t="shared" si="175"/>
        <v>0</v>
      </c>
    </row>
    <row r="382" spans="2:16">
      <c r="B382" s="460" t="s">
        <v>95</v>
      </c>
      <c r="C382" s="461">
        <f>C386+C390+C394+C398+C402+C406+C410</f>
        <v>0</v>
      </c>
      <c r="D382" s="461">
        <f t="shared" ref="D382:P382" si="176">D386+D390+D394+D398+D402+D406+D410</f>
        <v>0</v>
      </c>
      <c r="E382" s="461">
        <f t="shared" si="176"/>
        <v>0</v>
      </c>
      <c r="F382" s="461">
        <f t="shared" si="176"/>
        <v>0</v>
      </c>
      <c r="G382" s="461">
        <f t="shared" si="176"/>
        <v>0</v>
      </c>
      <c r="H382" s="461">
        <f t="shared" si="176"/>
        <v>0</v>
      </c>
      <c r="I382" s="461">
        <f t="shared" si="176"/>
        <v>0</v>
      </c>
      <c r="J382" s="461">
        <f t="shared" si="176"/>
        <v>0</v>
      </c>
      <c r="K382" s="462">
        <f t="shared" si="176"/>
        <v>0</v>
      </c>
      <c r="L382" s="462">
        <f t="shared" si="176"/>
        <v>0</v>
      </c>
      <c r="M382" s="462">
        <f t="shared" si="176"/>
        <v>0</v>
      </c>
      <c r="N382" s="462">
        <f t="shared" si="176"/>
        <v>0</v>
      </c>
      <c r="O382" s="462">
        <f t="shared" si="176"/>
        <v>0</v>
      </c>
      <c r="P382" s="462">
        <f t="shared" si="176"/>
        <v>0</v>
      </c>
    </row>
    <row r="383" spans="2:16">
      <c r="B383" s="463" t="s">
        <v>96</v>
      </c>
      <c r="C383" s="464">
        <f>C387+C391+C395+C399+C403+C407+C411</f>
        <v>0</v>
      </c>
      <c r="D383" s="464">
        <f t="shared" ref="D383:P383" si="177">D387+D391+D395+D399+D403+D407+D411</f>
        <v>0</v>
      </c>
      <c r="E383" s="464">
        <f t="shared" si="177"/>
        <v>0</v>
      </c>
      <c r="F383" s="464">
        <f t="shared" si="177"/>
        <v>0</v>
      </c>
      <c r="G383" s="464">
        <f t="shared" si="177"/>
        <v>0</v>
      </c>
      <c r="H383" s="464">
        <f t="shared" si="177"/>
        <v>0</v>
      </c>
      <c r="I383" s="464">
        <f t="shared" si="177"/>
        <v>0</v>
      </c>
      <c r="J383" s="464">
        <f t="shared" si="177"/>
        <v>0</v>
      </c>
      <c r="K383" s="465">
        <f t="shared" si="177"/>
        <v>0</v>
      </c>
      <c r="L383" s="465">
        <f t="shared" si="177"/>
        <v>0</v>
      </c>
      <c r="M383" s="465">
        <f t="shared" si="177"/>
        <v>0</v>
      </c>
      <c r="N383" s="465">
        <f t="shared" si="177"/>
        <v>0</v>
      </c>
      <c r="O383" s="465">
        <f t="shared" si="177"/>
        <v>0</v>
      </c>
      <c r="P383" s="465">
        <f t="shared" si="177"/>
        <v>0</v>
      </c>
    </row>
    <row r="384" spans="2:16" ht="3.9" customHeight="1"/>
    <row r="385" spans="2:16" ht="12" customHeight="1">
      <c r="B385" s="353" t="s">
        <v>94</v>
      </c>
      <c r="C385" s="354">
        <f t="shared" ref="C385:P385" si="178">SUM(C386:C387)</f>
        <v>0</v>
      </c>
      <c r="D385" s="354">
        <f t="shared" si="178"/>
        <v>0</v>
      </c>
      <c r="E385" s="354">
        <f t="shared" si="178"/>
        <v>0</v>
      </c>
      <c r="F385" s="354">
        <f t="shared" si="178"/>
        <v>0</v>
      </c>
      <c r="G385" s="354">
        <f t="shared" si="178"/>
        <v>0</v>
      </c>
      <c r="H385" s="354">
        <f t="shared" si="178"/>
        <v>0</v>
      </c>
      <c r="I385" s="354">
        <f t="shared" si="178"/>
        <v>0</v>
      </c>
      <c r="J385" s="354">
        <f t="shared" si="178"/>
        <v>0</v>
      </c>
      <c r="K385" s="354">
        <f t="shared" si="178"/>
        <v>0</v>
      </c>
      <c r="L385" s="354">
        <f t="shared" si="178"/>
        <v>0</v>
      </c>
      <c r="M385" s="354">
        <f t="shared" si="178"/>
        <v>0</v>
      </c>
      <c r="N385" s="354">
        <f t="shared" si="178"/>
        <v>0</v>
      </c>
      <c r="O385" s="354">
        <f t="shared" si="178"/>
        <v>0</v>
      </c>
      <c r="P385" s="354">
        <f t="shared" si="178"/>
        <v>0</v>
      </c>
    </row>
    <row r="386" spans="2:16" ht="12" customHeight="1">
      <c r="B386" s="355" t="s">
        <v>95</v>
      </c>
      <c r="C386" s="356" cm="1">
        <f t="array" ref="C386">SUMPRODUCT(ISNUMBER(MATCH(mod_st_zpr,$B$379,0))*('Koszty operacyjne'!$K$114:$X$114=Moduły!C$77)*ISNUMBER(MATCH(st_zpr_kw,tak,0)),st_zpr)</f>
        <v>0</v>
      </c>
      <c r="D386" s="356" cm="1">
        <f t="array" ref="D386">SUMPRODUCT(ISNUMBER(MATCH(mod_st_zpr,$B$379,0))*('Koszty operacyjne'!$K$114:$X$114=Moduły!D$77)*ISNUMBER(MATCH(st_zpr_kw,tak,0)),st_zpr)</f>
        <v>0</v>
      </c>
      <c r="E386" s="356" cm="1">
        <f t="array" ref="E386">SUMPRODUCT(ISNUMBER(MATCH(mod_st_zpr,$B$379,0))*('Koszty operacyjne'!$K$114:$X$114=Moduły!E$77)*ISNUMBER(MATCH(st_zpr_kw,tak,0)),st_zpr)</f>
        <v>0</v>
      </c>
      <c r="F386" s="356" cm="1">
        <f t="array" ref="F386">SUMPRODUCT(ISNUMBER(MATCH(mod_st_zpr,$B$379,0))*('Koszty operacyjne'!$K$114:$X$114=Moduły!F$77)*ISNUMBER(MATCH(st_zpr_kw,tak,0)),st_zpr)</f>
        <v>0</v>
      </c>
      <c r="G386" s="356" cm="1">
        <f t="array" ref="G386">SUMPRODUCT(ISNUMBER(MATCH(mod_st_zpr,$B$379,0))*('Koszty operacyjne'!$K$114:$X$114=Moduły!G$77)*ISNUMBER(MATCH(st_zpr_kw,tak,0)),st_zpr)</f>
        <v>0</v>
      </c>
      <c r="H386" s="356" cm="1">
        <f t="array" ref="H386">SUMPRODUCT(ISNUMBER(MATCH(mod_st_zpr,$B$379,0))*('Koszty operacyjne'!$K$114:$X$114=Moduły!H$77)*ISNUMBER(MATCH(st_zpr_kw,tak,0)),st_zpr)</f>
        <v>0</v>
      </c>
      <c r="I386" s="356" cm="1">
        <f t="array" ref="I386">SUMPRODUCT(ISNUMBER(MATCH(mod_st_zpr,$B$379,0))*('Koszty operacyjne'!$K$114:$X$114=Moduły!I$77)*ISNUMBER(MATCH(st_zpr_kw,tak,0)),st_zpr)</f>
        <v>0</v>
      </c>
      <c r="J386" s="356" cm="1">
        <f t="array" ref="J386">SUMPRODUCT(ISNUMBER(MATCH(mod_st_zpr,$B$379,0))*('Koszty operacyjne'!$K$114:$X$114=Moduły!J$77)*ISNUMBER(MATCH(st_zpr_kw,tak,0)),st_zpr)</f>
        <v>0</v>
      </c>
      <c r="K386" s="356" cm="1">
        <f t="array" ref="K386">SUMPRODUCT(ISNUMBER(MATCH(mod_st_zpr,$B$379,0))*('Koszty operacyjne'!$K$114:$X$114=Moduły!K$77)*ISNUMBER(MATCH(st_zpr_kw,tak,0)),st_zpr)</f>
        <v>0</v>
      </c>
      <c r="L386" s="356" cm="1">
        <f t="array" ref="L386">SUMPRODUCT(ISNUMBER(MATCH(mod_st_zpr,$B$379,0))*('Koszty operacyjne'!$K$114:$X$114=Moduły!L$77)*ISNUMBER(MATCH(st_zpr_kw,tak,0)),st_zpr)</f>
        <v>0</v>
      </c>
      <c r="M386" s="356" cm="1">
        <f t="array" ref="M386">SUMPRODUCT(ISNUMBER(MATCH(mod_st_zpr,$B$379,0))*('Koszty operacyjne'!$K$114:$X$114=Moduły!M$77)*ISNUMBER(MATCH(st_zpr_kw,tak,0)),st_zpr)</f>
        <v>0</v>
      </c>
      <c r="N386" s="356" cm="1">
        <f t="array" ref="N386">SUMPRODUCT(ISNUMBER(MATCH(mod_st_zpr,$B$379,0))*('Koszty operacyjne'!$K$114:$X$114=Moduły!N$77)*ISNUMBER(MATCH(st_zpr_kw,tak,0)),st_zpr)</f>
        <v>0</v>
      </c>
      <c r="O386" s="356" cm="1">
        <f t="array" ref="O386">SUMPRODUCT(ISNUMBER(MATCH(mod_st_zpr,$B$379,0))*('Koszty operacyjne'!$K$114:$X$114=Moduły!O$77)*ISNUMBER(MATCH(st_zpr_kw,tak,0)),st_zpr)</f>
        <v>0</v>
      </c>
      <c r="P386" s="356" cm="1">
        <f t="array" ref="P386">SUMPRODUCT(ISNUMBER(MATCH(mod_st_zpr,$B$379,0))*('Koszty operacyjne'!$K$114:$X$114=Moduły!P$77)*ISNUMBER(MATCH(st_zpr_kw,tak,0)),st_zpr)</f>
        <v>0</v>
      </c>
    </row>
    <row r="387" spans="2:16" ht="12" customHeight="1">
      <c r="B387" s="357" t="s">
        <v>96</v>
      </c>
      <c r="C387" s="358" cm="1">
        <f t="array" ref="C387">SUMPRODUCT(ISNUMBER(MATCH(mod_st_zpr,$B$379,0))*('Koszty operacyjne'!$K$114:$X$114=Moduły!C$77)*ISNUMBER(MATCH(st_zpr_kw,nie,0)),st_zpr)</f>
        <v>0</v>
      </c>
      <c r="D387" s="358" cm="1">
        <f t="array" ref="D387">SUMPRODUCT(ISNUMBER(MATCH(mod_st_zpr,$B$379,0))*('Koszty operacyjne'!$K$114:$X$114=Moduły!D$77)*ISNUMBER(MATCH(st_zpr_kw,nie,0)),st_zpr)</f>
        <v>0</v>
      </c>
      <c r="E387" s="358" cm="1">
        <f t="array" ref="E387">SUMPRODUCT(ISNUMBER(MATCH(mod_st_zpr,$B$379,0))*('Koszty operacyjne'!$K$114:$X$114=Moduły!E$77)*ISNUMBER(MATCH(st_zpr_kw,nie,0)),st_zpr)</f>
        <v>0</v>
      </c>
      <c r="F387" s="358" cm="1">
        <f t="array" ref="F387">SUMPRODUCT(ISNUMBER(MATCH(mod_st_zpr,$B$379,0))*('Koszty operacyjne'!$K$114:$X$114=Moduły!F$77)*ISNUMBER(MATCH(st_zpr_kw,nie,0)),st_zpr)</f>
        <v>0</v>
      </c>
      <c r="G387" s="358" cm="1">
        <f t="array" ref="G387">SUMPRODUCT(ISNUMBER(MATCH(mod_st_zpr,$B$379,0))*('Koszty operacyjne'!$K$114:$X$114=Moduły!G$77)*ISNUMBER(MATCH(st_zpr_kw,nie,0)),st_zpr)</f>
        <v>0</v>
      </c>
      <c r="H387" s="358" cm="1">
        <f t="array" ref="H387">SUMPRODUCT(ISNUMBER(MATCH(mod_st_zpr,$B$379,0))*('Koszty operacyjne'!$K$114:$X$114=Moduły!H$77)*ISNUMBER(MATCH(st_zpr_kw,nie,0)),st_zpr)</f>
        <v>0</v>
      </c>
      <c r="I387" s="358" cm="1">
        <f t="array" ref="I387">SUMPRODUCT(ISNUMBER(MATCH(mod_st_zpr,$B$379,0))*('Koszty operacyjne'!$K$114:$X$114=Moduły!I$77)*ISNUMBER(MATCH(st_zpr_kw,nie,0)),st_zpr)</f>
        <v>0</v>
      </c>
      <c r="J387" s="358" cm="1">
        <f t="array" ref="J387">SUMPRODUCT(ISNUMBER(MATCH(mod_st_zpr,$B$379,0))*('Koszty operacyjne'!$K$114:$X$114=Moduły!J$77)*ISNUMBER(MATCH(st_zpr_kw,nie,0)),st_zpr)</f>
        <v>0</v>
      </c>
      <c r="K387" s="359" cm="1">
        <f t="array" ref="K387">SUMPRODUCT(ISNUMBER(MATCH(mod_st_zpr,$B$379,0))*('Koszty operacyjne'!$K$114:$X$114=Moduły!K$77)*ISNUMBER(MATCH(st_zpr_kw,nie,0)),st_zpr)</f>
        <v>0</v>
      </c>
      <c r="L387" s="359" cm="1">
        <f t="array" ref="L387">SUMPRODUCT(ISNUMBER(MATCH(mod_st_zpr,$B$379,0))*('Koszty operacyjne'!$K$114:$X$114=Moduły!L$77)*ISNUMBER(MATCH(st_zpr_kw,nie,0)),st_zpr)</f>
        <v>0</v>
      </c>
      <c r="M387" s="359" cm="1">
        <f t="array" ref="M387">SUMPRODUCT(ISNUMBER(MATCH(mod_st_zpr,$B$379,0))*('Koszty operacyjne'!$K$114:$X$114=Moduły!M$77)*ISNUMBER(MATCH(st_zpr_kw,nie,0)),st_zpr)</f>
        <v>0</v>
      </c>
      <c r="N387" s="359" cm="1">
        <f t="array" ref="N387">SUMPRODUCT(ISNUMBER(MATCH(mod_st_zpr,$B$379,0))*('Koszty operacyjne'!$K$114:$X$114=Moduły!N$77)*ISNUMBER(MATCH(st_zpr_kw,nie,0)),st_zpr)</f>
        <v>0</v>
      </c>
      <c r="O387" s="359" cm="1">
        <f t="array" ref="O387">SUMPRODUCT(ISNUMBER(MATCH(mod_st_zpr,$B$379,0))*('Koszty operacyjne'!$K$114:$X$114=Moduły!O$77)*ISNUMBER(MATCH(st_zpr_kw,nie,0)),st_zpr)</f>
        <v>0</v>
      </c>
      <c r="P387" s="359" cm="1">
        <f t="array" ref="P387">SUMPRODUCT(ISNUMBER(MATCH(mod_st_zpr,$B$379,0))*('Koszty operacyjne'!$K$114:$X$114=Moduły!P$77)*ISNUMBER(MATCH(st_zpr_kw,nie,0)),st_zpr)</f>
        <v>0</v>
      </c>
    </row>
    <row r="388" spans="2:16" ht="3.9" customHeight="1">
      <c r="B388" s="360"/>
      <c r="C388" s="361"/>
      <c r="D388" s="361"/>
      <c r="E388" s="361"/>
      <c r="F388" s="361"/>
      <c r="G388" s="361"/>
      <c r="H388" s="361"/>
      <c r="I388" s="361"/>
      <c r="J388" s="361"/>
      <c r="K388" s="362"/>
      <c r="L388" s="362"/>
      <c r="M388" s="362"/>
      <c r="N388" s="362"/>
      <c r="O388" s="362"/>
      <c r="P388" s="362"/>
    </row>
    <row r="389" spans="2:16" ht="12" customHeight="1">
      <c r="B389" s="353" t="s">
        <v>97</v>
      </c>
      <c r="C389" s="354">
        <f t="shared" ref="C389:P389" si="179">SUM(C390:C391)</f>
        <v>0</v>
      </c>
      <c r="D389" s="354">
        <f t="shared" si="179"/>
        <v>0</v>
      </c>
      <c r="E389" s="354">
        <f t="shared" si="179"/>
        <v>0</v>
      </c>
      <c r="F389" s="354">
        <f t="shared" si="179"/>
        <v>0</v>
      </c>
      <c r="G389" s="354">
        <f t="shared" si="179"/>
        <v>0</v>
      </c>
      <c r="H389" s="354">
        <f t="shared" si="179"/>
        <v>0</v>
      </c>
      <c r="I389" s="354">
        <f t="shared" si="179"/>
        <v>0</v>
      </c>
      <c r="J389" s="354">
        <f t="shared" si="179"/>
        <v>0</v>
      </c>
      <c r="K389" s="354">
        <f t="shared" si="179"/>
        <v>0</v>
      </c>
      <c r="L389" s="354">
        <f t="shared" si="179"/>
        <v>0</v>
      </c>
      <c r="M389" s="354">
        <f t="shared" si="179"/>
        <v>0</v>
      </c>
      <c r="N389" s="354">
        <f t="shared" si="179"/>
        <v>0</v>
      </c>
      <c r="O389" s="354">
        <f t="shared" si="179"/>
        <v>0</v>
      </c>
      <c r="P389" s="354">
        <f t="shared" si="179"/>
        <v>0</v>
      </c>
    </row>
    <row r="390" spans="2:16" ht="12" customHeight="1">
      <c r="B390" s="355" t="s">
        <v>95</v>
      </c>
      <c r="C390" s="356" cm="1">
        <f t="array" ref="C390">SUMPRODUCT(ISNUMBER(MATCH(mod_st_wnp,$B$379,0))*('Koszty operacyjne'!$K$114:$X$114=Moduły!C$77)*ISNUMBER(MATCH(st_wnp_kw,tak,0)),st_wnp)</f>
        <v>0</v>
      </c>
      <c r="D390" s="356" cm="1">
        <f t="array" ref="D390">SUMPRODUCT(ISNUMBER(MATCH(mod_st_wnp,$B$379,0))*('Koszty operacyjne'!$K$114:$X$114=Moduły!D$77)*ISNUMBER(MATCH(st_wnp_kw,tak,0)),st_wnp)</f>
        <v>0</v>
      </c>
      <c r="E390" s="356" cm="1">
        <f t="array" ref="E390">SUMPRODUCT(ISNUMBER(MATCH(mod_st_wnp,$B$379,0))*('Koszty operacyjne'!$K$114:$X$114=Moduły!E$77)*ISNUMBER(MATCH(st_wnp_kw,tak,0)),st_wnp)</f>
        <v>0</v>
      </c>
      <c r="F390" s="356" cm="1">
        <f t="array" ref="F390">SUMPRODUCT(ISNUMBER(MATCH(mod_st_wnp,$B$379,0))*('Koszty operacyjne'!$K$114:$X$114=Moduły!F$77)*ISNUMBER(MATCH(st_wnp_kw,tak,0)),st_wnp)</f>
        <v>0</v>
      </c>
      <c r="G390" s="356" cm="1">
        <f t="array" ref="G390">SUMPRODUCT(ISNUMBER(MATCH(mod_st_wnp,$B$379,0))*('Koszty operacyjne'!$K$114:$X$114=Moduły!G$77)*ISNUMBER(MATCH(st_wnp_kw,tak,0)),st_wnp)</f>
        <v>0</v>
      </c>
      <c r="H390" s="356" cm="1">
        <f t="array" ref="H390">SUMPRODUCT(ISNUMBER(MATCH(mod_st_wnp,$B$379,0))*('Koszty operacyjne'!$K$114:$X$114=Moduły!H$77)*ISNUMBER(MATCH(st_wnp_kw,tak,0)),st_wnp)</f>
        <v>0</v>
      </c>
      <c r="I390" s="356" cm="1">
        <f t="array" ref="I390">SUMPRODUCT(ISNUMBER(MATCH(mod_st_wnp,$B$379,0))*('Koszty operacyjne'!$K$114:$X$114=Moduły!I$77)*ISNUMBER(MATCH(st_wnp_kw,tak,0)),st_wnp)</f>
        <v>0</v>
      </c>
      <c r="J390" s="356" cm="1">
        <f t="array" ref="J390">SUMPRODUCT(ISNUMBER(MATCH(mod_st_wnp,$B$379,0))*('Koszty operacyjne'!$K$114:$X$114=Moduły!J$77)*ISNUMBER(MATCH(st_wnp_kw,tak,0)),st_wnp)</f>
        <v>0</v>
      </c>
      <c r="K390" s="356" cm="1">
        <f t="array" ref="K390">SUMPRODUCT(ISNUMBER(MATCH(mod_st_wnp,$B$379,0))*('Koszty operacyjne'!$K$114:$X$114=Moduły!K$77)*ISNUMBER(MATCH(st_wnp_kw,tak,0)),st_wnp)</f>
        <v>0</v>
      </c>
      <c r="L390" s="356" cm="1">
        <f t="array" ref="L390">SUMPRODUCT(ISNUMBER(MATCH(mod_st_wnp,$B$379,0))*('Koszty operacyjne'!$K$114:$X$114=Moduły!L$77)*ISNUMBER(MATCH(st_wnp_kw,tak,0)),st_wnp)</f>
        <v>0</v>
      </c>
      <c r="M390" s="356" cm="1">
        <f t="array" ref="M390">SUMPRODUCT(ISNUMBER(MATCH(mod_st_wnp,$B$379,0))*('Koszty operacyjne'!$K$114:$X$114=Moduły!M$77)*ISNUMBER(MATCH(st_wnp_kw,tak,0)),st_wnp)</f>
        <v>0</v>
      </c>
      <c r="N390" s="356" cm="1">
        <f t="array" ref="N390">SUMPRODUCT(ISNUMBER(MATCH(mod_st_wnp,$B$379,0))*('Koszty operacyjne'!$K$114:$X$114=Moduły!N$77)*ISNUMBER(MATCH(st_wnp_kw,tak,0)),st_wnp)</f>
        <v>0</v>
      </c>
      <c r="O390" s="356" cm="1">
        <f t="array" ref="O390">SUMPRODUCT(ISNUMBER(MATCH(mod_st_wnp,$B$379,0))*('Koszty operacyjne'!$K$114:$X$114=Moduły!O$77)*ISNUMBER(MATCH(st_wnp_kw,tak,0)),st_wnp)</f>
        <v>0</v>
      </c>
      <c r="P390" s="356" cm="1">
        <f t="array" ref="P390">SUMPRODUCT(ISNUMBER(MATCH(mod_st_wnp,$B$379,0))*('Koszty operacyjne'!$K$114:$X$114=Moduły!P$77)*ISNUMBER(MATCH(st_wnp_kw,tak,0)),st_wnp)</f>
        <v>0</v>
      </c>
    </row>
    <row r="391" spans="2:16" ht="12" customHeight="1">
      <c r="B391" s="357" t="s">
        <v>96</v>
      </c>
      <c r="C391" s="358" cm="1">
        <f t="array" ref="C391">SUMPRODUCT(ISNUMBER(MATCH(mod_st_wnp,$B$379,0))*('Koszty operacyjne'!$K$114:$X$114=Moduły!C$77)*ISNUMBER(MATCH(st_wnp_kw,nie,0)),st_wnp)</f>
        <v>0</v>
      </c>
      <c r="D391" s="358" cm="1">
        <f t="array" ref="D391">SUMPRODUCT(ISNUMBER(MATCH(mod_st_wnp,$B$379,0))*('Koszty operacyjne'!$K$114:$X$114=Moduły!D$77)*ISNUMBER(MATCH(st_wnp_kw,nie,0)),st_wnp)</f>
        <v>0</v>
      </c>
      <c r="E391" s="358" cm="1">
        <f t="array" ref="E391">SUMPRODUCT(ISNUMBER(MATCH(mod_st_wnp,$B$379,0))*('Koszty operacyjne'!$K$114:$X$114=Moduły!E$77)*ISNUMBER(MATCH(st_wnp_kw,nie,0)),st_wnp)</f>
        <v>0</v>
      </c>
      <c r="F391" s="358" cm="1">
        <f t="array" ref="F391">SUMPRODUCT(ISNUMBER(MATCH(mod_st_wnp,$B$379,0))*('Koszty operacyjne'!$K$114:$X$114=Moduły!F$77)*ISNUMBER(MATCH(st_wnp_kw,nie,0)),st_wnp)</f>
        <v>0</v>
      </c>
      <c r="G391" s="358" cm="1">
        <f t="array" ref="G391">SUMPRODUCT(ISNUMBER(MATCH(mod_st_wnp,$B$379,0))*('Koszty operacyjne'!$K$114:$X$114=Moduły!G$77)*ISNUMBER(MATCH(st_wnp_kw,nie,0)),st_wnp)</f>
        <v>0</v>
      </c>
      <c r="H391" s="358" cm="1">
        <f t="array" ref="H391">SUMPRODUCT(ISNUMBER(MATCH(mod_st_wnp,$B$379,0))*('Koszty operacyjne'!$K$114:$X$114=Moduły!H$77)*ISNUMBER(MATCH(st_wnp_kw,nie,0)),st_wnp)</f>
        <v>0</v>
      </c>
      <c r="I391" s="358" cm="1">
        <f t="array" ref="I391">SUMPRODUCT(ISNUMBER(MATCH(mod_st_wnp,$B$379,0))*('Koszty operacyjne'!$K$114:$X$114=Moduły!I$77)*ISNUMBER(MATCH(st_wnp_kw,nie,0)),st_wnp)</f>
        <v>0</v>
      </c>
      <c r="J391" s="358" cm="1">
        <f t="array" ref="J391">SUMPRODUCT(ISNUMBER(MATCH(mod_st_wnp,$B$379,0))*('Koszty operacyjne'!$K$114:$X$114=Moduły!J$77)*ISNUMBER(MATCH(st_wnp_kw,nie,0)),st_wnp)</f>
        <v>0</v>
      </c>
      <c r="K391" s="359" cm="1">
        <f t="array" ref="K391">SUMPRODUCT(ISNUMBER(MATCH(mod_st_wnp,$B$379,0))*('Koszty operacyjne'!$K$114:$X$114=Moduły!K$77)*ISNUMBER(MATCH(st_wnp_kw,nie,0)),st_wnp)</f>
        <v>0</v>
      </c>
      <c r="L391" s="359" cm="1">
        <f t="array" ref="L391">SUMPRODUCT(ISNUMBER(MATCH(mod_st_wnp,$B$379,0))*('Koszty operacyjne'!$K$114:$X$114=Moduły!L$77)*ISNUMBER(MATCH(st_wnp_kw,nie,0)),st_wnp)</f>
        <v>0</v>
      </c>
      <c r="M391" s="359" cm="1">
        <f t="array" ref="M391">SUMPRODUCT(ISNUMBER(MATCH(mod_st_wnp,$B$379,0))*('Koszty operacyjne'!$K$114:$X$114=Moduły!M$77)*ISNUMBER(MATCH(st_wnp_kw,nie,0)),st_wnp)</f>
        <v>0</v>
      </c>
      <c r="N391" s="359" cm="1">
        <f t="array" ref="N391">SUMPRODUCT(ISNUMBER(MATCH(mod_st_wnp,$B$379,0))*('Koszty operacyjne'!$K$114:$X$114=Moduły!N$77)*ISNUMBER(MATCH(st_wnp_kw,nie,0)),st_wnp)</f>
        <v>0</v>
      </c>
      <c r="O391" s="359" cm="1">
        <f t="array" ref="O391">SUMPRODUCT(ISNUMBER(MATCH(mod_st_wnp,$B$379,0))*('Koszty operacyjne'!$K$114:$X$114=Moduły!O$77)*ISNUMBER(MATCH(st_wnp_kw,nie,0)),st_wnp)</f>
        <v>0</v>
      </c>
      <c r="P391" s="359" cm="1">
        <f t="array" ref="P391">SUMPRODUCT(ISNUMBER(MATCH(mod_st_wnp,$B$379,0))*('Koszty operacyjne'!$K$114:$X$114=Moduły!P$77)*ISNUMBER(MATCH(st_wnp_kw,nie,0)),st_wnp)</f>
        <v>0</v>
      </c>
    </row>
    <row r="392" spans="2:16" ht="3.9" customHeight="1">
      <c r="B392" s="8"/>
      <c r="C392" s="361"/>
      <c r="D392" s="361"/>
      <c r="E392" s="361"/>
      <c r="F392" s="361"/>
      <c r="G392" s="361"/>
      <c r="H392" s="361"/>
      <c r="I392" s="361"/>
      <c r="J392" s="361"/>
      <c r="K392" s="362"/>
      <c r="L392" s="362"/>
      <c r="M392" s="362"/>
      <c r="N392" s="362"/>
      <c r="O392" s="362"/>
      <c r="P392" s="362"/>
    </row>
    <row r="393" spans="2:16" ht="12" customHeight="1">
      <c r="B393" s="353" t="s">
        <v>98</v>
      </c>
      <c r="C393" s="354">
        <f t="shared" ref="C393:P393" si="180">SUM(C394:C395)</f>
        <v>0</v>
      </c>
      <c r="D393" s="354">
        <f t="shared" si="180"/>
        <v>0</v>
      </c>
      <c r="E393" s="354">
        <f t="shared" si="180"/>
        <v>0</v>
      </c>
      <c r="F393" s="354">
        <f t="shared" si="180"/>
        <v>0</v>
      </c>
      <c r="G393" s="354">
        <f t="shared" si="180"/>
        <v>0</v>
      </c>
      <c r="H393" s="354">
        <f t="shared" si="180"/>
        <v>0</v>
      </c>
      <c r="I393" s="354">
        <f t="shared" si="180"/>
        <v>0</v>
      </c>
      <c r="J393" s="354">
        <f t="shared" si="180"/>
        <v>0</v>
      </c>
      <c r="K393" s="354">
        <f t="shared" si="180"/>
        <v>0</v>
      </c>
      <c r="L393" s="354">
        <f t="shared" si="180"/>
        <v>0</v>
      </c>
      <c r="M393" s="354">
        <f t="shared" si="180"/>
        <v>0</v>
      </c>
      <c r="N393" s="354">
        <f t="shared" si="180"/>
        <v>0</v>
      </c>
      <c r="O393" s="354">
        <f t="shared" si="180"/>
        <v>0</v>
      </c>
      <c r="P393" s="354">
        <f t="shared" si="180"/>
        <v>0</v>
      </c>
    </row>
    <row r="394" spans="2:16" ht="12" customHeight="1">
      <c r="B394" s="355" t="s">
        <v>95</v>
      </c>
      <c r="C394" s="356" cm="1">
        <f t="array" ref="C394">SUMPRODUCT(ISNUMBER(MATCH(mod_st_gry,$B$379,0))*('Koszty operacyjne'!$K$114:$X$114=Moduły!C$77)*ISNUMBER(MATCH(st_gry_kw,tak,0)),st_gry)</f>
        <v>0</v>
      </c>
      <c r="D394" s="356" cm="1">
        <f t="array" ref="D394">SUMPRODUCT(ISNUMBER(MATCH(mod_st_gry,$B$379,0))*('Koszty operacyjne'!$K$114:$X$114=Moduły!D$77)*ISNUMBER(MATCH(st_gry_kw,tak,0)),st_gry)</f>
        <v>0</v>
      </c>
      <c r="E394" s="356" cm="1">
        <f t="array" ref="E394">SUMPRODUCT(ISNUMBER(MATCH(mod_st_gry,$B$379,0))*('Koszty operacyjne'!$K$114:$X$114=Moduły!E$77)*ISNUMBER(MATCH(st_gry_kw,tak,0)),st_gry)</f>
        <v>0</v>
      </c>
      <c r="F394" s="356" cm="1">
        <f t="array" ref="F394">SUMPRODUCT(ISNUMBER(MATCH(mod_st_gry,$B$379,0))*('Koszty operacyjne'!$K$114:$X$114=Moduły!F$77)*ISNUMBER(MATCH(st_gry_kw,tak,0)),st_gry)</f>
        <v>0</v>
      </c>
      <c r="G394" s="356" cm="1">
        <f t="array" ref="G394">SUMPRODUCT(ISNUMBER(MATCH(mod_st_gry,$B$379,0))*('Koszty operacyjne'!$K$114:$X$114=Moduły!G$77)*ISNUMBER(MATCH(st_gry_kw,tak,0)),st_gry)</f>
        <v>0</v>
      </c>
      <c r="H394" s="356" cm="1">
        <f t="array" ref="H394">SUMPRODUCT(ISNUMBER(MATCH(mod_st_gry,$B$379,0))*('Koszty operacyjne'!$K$114:$X$114=Moduły!H$77)*ISNUMBER(MATCH(st_gry_kw,tak,0)),st_gry)</f>
        <v>0</v>
      </c>
      <c r="I394" s="356" cm="1">
        <f t="array" ref="I394">SUMPRODUCT(ISNUMBER(MATCH(mod_st_gry,$B$379,0))*('Koszty operacyjne'!$K$114:$X$114=Moduły!I$77)*ISNUMBER(MATCH(st_gry_kw,tak,0)),st_gry)</f>
        <v>0</v>
      </c>
      <c r="J394" s="356" cm="1">
        <f t="array" ref="J394">SUMPRODUCT(ISNUMBER(MATCH(mod_st_gry,$B$379,0))*('Koszty operacyjne'!$K$114:$X$114=Moduły!J$77)*ISNUMBER(MATCH(st_gry_kw,tak,0)),st_gry)</f>
        <v>0</v>
      </c>
      <c r="K394" s="356" cm="1">
        <f t="array" ref="K394">SUMPRODUCT(ISNUMBER(MATCH(mod_st_gry,$B$379,0))*('Koszty operacyjne'!$K$114:$X$114=Moduły!K$77)*ISNUMBER(MATCH(st_gry_kw,tak,0)),st_gry)</f>
        <v>0</v>
      </c>
      <c r="L394" s="356" cm="1">
        <f t="array" ref="L394">SUMPRODUCT(ISNUMBER(MATCH(mod_st_gry,$B$379,0))*('Koszty operacyjne'!$K$114:$X$114=Moduły!L$77)*ISNUMBER(MATCH(st_gry_kw,tak,0)),st_gry)</f>
        <v>0</v>
      </c>
      <c r="M394" s="356" cm="1">
        <f t="array" ref="M394">SUMPRODUCT(ISNUMBER(MATCH(mod_st_gry,$B$379,0))*('Koszty operacyjne'!$K$114:$X$114=Moduły!M$77)*ISNUMBER(MATCH(st_gry_kw,tak,0)),st_gry)</f>
        <v>0</v>
      </c>
      <c r="N394" s="356" cm="1">
        <f t="array" ref="N394">SUMPRODUCT(ISNUMBER(MATCH(mod_st_gry,$B$379,0))*('Koszty operacyjne'!$K$114:$X$114=Moduły!N$77)*ISNUMBER(MATCH(st_gry_kw,tak,0)),st_gry)</f>
        <v>0</v>
      </c>
      <c r="O394" s="356" cm="1">
        <f t="array" ref="O394">SUMPRODUCT(ISNUMBER(MATCH(mod_st_gry,$B$379,0))*('Koszty operacyjne'!$K$114:$X$114=Moduły!O$77)*ISNUMBER(MATCH(st_gry_kw,tak,0)),st_gry)</f>
        <v>0</v>
      </c>
      <c r="P394" s="356" cm="1">
        <f t="array" ref="P394">SUMPRODUCT(ISNUMBER(MATCH(mod_st_gry,$B$379,0))*('Koszty operacyjne'!$K$114:$X$114=Moduły!P$77)*ISNUMBER(MATCH(st_gry_kw,tak,0)),st_gry)</f>
        <v>0</v>
      </c>
    </row>
    <row r="395" spans="2:16" ht="12" customHeight="1">
      <c r="B395" s="357" t="s">
        <v>96</v>
      </c>
      <c r="C395" s="358" cm="1">
        <f t="array" ref="C395">SUMPRODUCT(ISNUMBER(MATCH(mod_st_gry,$B$379,0))*('Koszty operacyjne'!$K$114:$X$114=Moduły!C$77)*ISNUMBER(MATCH(st_gry_kw,nie,0)),st_gry)</f>
        <v>0</v>
      </c>
      <c r="D395" s="358" cm="1">
        <f t="array" ref="D395">SUMPRODUCT(ISNUMBER(MATCH(mod_st_gry,$B$379,0))*('Koszty operacyjne'!$K$114:$X$114=Moduły!D$77)*ISNUMBER(MATCH(st_gry_kw,nie,0)),st_gry)</f>
        <v>0</v>
      </c>
      <c r="E395" s="358" cm="1">
        <f t="array" ref="E395">SUMPRODUCT(ISNUMBER(MATCH(mod_st_gry,$B$379,0))*('Koszty operacyjne'!$K$114:$X$114=Moduły!E$77)*ISNUMBER(MATCH(st_gry_kw,nie,0)),st_gry)</f>
        <v>0</v>
      </c>
      <c r="F395" s="358" cm="1">
        <f t="array" ref="F395">SUMPRODUCT(ISNUMBER(MATCH(mod_st_gry,$B$379,0))*('Koszty operacyjne'!$K$114:$X$114=Moduły!F$77)*ISNUMBER(MATCH(st_gry_kw,nie,0)),st_gry)</f>
        <v>0</v>
      </c>
      <c r="G395" s="358" cm="1">
        <f t="array" ref="G395">SUMPRODUCT(ISNUMBER(MATCH(mod_st_gry,$B$379,0))*('Koszty operacyjne'!$K$114:$X$114=Moduły!G$77)*ISNUMBER(MATCH(st_gry_kw,nie,0)),st_gry)</f>
        <v>0</v>
      </c>
      <c r="H395" s="358" cm="1">
        <f t="array" ref="H395">SUMPRODUCT(ISNUMBER(MATCH(mod_st_gry,$B$379,0))*('Koszty operacyjne'!$K$114:$X$114=Moduły!H$77)*ISNUMBER(MATCH(st_gry_kw,nie,0)),st_gry)</f>
        <v>0</v>
      </c>
      <c r="I395" s="358" cm="1">
        <f t="array" ref="I395">SUMPRODUCT(ISNUMBER(MATCH(mod_st_gry,$B$379,0))*('Koszty operacyjne'!$K$114:$X$114=Moduły!I$77)*ISNUMBER(MATCH(st_gry_kw,nie,0)),st_gry)</f>
        <v>0</v>
      </c>
      <c r="J395" s="358" cm="1">
        <f t="array" ref="J395">SUMPRODUCT(ISNUMBER(MATCH(mod_st_gry,$B$379,0))*('Koszty operacyjne'!$K$114:$X$114=Moduły!J$77)*ISNUMBER(MATCH(st_gry_kw,nie,0)),st_gry)</f>
        <v>0</v>
      </c>
      <c r="K395" s="359" cm="1">
        <f t="array" ref="K395">SUMPRODUCT(ISNUMBER(MATCH(mod_st_gry,$B$379,0))*('Koszty operacyjne'!$K$114:$X$114=Moduły!K$77)*ISNUMBER(MATCH(st_gry_kw,nie,0)),st_gry)</f>
        <v>0</v>
      </c>
      <c r="L395" s="359" cm="1">
        <f t="array" ref="L395">SUMPRODUCT(ISNUMBER(MATCH(mod_st_gry,$B$379,0))*('Koszty operacyjne'!$K$114:$X$114=Moduły!L$77)*ISNUMBER(MATCH(st_gry_kw,nie,0)),st_gry)</f>
        <v>0</v>
      </c>
      <c r="M395" s="359" cm="1">
        <f t="array" ref="M395">SUMPRODUCT(ISNUMBER(MATCH(mod_st_gry,$B$379,0))*('Koszty operacyjne'!$K$114:$X$114=Moduły!M$77)*ISNUMBER(MATCH(st_gry_kw,nie,0)),st_gry)</f>
        <v>0</v>
      </c>
      <c r="N395" s="359" cm="1">
        <f t="array" ref="N395">SUMPRODUCT(ISNUMBER(MATCH(mod_st_gry,$B$379,0))*('Koszty operacyjne'!$K$114:$X$114=Moduły!N$77)*ISNUMBER(MATCH(st_gry_kw,nie,0)),st_gry)</f>
        <v>0</v>
      </c>
      <c r="O395" s="359" cm="1">
        <f t="array" ref="O395">SUMPRODUCT(ISNUMBER(MATCH(mod_st_gry,$B$379,0))*('Koszty operacyjne'!$K$114:$X$114=Moduły!O$77)*ISNUMBER(MATCH(st_gry_kw,nie,0)),st_gry)</f>
        <v>0</v>
      </c>
      <c r="P395" s="359" cm="1">
        <f t="array" ref="P395">SUMPRODUCT(ISNUMBER(MATCH(mod_st_gry,$B$379,0))*('Koszty operacyjne'!$K$114:$X$114=Moduły!P$77)*ISNUMBER(MATCH(st_gry_kw,nie,0)),st_gry)</f>
        <v>0</v>
      </c>
    </row>
    <row r="396" spans="2:16" ht="3.9" customHeight="1">
      <c r="B396" s="8"/>
      <c r="C396" s="361"/>
      <c r="D396" s="361"/>
      <c r="E396" s="361"/>
      <c r="F396" s="361"/>
      <c r="G396" s="361"/>
      <c r="H396" s="361"/>
      <c r="I396" s="361"/>
      <c r="J396" s="361"/>
      <c r="K396" s="362"/>
      <c r="L396" s="362"/>
      <c r="M396" s="362"/>
      <c r="N396" s="362"/>
      <c r="O396" s="362"/>
      <c r="P396" s="362"/>
    </row>
    <row r="397" spans="2:16" ht="12" customHeight="1">
      <c r="B397" s="353" t="s">
        <v>99</v>
      </c>
      <c r="C397" s="354">
        <f t="shared" ref="C397:P397" si="181">SUM(C398:C399)</f>
        <v>0</v>
      </c>
      <c r="D397" s="354">
        <f t="shared" si="181"/>
        <v>0</v>
      </c>
      <c r="E397" s="354">
        <f t="shared" si="181"/>
        <v>0</v>
      </c>
      <c r="F397" s="354">
        <f t="shared" si="181"/>
        <v>0</v>
      </c>
      <c r="G397" s="354">
        <f t="shared" si="181"/>
        <v>0</v>
      </c>
      <c r="H397" s="354">
        <f t="shared" si="181"/>
        <v>0</v>
      </c>
      <c r="I397" s="354">
        <f t="shared" si="181"/>
        <v>0</v>
      </c>
      <c r="J397" s="354">
        <f t="shared" si="181"/>
        <v>0</v>
      </c>
      <c r="K397" s="354">
        <f t="shared" si="181"/>
        <v>0</v>
      </c>
      <c r="L397" s="354">
        <f t="shared" si="181"/>
        <v>0</v>
      </c>
      <c r="M397" s="354">
        <f t="shared" si="181"/>
        <v>0</v>
      </c>
      <c r="N397" s="354">
        <f t="shared" si="181"/>
        <v>0</v>
      </c>
      <c r="O397" s="354">
        <f t="shared" si="181"/>
        <v>0</v>
      </c>
      <c r="P397" s="354">
        <f t="shared" si="181"/>
        <v>0</v>
      </c>
    </row>
    <row r="398" spans="2:16" ht="12" customHeight="1">
      <c r="B398" s="355" t="s">
        <v>95</v>
      </c>
      <c r="C398" s="356" cm="1">
        <f t="array" ref="C398">SUMPRODUCT(ISNUMBER(MATCH(mod_st_bib,$B$379,0))*('Koszty operacyjne'!$K$114:$X$114=Moduły!C$77)*ISNUMBER(MATCH(st_bib_kw,tak,0)),st_bib)+SUMPRODUCT(ISNUMBER(MATCH(mod_st_bib_wbudowie,$B$379,0))*('Koszty operacyjne'!$K$114:$X$114=Moduły!C$77)*ISNUMBER(MATCH(st_bib_wbudowie_kw,tak,0)),st_bib_wbudowie)</f>
        <v>0</v>
      </c>
      <c r="D398" s="356" cm="1">
        <f t="array" ref="D398">SUMPRODUCT(ISNUMBER(MATCH(mod_st_bib,$B$379,0))*('Koszty operacyjne'!$K$114:$X$114=Moduły!D$77)*ISNUMBER(MATCH(st_bib_kw,tak,0)),st_bib)+SUMPRODUCT(ISNUMBER(MATCH(mod_st_bib_wbudowie,$B$379,0))*('Koszty operacyjne'!$K$114:$X$114=Moduły!D$77)*ISNUMBER(MATCH(st_bib_wbudowie_kw,tak,0)),st_bib_wbudowie)</f>
        <v>0</v>
      </c>
      <c r="E398" s="356" cm="1">
        <f t="array" ref="E398">SUMPRODUCT(ISNUMBER(MATCH(mod_st_bib,$B$379,0))*('Koszty operacyjne'!$K$114:$X$114=Moduły!E$77)*ISNUMBER(MATCH(st_bib_kw,tak,0)),st_bib)+SUMPRODUCT(ISNUMBER(MATCH(mod_st_bib_wbudowie,$B$379,0))*('Koszty operacyjne'!$K$114:$X$114=Moduły!E$77)*ISNUMBER(MATCH(st_bib_wbudowie_kw,tak,0)),st_bib_wbudowie)</f>
        <v>0</v>
      </c>
      <c r="F398" s="356" cm="1">
        <f t="array" ref="F398">SUMPRODUCT(ISNUMBER(MATCH(mod_st_bib,$B$379,0))*('Koszty operacyjne'!$K$114:$X$114=Moduły!F$77)*ISNUMBER(MATCH(st_bib_kw,tak,0)),st_bib)+SUMPRODUCT(ISNUMBER(MATCH(mod_st_bib_wbudowie,$B$379,0))*('Koszty operacyjne'!$K$114:$X$114=Moduły!F$77)*ISNUMBER(MATCH(st_bib_wbudowie_kw,tak,0)),st_bib_wbudowie)</f>
        <v>0</v>
      </c>
      <c r="G398" s="356" cm="1">
        <f t="array" ref="G398">SUMPRODUCT(ISNUMBER(MATCH(mod_st_bib,$B$379,0))*('Koszty operacyjne'!$K$114:$X$114=Moduły!G$77)*ISNUMBER(MATCH(st_bib_kw,tak,0)),st_bib)+SUMPRODUCT(ISNUMBER(MATCH(mod_st_bib_wbudowie,$B$379,0))*('Koszty operacyjne'!$K$114:$X$114=Moduły!G$77)*ISNUMBER(MATCH(st_bib_wbudowie_kw,tak,0)),st_bib_wbudowie)</f>
        <v>0</v>
      </c>
      <c r="H398" s="356" cm="1">
        <f t="array" ref="H398">SUMPRODUCT(ISNUMBER(MATCH(mod_st_bib,$B$379,0))*('Koszty operacyjne'!$K$114:$X$114=Moduły!H$77)*ISNUMBER(MATCH(st_bib_kw,tak,0)),st_bib)+SUMPRODUCT(ISNUMBER(MATCH(mod_st_bib_wbudowie,$B$379,0))*('Koszty operacyjne'!$K$114:$X$114=Moduły!H$77)*ISNUMBER(MATCH(st_bib_wbudowie_kw,tak,0)),st_bib_wbudowie)</f>
        <v>0</v>
      </c>
      <c r="I398" s="356" cm="1">
        <f t="array" ref="I398">SUMPRODUCT(ISNUMBER(MATCH(mod_st_bib,$B$379,0))*('Koszty operacyjne'!$K$114:$X$114=Moduły!I$77)*ISNUMBER(MATCH(st_bib_kw,tak,0)),st_bib)+SUMPRODUCT(ISNUMBER(MATCH(mod_st_bib_wbudowie,$B$379,0))*('Koszty operacyjne'!$K$114:$X$114=Moduły!I$77)*ISNUMBER(MATCH(st_bib_wbudowie_kw,tak,0)),st_bib_wbudowie)</f>
        <v>0</v>
      </c>
      <c r="J398" s="356" cm="1">
        <f t="array" ref="J398">SUMPRODUCT(ISNUMBER(MATCH(mod_st_bib,$B$379,0))*('Koszty operacyjne'!$K$114:$X$114=Moduły!J$77)*ISNUMBER(MATCH(st_bib_kw,tak,0)),st_bib)+SUMPRODUCT(ISNUMBER(MATCH(mod_st_bib_wbudowie,$B$379,0))*('Koszty operacyjne'!$K$114:$X$114=Moduły!J$77)*ISNUMBER(MATCH(st_bib_wbudowie_kw,tak,0)),st_bib_wbudowie)</f>
        <v>0</v>
      </c>
      <c r="K398" s="356" cm="1">
        <f t="array" ref="K398">SUMPRODUCT(ISNUMBER(MATCH(mod_st_bib,$B$379,0))*('Koszty operacyjne'!$K$114:$X$114=Moduły!K$77)*ISNUMBER(MATCH(st_bib_kw,tak,0)),st_bib)+SUMPRODUCT(ISNUMBER(MATCH(mod_st_bib_wbudowie,$B$379,0))*('Koszty operacyjne'!$K$114:$X$114=Moduły!K$77)*ISNUMBER(MATCH(st_bib_wbudowie_kw,tak,0)),st_bib_wbudowie)</f>
        <v>0</v>
      </c>
      <c r="L398" s="356" cm="1">
        <f t="array" ref="L398">SUMPRODUCT(ISNUMBER(MATCH(mod_st_bib,$B$379,0))*('Koszty operacyjne'!$K$114:$X$114=Moduły!L$77)*ISNUMBER(MATCH(st_bib_kw,tak,0)),st_bib)+SUMPRODUCT(ISNUMBER(MATCH(mod_st_bib_wbudowie,$B$379,0))*('Koszty operacyjne'!$K$114:$X$114=Moduły!L$77)*ISNUMBER(MATCH(st_bib_wbudowie_kw,tak,0)),st_bib_wbudowie)</f>
        <v>0</v>
      </c>
      <c r="M398" s="356" cm="1">
        <f t="array" ref="M398">SUMPRODUCT(ISNUMBER(MATCH(mod_st_bib,$B$379,0))*('Koszty operacyjne'!$K$114:$X$114=Moduły!M$77)*ISNUMBER(MATCH(st_bib_kw,tak,0)),st_bib)+SUMPRODUCT(ISNUMBER(MATCH(mod_st_bib_wbudowie,$B$379,0))*('Koszty operacyjne'!$K$114:$X$114=Moduły!M$77)*ISNUMBER(MATCH(st_bib_wbudowie_kw,tak,0)),st_bib_wbudowie)</f>
        <v>0</v>
      </c>
      <c r="N398" s="356" cm="1">
        <f t="array" ref="N398">SUMPRODUCT(ISNUMBER(MATCH(mod_st_bib,$B$379,0))*('Koszty operacyjne'!$K$114:$X$114=Moduły!N$77)*ISNUMBER(MATCH(st_bib_kw,tak,0)),st_bib)+SUMPRODUCT(ISNUMBER(MATCH(mod_st_bib_wbudowie,$B$379,0))*('Koszty operacyjne'!$K$114:$X$114=Moduły!N$77)*ISNUMBER(MATCH(st_bib_wbudowie_kw,tak,0)),st_bib_wbudowie)</f>
        <v>0</v>
      </c>
      <c r="O398" s="356" cm="1">
        <f t="array" ref="O398">SUMPRODUCT(ISNUMBER(MATCH(mod_st_bib,$B$379,0))*('Koszty operacyjne'!$K$114:$X$114=Moduły!O$77)*ISNUMBER(MATCH(st_bib_kw,tak,0)),st_bib)+SUMPRODUCT(ISNUMBER(MATCH(mod_st_bib_wbudowie,$B$379,0))*('Koszty operacyjne'!$K$114:$X$114=Moduły!O$77)*ISNUMBER(MATCH(st_bib_wbudowie_kw,tak,0)),st_bib_wbudowie)</f>
        <v>0</v>
      </c>
      <c r="P398" s="356" cm="1">
        <f t="array" ref="P398">SUMPRODUCT(ISNUMBER(MATCH(mod_st_bib,$B$379,0))*('Koszty operacyjne'!$K$114:$X$114=Moduły!P$77)*ISNUMBER(MATCH(st_bib_kw,tak,0)),st_bib)+SUMPRODUCT(ISNUMBER(MATCH(mod_st_bib_wbudowie,$B$379,0))*('Koszty operacyjne'!$K$114:$X$114=Moduły!P$77)*ISNUMBER(MATCH(st_bib_wbudowie_kw,tak,0)),st_bib_wbudowie)</f>
        <v>0</v>
      </c>
    </row>
    <row r="399" spans="2:16" ht="12" customHeight="1">
      <c r="B399" s="357" t="s">
        <v>96</v>
      </c>
      <c r="C399" s="358" cm="1">
        <f t="array" ref="C399">SUMPRODUCT(ISNUMBER(MATCH(mod_st_bib,$B$379,0))*('Koszty operacyjne'!$K$114:$X$114=Moduły!C$77)*ISNUMBER(MATCH(st_bib_kw,nie,0)),st_bib)+SUMPRODUCT(ISNUMBER(MATCH(mod_st_bib_wbudowie,$B$379,0))*('Koszty operacyjne'!$K$114:$X$114=Moduły!C$77)*ISNUMBER(MATCH(st_bib_wbudowie_kw,nie,0)),st_bib_wbudowie)</f>
        <v>0</v>
      </c>
      <c r="D399" s="358" cm="1">
        <f t="array" ref="D399">SUMPRODUCT(ISNUMBER(MATCH(mod_st_bib,$B$379,0))*('Koszty operacyjne'!$K$114:$X$114=Moduły!D$77)*ISNUMBER(MATCH(st_bib_kw,nie,0)),st_bib)+SUMPRODUCT(ISNUMBER(MATCH(mod_st_bib_wbudowie,$B$379,0))*('Koszty operacyjne'!$K$114:$X$114=Moduły!D$77)*ISNUMBER(MATCH(st_bib_wbudowie_kw,nie,0)),st_bib_wbudowie)</f>
        <v>0</v>
      </c>
      <c r="E399" s="358" cm="1">
        <f t="array" ref="E399">SUMPRODUCT(ISNUMBER(MATCH(mod_st_bib,$B$379,0))*('Koszty operacyjne'!$K$114:$X$114=Moduły!E$77)*ISNUMBER(MATCH(st_bib_kw,nie,0)),st_bib)+SUMPRODUCT(ISNUMBER(MATCH(mod_st_bib_wbudowie,$B$379,0))*('Koszty operacyjne'!$K$114:$X$114=Moduły!E$77)*ISNUMBER(MATCH(st_bib_wbudowie_kw,nie,0)),st_bib_wbudowie)</f>
        <v>0</v>
      </c>
      <c r="F399" s="358" cm="1">
        <f t="array" ref="F399">SUMPRODUCT(ISNUMBER(MATCH(mod_st_bib,$B$379,0))*('Koszty operacyjne'!$K$114:$X$114=Moduły!F$77)*ISNUMBER(MATCH(st_bib_kw,nie,0)),st_bib)+SUMPRODUCT(ISNUMBER(MATCH(mod_st_bib_wbudowie,$B$379,0))*('Koszty operacyjne'!$K$114:$X$114=Moduły!F$77)*ISNUMBER(MATCH(st_bib_wbudowie_kw,nie,0)),st_bib_wbudowie)</f>
        <v>0</v>
      </c>
      <c r="G399" s="358" cm="1">
        <f t="array" ref="G399">SUMPRODUCT(ISNUMBER(MATCH(mod_st_bib,$B$379,0))*('Koszty operacyjne'!$K$114:$X$114=Moduły!G$77)*ISNUMBER(MATCH(st_bib_kw,nie,0)),st_bib)+SUMPRODUCT(ISNUMBER(MATCH(mod_st_bib_wbudowie,$B$379,0))*('Koszty operacyjne'!$K$114:$X$114=Moduły!G$77)*ISNUMBER(MATCH(st_bib_wbudowie_kw,nie,0)),st_bib_wbudowie)</f>
        <v>0</v>
      </c>
      <c r="H399" s="358" cm="1">
        <f t="array" ref="H399">SUMPRODUCT(ISNUMBER(MATCH(mod_st_bib,$B$379,0))*('Koszty operacyjne'!$K$114:$X$114=Moduły!H$77)*ISNUMBER(MATCH(st_bib_kw,nie,0)),st_bib)+SUMPRODUCT(ISNUMBER(MATCH(mod_st_bib_wbudowie,$B$379,0))*('Koszty operacyjne'!$K$114:$X$114=Moduły!H$77)*ISNUMBER(MATCH(st_bib_wbudowie_kw,nie,0)),st_bib_wbudowie)</f>
        <v>0</v>
      </c>
      <c r="I399" s="358" cm="1">
        <f t="array" ref="I399">SUMPRODUCT(ISNUMBER(MATCH(mod_st_bib,$B$379,0))*('Koszty operacyjne'!$K$114:$X$114=Moduły!I$77)*ISNUMBER(MATCH(st_bib_kw,nie,0)),st_bib)+SUMPRODUCT(ISNUMBER(MATCH(mod_st_bib_wbudowie,$B$379,0))*('Koszty operacyjne'!$K$114:$X$114=Moduły!I$77)*ISNUMBER(MATCH(st_bib_wbudowie_kw,nie,0)),st_bib_wbudowie)</f>
        <v>0</v>
      </c>
      <c r="J399" s="358" cm="1">
        <f t="array" ref="J399">SUMPRODUCT(ISNUMBER(MATCH(mod_st_bib,$B$379,0))*('Koszty operacyjne'!$K$114:$X$114=Moduły!J$77)*ISNUMBER(MATCH(st_bib_kw,nie,0)),st_bib)+SUMPRODUCT(ISNUMBER(MATCH(mod_st_bib_wbudowie,$B$379,0))*('Koszty operacyjne'!$K$114:$X$114=Moduły!J$77)*ISNUMBER(MATCH(st_bib_wbudowie_kw,nie,0)),st_bib_wbudowie)</f>
        <v>0</v>
      </c>
      <c r="K399" s="358" cm="1">
        <f t="array" ref="K399">SUMPRODUCT(ISNUMBER(MATCH(mod_st_bib,$B$379,0))*('Koszty operacyjne'!$K$114:$X$114=Moduły!K$77)*ISNUMBER(MATCH(st_bib_kw,nie,0)),st_bib)+SUMPRODUCT(ISNUMBER(MATCH(mod_st_bib_wbudowie,$B$379,0))*('Koszty operacyjne'!$K$114:$X$114=Moduły!K$77)*ISNUMBER(MATCH(st_bib_wbudowie_kw,nie,0)),st_bib_wbudowie)</f>
        <v>0</v>
      </c>
      <c r="L399" s="358" cm="1">
        <f t="array" ref="L399">SUMPRODUCT(ISNUMBER(MATCH(mod_st_bib,$B$379,0))*('Koszty operacyjne'!$K$114:$X$114=Moduły!L$77)*ISNUMBER(MATCH(st_bib_kw,nie,0)),st_bib)+SUMPRODUCT(ISNUMBER(MATCH(mod_st_bib_wbudowie,$B$379,0))*('Koszty operacyjne'!$K$114:$X$114=Moduły!L$77)*ISNUMBER(MATCH(st_bib_wbudowie_kw,nie,0)),st_bib_wbudowie)</f>
        <v>0</v>
      </c>
      <c r="M399" s="358" cm="1">
        <f t="array" ref="M399">SUMPRODUCT(ISNUMBER(MATCH(mod_st_bib,$B$379,0))*('Koszty operacyjne'!$K$114:$X$114=Moduły!M$77)*ISNUMBER(MATCH(st_bib_kw,nie,0)),st_bib)+SUMPRODUCT(ISNUMBER(MATCH(mod_st_bib_wbudowie,$B$379,0))*('Koszty operacyjne'!$K$114:$X$114=Moduły!M$77)*ISNUMBER(MATCH(st_bib_wbudowie_kw,nie,0)),st_bib_wbudowie)</f>
        <v>0</v>
      </c>
      <c r="N399" s="358" cm="1">
        <f t="array" ref="N399">SUMPRODUCT(ISNUMBER(MATCH(mod_st_bib,$B$379,0))*('Koszty operacyjne'!$K$114:$X$114=Moduły!N$77)*ISNUMBER(MATCH(st_bib_kw,nie,0)),st_bib)+SUMPRODUCT(ISNUMBER(MATCH(mod_st_bib_wbudowie,$B$379,0))*('Koszty operacyjne'!$K$114:$X$114=Moduły!N$77)*ISNUMBER(MATCH(st_bib_wbudowie_kw,nie,0)),st_bib_wbudowie)</f>
        <v>0</v>
      </c>
      <c r="O399" s="358" cm="1">
        <f t="array" ref="O399">SUMPRODUCT(ISNUMBER(MATCH(mod_st_bib,$B$379,0))*('Koszty operacyjne'!$K$114:$X$114=Moduły!O$77)*ISNUMBER(MATCH(st_bib_kw,nie,0)),st_bib)+SUMPRODUCT(ISNUMBER(MATCH(mod_st_bib_wbudowie,$B$379,0))*('Koszty operacyjne'!$K$114:$X$114=Moduły!O$77)*ISNUMBER(MATCH(st_bib_wbudowie_kw,nie,0)),st_bib_wbudowie)</f>
        <v>0</v>
      </c>
      <c r="P399" s="358" cm="1">
        <f t="array" ref="P399">SUMPRODUCT(ISNUMBER(MATCH(mod_st_bib,$B$379,0))*('Koszty operacyjne'!$K$114:$X$114=Moduły!P$77)*ISNUMBER(MATCH(st_bib_kw,nie,0)),st_bib)+SUMPRODUCT(ISNUMBER(MATCH(mod_st_bib_wbudowie,$B$379,0))*('Koszty operacyjne'!$K$114:$X$114=Moduły!P$77)*ISNUMBER(MATCH(st_bib_wbudowie_kw,nie,0)),st_bib_wbudowie)</f>
        <v>0</v>
      </c>
    </row>
    <row r="400" spans="2:16" ht="3.9" customHeight="1">
      <c r="B400" s="8"/>
      <c r="C400" s="361"/>
      <c r="D400" s="361"/>
      <c r="E400" s="361"/>
      <c r="F400" s="361"/>
      <c r="G400" s="361"/>
      <c r="H400" s="361"/>
      <c r="I400" s="361"/>
      <c r="J400" s="361"/>
      <c r="K400" s="362"/>
      <c r="L400" s="362"/>
      <c r="M400" s="362"/>
      <c r="N400" s="362"/>
      <c r="O400" s="362"/>
      <c r="P400" s="362"/>
    </row>
    <row r="401" spans="2:16" ht="12" customHeight="1">
      <c r="B401" s="353" t="s">
        <v>100</v>
      </c>
      <c r="C401" s="354">
        <f t="shared" ref="C401:P401" si="182">SUM(C402:C403)</f>
        <v>0</v>
      </c>
      <c r="D401" s="354">
        <f t="shared" si="182"/>
        <v>0</v>
      </c>
      <c r="E401" s="354">
        <f t="shared" si="182"/>
        <v>0</v>
      </c>
      <c r="F401" s="354">
        <f t="shared" si="182"/>
        <v>0</v>
      </c>
      <c r="G401" s="354">
        <f t="shared" si="182"/>
        <v>0</v>
      </c>
      <c r="H401" s="354">
        <f t="shared" si="182"/>
        <v>0</v>
      </c>
      <c r="I401" s="354">
        <f t="shared" si="182"/>
        <v>0</v>
      </c>
      <c r="J401" s="354">
        <f t="shared" si="182"/>
        <v>0</v>
      </c>
      <c r="K401" s="354">
        <f t="shared" si="182"/>
        <v>0</v>
      </c>
      <c r="L401" s="354">
        <f t="shared" si="182"/>
        <v>0</v>
      </c>
      <c r="M401" s="354">
        <f t="shared" si="182"/>
        <v>0</v>
      </c>
      <c r="N401" s="354">
        <f t="shared" si="182"/>
        <v>0</v>
      </c>
      <c r="O401" s="354">
        <f t="shared" si="182"/>
        <v>0</v>
      </c>
      <c r="P401" s="354">
        <f t="shared" si="182"/>
        <v>0</v>
      </c>
    </row>
    <row r="402" spans="2:16" ht="12" customHeight="1">
      <c r="B402" s="355" t="s">
        <v>95</v>
      </c>
      <c r="C402" s="356" cm="1">
        <f t="array" ref="C402">SUMPRODUCT(ISNUMBER(MATCH(mod_st_utm,$B$379,0))*('Koszty operacyjne'!$K$114:$X$114=Moduły!C$77)*ISNUMBER(MATCH(st_utm_kw,tak,0)),st_utm)+SUMPRODUCT(ISNUMBER(MATCH(mod_st_utm_wbudowie,$B$379,0))*('Koszty operacyjne'!$K$114:$X$114=Moduły!C$77)*ISNUMBER(MATCH(st_utm_kw_wbudowie,tak,0)),st_utm_wbudowie)</f>
        <v>0</v>
      </c>
      <c r="D402" s="356" cm="1">
        <f t="array" ref="D402">SUMPRODUCT(ISNUMBER(MATCH(mod_st_utm,$B$379,0))*('Koszty operacyjne'!$K$114:$X$114=Moduły!D$77)*ISNUMBER(MATCH(st_utm_kw,tak,0)),st_utm)+SUMPRODUCT(ISNUMBER(MATCH(mod_st_utm_wbudowie,$B$379,0))*('Koszty operacyjne'!$K$114:$X$114=Moduły!D$77)*ISNUMBER(MATCH(st_utm_kw_wbudowie,tak,0)),st_utm_wbudowie)</f>
        <v>0</v>
      </c>
      <c r="E402" s="356" cm="1">
        <f t="array" ref="E402">SUMPRODUCT(ISNUMBER(MATCH(mod_st_utm,$B$379,0))*('Koszty operacyjne'!$K$114:$X$114=Moduły!E$77)*ISNUMBER(MATCH(st_utm_kw,tak,0)),st_utm)+SUMPRODUCT(ISNUMBER(MATCH(mod_st_utm_wbudowie,$B$379,0))*('Koszty operacyjne'!$K$114:$X$114=Moduły!E$77)*ISNUMBER(MATCH(st_utm_kw_wbudowie,tak,0)),st_utm_wbudowie)</f>
        <v>0</v>
      </c>
      <c r="F402" s="356" cm="1">
        <f t="array" ref="F402">SUMPRODUCT(ISNUMBER(MATCH(mod_st_utm,$B$379,0))*('Koszty operacyjne'!$K$114:$X$114=Moduły!F$77)*ISNUMBER(MATCH(st_utm_kw,tak,0)),st_utm)+SUMPRODUCT(ISNUMBER(MATCH(mod_st_utm_wbudowie,$B$379,0))*('Koszty operacyjne'!$K$114:$X$114=Moduły!F$77)*ISNUMBER(MATCH(st_utm_kw_wbudowie,tak,0)),st_utm_wbudowie)</f>
        <v>0</v>
      </c>
      <c r="G402" s="356" cm="1">
        <f t="array" ref="G402">SUMPRODUCT(ISNUMBER(MATCH(mod_st_utm,$B$379,0))*('Koszty operacyjne'!$K$114:$X$114=Moduły!G$77)*ISNUMBER(MATCH(st_utm_kw,tak,0)),st_utm)+SUMPRODUCT(ISNUMBER(MATCH(mod_st_utm_wbudowie,$B$379,0))*('Koszty operacyjne'!$K$114:$X$114=Moduły!G$77)*ISNUMBER(MATCH(st_utm_kw_wbudowie,tak,0)),st_utm_wbudowie)</f>
        <v>0</v>
      </c>
      <c r="H402" s="356" cm="1">
        <f t="array" ref="H402">SUMPRODUCT(ISNUMBER(MATCH(mod_st_utm,$B$379,0))*('Koszty operacyjne'!$K$114:$X$114=Moduły!H$77)*ISNUMBER(MATCH(st_utm_kw,tak,0)),st_utm)+SUMPRODUCT(ISNUMBER(MATCH(mod_st_utm_wbudowie,$B$379,0))*('Koszty operacyjne'!$K$114:$X$114=Moduły!H$77)*ISNUMBER(MATCH(st_utm_kw_wbudowie,tak,0)),st_utm_wbudowie)</f>
        <v>0</v>
      </c>
      <c r="I402" s="356" cm="1">
        <f t="array" ref="I402">SUMPRODUCT(ISNUMBER(MATCH(mod_st_utm,$B$379,0))*('Koszty operacyjne'!$K$114:$X$114=Moduły!I$77)*ISNUMBER(MATCH(st_utm_kw,tak,0)),st_utm)+SUMPRODUCT(ISNUMBER(MATCH(mod_st_utm_wbudowie,$B$379,0))*('Koszty operacyjne'!$K$114:$X$114=Moduły!I$77)*ISNUMBER(MATCH(st_utm_kw_wbudowie,tak,0)),st_utm_wbudowie)</f>
        <v>0</v>
      </c>
      <c r="J402" s="356" cm="1">
        <f t="array" ref="J402">SUMPRODUCT(ISNUMBER(MATCH(mod_st_utm,$B$379,0))*('Koszty operacyjne'!$K$114:$X$114=Moduły!J$77)*ISNUMBER(MATCH(st_utm_kw,tak,0)),st_utm)+SUMPRODUCT(ISNUMBER(MATCH(mod_st_utm_wbudowie,$B$379,0))*('Koszty operacyjne'!$K$114:$X$114=Moduły!J$77)*ISNUMBER(MATCH(st_utm_kw_wbudowie,tak,0)),st_utm_wbudowie)</f>
        <v>0</v>
      </c>
      <c r="K402" s="356" cm="1">
        <f t="array" ref="K402">SUMPRODUCT(ISNUMBER(MATCH(mod_st_utm,$B$379,0))*('Koszty operacyjne'!$K$114:$X$114=Moduły!K$77)*ISNUMBER(MATCH(st_utm_kw,tak,0)),st_utm)+SUMPRODUCT(ISNUMBER(MATCH(mod_st_utm_wbudowie,$B$379,0))*('Koszty operacyjne'!$K$114:$X$114=Moduły!K$77)*ISNUMBER(MATCH(st_utm_kw_wbudowie,tak,0)),st_utm_wbudowie)</f>
        <v>0</v>
      </c>
      <c r="L402" s="356" cm="1">
        <f t="array" ref="L402">SUMPRODUCT(ISNUMBER(MATCH(mod_st_utm,$B$379,0))*('Koszty operacyjne'!$K$114:$X$114=Moduły!L$77)*ISNUMBER(MATCH(st_utm_kw,tak,0)),st_utm)+SUMPRODUCT(ISNUMBER(MATCH(mod_st_utm_wbudowie,$B$379,0))*('Koszty operacyjne'!$K$114:$X$114=Moduły!L$77)*ISNUMBER(MATCH(st_utm_kw_wbudowie,tak,0)),st_utm_wbudowie)</f>
        <v>0</v>
      </c>
      <c r="M402" s="356" cm="1">
        <f t="array" ref="M402">SUMPRODUCT(ISNUMBER(MATCH(mod_st_utm,$B$379,0))*('Koszty operacyjne'!$K$114:$X$114=Moduły!M$77)*ISNUMBER(MATCH(st_utm_kw,tak,0)),st_utm)+SUMPRODUCT(ISNUMBER(MATCH(mod_st_utm_wbudowie,$B$379,0))*('Koszty operacyjne'!$K$114:$X$114=Moduły!M$77)*ISNUMBER(MATCH(st_utm_kw_wbudowie,tak,0)),st_utm_wbudowie)</f>
        <v>0</v>
      </c>
      <c r="N402" s="356" cm="1">
        <f t="array" ref="N402">SUMPRODUCT(ISNUMBER(MATCH(mod_st_utm,$B$379,0))*('Koszty operacyjne'!$K$114:$X$114=Moduły!N$77)*ISNUMBER(MATCH(st_utm_kw,tak,0)),st_utm)+SUMPRODUCT(ISNUMBER(MATCH(mod_st_utm_wbudowie,$B$379,0))*('Koszty operacyjne'!$K$114:$X$114=Moduły!N$77)*ISNUMBER(MATCH(st_utm_kw_wbudowie,tak,0)),st_utm_wbudowie)</f>
        <v>0</v>
      </c>
      <c r="O402" s="356" cm="1">
        <f t="array" ref="O402">SUMPRODUCT(ISNUMBER(MATCH(mod_st_utm,$B$379,0))*('Koszty operacyjne'!$K$114:$X$114=Moduły!O$77)*ISNUMBER(MATCH(st_utm_kw,tak,0)),st_utm)+SUMPRODUCT(ISNUMBER(MATCH(mod_st_utm_wbudowie,$B$379,0))*('Koszty operacyjne'!$K$114:$X$114=Moduły!O$77)*ISNUMBER(MATCH(st_utm_kw_wbudowie,tak,0)),st_utm_wbudowie)</f>
        <v>0</v>
      </c>
      <c r="P402" s="356" cm="1">
        <f t="array" ref="P402">SUMPRODUCT(ISNUMBER(MATCH(mod_st_utm,$B$379,0))*('Koszty operacyjne'!$K$114:$X$114=Moduły!P$77)*ISNUMBER(MATCH(st_utm_kw,tak,0)),st_utm)+SUMPRODUCT(ISNUMBER(MATCH(mod_st_utm_wbudowie,$B$379,0))*('Koszty operacyjne'!$K$114:$X$114=Moduły!P$77)*ISNUMBER(MATCH(st_utm_kw_wbudowie,tak,0)),st_utm_wbudowie)</f>
        <v>0</v>
      </c>
    </row>
    <row r="403" spans="2:16" ht="12" customHeight="1">
      <c r="B403" s="357" t="s">
        <v>96</v>
      </c>
      <c r="C403" s="358" cm="1">
        <f t="array" ref="C403">SUMPRODUCT(ISNUMBER(MATCH(mod_st_utm,$B$379,0))*('Koszty operacyjne'!$K$114:$X$114=Moduły!C$77)*ISNUMBER(MATCH(st_utm_kw,nie,0)),st_utm)+SUMPRODUCT(ISNUMBER(MATCH(mod_st_utm_wbudowie,$B$379,0))*('Koszty operacyjne'!$K$114:$X$114=Moduły!C$77)*ISNUMBER(MATCH(st_utm_kw_wbudowie,nie,0)),st_utm_wbudowie)</f>
        <v>0</v>
      </c>
      <c r="D403" s="358" cm="1">
        <f t="array" ref="D403">SUMPRODUCT(ISNUMBER(MATCH(mod_st_utm,$B$379,0))*('Koszty operacyjne'!$K$114:$X$114=Moduły!D$77)*ISNUMBER(MATCH(st_utm_kw,nie,0)),st_utm)+SUMPRODUCT(ISNUMBER(MATCH(mod_st_utm_wbudowie,$B$379,0))*('Koszty operacyjne'!$K$114:$X$114=Moduły!D$77)*ISNUMBER(MATCH(st_utm_kw_wbudowie,nie,0)),st_utm_wbudowie)</f>
        <v>0</v>
      </c>
      <c r="E403" s="358" cm="1">
        <f t="array" ref="E403">SUMPRODUCT(ISNUMBER(MATCH(mod_st_utm,$B$379,0))*('Koszty operacyjne'!$K$114:$X$114=Moduły!E$77)*ISNUMBER(MATCH(st_utm_kw,nie,0)),st_utm)+SUMPRODUCT(ISNUMBER(MATCH(mod_st_utm_wbudowie,$B$379,0))*('Koszty operacyjne'!$K$114:$X$114=Moduły!E$77)*ISNUMBER(MATCH(st_utm_kw_wbudowie,nie,0)),st_utm_wbudowie)</f>
        <v>0</v>
      </c>
      <c r="F403" s="358" cm="1">
        <f t="array" ref="F403">SUMPRODUCT(ISNUMBER(MATCH(mod_st_utm,$B$379,0))*('Koszty operacyjne'!$K$114:$X$114=Moduły!F$77)*ISNUMBER(MATCH(st_utm_kw,nie,0)),st_utm)+SUMPRODUCT(ISNUMBER(MATCH(mod_st_utm_wbudowie,$B$379,0))*('Koszty operacyjne'!$K$114:$X$114=Moduły!F$77)*ISNUMBER(MATCH(st_utm_kw_wbudowie,nie,0)),st_utm_wbudowie)</f>
        <v>0</v>
      </c>
      <c r="G403" s="358" cm="1">
        <f t="array" ref="G403">SUMPRODUCT(ISNUMBER(MATCH(mod_st_utm,$B$379,0))*('Koszty operacyjne'!$K$114:$X$114=Moduły!G$77)*ISNUMBER(MATCH(st_utm_kw,nie,0)),st_utm)+SUMPRODUCT(ISNUMBER(MATCH(mod_st_utm_wbudowie,$B$379,0))*('Koszty operacyjne'!$K$114:$X$114=Moduły!G$77)*ISNUMBER(MATCH(st_utm_kw_wbudowie,nie,0)),st_utm_wbudowie)</f>
        <v>0</v>
      </c>
      <c r="H403" s="358" cm="1">
        <f t="array" ref="H403">SUMPRODUCT(ISNUMBER(MATCH(mod_st_utm,$B$379,0))*('Koszty operacyjne'!$K$114:$X$114=Moduły!H$77)*ISNUMBER(MATCH(st_utm_kw,nie,0)),st_utm)+SUMPRODUCT(ISNUMBER(MATCH(mod_st_utm_wbudowie,$B$379,0))*('Koszty operacyjne'!$K$114:$X$114=Moduły!H$77)*ISNUMBER(MATCH(st_utm_kw_wbudowie,nie,0)),st_utm_wbudowie)</f>
        <v>0</v>
      </c>
      <c r="I403" s="358" cm="1">
        <f t="array" ref="I403">SUMPRODUCT(ISNUMBER(MATCH(mod_st_utm,$B$379,0))*('Koszty operacyjne'!$K$114:$X$114=Moduły!I$77)*ISNUMBER(MATCH(st_utm_kw,nie,0)),st_utm)+SUMPRODUCT(ISNUMBER(MATCH(mod_st_utm_wbudowie,$B$379,0))*('Koszty operacyjne'!$K$114:$X$114=Moduły!I$77)*ISNUMBER(MATCH(st_utm_kw_wbudowie,nie,0)),st_utm_wbudowie)</f>
        <v>0</v>
      </c>
      <c r="J403" s="358" cm="1">
        <f t="array" ref="J403">SUMPRODUCT(ISNUMBER(MATCH(mod_st_utm,$B$379,0))*('Koszty operacyjne'!$K$114:$X$114=Moduły!J$77)*ISNUMBER(MATCH(st_utm_kw,nie,0)),st_utm)+SUMPRODUCT(ISNUMBER(MATCH(mod_st_utm_wbudowie,$B$379,0))*('Koszty operacyjne'!$K$114:$X$114=Moduły!J$77)*ISNUMBER(MATCH(st_utm_kw_wbudowie,nie,0)),st_utm_wbudowie)</f>
        <v>0</v>
      </c>
      <c r="K403" s="358" cm="1">
        <f t="array" ref="K403">SUMPRODUCT(ISNUMBER(MATCH(mod_st_utm,$B$379,0))*('Koszty operacyjne'!$K$114:$X$114=Moduły!K$77)*ISNUMBER(MATCH(st_utm_kw,nie,0)),st_utm)+SUMPRODUCT(ISNUMBER(MATCH(mod_st_utm_wbudowie,$B$379,0))*('Koszty operacyjne'!$K$114:$X$114=Moduły!K$77)*ISNUMBER(MATCH(st_utm_kw_wbudowie,nie,0)),st_utm_wbudowie)</f>
        <v>0</v>
      </c>
      <c r="L403" s="358" cm="1">
        <f t="array" ref="L403">SUMPRODUCT(ISNUMBER(MATCH(mod_st_utm,$B$379,0))*('Koszty operacyjne'!$K$114:$X$114=Moduły!L$77)*ISNUMBER(MATCH(st_utm_kw,nie,0)),st_utm)+SUMPRODUCT(ISNUMBER(MATCH(mod_st_utm_wbudowie,$B$379,0))*('Koszty operacyjne'!$K$114:$X$114=Moduły!L$77)*ISNUMBER(MATCH(st_utm_kw_wbudowie,nie,0)),st_utm_wbudowie)</f>
        <v>0</v>
      </c>
      <c r="M403" s="358" cm="1">
        <f t="array" ref="M403">SUMPRODUCT(ISNUMBER(MATCH(mod_st_utm,$B$379,0))*('Koszty operacyjne'!$K$114:$X$114=Moduły!M$77)*ISNUMBER(MATCH(st_utm_kw,nie,0)),st_utm)+SUMPRODUCT(ISNUMBER(MATCH(mod_st_utm_wbudowie,$B$379,0))*('Koszty operacyjne'!$K$114:$X$114=Moduły!M$77)*ISNUMBER(MATCH(st_utm_kw_wbudowie,nie,0)),st_utm_wbudowie)</f>
        <v>0</v>
      </c>
      <c r="N403" s="358" cm="1">
        <f t="array" ref="N403">SUMPRODUCT(ISNUMBER(MATCH(mod_st_utm,$B$379,0))*('Koszty operacyjne'!$K$114:$X$114=Moduły!N$77)*ISNUMBER(MATCH(st_utm_kw,nie,0)),st_utm)+SUMPRODUCT(ISNUMBER(MATCH(mod_st_utm_wbudowie,$B$379,0))*('Koszty operacyjne'!$K$114:$X$114=Moduły!N$77)*ISNUMBER(MATCH(st_utm_kw_wbudowie,nie,0)),st_utm_wbudowie)</f>
        <v>0</v>
      </c>
      <c r="O403" s="358" cm="1">
        <f t="array" ref="O403">SUMPRODUCT(ISNUMBER(MATCH(mod_st_utm,$B$379,0))*('Koszty operacyjne'!$K$114:$X$114=Moduły!O$77)*ISNUMBER(MATCH(st_utm_kw,nie,0)),st_utm)+SUMPRODUCT(ISNUMBER(MATCH(mod_st_utm_wbudowie,$B$379,0))*('Koszty operacyjne'!$K$114:$X$114=Moduły!O$77)*ISNUMBER(MATCH(st_utm_kw_wbudowie,nie,0)),st_utm_wbudowie)</f>
        <v>0</v>
      </c>
      <c r="P403" s="358" cm="1">
        <f t="array" ref="P403">SUMPRODUCT(ISNUMBER(MATCH(mod_st_utm,$B$379,0))*('Koszty operacyjne'!$K$114:$X$114=Moduły!P$77)*ISNUMBER(MATCH(st_utm_kw,nie,0)),st_utm)+SUMPRODUCT(ISNUMBER(MATCH(mod_st_utm_wbudowie,$B$379,0))*('Koszty operacyjne'!$K$114:$X$114=Moduły!P$77)*ISNUMBER(MATCH(st_utm_kw_wbudowie,nie,0)),st_utm_wbudowie)</f>
        <v>0</v>
      </c>
    </row>
    <row r="404" spans="2:16" ht="3.9" customHeight="1">
      <c r="B404" s="8"/>
      <c r="C404" s="361"/>
      <c r="D404" s="361"/>
      <c r="E404" s="361"/>
      <c r="F404" s="361"/>
      <c r="G404" s="361"/>
      <c r="H404" s="361"/>
      <c r="I404" s="361"/>
      <c r="J404" s="361"/>
      <c r="K404" s="362"/>
      <c r="L404" s="362"/>
      <c r="M404" s="362"/>
      <c r="N404" s="362"/>
      <c r="O404" s="362"/>
      <c r="P404" s="362"/>
    </row>
    <row r="405" spans="2:16" ht="12" customHeight="1">
      <c r="B405" s="353" t="s">
        <v>101</v>
      </c>
      <c r="C405" s="354">
        <f t="shared" ref="C405:P405" si="183">SUM(C406:C407)</f>
        <v>0</v>
      </c>
      <c r="D405" s="354">
        <f t="shared" si="183"/>
        <v>0</v>
      </c>
      <c r="E405" s="354">
        <f t="shared" si="183"/>
        <v>0</v>
      </c>
      <c r="F405" s="354">
        <f t="shared" si="183"/>
        <v>0</v>
      </c>
      <c r="G405" s="354">
        <f t="shared" si="183"/>
        <v>0</v>
      </c>
      <c r="H405" s="354">
        <f t="shared" si="183"/>
        <v>0</v>
      </c>
      <c r="I405" s="354">
        <f t="shared" si="183"/>
        <v>0</v>
      </c>
      <c r="J405" s="354">
        <f t="shared" si="183"/>
        <v>0</v>
      </c>
      <c r="K405" s="354">
        <f t="shared" si="183"/>
        <v>0</v>
      </c>
      <c r="L405" s="354">
        <f t="shared" si="183"/>
        <v>0</v>
      </c>
      <c r="M405" s="354">
        <f t="shared" si="183"/>
        <v>0</v>
      </c>
      <c r="N405" s="354">
        <f t="shared" si="183"/>
        <v>0</v>
      </c>
      <c r="O405" s="354">
        <f t="shared" si="183"/>
        <v>0</v>
      </c>
      <c r="P405" s="354">
        <f t="shared" si="183"/>
        <v>0</v>
      </c>
    </row>
    <row r="406" spans="2:16" ht="12" customHeight="1">
      <c r="B406" s="355" t="s">
        <v>95</v>
      </c>
      <c r="C406" s="356" cm="1">
        <f t="array" ref="C406">SUMPRODUCT(ISNUMBER(MATCH(mod_st_stu,$B$379,0))*('Koszty operacyjne'!$K$114:$X$114=Moduły!C$77)*ISNUMBER(MATCH(st_stu_kw,tak,0)),st_stu)</f>
        <v>0</v>
      </c>
      <c r="D406" s="356" cm="1">
        <f t="array" ref="D406">SUMPRODUCT(ISNUMBER(MATCH(mod_st_stu,$B$379,0))*('Koszty operacyjne'!$K$114:$X$114=Moduły!D$77)*ISNUMBER(MATCH(st_stu_kw,tak,0)),st_stu)</f>
        <v>0</v>
      </c>
      <c r="E406" s="356" cm="1">
        <f t="array" ref="E406">SUMPRODUCT(ISNUMBER(MATCH(mod_st_stu,$B$379,0))*('Koszty operacyjne'!$K$114:$X$114=Moduły!E$77)*ISNUMBER(MATCH(st_stu_kw,tak,0)),st_stu)</f>
        <v>0</v>
      </c>
      <c r="F406" s="356" cm="1">
        <f t="array" ref="F406">SUMPRODUCT(ISNUMBER(MATCH(mod_st_stu,$B$379,0))*('Koszty operacyjne'!$K$114:$X$114=Moduły!F$77)*ISNUMBER(MATCH(st_stu_kw,tak,0)),st_stu)</f>
        <v>0</v>
      </c>
      <c r="G406" s="356" cm="1">
        <f t="array" ref="G406">SUMPRODUCT(ISNUMBER(MATCH(mod_st_stu,$B$379,0))*('Koszty operacyjne'!$K$114:$X$114=Moduły!G$77)*ISNUMBER(MATCH(st_stu_kw,tak,0)),st_stu)</f>
        <v>0</v>
      </c>
      <c r="H406" s="356" cm="1">
        <f t="array" ref="H406">SUMPRODUCT(ISNUMBER(MATCH(mod_st_stu,$B$379,0))*('Koszty operacyjne'!$K$114:$X$114=Moduły!H$77)*ISNUMBER(MATCH(st_stu_kw,tak,0)),st_stu)</f>
        <v>0</v>
      </c>
      <c r="I406" s="356" cm="1">
        <f t="array" ref="I406">SUMPRODUCT(ISNUMBER(MATCH(mod_st_stu,$B$379,0))*('Koszty operacyjne'!$K$114:$X$114=Moduły!I$77)*ISNUMBER(MATCH(st_stu_kw,tak,0)),st_stu)</f>
        <v>0</v>
      </c>
      <c r="J406" s="356" cm="1">
        <f t="array" ref="J406">SUMPRODUCT(ISNUMBER(MATCH(mod_st_stu,$B$379,0))*('Koszty operacyjne'!$K$114:$X$114=Moduły!J$77)*ISNUMBER(MATCH(st_stu_kw,tak,0)),st_stu)</f>
        <v>0</v>
      </c>
      <c r="K406" s="356" cm="1">
        <f t="array" ref="K406">SUMPRODUCT(ISNUMBER(MATCH(mod_st_stu,$B$379,0))*('Koszty operacyjne'!$K$114:$X$114=Moduły!K$77)*ISNUMBER(MATCH(st_stu_kw,tak,0)),st_stu)</f>
        <v>0</v>
      </c>
      <c r="L406" s="356" cm="1">
        <f t="array" ref="L406">SUMPRODUCT(ISNUMBER(MATCH(mod_st_stu,$B$379,0))*('Koszty operacyjne'!$K$114:$X$114=Moduły!L$77)*ISNUMBER(MATCH(st_stu_kw,tak,0)),st_stu)</f>
        <v>0</v>
      </c>
      <c r="M406" s="356" cm="1">
        <f t="array" ref="M406">SUMPRODUCT(ISNUMBER(MATCH(mod_st_stu,$B$379,0))*('Koszty operacyjne'!$K$114:$X$114=Moduły!M$77)*ISNUMBER(MATCH(st_stu_kw,tak,0)),st_stu)</f>
        <v>0</v>
      </c>
      <c r="N406" s="356" cm="1">
        <f t="array" ref="N406">SUMPRODUCT(ISNUMBER(MATCH(mod_st_stu,$B$379,0))*('Koszty operacyjne'!$K$114:$X$114=Moduły!N$77)*ISNUMBER(MATCH(st_stu_kw,tak,0)),st_stu)</f>
        <v>0</v>
      </c>
      <c r="O406" s="356" cm="1">
        <f t="array" ref="O406">SUMPRODUCT(ISNUMBER(MATCH(mod_st_stu,$B$379,0))*('Koszty operacyjne'!$K$114:$X$114=Moduły!O$77)*ISNUMBER(MATCH(st_stu_kw,tak,0)),st_stu)</f>
        <v>0</v>
      </c>
      <c r="P406" s="356" cm="1">
        <f t="array" ref="P406">SUMPRODUCT(ISNUMBER(MATCH(mod_st_stu,$B$379,0))*('Koszty operacyjne'!$K$114:$X$114=Moduły!P$77)*ISNUMBER(MATCH(st_stu_kw,tak,0)),st_stu)</f>
        <v>0</v>
      </c>
    </row>
    <row r="407" spans="2:16" ht="12" customHeight="1">
      <c r="B407" s="357" t="s">
        <v>96</v>
      </c>
      <c r="C407" s="358" cm="1">
        <f t="array" ref="C407">SUMPRODUCT(ISNUMBER(MATCH(mod_st_stu,$B$379,0))*('Koszty operacyjne'!$K$114:$X$114=Moduły!C$77)*ISNUMBER(MATCH(st_stu_kw,nie,0)),st_stu)</f>
        <v>0</v>
      </c>
      <c r="D407" s="358" cm="1">
        <f t="array" ref="D407">SUMPRODUCT(ISNUMBER(MATCH(mod_st_stu,$B$379,0))*('Koszty operacyjne'!$K$114:$X$114=Moduły!D$77)*ISNUMBER(MATCH(st_stu_kw,nie,0)),st_stu)</f>
        <v>0</v>
      </c>
      <c r="E407" s="358" cm="1">
        <f t="array" ref="E407">SUMPRODUCT(ISNUMBER(MATCH(mod_st_stu,$B$379,0))*('Koszty operacyjne'!$K$114:$X$114=Moduły!E$77)*ISNUMBER(MATCH(st_stu_kw,nie,0)),st_stu)</f>
        <v>0</v>
      </c>
      <c r="F407" s="358" cm="1">
        <f t="array" ref="F407">SUMPRODUCT(ISNUMBER(MATCH(mod_st_stu,$B$379,0))*('Koszty operacyjne'!$K$114:$X$114=Moduły!F$77)*ISNUMBER(MATCH(st_stu_kw,nie,0)),st_stu)</f>
        <v>0</v>
      </c>
      <c r="G407" s="358" cm="1">
        <f t="array" ref="G407">SUMPRODUCT(ISNUMBER(MATCH(mod_st_stu,$B$379,0))*('Koszty operacyjne'!$K$114:$X$114=Moduły!G$77)*ISNUMBER(MATCH(st_stu_kw,nie,0)),st_stu)</f>
        <v>0</v>
      </c>
      <c r="H407" s="358" cm="1">
        <f t="array" ref="H407">SUMPRODUCT(ISNUMBER(MATCH(mod_st_stu,$B$379,0))*('Koszty operacyjne'!$K$114:$X$114=Moduły!H$77)*ISNUMBER(MATCH(st_stu_kw,nie,0)),st_stu)</f>
        <v>0</v>
      </c>
      <c r="I407" s="358" cm="1">
        <f t="array" ref="I407">SUMPRODUCT(ISNUMBER(MATCH(mod_st_stu,$B$379,0))*('Koszty operacyjne'!$K$114:$X$114=Moduły!I$77)*ISNUMBER(MATCH(st_stu_kw,nie,0)),st_stu)</f>
        <v>0</v>
      </c>
      <c r="J407" s="358" cm="1">
        <f t="array" ref="J407">SUMPRODUCT(ISNUMBER(MATCH(mod_st_stu,$B$379,0))*('Koszty operacyjne'!$K$114:$X$114=Moduły!J$77)*ISNUMBER(MATCH(st_stu_kw,nie,0)),st_stu)</f>
        <v>0</v>
      </c>
      <c r="K407" s="359" cm="1">
        <f t="array" ref="K407">SUMPRODUCT(ISNUMBER(MATCH(mod_st_stu,$B$379,0))*('Koszty operacyjne'!$K$114:$X$114=Moduły!K$77)*ISNUMBER(MATCH(st_stu_kw,nie,0)),st_stu)</f>
        <v>0</v>
      </c>
      <c r="L407" s="359" cm="1">
        <f t="array" ref="L407">SUMPRODUCT(ISNUMBER(MATCH(mod_st_stu,$B$379,0))*('Koszty operacyjne'!$K$114:$X$114=Moduły!L$77)*ISNUMBER(MATCH(st_stu_kw,nie,0)),st_stu)</f>
        <v>0</v>
      </c>
      <c r="M407" s="359" cm="1">
        <f t="array" ref="M407">SUMPRODUCT(ISNUMBER(MATCH(mod_st_stu,$B$379,0))*('Koszty operacyjne'!$K$114:$X$114=Moduły!M$77)*ISNUMBER(MATCH(st_stu_kw,nie,0)),st_stu)</f>
        <v>0</v>
      </c>
      <c r="N407" s="359" cm="1">
        <f t="array" ref="N407">SUMPRODUCT(ISNUMBER(MATCH(mod_st_stu,$B$379,0))*('Koszty operacyjne'!$K$114:$X$114=Moduły!N$77)*ISNUMBER(MATCH(st_stu_kw,nie,0)),st_stu)</f>
        <v>0</v>
      </c>
      <c r="O407" s="359" cm="1">
        <f t="array" ref="O407">SUMPRODUCT(ISNUMBER(MATCH(mod_st_stu,$B$379,0))*('Koszty operacyjne'!$K$114:$X$114=Moduły!O$77)*ISNUMBER(MATCH(st_stu_kw,nie,0)),st_stu)</f>
        <v>0</v>
      </c>
      <c r="P407" s="359" cm="1">
        <f t="array" ref="P407">SUMPRODUCT(ISNUMBER(MATCH(mod_st_stu,$B$379,0))*('Koszty operacyjne'!$K$114:$X$114=Moduły!P$77)*ISNUMBER(MATCH(st_stu_kw,nie,0)),st_stu)</f>
        <v>0</v>
      </c>
    </row>
    <row r="408" spans="2:16" ht="3.9" customHeight="1">
      <c r="B408" s="8"/>
      <c r="C408" s="361"/>
      <c r="D408" s="361"/>
      <c r="E408" s="361"/>
      <c r="F408" s="361"/>
      <c r="G408" s="361"/>
      <c r="H408" s="361"/>
      <c r="I408" s="361"/>
      <c r="J408" s="361"/>
      <c r="K408" s="362"/>
      <c r="L408" s="362"/>
      <c r="M408" s="362"/>
      <c r="N408" s="362"/>
      <c r="O408" s="362"/>
      <c r="P408" s="362"/>
    </row>
    <row r="409" spans="2:16" ht="12" customHeight="1">
      <c r="B409" s="353" t="s">
        <v>102</v>
      </c>
      <c r="C409" s="354">
        <f t="shared" ref="C409:P409" si="184">SUM(C410:C411)</f>
        <v>0</v>
      </c>
      <c r="D409" s="354">
        <f t="shared" si="184"/>
        <v>0</v>
      </c>
      <c r="E409" s="354">
        <f t="shared" si="184"/>
        <v>0</v>
      </c>
      <c r="F409" s="354">
        <f t="shared" si="184"/>
        <v>0</v>
      </c>
      <c r="G409" s="354">
        <f t="shared" si="184"/>
        <v>0</v>
      </c>
      <c r="H409" s="354">
        <f t="shared" si="184"/>
        <v>0</v>
      </c>
      <c r="I409" s="354">
        <f t="shared" si="184"/>
        <v>0</v>
      </c>
      <c r="J409" s="354">
        <f t="shared" si="184"/>
        <v>0</v>
      </c>
      <c r="K409" s="354">
        <f t="shared" si="184"/>
        <v>0</v>
      </c>
      <c r="L409" s="354">
        <f t="shared" si="184"/>
        <v>0</v>
      </c>
      <c r="M409" s="354">
        <f t="shared" si="184"/>
        <v>0</v>
      </c>
      <c r="N409" s="354">
        <f t="shared" si="184"/>
        <v>0</v>
      </c>
      <c r="O409" s="354">
        <f t="shared" si="184"/>
        <v>0</v>
      </c>
      <c r="P409" s="354">
        <f t="shared" si="184"/>
        <v>0</v>
      </c>
    </row>
    <row r="410" spans="2:16" ht="12" customHeight="1">
      <c r="B410" s="355" t="s">
        <v>95</v>
      </c>
      <c r="C410" s="356" cm="1">
        <f t="array" ref="C410">SUMPRODUCT(ISNUMBER(MATCH(mod_st_ist,$B$379,0))*('Koszty operacyjne'!$K$114:$X$114=Moduły!C$77)*ISNUMBER(MATCH(st_ist_kw,tak,0)),st_ist)</f>
        <v>0</v>
      </c>
      <c r="D410" s="356" cm="1">
        <f t="array" ref="D410">SUMPRODUCT(ISNUMBER(MATCH(mod_st_ist,$B$379,0))*('Koszty operacyjne'!$K$114:$X$114=Moduły!D$77)*ISNUMBER(MATCH(st_ist_kw,tak,0)),st_ist)</f>
        <v>0</v>
      </c>
      <c r="E410" s="356" cm="1">
        <f t="array" ref="E410">SUMPRODUCT(ISNUMBER(MATCH(mod_st_ist,$B$379,0))*('Koszty operacyjne'!$K$114:$X$114=Moduły!E$77)*ISNUMBER(MATCH(st_ist_kw,tak,0)),st_ist)</f>
        <v>0</v>
      </c>
      <c r="F410" s="356" cm="1">
        <f t="array" ref="F410">SUMPRODUCT(ISNUMBER(MATCH(mod_st_ist,$B$379,0))*('Koszty operacyjne'!$K$114:$X$114=Moduły!F$77)*ISNUMBER(MATCH(st_ist_kw,tak,0)),st_ist)</f>
        <v>0</v>
      </c>
      <c r="G410" s="356" cm="1">
        <f t="array" ref="G410">SUMPRODUCT(ISNUMBER(MATCH(mod_st_ist,$B$379,0))*('Koszty operacyjne'!$K$114:$X$114=Moduły!G$77)*ISNUMBER(MATCH(st_ist_kw,tak,0)),st_ist)</f>
        <v>0</v>
      </c>
      <c r="H410" s="356" cm="1">
        <f t="array" ref="H410">SUMPRODUCT(ISNUMBER(MATCH(mod_st_ist,$B$379,0))*('Koszty operacyjne'!$K$114:$X$114=Moduły!H$77)*ISNUMBER(MATCH(st_ist_kw,tak,0)),st_ist)</f>
        <v>0</v>
      </c>
      <c r="I410" s="356" cm="1">
        <f t="array" ref="I410">SUMPRODUCT(ISNUMBER(MATCH(mod_st_ist,$B$379,0))*('Koszty operacyjne'!$K$114:$X$114=Moduły!I$77)*ISNUMBER(MATCH(st_ist_kw,tak,0)),st_ist)</f>
        <v>0</v>
      </c>
      <c r="J410" s="356" cm="1">
        <f t="array" ref="J410">SUMPRODUCT(ISNUMBER(MATCH(mod_st_ist,$B$379,0))*('Koszty operacyjne'!$K$114:$X$114=Moduły!J$77)*ISNUMBER(MATCH(st_ist_kw,tak,0)),st_ist)</f>
        <v>0</v>
      </c>
      <c r="K410" s="356" cm="1">
        <f t="array" ref="K410">SUMPRODUCT(ISNUMBER(MATCH(mod_st_ist,$B$379,0))*('Koszty operacyjne'!$K$114:$X$114=Moduły!K$77)*ISNUMBER(MATCH(st_ist_kw,tak,0)),st_ist)</f>
        <v>0</v>
      </c>
      <c r="L410" s="356" cm="1">
        <f t="array" ref="L410">SUMPRODUCT(ISNUMBER(MATCH(mod_st_ist,$B$379,0))*('Koszty operacyjne'!$K$114:$X$114=Moduły!L$77)*ISNUMBER(MATCH(st_ist_kw,tak,0)),st_ist)</f>
        <v>0</v>
      </c>
      <c r="M410" s="356" cm="1">
        <f t="array" ref="M410">SUMPRODUCT(ISNUMBER(MATCH(mod_st_ist,$B$379,0))*('Koszty operacyjne'!$K$114:$X$114=Moduły!M$77)*ISNUMBER(MATCH(st_ist_kw,tak,0)),st_ist)</f>
        <v>0</v>
      </c>
      <c r="N410" s="356" cm="1">
        <f t="array" ref="N410">SUMPRODUCT(ISNUMBER(MATCH(mod_st_ist,$B$379,0))*('Koszty operacyjne'!$K$114:$X$114=Moduły!N$77)*ISNUMBER(MATCH(st_ist_kw,tak,0)),st_ist)</f>
        <v>0</v>
      </c>
      <c r="O410" s="356" cm="1">
        <f t="array" ref="O410">SUMPRODUCT(ISNUMBER(MATCH(mod_st_ist,$B$379,0))*('Koszty operacyjne'!$K$114:$X$114=Moduły!O$77)*ISNUMBER(MATCH(st_ist_kw,tak,0)),st_ist)</f>
        <v>0</v>
      </c>
      <c r="P410" s="356" cm="1">
        <f t="array" ref="P410">SUMPRODUCT(ISNUMBER(MATCH(mod_st_ist,$B$379,0))*('Koszty operacyjne'!$K$114:$X$114=Moduły!P$77)*ISNUMBER(MATCH(st_ist_kw,tak,0)),st_ist)</f>
        <v>0</v>
      </c>
    </row>
    <row r="411" spans="2:16" ht="12" customHeight="1">
      <c r="B411" s="357" t="s">
        <v>96</v>
      </c>
      <c r="C411" s="358" cm="1">
        <f t="array" ref="C411">SUMPRODUCT(ISNUMBER(MATCH(mod_st_ist,$B$379,0))*('Koszty operacyjne'!$K$114:$X$114=Moduły!C$77)*ISNUMBER(MATCH(st_ist_kw,nie,0)),st_ist)</f>
        <v>0</v>
      </c>
      <c r="D411" s="358" cm="1">
        <f t="array" ref="D411">SUMPRODUCT(ISNUMBER(MATCH(mod_st_ist,$B$379,0))*('Koszty operacyjne'!$K$114:$X$114=Moduły!D$77)*ISNUMBER(MATCH(st_ist_kw,nie,0)),st_ist)</f>
        <v>0</v>
      </c>
      <c r="E411" s="358" cm="1">
        <f t="array" ref="E411">SUMPRODUCT(ISNUMBER(MATCH(mod_st_ist,$B$379,0))*('Koszty operacyjne'!$K$114:$X$114=Moduły!E$77)*ISNUMBER(MATCH(st_ist_kw,nie,0)),st_ist)</f>
        <v>0</v>
      </c>
      <c r="F411" s="358" cm="1">
        <f t="array" ref="F411">SUMPRODUCT(ISNUMBER(MATCH(mod_st_ist,$B$379,0))*('Koszty operacyjne'!$K$114:$X$114=Moduły!F$77)*ISNUMBER(MATCH(st_ist_kw,nie,0)),st_ist)</f>
        <v>0</v>
      </c>
      <c r="G411" s="358" cm="1">
        <f t="array" ref="G411">SUMPRODUCT(ISNUMBER(MATCH(mod_st_ist,$B$379,0))*('Koszty operacyjne'!$K$114:$X$114=Moduły!G$77)*ISNUMBER(MATCH(st_ist_kw,nie,0)),st_ist)</f>
        <v>0</v>
      </c>
      <c r="H411" s="358" cm="1">
        <f t="array" ref="H411">SUMPRODUCT(ISNUMBER(MATCH(mod_st_ist,$B$379,0))*('Koszty operacyjne'!$K$114:$X$114=Moduły!H$77)*ISNUMBER(MATCH(st_ist_kw,nie,0)),st_ist)</f>
        <v>0</v>
      </c>
      <c r="I411" s="358" cm="1">
        <f t="array" ref="I411">SUMPRODUCT(ISNUMBER(MATCH(mod_st_ist,$B$379,0))*('Koszty operacyjne'!$K$114:$X$114=Moduły!I$77)*ISNUMBER(MATCH(st_ist_kw,nie,0)),st_ist)</f>
        <v>0</v>
      </c>
      <c r="J411" s="358" cm="1">
        <f t="array" ref="J411">SUMPRODUCT(ISNUMBER(MATCH(mod_st_ist,$B$379,0))*('Koszty operacyjne'!$K$114:$X$114=Moduły!J$77)*ISNUMBER(MATCH(st_ist_kw,nie,0)),st_ist)</f>
        <v>0</v>
      </c>
      <c r="K411" s="359" cm="1">
        <f t="array" ref="K411">SUMPRODUCT(ISNUMBER(MATCH(mod_st_ist,$B$379,0))*('Koszty operacyjne'!$K$114:$X$114=Moduły!K$77)*ISNUMBER(MATCH(st_ist_kw,nie,0)),st_ist)</f>
        <v>0</v>
      </c>
      <c r="L411" s="359" cm="1">
        <f t="array" ref="L411">SUMPRODUCT(ISNUMBER(MATCH(mod_st_ist,$B$379,0))*('Koszty operacyjne'!$K$114:$X$114=Moduły!L$77)*ISNUMBER(MATCH(st_ist_kw,nie,0)),st_ist)</f>
        <v>0</v>
      </c>
      <c r="M411" s="359" cm="1">
        <f t="array" ref="M411">SUMPRODUCT(ISNUMBER(MATCH(mod_st_ist,$B$379,0))*('Koszty operacyjne'!$K$114:$X$114=Moduły!M$77)*ISNUMBER(MATCH(st_ist_kw,nie,0)),st_ist)</f>
        <v>0</v>
      </c>
      <c r="N411" s="359" cm="1">
        <f t="array" ref="N411">SUMPRODUCT(ISNUMBER(MATCH(mod_st_ist,$B$379,0))*('Koszty operacyjne'!$K$114:$X$114=Moduły!N$77)*ISNUMBER(MATCH(st_ist_kw,nie,0)),st_ist)</f>
        <v>0</v>
      </c>
      <c r="O411" s="359" cm="1">
        <f t="array" ref="O411">SUMPRODUCT(ISNUMBER(MATCH(mod_st_ist,$B$379,0))*('Koszty operacyjne'!$K$114:$X$114=Moduły!O$77)*ISNUMBER(MATCH(st_ist_kw,nie,0)),st_ist)</f>
        <v>0</v>
      </c>
      <c r="P411" s="359" cm="1">
        <f t="array" ref="P411">SUMPRODUCT(ISNUMBER(MATCH(mod_st_ist,$B$379,0))*('Koszty operacyjne'!$K$114:$X$114=Moduły!P$77)*ISNUMBER(MATCH(st_ist_kw,nie,0)),st_ist)</f>
        <v>0</v>
      </c>
    </row>
    <row r="412" spans="2:16" ht="3.9" customHeight="1">
      <c r="B412" s="8"/>
      <c r="C412" s="361"/>
      <c r="D412" s="361"/>
      <c r="E412" s="361"/>
      <c r="F412" s="361"/>
      <c r="G412" s="361"/>
      <c r="H412" s="361"/>
      <c r="I412" s="361"/>
      <c r="J412" s="361"/>
      <c r="K412" s="362"/>
      <c r="L412" s="362"/>
      <c r="M412" s="362"/>
      <c r="N412" s="362"/>
      <c r="O412" s="362"/>
      <c r="P412" s="362"/>
    </row>
    <row r="413" spans="2:16" ht="12" customHeight="1"/>
    <row r="414" spans="2:16">
      <c r="B414" s="98" t="s">
        <v>104</v>
      </c>
      <c r="C414" s="97" cm="1">
        <f t="array" ref="C414">SUMPRODUCT(ISNUMBER(MATCH(mod_pp_ppu,$B$379,0))*('Koszty operacyjne'!$K$114:$X$114=Moduły!C$77),pp_ppu)+SUMPRODUCT(ISNUMBER(MATCH(mod_pp_ptim,$B$379,0))*('Koszty operacyjne'!$K$114:$X$114=Moduły!C$77),pp_ptim)</f>
        <v>0</v>
      </c>
      <c r="D414" s="97" cm="1">
        <f t="array" ref="D414">SUMPRODUCT(ISNUMBER(MATCH(mod_pp_ppu,$B$379,0))*('Koszty operacyjne'!$K$114:$X$114=Moduły!D$77),pp_ppu)+SUMPRODUCT(ISNUMBER(MATCH(mod_pp_ptim,$B$379,0))*('Koszty operacyjne'!$K$114:$X$114=Moduły!D$77),pp_ptim)</f>
        <v>0</v>
      </c>
      <c r="E414" s="97" cm="1">
        <f t="array" ref="E414">SUMPRODUCT(ISNUMBER(MATCH(mod_pp_ppu,$B$379,0))*('Koszty operacyjne'!$K$114:$X$114=Moduły!E$77),pp_ppu)+SUMPRODUCT(ISNUMBER(MATCH(mod_pp_ptim,$B$379,0))*('Koszty operacyjne'!$K$114:$X$114=Moduły!E$77),pp_ptim)</f>
        <v>0</v>
      </c>
      <c r="F414" s="97" cm="1">
        <f t="array" ref="F414">SUMPRODUCT(ISNUMBER(MATCH(mod_pp_ppu,$B$379,0))*('Koszty operacyjne'!$K$114:$X$114=Moduły!F$77),pp_ppu)+SUMPRODUCT(ISNUMBER(MATCH(mod_pp_ptim,$B$379,0))*('Koszty operacyjne'!$K$114:$X$114=Moduły!F$77),pp_ptim)</f>
        <v>0</v>
      </c>
      <c r="G414" s="97" cm="1">
        <f t="array" ref="G414">SUMPRODUCT(ISNUMBER(MATCH(mod_pp_ppu,$B$379,0))*('Koszty operacyjne'!$K$114:$X$114=Moduły!G$77),pp_ppu)+SUMPRODUCT(ISNUMBER(MATCH(mod_pp_ptim,$B$379,0))*('Koszty operacyjne'!$K$114:$X$114=Moduły!G$77),pp_ptim)</f>
        <v>0</v>
      </c>
      <c r="H414" s="97" cm="1">
        <f t="array" ref="H414">SUMPRODUCT(ISNUMBER(MATCH(mod_pp_ppu,$B$379,0))*('Koszty operacyjne'!$K$114:$X$114=Moduły!H$77),pp_ppu)+SUMPRODUCT(ISNUMBER(MATCH(mod_pp_ptim,$B$379,0))*('Koszty operacyjne'!$K$114:$X$114=Moduły!H$77),pp_ptim)</f>
        <v>0</v>
      </c>
      <c r="I414" s="97" cm="1">
        <f t="array" ref="I414">SUMPRODUCT(ISNUMBER(MATCH(mod_pp_ppu,$B$379,0))*('Koszty operacyjne'!$K$114:$X$114=Moduły!I$77),pp_ppu)+SUMPRODUCT(ISNUMBER(MATCH(mod_pp_ptim,$B$379,0))*('Koszty operacyjne'!$K$114:$X$114=Moduły!I$77),pp_ptim)</f>
        <v>0</v>
      </c>
      <c r="J414" s="97" cm="1">
        <f t="array" ref="J414">SUMPRODUCT(ISNUMBER(MATCH(mod_pp_ppu,$B$379,0))*('Koszty operacyjne'!$K$114:$X$114=Moduły!J$77),pp_ppu)+SUMPRODUCT(ISNUMBER(MATCH(mod_pp_ptim,$B$379,0))*('Koszty operacyjne'!$K$114:$X$114=Moduły!J$77),pp_ptim)</f>
        <v>0</v>
      </c>
      <c r="K414" s="97" cm="1">
        <f t="array" ref="K414">SUMPRODUCT(ISNUMBER(MATCH(mod_pp_ppu,$B$379,0))*('Koszty operacyjne'!$K$114:$X$114=Moduły!K$77),pp_ppu)+SUMPRODUCT(ISNUMBER(MATCH(mod_pp_ptim,$B$379,0))*('Koszty operacyjne'!$K$114:$X$114=Moduły!K$77),pp_ptim)</f>
        <v>0</v>
      </c>
      <c r="L414" s="97" cm="1">
        <f t="array" ref="L414">SUMPRODUCT(ISNUMBER(MATCH(mod_pp_ppu,$B$379,0))*('Koszty operacyjne'!$K$114:$X$114=Moduły!L$77),pp_ppu)+SUMPRODUCT(ISNUMBER(MATCH(mod_pp_ptim,$B$379,0))*('Koszty operacyjne'!$K$114:$X$114=Moduły!L$77),pp_ptim)</f>
        <v>0</v>
      </c>
      <c r="M414" s="97" cm="1">
        <f t="array" ref="M414">SUMPRODUCT(ISNUMBER(MATCH(mod_pp_ppu,$B$379,0))*('Koszty operacyjne'!$K$114:$X$114=Moduły!M$77),pp_ppu)+SUMPRODUCT(ISNUMBER(MATCH(mod_pp_ptim,$B$379,0))*('Koszty operacyjne'!$K$114:$X$114=Moduły!M$77),pp_ptim)</f>
        <v>0</v>
      </c>
      <c r="N414" s="97" cm="1">
        <f t="array" ref="N414">SUMPRODUCT(ISNUMBER(MATCH(mod_pp_ppu,$B$379,0))*('Koszty operacyjne'!$K$114:$X$114=Moduły!N$77),pp_ppu)+SUMPRODUCT(ISNUMBER(MATCH(mod_pp_ptim,$B$379,0))*('Koszty operacyjne'!$K$114:$X$114=Moduły!N$77),pp_ptim)</f>
        <v>0</v>
      </c>
      <c r="O414" s="97" cm="1">
        <f t="array" ref="O414">SUMPRODUCT(ISNUMBER(MATCH(mod_pp_ppu,$B$379,0))*('Koszty operacyjne'!$K$114:$X$114=Moduły!O$77),pp_ppu)+SUMPRODUCT(ISNUMBER(MATCH(mod_pp_ptim,$B$379,0))*('Koszty operacyjne'!$K$114:$X$114=Moduły!O$77),pp_ptim)</f>
        <v>0</v>
      </c>
      <c r="P414" s="97" cm="1">
        <f t="array" ref="P414">SUMPRODUCT(ISNUMBER(MATCH(mod_pp_ppu,$B$379,0))*('Koszty operacyjne'!$K$114:$X$114=Moduły!P$77),pp_ppu)+SUMPRODUCT(ISNUMBER(MATCH(mod_pp_ptim,$B$379,0))*('Koszty operacyjne'!$K$114:$X$114=Moduły!P$77),pp_ptim)</f>
        <v>0</v>
      </c>
    </row>
    <row r="415" spans="2:16" ht="3.9" customHeight="1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2:16">
      <c r="B416" s="98" t="s">
        <v>105</v>
      </c>
      <c r="C416" s="97">
        <f t="shared" ref="C416:L416" ca="1" si="185">SUM(C417:C424)</f>
        <v>0</v>
      </c>
      <c r="D416" s="97">
        <f t="shared" ca="1" si="185"/>
        <v>0</v>
      </c>
      <c r="E416" s="97">
        <f t="shared" ca="1" si="185"/>
        <v>0</v>
      </c>
      <c r="F416" s="97">
        <f t="shared" ca="1" si="185"/>
        <v>0</v>
      </c>
      <c r="G416" s="97">
        <f t="shared" ca="1" si="185"/>
        <v>0</v>
      </c>
      <c r="H416" s="97">
        <f t="shared" ca="1" si="185"/>
        <v>0</v>
      </c>
      <c r="I416" s="97">
        <f t="shared" ca="1" si="185"/>
        <v>0</v>
      </c>
      <c r="J416" s="97">
        <f t="shared" ca="1" si="185"/>
        <v>0</v>
      </c>
      <c r="K416" s="97">
        <f t="shared" ca="1" si="185"/>
        <v>0</v>
      </c>
      <c r="L416" s="97">
        <f t="shared" ca="1" si="185"/>
        <v>0</v>
      </c>
      <c r="M416" s="97">
        <f ca="1">SUM(M417:M424)</f>
        <v>0</v>
      </c>
      <c r="N416" s="97">
        <f ca="1">SUM(N417:N424)</f>
        <v>0</v>
      </c>
      <c r="O416" s="97">
        <f ca="1">SUM(O417:O424)</f>
        <v>0</v>
      </c>
      <c r="P416" s="97">
        <f ca="1">SUM(P417:P424)</f>
        <v>0</v>
      </c>
    </row>
    <row r="417" spans="2:16">
      <c r="B417" s="103" t="s">
        <v>106</v>
      </c>
      <c r="C417" s="102" cm="1">
        <f t="array" aca="1" ref="C417" ca="1">SUMPRODUCT(ISNUMBER(MATCH(mod_st_am,$B$379,0))*('Koszty operacyjne'!$K$114:$X$114=Moduły!C$77),st_am)</f>
        <v>0</v>
      </c>
      <c r="D417" s="102" cm="1">
        <f t="array" aca="1" ref="D417" ca="1">SUMPRODUCT(ISNUMBER(MATCH(mod_st_am,$B$379,0))*('Koszty operacyjne'!$K$114:$X$114=Moduły!D$77),st_am)</f>
        <v>0</v>
      </c>
      <c r="E417" s="102" cm="1">
        <f t="array" aca="1" ref="E417" ca="1">SUMPRODUCT(ISNUMBER(MATCH(mod_st_am,$B$379,0))*('Koszty operacyjne'!$K$114:$X$114=Moduły!E$77),st_am)</f>
        <v>0</v>
      </c>
      <c r="F417" s="102" cm="1">
        <f t="array" aca="1" ref="F417" ca="1">SUMPRODUCT(ISNUMBER(MATCH(mod_st_am,$B$379,0))*('Koszty operacyjne'!$K$114:$X$114=Moduły!F$77),st_am)</f>
        <v>0</v>
      </c>
      <c r="G417" s="102" cm="1">
        <f t="array" aca="1" ref="G417" ca="1">SUMPRODUCT(ISNUMBER(MATCH(mod_st_am,$B$379,0))*('Koszty operacyjne'!$K$114:$X$114=Moduły!G$77),st_am)</f>
        <v>0</v>
      </c>
      <c r="H417" s="102" cm="1">
        <f t="array" aca="1" ref="H417" ca="1">SUMPRODUCT(ISNUMBER(MATCH(mod_st_am,$B$379,0))*('Koszty operacyjne'!$K$114:$X$114=Moduły!H$77),st_am)</f>
        <v>0</v>
      </c>
      <c r="I417" s="102" cm="1">
        <f t="array" aca="1" ref="I417" ca="1">SUMPRODUCT(ISNUMBER(MATCH(mod_st_am,$B$379,0))*('Koszty operacyjne'!$K$114:$X$114=Moduły!I$77),st_am)</f>
        <v>0</v>
      </c>
      <c r="J417" s="102" cm="1">
        <f t="array" aca="1" ref="J417" ca="1">SUMPRODUCT(ISNUMBER(MATCH(mod_st_am,$B$379,0))*('Koszty operacyjne'!$K$114:$X$114=Moduły!J$77),st_am)</f>
        <v>0</v>
      </c>
      <c r="K417" s="102" cm="1">
        <f t="array" aca="1" ref="K417" ca="1">SUMPRODUCT(ISNUMBER(MATCH(mod_st_am,$B$379,0))*('Koszty operacyjne'!$K$114:$X$114=Moduły!K$77),st_am)</f>
        <v>0</v>
      </c>
      <c r="L417" s="102" cm="1">
        <f t="array" aca="1" ref="L417" ca="1">SUMPRODUCT(ISNUMBER(MATCH(mod_st_am,$B$379,0))*('Koszty operacyjne'!$K$114:$X$114=Moduły!L$77),st_am)</f>
        <v>0</v>
      </c>
      <c r="M417" s="102" cm="1">
        <f t="array" aca="1" ref="M417" ca="1">SUMPRODUCT(ISNUMBER(MATCH(mod_st_am,$B$379,0))*('Koszty operacyjne'!$K$114:$X$114=Moduły!M$77),st_am)</f>
        <v>0</v>
      </c>
      <c r="N417" s="102" cm="1">
        <f t="array" aca="1" ref="N417" ca="1">SUMPRODUCT(ISNUMBER(MATCH(mod_st_am,$B$379,0))*('Koszty operacyjne'!$K$114:$X$114=Moduły!N$77),st_am)</f>
        <v>0</v>
      </c>
      <c r="O417" s="102" cm="1">
        <f t="array" aca="1" ref="O417" ca="1">SUMPRODUCT(ISNUMBER(MATCH(mod_st_am,$B$379,0))*('Koszty operacyjne'!$K$114:$X$114=Moduły!O$77),st_am)</f>
        <v>0</v>
      </c>
      <c r="P417" s="102" cm="1">
        <f t="array" aca="1" ref="P417" ca="1">SUMPRODUCT(ISNUMBER(MATCH(mod_st_am,$B$379,0))*('Koszty operacyjne'!$K$114:$X$114=Moduły!P$77),st_am)</f>
        <v>0</v>
      </c>
    </row>
    <row r="418" spans="2:16">
      <c r="B418" s="37" t="s">
        <v>107</v>
      </c>
      <c r="C418" s="33" cm="1">
        <f t="array" ref="C418">SUMPRODUCT(ISNUMBER(MATCH(mod_ko_zme,$B$379,0))*('Koszty operacyjne'!$K$114:$X$114=Moduły!C$77),ko_zme)</f>
        <v>0</v>
      </c>
      <c r="D418" s="33" cm="1">
        <f t="array" ref="D418">SUMPRODUCT(ISNUMBER(MATCH(mod_ko_zme,$B$379,0))*('Koszty operacyjne'!$K$114:$X$114=Moduły!D$77),ko_zme)</f>
        <v>0</v>
      </c>
      <c r="E418" s="33" cm="1">
        <f t="array" ref="E418">SUMPRODUCT(ISNUMBER(MATCH(mod_ko_zme,$B$379,0))*('Koszty operacyjne'!$K$114:$X$114=Moduły!E$77),ko_zme)</f>
        <v>0</v>
      </c>
      <c r="F418" s="33" cm="1">
        <f t="array" ref="F418">SUMPRODUCT(ISNUMBER(MATCH(mod_ko_zme,$B$379,0))*('Koszty operacyjne'!$K$114:$X$114=Moduły!F$77),ko_zme)</f>
        <v>0</v>
      </c>
      <c r="G418" s="33" cm="1">
        <f t="array" ref="G418">SUMPRODUCT(ISNUMBER(MATCH(mod_ko_zme,$B$379,0))*('Koszty operacyjne'!$K$114:$X$114=Moduły!G$77),ko_zme)</f>
        <v>0</v>
      </c>
      <c r="H418" s="33" cm="1">
        <f t="array" ref="H418">SUMPRODUCT(ISNUMBER(MATCH(mod_ko_zme,$B$379,0))*('Koszty operacyjne'!$K$114:$X$114=Moduły!H$77),ko_zme)</f>
        <v>0</v>
      </c>
      <c r="I418" s="33" cm="1">
        <f t="array" ref="I418">SUMPRODUCT(ISNUMBER(MATCH(mod_ko_zme,$B$379,0))*('Koszty operacyjne'!$K$114:$X$114=Moduły!I$77),ko_zme)</f>
        <v>0</v>
      </c>
      <c r="J418" s="33" cm="1">
        <f t="array" ref="J418">SUMPRODUCT(ISNUMBER(MATCH(mod_ko_zme,$B$379,0))*('Koszty operacyjne'!$K$114:$X$114=Moduły!J$77),ko_zme)</f>
        <v>0</v>
      </c>
      <c r="K418" s="33" cm="1">
        <f t="array" ref="K418">SUMPRODUCT(ISNUMBER(MATCH(mod_ko_zme,$B$379,0))*('Koszty operacyjne'!$K$114:$X$114=Moduły!K$77),ko_zme)</f>
        <v>0</v>
      </c>
      <c r="L418" s="33" cm="1">
        <f t="array" ref="L418">SUMPRODUCT(ISNUMBER(MATCH(mod_ko_zme,$B$379,0))*('Koszty operacyjne'!$K$114:$X$114=Moduły!L$77),ko_zme)</f>
        <v>0</v>
      </c>
      <c r="M418" s="33" cm="1">
        <f t="array" ref="M418">SUMPRODUCT(ISNUMBER(MATCH(mod_ko_zme,$B$379,0))*('Koszty operacyjne'!$K$114:$X$114=Moduły!M$77),ko_zme)</f>
        <v>0</v>
      </c>
      <c r="N418" s="33" cm="1">
        <f t="array" ref="N418">SUMPRODUCT(ISNUMBER(MATCH(mod_ko_zme,$B$379,0))*('Koszty operacyjne'!$K$114:$X$114=Moduły!N$77),ko_zme)</f>
        <v>0</v>
      </c>
      <c r="O418" s="33" cm="1">
        <f t="array" ref="O418">SUMPRODUCT(ISNUMBER(MATCH(mod_ko_zme,$B$379,0))*('Koszty operacyjne'!$K$114:$X$114=Moduły!O$77),ko_zme)</f>
        <v>0</v>
      </c>
      <c r="P418" s="33" cm="1">
        <f t="array" ref="P418">SUMPRODUCT(ISNUMBER(MATCH(mod_ko_zme,$B$379,0))*('Koszty operacyjne'!$K$114:$X$114=Moduły!P$77),ko_zme)</f>
        <v>0</v>
      </c>
    </row>
    <row r="419" spans="2:16">
      <c r="B419" s="37" t="s">
        <v>108</v>
      </c>
      <c r="C419" s="33" cm="1">
        <f t="array" ref="C419">SUMPRODUCT(ISNUMBER(MATCH(mod_ko_uoe,$B$379,0))*('Koszty operacyjne'!$K$114:$X$114=Moduły!C$77),ko_uoe)</f>
        <v>0</v>
      </c>
      <c r="D419" s="33" cm="1">
        <f t="array" ref="D419">SUMPRODUCT(ISNUMBER(MATCH(mod_ko_uoe,$B$379,0))*('Koszty operacyjne'!$K$114:$X$114=Moduły!D$77),ko_uoe)</f>
        <v>0</v>
      </c>
      <c r="E419" s="33" cm="1">
        <f t="array" ref="E419">SUMPRODUCT(ISNUMBER(MATCH(mod_ko_uoe,$B$379,0))*('Koszty operacyjne'!$K$114:$X$114=Moduły!E$77),ko_uoe)</f>
        <v>0</v>
      </c>
      <c r="F419" s="33" cm="1">
        <f t="array" ref="F419">SUMPRODUCT(ISNUMBER(MATCH(mod_ko_uoe,$B$379,0))*('Koszty operacyjne'!$K$114:$X$114=Moduły!F$77),ko_uoe)</f>
        <v>0</v>
      </c>
      <c r="G419" s="33" cm="1">
        <f t="array" ref="G419">SUMPRODUCT(ISNUMBER(MATCH(mod_ko_uoe,$B$379,0))*('Koszty operacyjne'!$K$114:$X$114=Moduły!G$77),ko_uoe)</f>
        <v>0</v>
      </c>
      <c r="H419" s="33" cm="1">
        <f t="array" ref="H419">SUMPRODUCT(ISNUMBER(MATCH(mod_ko_uoe,$B$379,0))*('Koszty operacyjne'!$K$114:$X$114=Moduły!H$77),ko_uoe)</f>
        <v>0</v>
      </c>
      <c r="I419" s="33" cm="1">
        <f t="array" ref="I419">SUMPRODUCT(ISNUMBER(MATCH(mod_ko_uoe,$B$379,0))*('Koszty operacyjne'!$K$114:$X$114=Moduły!I$77),ko_uoe)</f>
        <v>0</v>
      </c>
      <c r="J419" s="33" cm="1">
        <f t="array" ref="J419">SUMPRODUCT(ISNUMBER(MATCH(mod_ko_uoe,$B$379,0))*('Koszty operacyjne'!$K$114:$X$114=Moduły!J$77),ko_uoe)</f>
        <v>0</v>
      </c>
      <c r="K419" s="33" cm="1">
        <f t="array" ref="K419">SUMPRODUCT(ISNUMBER(MATCH(mod_ko_uoe,$B$379,0))*('Koszty operacyjne'!$K$114:$X$114=Moduły!K$77),ko_uoe)</f>
        <v>0</v>
      </c>
      <c r="L419" s="33" cm="1">
        <f t="array" ref="L419">SUMPRODUCT(ISNUMBER(MATCH(mod_ko_uoe,$B$379,0))*('Koszty operacyjne'!$K$114:$X$114=Moduły!L$77),ko_uoe)</f>
        <v>0</v>
      </c>
      <c r="M419" s="33" cm="1">
        <f t="array" ref="M419">SUMPRODUCT(ISNUMBER(MATCH(mod_ko_uoe,$B$379,0))*('Koszty operacyjne'!$K$114:$X$114=Moduły!M$77),ko_uoe)</f>
        <v>0</v>
      </c>
      <c r="N419" s="33" cm="1">
        <f t="array" ref="N419">SUMPRODUCT(ISNUMBER(MATCH(mod_ko_uoe,$B$379,0))*('Koszty operacyjne'!$K$114:$X$114=Moduły!N$77),ko_uoe)</f>
        <v>0</v>
      </c>
      <c r="O419" s="33" cm="1">
        <f t="array" ref="O419">SUMPRODUCT(ISNUMBER(MATCH(mod_ko_uoe,$B$379,0))*('Koszty operacyjne'!$K$114:$X$114=Moduły!O$77),ko_uoe)</f>
        <v>0</v>
      </c>
      <c r="P419" s="33" cm="1">
        <f t="array" ref="P419">SUMPRODUCT(ISNUMBER(MATCH(mod_ko_uoe,$B$379,0))*('Koszty operacyjne'!$K$114:$X$114=Moduły!P$77),ko_uoe)</f>
        <v>0</v>
      </c>
    </row>
    <row r="420" spans="2:16">
      <c r="B420" s="37" t="s">
        <v>778</v>
      </c>
      <c r="C420" s="33" cm="1">
        <f t="array" ref="C420">SUMPRODUCT(ISNUMBER(MATCH(mod_ko_pio,$B$379,0))*('Koszty operacyjne'!$K$114:$X$114=Moduły!C$77),ko_pio)</f>
        <v>0</v>
      </c>
      <c r="D420" s="33" cm="1">
        <f t="array" ref="D420">SUMPRODUCT(ISNUMBER(MATCH(mod_ko_pio,$B$379,0))*('Koszty operacyjne'!$K$114:$X$114=Moduły!D$77),ko_pio)</f>
        <v>0</v>
      </c>
      <c r="E420" s="33" cm="1">
        <f t="array" ref="E420">SUMPRODUCT(ISNUMBER(MATCH(mod_ko_pio,$B$379,0))*('Koszty operacyjne'!$K$114:$X$114=Moduły!E$77),ko_pio)</f>
        <v>0</v>
      </c>
      <c r="F420" s="33" cm="1">
        <f t="array" ref="F420">SUMPRODUCT(ISNUMBER(MATCH(mod_ko_pio,$B$379,0))*('Koszty operacyjne'!$K$114:$X$114=Moduły!F$77),ko_pio)</f>
        <v>0</v>
      </c>
      <c r="G420" s="33" cm="1">
        <f t="array" ref="G420">SUMPRODUCT(ISNUMBER(MATCH(mod_ko_pio,$B$379,0))*('Koszty operacyjne'!$K$114:$X$114=Moduły!G$77),ko_pio)</f>
        <v>0</v>
      </c>
      <c r="H420" s="33" cm="1">
        <f t="array" ref="H420">SUMPRODUCT(ISNUMBER(MATCH(mod_ko_pio,$B$379,0))*('Koszty operacyjne'!$K$114:$X$114=Moduły!H$77),ko_pio)</f>
        <v>0</v>
      </c>
      <c r="I420" s="33" cm="1">
        <f t="array" ref="I420">SUMPRODUCT(ISNUMBER(MATCH(mod_ko_pio,$B$379,0))*('Koszty operacyjne'!$K$114:$X$114=Moduły!I$77),ko_pio)</f>
        <v>0</v>
      </c>
      <c r="J420" s="33" cm="1">
        <f t="array" ref="J420">SUMPRODUCT(ISNUMBER(MATCH(mod_ko_pio,$B$379,0))*('Koszty operacyjne'!$K$114:$X$114=Moduły!J$77),ko_pio)</f>
        <v>0</v>
      </c>
      <c r="K420" s="33" cm="1">
        <f t="array" ref="K420">SUMPRODUCT(ISNUMBER(MATCH(mod_ko_pio,$B$379,0))*('Koszty operacyjne'!$K$114:$X$114=Moduły!K$77),ko_pio)</f>
        <v>0</v>
      </c>
      <c r="L420" s="33" cm="1">
        <f t="array" ref="L420">SUMPRODUCT(ISNUMBER(MATCH(mod_ko_pio,$B$379,0))*('Koszty operacyjne'!$K$114:$X$114=Moduły!L$77),ko_pio)</f>
        <v>0</v>
      </c>
      <c r="M420" s="33" cm="1">
        <f t="array" ref="M420">SUMPRODUCT(ISNUMBER(MATCH(mod_ko_pio,$B$379,0))*('Koszty operacyjne'!$K$114:$X$114=Moduły!M$77),ko_pio)</f>
        <v>0</v>
      </c>
      <c r="N420" s="33" cm="1">
        <f t="array" ref="N420">SUMPRODUCT(ISNUMBER(MATCH(mod_ko_pio,$B$379,0))*('Koszty operacyjne'!$K$114:$X$114=Moduły!N$77),ko_pio)</f>
        <v>0</v>
      </c>
      <c r="O420" s="33" cm="1">
        <f t="array" ref="O420">SUMPRODUCT(ISNUMBER(MATCH(mod_ko_pio,$B$379,0))*('Koszty operacyjne'!$K$114:$X$114=Moduły!O$77),ko_pio)</f>
        <v>0</v>
      </c>
      <c r="P420" s="33" cm="1">
        <f t="array" ref="P420">SUMPRODUCT(ISNUMBER(MATCH(mod_ko_pio,$B$379,0))*('Koszty operacyjne'!$K$114:$X$114=Moduły!P$77),ko_pio)</f>
        <v>0</v>
      </c>
    </row>
    <row r="421" spans="2:16">
      <c r="B421" s="37" t="s">
        <v>109</v>
      </c>
      <c r="C421" s="33" cm="1">
        <f t="array" ref="C421">SUMPRODUCT(ISNUMBER(MATCH(mod_ko_wyn,$B$379,0))*('Koszty operacyjne'!$K$114:$X$114=Moduły!C$77),ko_wyn)</f>
        <v>0</v>
      </c>
      <c r="D421" s="33" cm="1">
        <f t="array" ref="D421">SUMPRODUCT(ISNUMBER(MATCH(mod_ko_wyn,$B$379,0))*('Koszty operacyjne'!$K$114:$X$114=Moduły!D$77),ko_wyn)</f>
        <v>0</v>
      </c>
      <c r="E421" s="33" cm="1">
        <f t="array" ref="E421">SUMPRODUCT(ISNUMBER(MATCH(mod_ko_wyn,$B$379,0))*('Koszty operacyjne'!$K$114:$X$114=Moduły!E$77),ko_wyn)</f>
        <v>0</v>
      </c>
      <c r="F421" s="33" cm="1">
        <f t="array" ref="F421">SUMPRODUCT(ISNUMBER(MATCH(mod_ko_wyn,$B$379,0))*('Koszty operacyjne'!$K$114:$X$114=Moduły!F$77),ko_wyn)</f>
        <v>0</v>
      </c>
      <c r="G421" s="33" cm="1">
        <f t="array" ref="G421">SUMPRODUCT(ISNUMBER(MATCH(mod_ko_wyn,$B$379,0))*('Koszty operacyjne'!$K$114:$X$114=Moduły!G$77),ko_wyn)</f>
        <v>0</v>
      </c>
      <c r="H421" s="33" cm="1">
        <f t="array" ref="H421">SUMPRODUCT(ISNUMBER(MATCH(mod_ko_wyn,$B$379,0))*('Koszty operacyjne'!$K$114:$X$114=Moduły!H$77),ko_wyn)</f>
        <v>0</v>
      </c>
      <c r="I421" s="33" cm="1">
        <f t="array" ref="I421">SUMPRODUCT(ISNUMBER(MATCH(mod_ko_wyn,$B$379,0))*('Koszty operacyjne'!$K$114:$X$114=Moduły!I$77),ko_wyn)</f>
        <v>0</v>
      </c>
      <c r="J421" s="33" cm="1">
        <f t="array" ref="J421">SUMPRODUCT(ISNUMBER(MATCH(mod_ko_wyn,$B$379,0))*('Koszty operacyjne'!$K$114:$X$114=Moduły!J$77),ko_wyn)</f>
        <v>0</v>
      </c>
      <c r="K421" s="33" cm="1">
        <f t="array" ref="K421">SUMPRODUCT(ISNUMBER(MATCH(mod_ko_wyn,$B$379,0))*('Koszty operacyjne'!$K$114:$X$114=Moduły!K$77),ko_wyn)</f>
        <v>0</v>
      </c>
      <c r="L421" s="33" cm="1">
        <f t="array" ref="L421">SUMPRODUCT(ISNUMBER(MATCH(mod_ko_wyn,$B$379,0))*('Koszty operacyjne'!$K$114:$X$114=Moduły!L$77),ko_wyn)</f>
        <v>0</v>
      </c>
      <c r="M421" s="33" cm="1">
        <f t="array" ref="M421">SUMPRODUCT(ISNUMBER(MATCH(mod_ko_wyn,$B$379,0))*('Koszty operacyjne'!$K$114:$X$114=Moduły!M$77),ko_wyn)</f>
        <v>0</v>
      </c>
      <c r="N421" s="33" cm="1">
        <f t="array" ref="N421">SUMPRODUCT(ISNUMBER(MATCH(mod_ko_wyn,$B$379,0))*('Koszty operacyjne'!$K$114:$X$114=Moduły!N$77),ko_wyn)</f>
        <v>0</v>
      </c>
      <c r="O421" s="33" cm="1">
        <f t="array" ref="O421">SUMPRODUCT(ISNUMBER(MATCH(mod_ko_wyn,$B$379,0))*('Koszty operacyjne'!$K$114:$X$114=Moduły!O$77),ko_wyn)</f>
        <v>0</v>
      </c>
      <c r="P421" s="33" cm="1">
        <f t="array" ref="P421">SUMPRODUCT(ISNUMBER(MATCH(mod_ko_wyn,$B$379,0))*('Koszty operacyjne'!$K$114:$X$114=Moduły!P$77),ko_wyn)</f>
        <v>0</v>
      </c>
    </row>
    <row r="422" spans="2:16">
      <c r="B422" s="37" t="s">
        <v>110</v>
      </c>
      <c r="C422" s="33" cm="1">
        <f t="array" ref="C422">SUMPRODUCT(ISNUMBER(MATCH(mod_ko_zus,$B$379,0))*('Koszty operacyjne'!$K$114:$X$114=Moduły!C$77),ko_zus)</f>
        <v>0</v>
      </c>
      <c r="D422" s="33" cm="1">
        <f t="array" ref="D422">SUMPRODUCT(ISNUMBER(MATCH(mod_ko_zus,$B$379,0))*('Koszty operacyjne'!$K$114:$X$114=Moduły!D$77),ko_zus)</f>
        <v>0</v>
      </c>
      <c r="E422" s="33" cm="1">
        <f t="array" ref="E422">SUMPRODUCT(ISNUMBER(MATCH(mod_ko_zus,$B$379,0))*('Koszty operacyjne'!$K$114:$X$114=Moduły!E$77),ko_zus)</f>
        <v>0</v>
      </c>
      <c r="F422" s="33" cm="1">
        <f t="array" ref="F422">SUMPRODUCT(ISNUMBER(MATCH(mod_ko_zus,$B$379,0))*('Koszty operacyjne'!$K$114:$X$114=Moduły!F$77),ko_zus)</f>
        <v>0</v>
      </c>
      <c r="G422" s="33" cm="1">
        <f t="array" ref="G422">SUMPRODUCT(ISNUMBER(MATCH(mod_ko_zus,$B$379,0))*('Koszty operacyjne'!$K$114:$X$114=Moduły!G$77),ko_zus)</f>
        <v>0</v>
      </c>
      <c r="H422" s="33" cm="1">
        <f t="array" ref="H422">SUMPRODUCT(ISNUMBER(MATCH(mod_ko_zus,$B$379,0))*('Koszty operacyjne'!$K$114:$X$114=Moduły!H$77),ko_zus)</f>
        <v>0</v>
      </c>
      <c r="I422" s="33" cm="1">
        <f t="array" ref="I422">SUMPRODUCT(ISNUMBER(MATCH(mod_ko_zus,$B$379,0))*('Koszty operacyjne'!$K$114:$X$114=Moduły!I$77),ko_zus)</f>
        <v>0</v>
      </c>
      <c r="J422" s="33" cm="1">
        <f t="array" ref="J422">SUMPRODUCT(ISNUMBER(MATCH(mod_ko_zus,$B$379,0))*('Koszty operacyjne'!$K$114:$X$114=Moduły!J$77),ko_zus)</f>
        <v>0</v>
      </c>
      <c r="K422" s="33" cm="1">
        <f t="array" ref="K422">SUMPRODUCT(ISNUMBER(MATCH(mod_ko_zus,$B$379,0))*('Koszty operacyjne'!$K$114:$X$114=Moduły!K$77),ko_zus)</f>
        <v>0</v>
      </c>
      <c r="L422" s="33" cm="1">
        <f t="array" ref="L422">SUMPRODUCT(ISNUMBER(MATCH(mod_ko_zus,$B$379,0))*('Koszty operacyjne'!$K$114:$X$114=Moduły!L$77),ko_zus)</f>
        <v>0</v>
      </c>
      <c r="M422" s="33" cm="1">
        <f t="array" ref="M422">SUMPRODUCT(ISNUMBER(MATCH(mod_ko_zus,$B$379,0))*('Koszty operacyjne'!$K$114:$X$114=Moduły!M$77),ko_zus)</f>
        <v>0</v>
      </c>
      <c r="N422" s="33" cm="1">
        <f t="array" ref="N422">SUMPRODUCT(ISNUMBER(MATCH(mod_ko_zus,$B$379,0))*('Koszty operacyjne'!$K$114:$X$114=Moduły!N$77),ko_zus)</f>
        <v>0</v>
      </c>
      <c r="O422" s="33" cm="1">
        <f t="array" ref="O422">SUMPRODUCT(ISNUMBER(MATCH(mod_ko_zus,$B$379,0))*('Koszty operacyjne'!$K$114:$X$114=Moduły!O$77),ko_zus)</f>
        <v>0</v>
      </c>
      <c r="P422" s="33" cm="1">
        <f t="array" ref="P422">SUMPRODUCT(ISNUMBER(MATCH(mod_ko_zus,$B$379,0))*('Koszty operacyjne'!$K$114:$X$114=Moduły!P$77),ko_zus)</f>
        <v>0</v>
      </c>
    </row>
    <row r="423" spans="2:16">
      <c r="B423" s="37" t="s">
        <v>111</v>
      </c>
      <c r="C423" s="33" cm="1">
        <f t="array" ref="C423">SUMPRODUCT(ISNUMBER(MATCH(mod_ko_pkr,$B$379,0))*('Koszty operacyjne'!$K$114:$X$114=Moduły!C$77),ko_pkr)</f>
        <v>0</v>
      </c>
      <c r="D423" s="33" cm="1">
        <f t="array" ref="D423">SUMPRODUCT(ISNUMBER(MATCH(mod_ko_pkr,$B$379,0))*('Koszty operacyjne'!$K$114:$X$114=Moduły!D$77),ko_pkr)</f>
        <v>0</v>
      </c>
      <c r="E423" s="33" cm="1">
        <f t="array" ref="E423">SUMPRODUCT(ISNUMBER(MATCH(mod_ko_pkr,$B$379,0))*('Koszty operacyjne'!$K$114:$X$114=Moduły!E$77),ko_pkr)</f>
        <v>0</v>
      </c>
      <c r="F423" s="33" cm="1">
        <f t="array" ref="F423">SUMPRODUCT(ISNUMBER(MATCH(mod_ko_pkr,$B$379,0))*('Koszty operacyjne'!$K$114:$X$114=Moduły!F$77),ko_pkr)</f>
        <v>0</v>
      </c>
      <c r="G423" s="33" cm="1">
        <f t="array" ref="G423">SUMPRODUCT(ISNUMBER(MATCH(mod_ko_pkr,$B$379,0))*('Koszty operacyjne'!$K$114:$X$114=Moduły!G$77),ko_pkr)</f>
        <v>0</v>
      </c>
      <c r="H423" s="33" cm="1">
        <f t="array" ref="H423">SUMPRODUCT(ISNUMBER(MATCH(mod_ko_pkr,$B$379,0))*('Koszty operacyjne'!$K$114:$X$114=Moduły!H$77),ko_pkr)</f>
        <v>0</v>
      </c>
      <c r="I423" s="33" cm="1">
        <f t="array" ref="I423">SUMPRODUCT(ISNUMBER(MATCH(mod_ko_pkr,$B$379,0))*('Koszty operacyjne'!$K$114:$X$114=Moduły!I$77),ko_pkr)</f>
        <v>0</v>
      </c>
      <c r="J423" s="33" cm="1">
        <f t="array" ref="J423">SUMPRODUCT(ISNUMBER(MATCH(mod_ko_pkr,$B$379,0))*('Koszty operacyjne'!$K$114:$X$114=Moduły!J$77),ko_pkr)</f>
        <v>0</v>
      </c>
      <c r="K423" s="33" cm="1">
        <f t="array" ref="K423">SUMPRODUCT(ISNUMBER(MATCH(mod_ko_pkr,$B$379,0))*('Koszty operacyjne'!$K$114:$X$114=Moduły!K$77),ko_pkr)</f>
        <v>0</v>
      </c>
      <c r="L423" s="33" cm="1">
        <f t="array" ref="L423">SUMPRODUCT(ISNUMBER(MATCH(mod_ko_pkr,$B$379,0))*('Koszty operacyjne'!$K$114:$X$114=Moduły!L$77),ko_pkr)</f>
        <v>0</v>
      </c>
      <c r="M423" s="33" cm="1">
        <f t="array" ref="M423">SUMPRODUCT(ISNUMBER(MATCH(mod_ko_pkr,$B$379,0))*('Koszty operacyjne'!$K$114:$X$114=Moduły!M$77),ko_pkr)</f>
        <v>0</v>
      </c>
      <c r="N423" s="33" cm="1">
        <f t="array" ref="N423">SUMPRODUCT(ISNUMBER(MATCH(mod_ko_pkr,$B$379,0))*('Koszty operacyjne'!$K$114:$X$114=Moduły!N$77),ko_pkr)</f>
        <v>0</v>
      </c>
      <c r="O423" s="33" cm="1">
        <f t="array" ref="O423">SUMPRODUCT(ISNUMBER(MATCH(mod_ko_pkr,$B$379,0))*('Koszty operacyjne'!$K$114:$X$114=Moduły!O$77),ko_pkr)</f>
        <v>0</v>
      </c>
      <c r="P423" s="33" cm="1">
        <f t="array" ref="P423">SUMPRODUCT(ISNUMBER(MATCH(mod_ko_pkr,$B$379,0))*('Koszty operacyjne'!$K$114:$X$114=Moduły!P$77),ko_pkr)</f>
        <v>0</v>
      </c>
    </row>
    <row r="424" spans="2:16">
      <c r="B424" s="37" t="s">
        <v>112</v>
      </c>
      <c r="C424" s="33" cm="1">
        <f t="array" ref="C424">SUMPRODUCT(ISNUMBER(MATCH(mod_pp_ptim_wstim,$B$379,0))*('Koszty operacyjne'!$K$114:$X$114=Moduły!C$77),pp_ptim_wstim)</f>
        <v>0</v>
      </c>
      <c r="D424" s="33" cm="1">
        <f t="array" ref="D424">SUMPRODUCT(ISNUMBER(MATCH(mod_pp_ptim_wstim,$B$379,0))*('Koszty operacyjne'!$K$114:$X$114=Moduły!D$77),pp_ptim_wstim)</f>
        <v>0</v>
      </c>
      <c r="E424" s="33" cm="1">
        <f t="array" ref="E424">SUMPRODUCT(ISNUMBER(MATCH(mod_pp_ptim_wstim,$B$379,0))*('Koszty operacyjne'!$K$114:$X$114=Moduły!E$77),pp_ptim_wstim)</f>
        <v>0</v>
      </c>
      <c r="F424" s="33" cm="1">
        <f t="array" ref="F424">SUMPRODUCT(ISNUMBER(MATCH(mod_pp_ptim_wstim,$B$379,0))*('Koszty operacyjne'!$K$114:$X$114=Moduły!F$77),pp_ptim_wstim)</f>
        <v>0</v>
      </c>
      <c r="G424" s="33" cm="1">
        <f t="array" ref="G424">SUMPRODUCT(ISNUMBER(MATCH(mod_pp_ptim_wstim,$B$379,0))*('Koszty operacyjne'!$K$114:$X$114=Moduły!G$77),pp_ptim_wstim)</f>
        <v>0</v>
      </c>
      <c r="H424" s="33" cm="1">
        <f t="array" ref="H424">SUMPRODUCT(ISNUMBER(MATCH(mod_pp_ptim_wstim,$B$379,0))*('Koszty operacyjne'!$K$114:$X$114=Moduły!H$77),pp_ptim_wstim)</f>
        <v>0</v>
      </c>
      <c r="I424" s="33" cm="1">
        <f t="array" ref="I424">SUMPRODUCT(ISNUMBER(MATCH(mod_pp_ptim_wstim,$B$379,0))*('Koszty operacyjne'!$K$114:$X$114=Moduły!I$77),pp_ptim_wstim)</f>
        <v>0</v>
      </c>
      <c r="J424" s="33" cm="1">
        <f t="array" ref="J424">SUMPRODUCT(ISNUMBER(MATCH(mod_pp_ptim_wstim,$B$379,0))*('Koszty operacyjne'!$K$114:$X$114=Moduły!J$77),pp_ptim_wstim)</f>
        <v>0</v>
      </c>
      <c r="K424" s="33" cm="1">
        <f t="array" ref="K424">SUMPRODUCT(ISNUMBER(MATCH(mod_pp_ptim_wstim,$B$379,0))*('Koszty operacyjne'!$K$114:$X$114=Moduły!K$77),pp_ptim_wstim)</f>
        <v>0</v>
      </c>
      <c r="L424" s="33" cm="1">
        <f t="array" ref="L424">SUMPRODUCT(ISNUMBER(MATCH(mod_pp_ptim_wstim,$B$379,0))*('Koszty operacyjne'!$K$114:$X$114=Moduły!L$77),pp_ptim_wstim)</f>
        <v>0</v>
      </c>
      <c r="M424" s="33" cm="1">
        <f t="array" ref="M424">SUMPRODUCT(ISNUMBER(MATCH(mod_pp_ptim_wstim,$B$379,0))*('Koszty operacyjne'!$K$114:$X$114=Moduły!M$77),pp_ptim_wstim)</f>
        <v>0</v>
      </c>
      <c r="N424" s="33" cm="1">
        <f t="array" ref="N424">SUMPRODUCT(ISNUMBER(MATCH(mod_pp_ptim_wstim,$B$379,0))*('Koszty operacyjne'!$K$114:$X$114=Moduły!N$77),pp_ptim_wstim)</f>
        <v>0</v>
      </c>
      <c r="O424" s="33" cm="1">
        <f t="array" ref="O424">SUMPRODUCT(ISNUMBER(MATCH(mod_pp_ptim_wstim,$B$379,0))*('Koszty operacyjne'!$K$114:$X$114=Moduły!O$77),pp_ptim_wstim)</f>
        <v>0</v>
      </c>
      <c r="P424" s="33" cm="1">
        <f t="array" ref="P424">SUMPRODUCT(ISNUMBER(MATCH(mod_pp_ptim_wstim,$B$379,0))*('Koszty operacyjne'!$K$114:$X$114=Moduły!P$77),pp_ptim_wstim)</f>
        <v>0</v>
      </c>
    </row>
    <row r="425" spans="2:16"/>
    <row r="426" spans="2:16"/>
    <row r="427" spans="2:16">
      <c r="B427" s="367" t="s">
        <v>116</v>
      </c>
      <c r="C427" s="367" t="str">
        <f>C$77</f>
        <v>Uzupełnij dane</v>
      </c>
      <c r="D427" s="367" t="str">
        <f t="shared" ref="D427:P427" si="186">D$77</f>
        <v/>
      </c>
      <c r="E427" s="367" t="str">
        <f t="shared" si="186"/>
        <v/>
      </c>
      <c r="F427" s="367" t="str">
        <f t="shared" si="186"/>
        <v/>
      </c>
      <c r="G427" s="367" t="str">
        <f t="shared" si="186"/>
        <v/>
      </c>
      <c r="H427" s="367" t="str">
        <f t="shared" si="186"/>
        <v/>
      </c>
      <c r="I427" s="367" t="str">
        <f t="shared" si="186"/>
        <v/>
      </c>
      <c r="J427" s="367" t="str">
        <f t="shared" si="186"/>
        <v/>
      </c>
      <c r="K427" s="367" t="str">
        <f t="shared" si="186"/>
        <v/>
      </c>
      <c r="L427" s="367" t="str">
        <f t="shared" si="186"/>
        <v/>
      </c>
      <c r="M427" s="367" t="str">
        <f t="shared" si="186"/>
        <v/>
      </c>
      <c r="N427" s="367" t="str">
        <f t="shared" si="186"/>
        <v/>
      </c>
      <c r="O427" s="367" t="str">
        <f t="shared" si="186"/>
        <v/>
      </c>
      <c r="P427" s="367" t="str">
        <f t="shared" si="186"/>
        <v/>
      </c>
    </row>
    <row r="428" spans="2:16" ht="3.9" customHeight="1"/>
    <row r="429" spans="2:16" ht="12" customHeight="1">
      <c r="B429" s="98" t="s">
        <v>93</v>
      </c>
      <c r="C429" s="97">
        <f t="shared" ref="C429:P429" si="187">SUM(C430:C431)</f>
        <v>0</v>
      </c>
      <c r="D429" s="97">
        <f t="shared" si="187"/>
        <v>0</v>
      </c>
      <c r="E429" s="97">
        <f t="shared" si="187"/>
        <v>0</v>
      </c>
      <c r="F429" s="97">
        <f t="shared" si="187"/>
        <v>0</v>
      </c>
      <c r="G429" s="97">
        <f t="shared" si="187"/>
        <v>0</v>
      </c>
      <c r="H429" s="97">
        <f t="shared" si="187"/>
        <v>0</v>
      </c>
      <c r="I429" s="97">
        <f t="shared" si="187"/>
        <v>0</v>
      </c>
      <c r="J429" s="97">
        <f t="shared" si="187"/>
        <v>0</v>
      </c>
      <c r="K429" s="97">
        <f t="shared" si="187"/>
        <v>0</v>
      </c>
      <c r="L429" s="97">
        <f t="shared" si="187"/>
        <v>0</v>
      </c>
      <c r="M429" s="97">
        <f t="shared" si="187"/>
        <v>0</v>
      </c>
      <c r="N429" s="97">
        <f t="shared" si="187"/>
        <v>0</v>
      </c>
      <c r="O429" s="97">
        <f t="shared" si="187"/>
        <v>0</v>
      </c>
      <c r="P429" s="97">
        <f t="shared" si="187"/>
        <v>0</v>
      </c>
    </row>
    <row r="430" spans="2:16">
      <c r="B430" s="460" t="s">
        <v>95</v>
      </c>
      <c r="C430" s="461">
        <f>C434+C438+C442+C446+C450+C454+C458</f>
        <v>0</v>
      </c>
      <c r="D430" s="461">
        <f t="shared" ref="D430:P430" si="188">D434+D438+D442+D446+D450+D454+D458</f>
        <v>0</v>
      </c>
      <c r="E430" s="461">
        <f t="shared" si="188"/>
        <v>0</v>
      </c>
      <c r="F430" s="461">
        <f t="shared" si="188"/>
        <v>0</v>
      </c>
      <c r="G430" s="461">
        <f t="shared" si="188"/>
        <v>0</v>
      </c>
      <c r="H430" s="461">
        <f t="shared" si="188"/>
        <v>0</v>
      </c>
      <c r="I430" s="461">
        <f t="shared" si="188"/>
        <v>0</v>
      </c>
      <c r="J430" s="461">
        <f t="shared" si="188"/>
        <v>0</v>
      </c>
      <c r="K430" s="462">
        <f t="shared" si="188"/>
        <v>0</v>
      </c>
      <c r="L430" s="462">
        <f t="shared" si="188"/>
        <v>0</v>
      </c>
      <c r="M430" s="462">
        <f t="shared" si="188"/>
        <v>0</v>
      </c>
      <c r="N430" s="462">
        <f t="shared" si="188"/>
        <v>0</v>
      </c>
      <c r="O430" s="462">
        <f t="shared" si="188"/>
        <v>0</v>
      </c>
      <c r="P430" s="462">
        <f t="shared" si="188"/>
        <v>0</v>
      </c>
    </row>
    <row r="431" spans="2:16">
      <c r="B431" s="463" t="s">
        <v>96</v>
      </c>
      <c r="C431" s="464">
        <f>C435+C439+C443+C447+C451+C455+C459</f>
        <v>0</v>
      </c>
      <c r="D431" s="464">
        <f t="shared" ref="D431:P431" si="189">D435+D439+D443+D447+D451+D455+D459</f>
        <v>0</v>
      </c>
      <c r="E431" s="464">
        <f t="shared" si="189"/>
        <v>0</v>
      </c>
      <c r="F431" s="464">
        <f t="shared" si="189"/>
        <v>0</v>
      </c>
      <c r="G431" s="464">
        <f t="shared" si="189"/>
        <v>0</v>
      </c>
      <c r="H431" s="464">
        <f t="shared" si="189"/>
        <v>0</v>
      </c>
      <c r="I431" s="464">
        <f t="shared" si="189"/>
        <v>0</v>
      </c>
      <c r="J431" s="464">
        <f t="shared" si="189"/>
        <v>0</v>
      </c>
      <c r="K431" s="465">
        <f t="shared" si="189"/>
        <v>0</v>
      </c>
      <c r="L431" s="465">
        <f t="shared" si="189"/>
        <v>0</v>
      </c>
      <c r="M431" s="465">
        <f t="shared" si="189"/>
        <v>0</v>
      </c>
      <c r="N431" s="465">
        <f t="shared" si="189"/>
        <v>0</v>
      </c>
      <c r="O431" s="465">
        <f t="shared" si="189"/>
        <v>0</v>
      </c>
      <c r="P431" s="465">
        <f t="shared" si="189"/>
        <v>0</v>
      </c>
    </row>
    <row r="432" spans="2:16" ht="3.9" customHeight="1"/>
    <row r="433" spans="2:16" ht="12" customHeight="1">
      <c r="B433" s="353" t="s">
        <v>94</v>
      </c>
      <c r="C433" s="354">
        <f t="shared" ref="C433:P433" si="190">SUM(C434:C435)</f>
        <v>0</v>
      </c>
      <c r="D433" s="354">
        <f t="shared" si="190"/>
        <v>0</v>
      </c>
      <c r="E433" s="354">
        <f t="shared" si="190"/>
        <v>0</v>
      </c>
      <c r="F433" s="354">
        <f t="shared" si="190"/>
        <v>0</v>
      </c>
      <c r="G433" s="354">
        <f t="shared" si="190"/>
        <v>0</v>
      </c>
      <c r="H433" s="354">
        <f t="shared" si="190"/>
        <v>0</v>
      </c>
      <c r="I433" s="354">
        <f t="shared" si="190"/>
        <v>0</v>
      </c>
      <c r="J433" s="354">
        <f t="shared" si="190"/>
        <v>0</v>
      </c>
      <c r="K433" s="354">
        <f t="shared" si="190"/>
        <v>0</v>
      </c>
      <c r="L433" s="354">
        <f t="shared" si="190"/>
        <v>0</v>
      </c>
      <c r="M433" s="354">
        <f t="shared" si="190"/>
        <v>0</v>
      </c>
      <c r="N433" s="354">
        <f t="shared" si="190"/>
        <v>0</v>
      </c>
      <c r="O433" s="354">
        <f t="shared" si="190"/>
        <v>0</v>
      </c>
      <c r="P433" s="354">
        <f t="shared" si="190"/>
        <v>0</v>
      </c>
    </row>
    <row r="434" spans="2:16" ht="12" customHeight="1">
      <c r="B434" s="355" t="s">
        <v>95</v>
      </c>
      <c r="C434" s="356" cm="1">
        <f t="array" ref="C434">SUMPRODUCT(ISNUMBER(MATCH(mod_st_zpr,$B$427,0))*('Koszty operacyjne'!$K$114:$X$114=Moduły!C$77)*ISNUMBER(MATCH(st_zpr_kw,tak,0)),st_zpr)</f>
        <v>0</v>
      </c>
      <c r="D434" s="356" cm="1">
        <f t="array" ref="D434">SUMPRODUCT(ISNUMBER(MATCH(mod_st_zpr,$B$427,0))*('Koszty operacyjne'!$K$114:$X$114=Moduły!D$77)*ISNUMBER(MATCH(st_zpr_kw,tak,0)),st_zpr)</f>
        <v>0</v>
      </c>
      <c r="E434" s="356" cm="1">
        <f t="array" ref="E434">SUMPRODUCT(ISNUMBER(MATCH(mod_st_zpr,$B$427,0))*('Koszty operacyjne'!$K$114:$X$114=Moduły!E$77)*ISNUMBER(MATCH(st_zpr_kw,tak,0)),st_zpr)</f>
        <v>0</v>
      </c>
      <c r="F434" s="356" cm="1">
        <f t="array" ref="F434">SUMPRODUCT(ISNUMBER(MATCH(mod_st_zpr,$B$427,0))*('Koszty operacyjne'!$K$114:$X$114=Moduły!F$77)*ISNUMBER(MATCH(st_zpr_kw,tak,0)),st_zpr)</f>
        <v>0</v>
      </c>
      <c r="G434" s="356" cm="1">
        <f t="array" ref="G434">SUMPRODUCT(ISNUMBER(MATCH(mod_st_zpr,$B$427,0))*('Koszty operacyjne'!$K$114:$X$114=Moduły!G$77)*ISNUMBER(MATCH(st_zpr_kw,tak,0)),st_zpr)</f>
        <v>0</v>
      </c>
      <c r="H434" s="356" cm="1">
        <f t="array" ref="H434">SUMPRODUCT(ISNUMBER(MATCH(mod_st_zpr,$B$427,0))*('Koszty operacyjne'!$K$114:$X$114=Moduły!H$77)*ISNUMBER(MATCH(st_zpr_kw,tak,0)),st_zpr)</f>
        <v>0</v>
      </c>
      <c r="I434" s="356" cm="1">
        <f t="array" ref="I434">SUMPRODUCT(ISNUMBER(MATCH(mod_st_zpr,$B$427,0))*('Koszty operacyjne'!$K$114:$X$114=Moduły!I$77)*ISNUMBER(MATCH(st_zpr_kw,tak,0)),st_zpr)</f>
        <v>0</v>
      </c>
      <c r="J434" s="356" cm="1">
        <f t="array" ref="J434">SUMPRODUCT(ISNUMBER(MATCH(mod_st_zpr,$B$427,0))*('Koszty operacyjne'!$K$114:$X$114=Moduły!J$77)*ISNUMBER(MATCH(st_zpr_kw,tak,0)),st_zpr)</f>
        <v>0</v>
      </c>
      <c r="K434" s="356" cm="1">
        <f t="array" ref="K434">SUMPRODUCT(ISNUMBER(MATCH(mod_st_zpr,$B$427,0))*('Koszty operacyjne'!$K$114:$X$114=Moduły!K$77)*ISNUMBER(MATCH(st_zpr_kw,tak,0)),st_zpr)</f>
        <v>0</v>
      </c>
      <c r="L434" s="356" cm="1">
        <f t="array" ref="L434">SUMPRODUCT(ISNUMBER(MATCH(mod_st_zpr,$B$427,0))*('Koszty operacyjne'!$K$114:$X$114=Moduły!L$77)*ISNUMBER(MATCH(st_zpr_kw,tak,0)),st_zpr)</f>
        <v>0</v>
      </c>
      <c r="M434" s="356" cm="1">
        <f t="array" ref="M434">SUMPRODUCT(ISNUMBER(MATCH(mod_st_zpr,$B$427,0))*('Koszty operacyjne'!$K$114:$X$114=Moduły!M$77)*ISNUMBER(MATCH(st_zpr_kw,tak,0)),st_zpr)</f>
        <v>0</v>
      </c>
      <c r="N434" s="356" cm="1">
        <f t="array" ref="N434">SUMPRODUCT(ISNUMBER(MATCH(mod_st_zpr,$B$427,0))*('Koszty operacyjne'!$K$114:$X$114=Moduły!N$77)*ISNUMBER(MATCH(st_zpr_kw,tak,0)),st_zpr)</f>
        <v>0</v>
      </c>
      <c r="O434" s="356" cm="1">
        <f t="array" ref="O434">SUMPRODUCT(ISNUMBER(MATCH(mod_st_zpr,$B$427,0))*('Koszty operacyjne'!$K$114:$X$114=Moduły!O$77)*ISNUMBER(MATCH(st_zpr_kw,tak,0)),st_zpr)</f>
        <v>0</v>
      </c>
      <c r="P434" s="356" cm="1">
        <f t="array" ref="P434">SUMPRODUCT(ISNUMBER(MATCH(mod_st_zpr,$B$427,0))*('Koszty operacyjne'!$K$114:$X$114=Moduły!P$77)*ISNUMBER(MATCH(st_zpr_kw,tak,0)),st_zpr)</f>
        <v>0</v>
      </c>
    </row>
    <row r="435" spans="2:16" ht="12" customHeight="1">
      <c r="B435" s="357" t="s">
        <v>96</v>
      </c>
      <c r="C435" s="358" cm="1">
        <f t="array" ref="C435">SUMPRODUCT(ISNUMBER(MATCH(mod_st_zpr,$B$427,0))*('Koszty operacyjne'!$K$114:$X$114=Moduły!C$77)*ISNUMBER(MATCH(st_zpr_kw,nie,0)),st_zpr)</f>
        <v>0</v>
      </c>
      <c r="D435" s="358" cm="1">
        <f t="array" ref="D435">SUMPRODUCT(ISNUMBER(MATCH(mod_st_zpr,$B$427,0))*('Koszty operacyjne'!$K$114:$X$114=Moduły!D$77)*ISNUMBER(MATCH(st_zpr_kw,nie,0)),st_zpr)</f>
        <v>0</v>
      </c>
      <c r="E435" s="358" cm="1">
        <f t="array" ref="E435">SUMPRODUCT(ISNUMBER(MATCH(mod_st_zpr,$B$427,0))*('Koszty operacyjne'!$K$114:$X$114=Moduły!E$77)*ISNUMBER(MATCH(st_zpr_kw,nie,0)),st_zpr)</f>
        <v>0</v>
      </c>
      <c r="F435" s="358" cm="1">
        <f t="array" ref="F435">SUMPRODUCT(ISNUMBER(MATCH(mod_st_zpr,$B$427,0))*('Koszty operacyjne'!$K$114:$X$114=Moduły!F$77)*ISNUMBER(MATCH(st_zpr_kw,nie,0)),st_zpr)</f>
        <v>0</v>
      </c>
      <c r="G435" s="358" cm="1">
        <f t="array" ref="G435">SUMPRODUCT(ISNUMBER(MATCH(mod_st_zpr,$B$427,0))*('Koszty operacyjne'!$K$114:$X$114=Moduły!G$77)*ISNUMBER(MATCH(st_zpr_kw,nie,0)),st_zpr)</f>
        <v>0</v>
      </c>
      <c r="H435" s="358" cm="1">
        <f t="array" ref="H435">SUMPRODUCT(ISNUMBER(MATCH(mod_st_zpr,$B$427,0))*('Koszty operacyjne'!$K$114:$X$114=Moduły!H$77)*ISNUMBER(MATCH(st_zpr_kw,nie,0)),st_zpr)</f>
        <v>0</v>
      </c>
      <c r="I435" s="358" cm="1">
        <f t="array" ref="I435">SUMPRODUCT(ISNUMBER(MATCH(mod_st_zpr,$B$427,0))*('Koszty operacyjne'!$K$114:$X$114=Moduły!I$77)*ISNUMBER(MATCH(st_zpr_kw,nie,0)),st_zpr)</f>
        <v>0</v>
      </c>
      <c r="J435" s="358" cm="1">
        <f t="array" ref="J435">SUMPRODUCT(ISNUMBER(MATCH(mod_st_zpr,$B$427,0))*('Koszty operacyjne'!$K$114:$X$114=Moduły!J$77)*ISNUMBER(MATCH(st_zpr_kw,nie,0)),st_zpr)</f>
        <v>0</v>
      </c>
      <c r="K435" s="359" cm="1">
        <f t="array" ref="K435">SUMPRODUCT(ISNUMBER(MATCH(mod_st_zpr,$B$427,0))*('Koszty operacyjne'!$K$114:$X$114=Moduły!K$77)*ISNUMBER(MATCH(st_zpr_kw,nie,0)),st_zpr)</f>
        <v>0</v>
      </c>
      <c r="L435" s="359" cm="1">
        <f t="array" ref="L435">SUMPRODUCT(ISNUMBER(MATCH(mod_st_zpr,$B$427,0))*('Koszty operacyjne'!$K$114:$X$114=Moduły!L$77)*ISNUMBER(MATCH(st_zpr_kw,nie,0)),st_zpr)</f>
        <v>0</v>
      </c>
      <c r="M435" s="359" cm="1">
        <f t="array" ref="M435">SUMPRODUCT(ISNUMBER(MATCH(mod_st_zpr,$B$427,0))*('Koszty operacyjne'!$K$114:$X$114=Moduły!M$77)*ISNUMBER(MATCH(st_zpr_kw,nie,0)),st_zpr)</f>
        <v>0</v>
      </c>
      <c r="N435" s="359" cm="1">
        <f t="array" ref="N435">SUMPRODUCT(ISNUMBER(MATCH(mod_st_zpr,$B$427,0))*('Koszty operacyjne'!$K$114:$X$114=Moduły!N$77)*ISNUMBER(MATCH(st_zpr_kw,nie,0)),st_zpr)</f>
        <v>0</v>
      </c>
      <c r="O435" s="359" cm="1">
        <f t="array" ref="O435">SUMPRODUCT(ISNUMBER(MATCH(mod_st_zpr,$B$427,0))*('Koszty operacyjne'!$K$114:$X$114=Moduły!O$77)*ISNUMBER(MATCH(st_zpr_kw,nie,0)),st_zpr)</f>
        <v>0</v>
      </c>
      <c r="P435" s="359" cm="1">
        <f t="array" ref="P435">SUMPRODUCT(ISNUMBER(MATCH(mod_st_zpr,$B$427,0))*('Koszty operacyjne'!$K$114:$X$114=Moduły!P$77)*ISNUMBER(MATCH(st_zpr_kw,nie,0)),st_zpr)</f>
        <v>0</v>
      </c>
    </row>
    <row r="436" spans="2:16" ht="3.9" customHeight="1">
      <c r="B436" s="360"/>
      <c r="C436" s="361"/>
      <c r="D436" s="361"/>
      <c r="E436" s="361"/>
      <c r="F436" s="361"/>
      <c r="G436" s="361"/>
      <c r="H436" s="361"/>
      <c r="I436" s="361"/>
      <c r="J436" s="361"/>
      <c r="K436" s="362"/>
      <c r="L436" s="362"/>
      <c r="M436" s="362"/>
      <c r="N436" s="362"/>
      <c r="O436" s="362"/>
      <c r="P436" s="362"/>
    </row>
    <row r="437" spans="2:16" ht="12" customHeight="1">
      <c r="B437" s="353" t="s">
        <v>97</v>
      </c>
      <c r="C437" s="354">
        <f t="shared" ref="C437:P437" si="191">SUM(C438:C439)</f>
        <v>0</v>
      </c>
      <c r="D437" s="354">
        <f t="shared" si="191"/>
        <v>0</v>
      </c>
      <c r="E437" s="354">
        <f t="shared" si="191"/>
        <v>0</v>
      </c>
      <c r="F437" s="354">
        <f t="shared" si="191"/>
        <v>0</v>
      </c>
      <c r="G437" s="354">
        <f t="shared" si="191"/>
        <v>0</v>
      </c>
      <c r="H437" s="354">
        <f t="shared" si="191"/>
        <v>0</v>
      </c>
      <c r="I437" s="354">
        <f t="shared" si="191"/>
        <v>0</v>
      </c>
      <c r="J437" s="354">
        <f t="shared" si="191"/>
        <v>0</v>
      </c>
      <c r="K437" s="354">
        <f t="shared" si="191"/>
        <v>0</v>
      </c>
      <c r="L437" s="354">
        <f t="shared" si="191"/>
        <v>0</v>
      </c>
      <c r="M437" s="354">
        <f t="shared" si="191"/>
        <v>0</v>
      </c>
      <c r="N437" s="354">
        <f t="shared" si="191"/>
        <v>0</v>
      </c>
      <c r="O437" s="354">
        <f t="shared" si="191"/>
        <v>0</v>
      </c>
      <c r="P437" s="354">
        <f t="shared" si="191"/>
        <v>0</v>
      </c>
    </row>
    <row r="438" spans="2:16" ht="12" customHeight="1">
      <c r="B438" s="355" t="s">
        <v>95</v>
      </c>
      <c r="C438" s="356" cm="1">
        <f t="array" ref="C438">SUMPRODUCT(ISNUMBER(MATCH(mod_st_wnp,$B$427,0))*('Koszty operacyjne'!$K$114:$X$114=Moduły!C$77)*ISNUMBER(MATCH(st_wnp_kw,tak,0)),st_wnp)</f>
        <v>0</v>
      </c>
      <c r="D438" s="356" cm="1">
        <f t="array" ref="D438">SUMPRODUCT(ISNUMBER(MATCH(mod_st_wnp,$B$427,0))*('Koszty operacyjne'!$K$114:$X$114=Moduły!D$77)*ISNUMBER(MATCH(st_wnp_kw,tak,0)),st_wnp)</f>
        <v>0</v>
      </c>
      <c r="E438" s="356" cm="1">
        <f t="array" ref="E438">SUMPRODUCT(ISNUMBER(MATCH(mod_st_wnp,$B$427,0))*('Koszty operacyjne'!$K$114:$X$114=Moduły!E$77)*ISNUMBER(MATCH(st_wnp_kw,tak,0)),st_wnp)</f>
        <v>0</v>
      </c>
      <c r="F438" s="356" cm="1">
        <f t="array" ref="F438">SUMPRODUCT(ISNUMBER(MATCH(mod_st_wnp,$B$427,0))*('Koszty operacyjne'!$K$114:$X$114=Moduły!F$77)*ISNUMBER(MATCH(st_wnp_kw,tak,0)),st_wnp)</f>
        <v>0</v>
      </c>
      <c r="G438" s="356" cm="1">
        <f t="array" ref="G438">SUMPRODUCT(ISNUMBER(MATCH(mod_st_wnp,$B$427,0))*('Koszty operacyjne'!$K$114:$X$114=Moduły!G$77)*ISNUMBER(MATCH(st_wnp_kw,tak,0)),st_wnp)</f>
        <v>0</v>
      </c>
      <c r="H438" s="356" cm="1">
        <f t="array" ref="H438">SUMPRODUCT(ISNUMBER(MATCH(mod_st_wnp,$B$427,0))*('Koszty operacyjne'!$K$114:$X$114=Moduły!H$77)*ISNUMBER(MATCH(st_wnp_kw,tak,0)),st_wnp)</f>
        <v>0</v>
      </c>
      <c r="I438" s="356" cm="1">
        <f t="array" ref="I438">SUMPRODUCT(ISNUMBER(MATCH(mod_st_wnp,$B$427,0))*('Koszty operacyjne'!$K$114:$X$114=Moduły!I$77)*ISNUMBER(MATCH(st_wnp_kw,tak,0)),st_wnp)</f>
        <v>0</v>
      </c>
      <c r="J438" s="356" cm="1">
        <f t="array" ref="J438">SUMPRODUCT(ISNUMBER(MATCH(mod_st_wnp,$B$427,0))*('Koszty operacyjne'!$K$114:$X$114=Moduły!J$77)*ISNUMBER(MATCH(st_wnp_kw,tak,0)),st_wnp)</f>
        <v>0</v>
      </c>
      <c r="K438" s="356" cm="1">
        <f t="array" ref="K438">SUMPRODUCT(ISNUMBER(MATCH(mod_st_wnp,$B$427,0))*('Koszty operacyjne'!$K$114:$X$114=Moduły!K$77)*ISNUMBER(MATCH(st_wnp_kw,tak,0)),st_wnp)</f>
        <v>0</v>
      </c>
      <c r="L438" s="356" cm="1">
        <f t="array" ref="L438">SUMPRODUCT(ISNUMBER(MATCH(mod_st_wnp,$B$427,0))*('Koszty operacyjne'!$K$114:$X$114=Moduły!L$77)*ISNUMBER(MATCH(st_wnp_kw,tak,0)),st_wnp)</f>
        <v>0</v>
      </c>
      <c r="M438" s="356" cm="1">
        <f t="array" ref="M438">SUMPRODUCT(ISNUMBER(MATCH(mod_st_wnp,$B$427,0))*('Koszty operacyjne'!$K$114:$X$114=Moduły!M$77)*ISNUMBER(MATCH(st_wnp_kw,tak,0)),st_wnp)</f>
        <v>0</v>
      </c>
      <c r="N438" s="356" cm="1">
        <f t="array" ref="N438">SUMPRODUCT(ISNUMBER(MATCH(mod_st_wnp,$B$427,0))*('Koszty operacyjne'!$K$114:$X$114=Moduły!N$77)*ISNUMBER(MATCH(st_wnp_kw,tak,0)),st_wnp)</f>
        <v>0</v>
      </c>
      <c r="O438" s="356" cm="1">
        <f t="array" ref="O438">SUMPRODUCT(ISNUMBER(MATCH(mod_st_wnp,$B$427,0))*('Koszty operacyjne'!$K$114:$X$114=Moduły!O$77)*ISNUMBER(MATCH(st_wnp_kw,tak,0)),st_wnp)</f>
        <v>0</v>
      </c>
      <c r="P438" s="356" cm="1">
        <f t="array" ref="P438">SUMPRODUCT(ISNUMBER(MATCH(mod_st_wnp,$B$427,0))*('Koszty operacyjne'!$K$114:$X$114=Moduły!P$77)*ISNUMBER(MATCH(st_wnp_kw,tak,0)),st_wnp)</f>
        <v>0</v>
      </c>
    </row>
    <row r="439" spans="2:16" ht="12" customHeight="1">
      <c r="B439" s="357" t="s">
        <v>96</v>
      </c>
      <c r="C439" s="358" cm="1">
        <f t="array" ref="C439">SUMPRODUCT(ISNUMBER(MATCH(mod_st_wnp,$B$427,0))*('Koszty operacyjne'!$K$114:$X$114=Moduły!C$77)*ISNUMBER(MATCH(st_wnp_kw,nie,0)),st_wnp)</f>
        <v>0</v>
      </c>
      <c r="D439" s="358" cm="1">
        <f t="array" ref="D439">SUMPRODUCT(ISNUMBER(MATCH(mod_st_wnp,$B$427,0))*('Koszty operacyjne'!$K$114:$X$114=Moduły!D$77)*ISNUMBER(MATCH(st_wnp_kw,nie,0)),st_wnp)</f>
        <v>0</v>
      </c>
      <c r="E439" s="358" cm="1">
        <f t="array" ref="E439">SUMPRODUCT(ISNUMBER(MATCH(mod_st_wnp,$B$427,0))*('Koszty operacyjne'!$K$114:$X$114=Moduły!E$77)*ISNUMBER(MATCH(st_wnp_kw,nie,0)),st_wnp)</f>
        <v>0</v>
      </c>
      <c r="F439" s="358" cm="1">
        <f t="array" ref="F439">SUMPRODUCT(ISNUMBER(MATCH(mod_st_wnp,$B$427,0))*('Koszty operacyjne'!$K$114:$X$114=Moduły!F$77)*ISNUMBER(MATCH(st_wnp_kw,nie,0)),st_wnp)</f>
        <v>0</v>
      </c>
      <c r="G439" s="358" cm="1">
        <f t="array" ref="G439">SUMPRODUCT(ISNUMBER(MATCH(mod_st_wnp,$B$427,0))*('Koszty operacyjne'!$K$114:$X$114=Moduły!G$77)*ISNUMBER(MATCH(st_wnp_kw,nie,0)),st_wnp)</f>
        <v>0</v>
      </c>
      <c r="H439" s="358" cm="1">
        <f t="array" ref="H439">SUMPRODUCT(ISNUMBER(MATCH(mod_st_wnp,$B$427,0))*('Koszty operacyjne'!$K$114:$X$114=Moduły!H$77)*ISNUMBER(MATCH(st_wnp_kw,nie,0)),st_wnp)</f>
        <v>0</v>
      </c>
      <c r="I439" s="358" cm="1">
        <f t="array" ref="I439">SUMPRODUCT(ISNUMBER(MATCH(mod_st_wnp,$B$427,0))*('Koszty operacyjne'!$K$114:$X$114=Moduły!I$77)*ISNUMBER(MATCH(st_wnp_kw,nie,0)),st_wnp)</f>
        <v>0</v>
      </c>
      <c r="J439" s="358" cm="1">
        <f t="array" ref="J439">SUMPRODUCT(ISNUMBER(MATCH(mod_st_wnp,$B$427,0))*('Koszty operacyjne'!$K$114:$X$114=Moduły!J$77)*ISNUMBER(MATCH(st_wnp_kw,nie,0)),st_wnp)</f>
        <v>0</v>
      </c>
      <c r="K439" s="359" cm="1">
        <f t="array" ref="K439">SUMPRODUCT(ISNUMBER(MATCH(mod_st_wnp,$B$427,0))*('Koszty operacyjne'!$K$114:$X$114=Moduły!K$77)*ISNUMBER(MATCH(st_wnp_kw,nie,0)),st_wnp)</f>
        <v>0</v>
      </c>
      <c r="L439" s="359" cm="1">
        <f t="array" ref="L439">SUMPRODUCT(ISNUMBER(MATCH(mod_st_wnp,$B$427,0))*('Koszty operacyjne'!$K$114:$X$114=Moduły!L$77)*ISNUMBER(MATCH(st_wnp_kw,nie,0)),st_wnp)</f>
        <v>0</v>
      </c>
      <c r="M439" s="359" cm="1">
        <f t="array" ref="M439">SUMPRODUCT(ISNUMBER(MATCH(mod_st_wnp,$B$427,0))*('Koszty operacyjne'!$K$114:$X$114=Moduły!M$77)*ISNUMBER(MATCH(st_wnp_kw,nie,0)),st_wnp)</f>
        <v>0</v>
      </c>
      <c r="N439" s="359" cm="1">
        <f t="array" ref="N439">SUMPRODUCT(ISNUMBER(MATCH(mod_st_wnp,$B$427,0))*('Koszty operacyjne'!$K$114:$X$114=Moduły!N$77)*ISNUMBER(MATCH(st_wnp_kw,nie,0)),st_wnp)</f>
        <v>0</v>
      </c>
      <c r="O439" s="359" cm="1">
        <f t="array" ref="O439">SUMPRODUCT(ISNUMBER(MATCH(mod_st_wnp,$B$427,0))*('Koszty operacyjne'!$K$114:$X$114=Moduły!O$77)*ISNUMBER(MATCH(st_wnp_kw,nie,0)),st_wnp)</f>
        <v>0</v>
      </c>
      <c r="P439" s="359" cm="1">
        <f t="array" ref="P439">SUMPRODUCT(ISNUMBER(MATCH(mod_st_wnp,$B$427,0))*('Koszty operacyjne'!$K$114:$X$114=Moduły!P$77)*ISNUMBER(MATCH(st_wnp_kw,nie,0)),st_wnp)</f>
        <v>0</v>
      </c>
    </row>
    <row r="440" spans="2:16" ht="3.9" customHeight="1">
      <c r="B440" s="8"/>
      <c r="C440" s="361"/>
      <c r="D440" s="361"/>
      <c r="E440" s="361"/>
      <c r="F440" s="361"/>
      <c r="G440" s="361"/>
      <c r="H440" s="361"/>
      <c r="I440" s="361"/>
      <c r="J440" s="361"/>
      <c r="K440" s="362"/>
      <c r="L440" s="362"/>
      <c r="M440" s="362"/>
      <c r="N440" s="362"/>
      <c r="O440" s="362"/>
      <c r="P440" s="362"/>
    </row>
    <row r="441" spans="2:16" ht="12" customHeight="1">
      <c r="B441" s="353" t="s">
        <v>98</v>
      </c>
      <c r="C441" s="354">
        <f t="shared" ref="C441:P441" si="192">SUM(C442:C443)</f>
        <v>0</v>
      </c>
      <c r="D441" s="354">
        <f t="shared" si="192"/>
        <v>0</v>
      </c>
      <c r="E441" s="354">
        <f t="shared" si="192"/>
        <v>0</v>
      </c>
      <c r="F441" s="354">
        <f t="shared" si="192"/>
        <v>0</v>
      </c>
      <c r="G441" s="354">
        <f t="shared" si="192"/>
        <v>0</v>
      </c>
      <c r="H441" s="354">
        <f t="shared" si="192"/>
        <v>0</v>
      </c>
      <c r="I441" s="354">
        <f t="shared" si="192"/>
        <v>0</v>
      </c>
      <c r="J441" s="354">
        <f t="shared" si="192"/>
        <v>0</v>
      </c>
      <c r="K441" s="354">
        <f t="shared" si="192"/>
        <v>0</v>
      </c>
      <c r="L441" s="354">
        <f t="shared" si="192"/>
        <v>0</v>
      </c>
      <c r="M441" s="354">
        <f t="shared" si="192"/>
        <v>0</v>
      </c>
      <c r="N441" s="354">
        <f t="shared" si="192"/>
        <v>0</v>
      </c>
      <c r="O441" s="354">
        <f t="shared" si="192"/>
        <v>0</v>
      </c>
      <c r="P441" s="354">
        <f t="shared" si="192"/>
        <v>0</v>
      </c>
    </row>
    <row r="442" spans="2:16" ht="12" customHeight="1">
      <c r="B442" s="355" t="s">
        <v>95</v>
      </c>
      <c r="C442" s="356" cm="1">
        <f t="array" ref="C442">SUMPRODUCT(ISNUMBER(MATCH(mod_st_gry,$B$427,0))*('Koszty operacyjne'!$K$114:$X$114=Moduły!C$77)*ISNUMBER(MATCH(st_gry_kw,tak,0)),st_gry)</f>
        <v>0</v>
      </c>
      <c r="D442" s="356" cm="1">
        <f t="array" ref="D442">SUMPRODUCT(ISNUMBER(MATCH(mod_st_gry,$B$427,0))*('Koszty operacyjne'!$K$114:$X$114=Moduły!D$77)*ISNUMBER(MATCH(st_gry_kw,tak,0)),st_gry)</f>
        <v>0</v>
      </c>
      <c r="E442" s="356" cm="1">
        <f t="array" ref="E442">SUMPRODUCT(ISNUMBER(MATCH(mod_st_gry,$B$427,0))*('Koszty operacyjne'!$K$114:$X$114=Moduły!E$77)*ISNUMBER(MATCH(st_gry_kw,tak,0)),st_gry)</f>
        <v>0</v>
      </c>
      <c r="F442" s="356" cm="1">
        <f t="array" ref="F442">SUMPRODUCT(ISNUMBER(MATCH(mod_st_gry,$B$427,0))*('Koszty operacyjne'!$K$114:$X$114=Moduły!F$77)*ISNUMBER(MATCH(st_gry_kw,tak,0)),st_gry)</f>
        <v>0</v>
      </c>
      <c r="G442" s="356" cm="1">
        <f t="array" ref="G442">SUMPRODUCT(ISNUMBER(MATCH(mod_st_gry,$B$427,0))*('Koszty operacyjne'!$K$114:$X$114=Moduły!G$77)*ISNUMBER(MATCH(st_gry_kw,tak,0)),st_gry)</f>
        <v>0</v>
      </c>
      <c r="H442" s="356" cm="1">
        <f t="array" ref="H442">SUMPRODUCT(ISNUMBER(MATCH(mod_st_gry,$B$427,0))*('Koszty operacyjne'!$K$114:$X$114=Moduły!H$77)*ISNUMBER(MATCH(st_gry_kw,tak,0)),st_gry)</f>
        <v>0</v>
      </c>
      <c r="I442" s="356" cm="1">
        <f t="array" ref="I442">SUMPRODUCT(ISNUMBER(MATCH(mod_st_gry,$B$427,0))*('Koszty operacyjne'!$K$114:$X$114=Moduły!I$77)*ISNUMBER(MATCH(st_gry_kw,tak,0)),st_gry)</f>
        <v>0</v>
      </c>
      <c r="J442" s="356" cm="1">
        <f t="array" ref="J442">SUMPRODUCT(ISNUMBER(MATCH(mod_st_gry,$B$427,0))*('Koszty operacyjne'!$K$114:$X$114=Moduły!J$77)*ISNUMBER(MATCH(st_gry_kw,tak,0)),st_gry)</f>
        <v>0</v>
      </c>
      <c r="K442" s="356" cm="1">
        <f t="array" ref="K442">SUMPRODUCT(ISNUMBER(MATCH(mod_st_gry,$B$427,0))*('Koszty operacyjne'!$K$114:$X$114=Moduły!K$77)*ISNUMBER(MATCH(st_gry_kw,tak,0)),st_gry)</f>
        <v>0</v>
      </c>
      <c r="L442" s="356" cm="1">
        <f t="array" ref="L442">SUMPRODUCT(ISNUMBER(MATCH(mod_st_gry,$B$427,0))*('Koszty operacyjne'!$K$114:$X$114=Moduły!L$77)*ISNUMBER(MATCH(st_gry_kw,tak,0)),st_gry)</f>
        <v>0</v>
      </c>
      <c r="M442" s="356" cm="1">
        <f t="array" ref="M442">SUMPRODUCT(ISNUMBER(MATCH(mod_st_gry,$B$427,0))*('Koszty operacyjne'!$K$114:$X$114=Moduły!M$77)*ISNUMBER(MATCH(st_gry_kw,tak,0)),st_gry)</f>
        <v>0</v>
      </c>
      <c r="N442" s="356" cm="1">
        <f t="array" ref="N442">SUMPRODUCT(ISNUMBER(MATCH(mod_st_gry,$B$427,0))*('Koszty operacyjne'!$K$114:$X$114=Moduły!N$77)*ISNUMBER(MATCH(st_gry_kw,tak,0)),st_gry)</f>
        <v>0</v>
      </c>
      <c r="O442" s="356" cm="1">
        <f t="array" ref="O442">SUMPRODUCT(ISNUMBER(MATCH(mod_st_gry,$B$427,0))*('Koszty operacyjne'!$K$114:$X$114=Moduły!O$77)*ISNUMBER(MATCH(st_gry_kw,tak,0)),st_gry)</f>
        <v>0</v>
      </c>
      <c r="P442" s="356" cm="1">
        <f t="array" ref="P442">SUMPRODUCT(ISNUMBER(MATCH(mod_st_gry,$B$427,0))*('Koszty operacyjne'!$K$114:$X$114=Moduły!P$77)*ISNUMBER(MATCH(st_gry_kw,tak,0)),st_gry)</f>
        <v>0</v>
      </c>
    </row>
    <row r="443" spans="2:16" ht="12" customHeight="1">
      <c r="B443" s="357" t="s">
        <v>96</v>
      </c>
      <c r="C443" s="358" cm="1">
        <f t="array" ref="C443">SUMPRODUCT(ISNUMBER(MATCH(mod_st_gry,$B$427,0))*('Koszty operacyjne'!$K$114:$X$114=Moduły!C$77)*ISNUMBER(MATCH(st_gry_kw,nie,0)),st_gry)</f>
        <v>0</v>
      </c>
      <c r="D443" s="358" cm="1">
        <f t="array" ref="D443">SUMPRODUCT(ISNUMBER(MATCH(mod_st_gry,$B$427,0))*('Koszty operacyjne'!$K$114:$X$114=Moduły!D$77)*ISNUMBER(MATCH(st_gry_kw,nie,0)),st_gry)</f>
        <v>0</v>
      </c>
      <c r="E443" s="358" cm="1">
        <f t="array" ref="E443">SUMPRODUCT(ISNUMBER(MATCH(mod_st_gry,$B$427,0))*('Koszty operacyjne'!$K$114:$X$114=Moduły!E$77)*ISNUMBER(MATCH(st_gry_kw,nie,0)),st_gry)</f>
        <v>0</v>
      </c>
      <c r="F443" s="358" cm="1">
        <f t="array" ref="F443">SUMPRODUCT(ISNUMBER(MATCH(mod_st_gry,$B$427,0))*('Koszty operacyjne'!$K$114:$X$114=Moduły!F$77)*ISNUMBER(MATCH(st_gry_kw,nie,0)),st_gry)</f>
        <v>0</v>
      </c>
      <c r="G443" s="358" cm="1">
        <f t="array" ref="G443">SUMPRODUCT(ISNUMBER(MATCH(mod_st_gry,$B$427,0))*('Koszty operacyjne'!$K$114:$X$114=Moduły!G$77)*ISNUMBER(MATCH(st_gry_kw,nie,0)),st_gry)</f>
        <v>0</v>
      </c>
      <c r="H443" s="358" cm="1">
        <f t="array" ref="H443">SUMPRODUCT(ISNUMBER(MATCH(mod_st_gry,$B$427,0))*('Koszty operacyjne'!$K$114:$X$114=Moduły!H$77)*ISNUMBER(MATCH(st_gry_kw,nie,0)),st_gry)</f>
        <v>0</v>
      </c>
      <c r="I443" s="358" cm="1">
        <f t="array" ref="I443">SUMPRODUCT(ISNUMBER(MATCH(mod_st_gry,$B$427,0))*('Koszty operacyjne'!$K$114:$X$114=Moduły!I$77)*ISNUMBER(MATCH(st_gry_kw,nie,0)),st_gry)</f>
        <v>0</v>
      </c>
      <c r="J443" s="358" cm="1">
        <f t="array" ref="J443">SUMPRODUCT(ISNUMBER(MATCH(mod_st_gry,$B$427,0))*('Koszty operacyjne'!$K$114:$X$114=Moduły!J$77)*ISNUMBER(MATCH(st_gry_kw,nie,0)),st_gry)</f>
        <v>0</v>
      </c>
      <c r="K443" s="359" cm="1">
        <f t="array" ref="K443">SUMPRODUCT(ISNUMBER(MATCH(mod_st_gry,$B$427,0))*('Koszty operacyjne'!$K$114:$X$114=Moduły!K$77)*ISNUMBER(MATCH(st_gry_kw,nie,0)),st_gry)</f>
        <v>0</v>
      </c>
      <c r="L443" s="359" cm="1">
        <f t="array" ref="L443">SUMPRODUCT(ISNUMBER(MATCH(mod_st_gry,$B$427,0))*('Koszty operacyjne'!$K$114:$X$114=Moduły!L$77)*ISNUMBER(MATCH(st_gry_kw,nie,0)),st_gry)</f>
        <v>0</v>
      </c>
      <c r="M443" s="359" cm="1">
        <f t="array" ref="M443">SUMPRODUCT(ISNUMBER(MATCH(mod_st_gry,$B$427,0))*('Koszty operacyjne'!$K$114:$X$114=Moduły!M$77)*ISNUMBER(MATCH(st_gry_kw,nie,0)),st_gry)</f>
        <v>0</v>
      </c>
      <c r="N443" s="359" cm="1">
        <f t="array" ref="N443">SUMPRODUCT(ISNUMBER(MATCH(mod_st_gry,$B$427,0))*('Koszty operacyjne'!$K$114:$X$114=Moduły!N$77)*ISNUMBER(MATCH(st_gry_kw,nie,0)),st_gry)</f>
        <v>0</v>
      </c>
      <c r="O443" s="359" cm="1">
        <f t="array" ref="O443">SUMPRODUCT(ISNUMBER(MATCH(mod_st_gry,$B$427,0))*('Koszty operacyjne'!$K$114:$X$114=Moduły!O$77)*ISNUMBER(MATCH(st_gry_kw,nie,0)),st_gry)</f>
        <v>0</v>
      </c>
      <c r="P443" s="359" cm="1">
        <f t="array" ref="P443">SUMPRODUCT(ISNUMBER(MATCH(mod_st_gry,$B$427,0))*('Koszty operacyjne'!$K$114:$X$114=Moduły!P$77)*ISNUMBER(MATCH(st_gry_kw,nie,0)),st_gry)</f>
        <v>0</v>
      </c>
    </row>
    <row r="444" spans="2:16" ht="3.9" customHeight="1">
      <c r="B444" s="8"/>
      <c r="C444" s="361"/>
      <c r="D444" s="361"/>
      <c r="E444" s="361"/>
      <c r="F444" s="361"/>
      <c r="G444" s="361"/>
      <c r="H444" s="361"/>
      <c r="I444" s="361"/>
      <c r="J444" s="361"/>
      <c r="K444" s="362"/>
      <c r="L444" s="362"/>
      <c r="M444" s="362"/>
      <c r="N444" s="362"/>
      <c r="O444" s="362"/>
      <c r="P444" s="362"/>
    </row>
    <row r="445" spans="2:16" ht="12" customHeight="1">
      <c r="B445" s="353" t="s">
        <v>99</v>
      </c>
      <c r="C445" s="354">
        <f t="shared" ref="C445:P445" si="193">SUM(C446:C447)</f>
        <v>0</v>
      </c>
      <c r="D445" s="354">
        <f t="shared" si="193"/>
        <v>0</v>
      </c>
      <c r="E445" s="354">
        <f t="shared" si="193"/>
        <v>0</v>
      </c>
      <c r="F445" s="354">
        <f t="shared" si="193"/>
        <v>0</v>
      </c>
      <c r="G445" s="354">
        <f t="shared" si="193"/>
        <v>0</v>
      </c>
      <c r="H445" s="354">
        <f t="shared" si="193"/>
        <v>0</v>
      </c>
      <c r="I445" s="354">
        <f t="shared" si="193"/>
        <v>0</v>
      </c>
      <c r="J445" s="354">
        <f t="shared" si="193"/>
        <v>0</v>
      </c>
      <c r="K445" s="354">
        <f t="shared" si="193"/>
        <v>0</v>
      </c>
      <c r="L445" s="354">
        <f t="shared" si="193"/>
        <v>0</v>
      </c>
      <c r="M445" s="354">
        <f t="shared" si="193"/>
        <v>0</v>
      </c>
      <c r="N445" s="354">
        <f t="shared" si="193"/>
        <v>0</v>
      </c>
      <c r="O445" s="354">
        <f t="shared" si="193"/>
        <v>0</v>
      </c>
      <c r="P445" s="354">
        <f t="shared" si="193"/>
        <v>0</v>
      </c>
    </row>
    <row r="446" spans="2:16" ht="12" customHeight="1">
      <c r="B446" s="355" t="s">
        <v>95</v>
      </c>
      <c r="C446" s="356" cm="1">
        <f t="array" ref="C446">SUMPRODUCT(ISNUMBER(MATCH(mod_st_bib,$B$427,0))*('Koszty operacyjne'!$K$114:$X$114=Moduły!C$77)*ISNUMBER(MATCH(st_bib_kw,tak,0)),st_bib)+SUMPRODUCT(ISNUMBER(MATCH(mod_st_bib_wbudowie,$B$427,0))*('Koszty operacyjne'!$K$114:$X$114=Moduły!C$77)*ISNUMBER(MATCH(st_bib_wbudowie_kw,tak,0)),st_bib_wbudowie)</f>
        <v>0</v>
      </c>
      <c r="D446" s="356" cm="1">
        <f t="array" ref="D446">SUMPRODUCT(ISNUMBER(MATCH(mod_st_bib,$B$427,0))*('Koszty operacyjne'!$K$114:$X$114=Moduły!D$77)*ISNUMBER(MATCH(st_bib_kw,tak,0)),st_bib)+SUMPRODUCT(ISNUMBER(MATCH(mod_st_bib_wbudowie,$B$427,0))*('Koszty operacyjne'!$K$114:$X$114=Moduły!D$77)*ISNUMBER(MATCH(st_bib_wbudowie_kw,tak,0)),st_bib_wbudowie)</f>
        <v>0</v>
      </c>
      <c r="E446" s="356" cm="1">
        <f t="array" ref="E446">SUMPRODUCT(ISNUMBER(MATCH(mod_st_bib,$B$427,0))*('Koszty operacyjne'!$K$114:$X$114=Moduły!E$77)*ISNUMBER(MATCH(st_bib_kw,tak,0)),st_bib)+SUMPRODUCT(ISNUMBER(MATCH(mod_st_bib_wbudowie,$B$427,0))*('Koszty operacyjne'!$K$114:$X$114=Moduły!E$77)*ISNUMBER(MATCH(st_bib_wbudowie_kw,tak,0)),st_bib_wbudowie)</f>
        <v>0</v>
      </c>
      <c r="F446" s="356" cm="1">
        <f t="array" ref="F446">SUMPRODUCT(ISNUMBER(MATCH(mod_st_bib,$B$427,0))*('Koszty operacyjne'!$K$114:$X$114=Moduły!F$77)*ISNUMBER(MATCH(st_bib_kw,tak,0)),st_bib)+SUMPRODUCT(ISNUMBER(MATCH(mod_st_bib_wbudowie,$B$427,0))*('Koszty operacyjne'!$K$114:$X$114=Moduły!F$77)*ISNUMBER(MATCH(st_bib_wbudowie_kw,tak,0)),st_bib_wbudowie)</f>
        <v>0</v>
      </c>
      <c r="G446" s="356" cm="1">
        <f t="array" ref="G446">SUMPRODUCT(ISNUMBER(MATCH(mod_st_bib,$B$427,0))*('Koszty operacyjne'!$K$114:$X$114=Moduły!G$77)*ISNUMBER(MATCH(st_bib_kw,tak,0)),st_bib)+SUMPRODUCT(ISNUMBER(MATCH(mod_st_bib_wbudowie,$B$427,0))*('Koszty operacyjne'!$K$114:$X$114=Moduły!G$77)*ISNUMBER(MATCH(st_bib_wbudowie_kw,tak,0)),st_bib_wbudowie)</f>
        <v>0</v>
      </c>
      <c r="H446" s="356" cm="1">
        <f t="array" ref="H446">SUMPRODUCT(ISNUMBER(MATCH(mod_st_bib,$B$427,0))*('Koszty operacyjne'!$K$114:$X$114=Moduły!H$77)*ISNUMBER(MATCH(st_bib_kw,tak,0)),st_bib)+SUMPRODUCT(ISNUMBER(MATCH(mod_st_bib_wbudowie,$B$427,0))*('Koszty operacyjne'!$K$114:$X$114=Moduły!H$77)*ISNUMBER(MATCH(st_bib_wbudowie_kw,tak,0)),st_bib_wbudowie)</f>
        <v>0</v>
      </c>
      <c r="I446" s="356" cm="1">
        <f t="array" ref="I446">SUMPRODUCT(ISNUMBER(MATCH(mod_st_bib,$B$427,0))*('Koszty operacyjne'!$K$114:$X$114=Moduły!I$77)*ISNUMBER(MATCH(st_bib_kw,tak,0)),st_bib)+SUMPRODUCT(ISNUMBER(MATCH(mod_st_bib_wbudowie,$B$427,0))*('Koszty operacyjne'!$K$114:$X$114=Moduły!I$77)*ISNUMBER(MATCH(st_bib_wbudowie_kw,tak,0)),st_bib_wbudowie)</f>
        <v>0</v>
      </c>
      <c r="J446" s="356" cm="1">
        <f t="array" ref="J446">SUMPRODUCT(ISNUMBER(MATCH(mod_st_bib,$B$427,0))*('Koszty operacyjne'!$K$114:$X$114=Moduły!J$77)*ISNUMBER(MATCH(st_bib_kw,tak,0)),st_bib)+SUMPRODUCT(ISNUMBER(MATCH(mod_st_bib_wbudowie,$B$427,0))*('Koszty operacyjne'!$K$114:$X$114=Moduły!J$77)*ISNUMBER(MATCH(st_bib_wbudowie_kw,tak,0)),st_bib_wbudowie)</f>
        <v>0</v>
      </c>
      <c r="K446" s="356" cm="1">
        <f t="array" ref="K446">SUMPRODUCT(ISNUMBER(MATCH(mod_st_bib,$B$427,0))*('Koszty operacyjne'!$K$114:$X$114=Moduły!K$77)*ISNUMBER(MATCH(st_bib_kw,tak,0)),st_bib)+SUMPRODUCT(ISNUMBER(MATCH(mod_st_bib_wbudowie,$B$427,0))*('Koszty operacyjne'!$K$114:$X$114=Moduły!K$77)*ISNUMBER(MATCH(st_bib_wbudowie_kw,tak,0)),st_bib_wbudowie)</f>
        <v>0</v>
      </c>
      <c r="L446" s="356" cm="1">
        <f t="array" ref="L446">SUMPRODUCT(ISNUMBER(MATCH(mod_st_bib,$B$427,0))*('Koszty operacyjne'!$K$114:$X$114=Moduły!L$77)*ISNUMBER(MATCH(st_bib_kw,tak,0)),st_bib)+SUMPRODUCT(ISNUMBER(MATCH(mod_st_bib_wbudowie,$B$427,0))*('Koszty operacyjne'!$K$114:$X$114=Moduły!L$77)*ISNUMBER(MATCH(st_bib_wbudowie_kw,tak,0)),st_bib_wbudowie)</f>
        <v>0</v>
      </c>
      <c r="M446" s="356" cm="1">
        <f t="array" ref="M446">SUMPRODUCT(ISNUMBER(MATCH(mod_st_bib,$B$427,0))*('Koszty operacyjne'!$K$114:$X$114=Moduły!M$77)*ISNUMBER(MATCH(st_bib_kw,tak,0)),st_bib)+SUMPRODUCT(ISNUMBER(MATCH(mod_st_bib_wbudowie,$B$427,0))*('Koszty operacyjne'!$K$114:$X$114=Moduły!M$77)*ISNUMBER(MATCH(st_bib_wbudowie_kw,tak,0)),st_bib_wbudowie)</f>
        <v>0</v>
      </c>
      <c r="N446" s="356" cm="1">
        <f t="array" ref="N446">SUMPRODUCT(ISNUMBER(MATCH(mod_st_bib,$B$427,0))*('Koszty operacyjne'!$K$114:$X$114=Moduły!N$77)*ISNUMBER(MATCH(st_bib_kw,tak,0)),st_bib)+SUMPRODUCT(ISNUMBER(MATCH(mod_st_bib_wbudowie,$B$427,0))*('Koszty operacyjne'!$K$114:$X$114=Moduły!N$77)*ISNUMBER(MATCH(st_bib_wbudowie_kw,tak,0)),st_bib_wbudowie)</f>
        <v>0</v>
      </c>
      <c r="O446" s="356" cm="1">
        <f t="array" ref="O446">SUMPRODUCT(ISNUMBER(MATCH(mod_st_bib,$B$427,0))*('Koszty operacyjne'!$K$114:$X$114=Moduły!O$77)*ISNUMBER(MATCH(st_bib_kw,tak,0)),st_bib)+SUMPRODUCT(ISNUMBER(MATCH(mod_st_bib_wbudowie,$B$427,0))*('Koszty operacyjne'!$K$114:$X$114=Moduły!O$77)*ISNUMBER(MATCH(st_bib_wbudowie_kw,tak,0)),st_bib_wbudowie)</f>
        <v>0</v>
      </c>
      <c r="P446" s="356" cm="1">
        <f t="array" ref="P446">SUMPRODUCT(ISNUMBER(MATCH(mod_st_bib,$B$427,0))*('Koszty operacyjne'!$K$114:$X$114=Moduły!P$77)*ISNUMBER(MATCH(st_bib_kw,tak,0)),st_bib)+SUMPRODUCT(ISNUMBER(MATCH(mod_st_bib_wbudowie,$B$427,0))*('Koszty operacyjne'!$K$114:$X$114=Moduły!P$77)*ISNUMBER(MATCH(st_bib_wbudowie_kw,tak,0)),st_bib_wbudowie)</f>
        <v>0</v>
      </c>
    </row>
    <row r="447" spans="2:16" ht="12" customHeight="1">
      <c r="B447" s="357" t="s">
        <v>96</v>
      </c>
      <c r="C447" s="358" cm="1">
        <f t="array" ref="C447">SUMPRODUCT(ISNUMBER(MATCH(mod_st_bib,$B$427,0))*('Koszty operacyjne'!$K$114:$X$114=Moduły!C$77)*ISNUMBER(MATCH(st_bib_kw,nie,0)),st_bib)+SUMPRODUCT(ISNUMBER(MATCH(mod_st_bib_wbudowie,$B$427,0))*('Koszty operacyjne'!$K$114:$X$114=Moduły!C$77)*ISNUMBER(MATCH(st_bib_wbudowie_kw,nie,0)),st_bib_wbudowie)</f>
        <v>0</v>
      </c>
      <c r="D447" s="358" cm="1">
        <f t="array" ref="D447">SUMPRODUCT(ISNUMBER(MATCH(mod_st_bib,$B$427,0))*('Koszty operacyjne'!$K$114:$X$114=Moduły!D$77)*ISNUMBER(MATCH(st_bib_kw,nie,0)),st_bib)+SUMPRODUCT(ISNUMBER(MATCH(mod_st_bib_wbudowie,$B$427,0))*('Koszty operacyjne'!$K$114:$X$114=Moduły!D$77)*ISNUMBER(MATCH(st_bib_wbudowie_kw,nie,0)),st_bib_wbudowie)</f>
        <v>0</v>
      </c>
      <c r="E447" s="358" cm="1">
        <f t="array" ref="E447">SUMPRODUCT(ISNUMBER(MATCH(mod_st_bib,$B$427,0))*('Koszty operacyjne'!$K$114:$X$114=Moduły!E$77)*ISNUMBER(MATCH(st_bib_kw,nie,0)),st_bib)+SUMPRODUCT(ISNUMBER(MATCH(mod_st_bib_wbudowie,$B$427,0))*('Koszty operacyjne'!$K$114:$X$114=Moduły!E$77)*ISNUMBER(MATCH(st_bib_wbudowie_kw,nie,0)),st_bib_wbudowie)</f>
        <v>0</v>
      </c>
      <c r="F447" s="358" cm="1">
        <f t="array" ref="F447">SUMPRODUCT(ISNUMBER(MATCH(mod_st_bib,$B$427,0))*('Koszty operacyjne'!$K$114:$X$114=Moduły!F$77)*ISNUMBER(MATCH(st_bib_kw,nie,0)),st_bib)+SUMPRODUCT(ISNUMBER(MATCH(mod_st_bib_wbudowie,$B$427,0))*('Koszty operacyjne'!$K$114:$X$114=Moduły!F$77)*ISNUMBER(MATCH(st_bib_wbudowie_kw,nie,0)),st_bib_wbudowie)</f>
        <v>0</v>
      </c>
      <c r="G447" s="358" cm="1">
        <f t="array" ref="G447">SUMPRODUCT(ISNUMBER(MATCH(mod_st_bib,$B$427,0))*('Koszty operacyjne'!$K$114:$X$114=Moduły!G$77)*ISNUMBER(MATCH(st_bib_kw,nie,0)),st_bib)+SUMPRODUCT(ISNUMBER(MATCH(mod_st_bib_wbudowie,$B$427,0))*('Koszty operacyjne'!$K$114:$X$114=Moduły!G$77)*ISNUMBER(MATCH(st_bib_wbudowie_kw,nie,0)),st_bib_wbudowie)</f>
        <v>0</v>
      </c>
      <c r="H447" s="358" cm="1">
        <f t="array" ref="H447">SUMPRODUCT(ISNUMBER(MATCH(mod_st_bib,$B$427,0))*('Koszty operacyjne'!$K$114:$X$114=Moduły!H$77)*ISNUMBER(MATCH(st_bib_kw,nie,0)),st_bib)+SUMPRODUCT(ISNUMBER(MATCH(mod_st_bib_wbudowie,$B$427,0))*('Koszty operacyjne'!$K$114:$X$114=Moduły!H$77)*ISNUMBER(MATCH(st_bib_wbudowie_kw,nie,0)),st_bib_wbudowie)</f>
        <v>0</v>
      </c>
      <c r="I447" s="358" cm="1">
        <f t="array" ref="I447">SUMPRODUCT(ISNUMBER(MATCH(mod_st_bib,$B$427,0))*('Koszty operacyjne'!$K$114:$X$114=Moduły!I$77)*ISNUMBER(MATCH(st_bib_kw,nie,0)),st_bib)+SUMPRODUCT(ISNUMBER(MATCH(mod_st_bib_wbudowie,$B$427,0))*('Koszty operacyjne'!$K$114:$X$114=Moduły!I$77)*ISNUMBER(MATCH(st_bib_wbudowie_kw,nie,0)),st_bib_wbudowie)</f>
        <v>0</v>
      </c>
      <c r="J447" s="358" cm="1">
        <f t="array" ref="J447">SUMPRODUCT(ISNUMBER(MATCH(mod_st_bib,$B$427,0))*('Koszty operacyjne'!$K$114:$X$114=Moduły!J$77)*ISNUMBER(MATCH(st_bib_kw,nie,0)),st_bib)+SUMPRODUCT(ISNUMBER(MATCH(mod_st_bib_wbudowie,$B$427,0))*('Koszty operacyjne'!$K$114:$X$114=Moduły!J$77)*ISNUMBER(MATCH(st_bib_wbudowie_kw,nie,0)),st_bib_wbudowie)</f>
        <v>0</v>
      </c>
      <c r="K447" s="358" cm="1">
        <f t="array" ref="K447">SUMPRODUCT(ISNUMBER(MATCH(mod_st_bib,$B$427,0))*('Koszty operacyjne'!$K$114:$X$114=Moduły!K$77)*ISNUMBER(MATCH(st_bib_kw,nie,0)),st_bib)+SUMPRODUCT(ISNUMBER(MATCH(mod_st_bib_wbudowie,$B$427,0))*('Koszty operacyjne'!$K$114:$X$114=Moduły!K$77)*ISNUMBER(MATCH(st_bib_wbudowie_kw,nie,0)),st_bib_wbudowie)</f>
        <v>0</v>
      </c>
      <c r="L447" s="358" cm="1">
        <f t="array" ref="L447">SUMPRODUCT(ISNUMBER(MATCH(mod_st_bib,$B$427,0))*('Koszty operacyjne'!$K$114:$X$114=Moduły!L$77)*ISNUMBER(MATCH(st_bib_kw,nie,0)),st_bib)+SUMPRODUCT(ISNUMBER(MATCH(mod_st_bib_wbudowie,$B$427,0))*('Koszty operacyjne'!$K$114:$X$114=Moduły!L$77)*ISNUMBER(MATCH(st_bib_wbudowie_kw,nie,0)),st_bib_wbudowie)</f>
        <v>0</v>
      </c>
      <c r="M447" s="358" cm="1">
        <f t="array" ref="M447">SUMPRODUCT(ISNUMBER(MATCH(mod_st_bib,$B$427,0))*('Koszty operacyjne'!$K$114:$X$114=Moduły!M$77)*ISNUMBER(MATCH(st_bib_kw,nie,0)),st_bib)+SUMPRODUCT(ISNUMBER(MATCH(mod_st_bib_wbudowie,$B$427,0))*('Koszty operacyjne'!$K$114:$X$114=Moduły!M$77)*ISNUMBER(MATCH(st_bib_wbudowie_kw,nie,0)),st_bib_wbudowie)</f>
        <v>0</v>
      </c>
      <c r="N447" s="358" cm="1">
        <f t="array" ref="N447">SUMPRODUCT(ISNUMBER(MATCH(mod_st_bib,$B$427,0))*('Koszty operacyjne'!$K$114:$X$114=Moduły!N$77)*ISNUMBER(MATCH(st_bib_kw,nie,0)),st_bib)+SUMPRODUCT(ISNUMBER(MATCH(mod_st_bib_wbudowie,$B$427,0))*('Koszty operacyjne'!$K$114:$X$114=Moduły!N$77)*ISNUMBER(MATCH(st_bib_wbudowie_kw,nie,0)),st_bib_wbudowie)</f>
        <v>0</v>
      </c>
      <c r="O447" s="358" cm="1">
        <f t="array" ref="O447">SUMPRODUCT(ISNUMBER(MATCH(mod_st_bib,$B$427,0))*('Koszty operacyjne'!$K$114:$X$114=Moduły!O$77)*ISNUMBER(MATCH(st_bib_kw,nie,0)),st_bib)+SUMPRODUCT(ISNUMBER(MATCH(mod_st_bib_wbudowie,$B$427,0))*('Koszty operacyjne'!$K$114:$X$114=Moduły!O$77)*ISNUMBER(MATCH(st_bib_wbudowie_kw,nie,0)),st_bib_wbudowie)</f>
        <v>0</v>
      </c>
      <c r="P447" s="358" cm="1">
        <f t="array" ref="P447">SUMPRODUCT(ISNUMBER(MATCH(mod_st_bib,$B$427,0))*('Koszty operacyjne'!$K$114:$X$114=Moduły!P$77)*ISNUMBER(MATCH(st_bib_kw,nie,0)),st_bib)+SUMPRODUCT(ISNUMBER(MATCH(mod_st_bib_wbudowie,$B$427,0))*('Koszty operacyjne'!$K$114:$X$114=Moduły!P$77)*ISNUMBER(MATCH(st_bib_wbudowie_kw,nie,0)),st_bib_wbudowie)</f>
        <v>0</v>
      </c>
    </row>
    <row r="448" spans="2:16" ht="3.9" customHeight="1">
      <c r="B448" s="8"/>
      <c r="C448" s="361"/>
      <c r="D448" s="361"/>
      <c r="E448" s="361"/>
      <c r="F448" s="361"/>
      <c r="G448" s="361"/>
      <c r="H448" s="361"/>
      <c r="I448" s="361"/>
      <c r="J448" s="361"/>
      <c r="K448" s="362"/>
      <c r="L448" s="362"/>
      <c r="M448" s="362"/>
      <c r="N448" s="362"/>
      <c r="O448" s="362"/>
      <c r="P448" s="362"/>
    </row>
    <row r="449" spans="2:16" ht="12" customHeight="1">
      <c r="B449" s="353" t="s">
        <v>100</v>
      </c>
      <c r="C449" s="354">
        <f t="shared" ref="C449:P449" si="194">SUM(C450:C451)</f>
        <v>0</v>
      </c>
      <c r="D449" s="354">
        <f t="shared" si="194"/>
        <v>0</v>
      </c>
      <c r="E449" s="354">
        <f t="shared" si="194"/>
        <v>0</v>
      </c>
      <c r="F449" s="354">
        <f t="shared" si="194"/>
        <v>0</v>
      </c>
      <c r="G449" s="354">
        <f t="shared" si="194"/>
        <v>0</v>
      </c>
      <c r="H449" s="354">
        <f t="shared" si="194"/>
        <v>0</v>
      </c>
      <c r="I449" s="354">
        <f t="shared" si="194"/>
        <v>0</v>
      </c>
      <c r="J449" s="354">
        <f t="shared" si="194"/>
        <v>0</v>
      </c>
      <c r="K449" s="354">
        <f t="shared" si="194"/>
        <v>0</v>
      </c>
      <c r="L449" s="354">
        <f t="shared" si="194"/>
        <v>0</v>
      </c>
      <c r="M449" s="354">
        <f t="shared" si="194"/>
        <v>0</v>
      </c>
      <c r="N449" s="354">
        <f t="shared" si="194"/>
        <v>0</v>
      </c>
      <c r="O449" s="354">
        <f t="shared" si="194"/>
        <v>0</v>
      </c>
      <c r="P449" s="354">
        <f t="shared" si="194"/>
        <v>0</v>
      </c>
    </row>
    <row r="450" spans="2:16" ht="12" customHeight="1">
      <c r="B450" s="355" t="s">
        <v>95</v>
      </c>
      <c r="C450" s="356" cm="1">
        <f t="array" ref="C450">SUMPRODUCT(ISNUMBER(MATCH(mod_st_utm,$B$427,0))*('Koszty operacyjne'!$K$114:$X$114=Moduły!C$77)*ISNUMBER(MATCH(st_utm_kw,tak,0)),st_utm)+SUMPRODUCT(ISNUMBER(MATCH(mod_st_utm_wbudowie,$B$427,0))*('Koszty operacyjne'!$K$114:$X$114=Moduły!C$77)*ISNUMBER(MATCH(st_utm_kw_wbudowie,tak,0)),st_utm_wbudowie)</f>
        <v>0</v>
      </c>
      <c r="D450" s="356" cm="1">
        <f t="array" ref="D450">SUMPRODUCT(ISNUMBER(MATCH(mod_st_utm,$B$427,0))*('Koszty operacyjne'!$K$114:$X$114=Moduły!D$77)*ISNUMBER(MATCH(st_utm_kw,tak,0)),st_utm)+SUMPRODUCT(ISNUMBER(MATCH(mod_st_utm_wbudowie,$B$427,0))*('Koszty operacyjne'!$K$114:$X$114=Moduły!D$77)*ISNUMBER(MATCH(st_utm_kw_wbudowie,tak,0)),st_utm_wbudowie)</f>
        <v>0</v>
      </c>
      <c r="E450" s="356" cm="1">
        <f t="array" ref="E450">SUMPRODUCT(ISNUMBER(MATCH(mod_st_utm,$B$427,0))*('Koszty operacyjne'!$K$114:$X$114=Moduły!E$77)*ISNUMBER(MATCH(st_utm_kw,tak,0)),st_utm)+SUMPRODUCT(ISNUMBER(MATCH(mod_st_utm_wbudowie,$B$427,0))*('Koszty operacyjne'!$K$114:$X$114=Moduły!E$77)*ISNUMBER(MATCH(st_utm_kw_wbudowie,tak,0)),st_utm_wbudowie)</f>
        <v>0</v>
      </c>
      <c r="F450" s="356" cm="1">
        <f t="array" ref="F450">SUMPRODUCT(ISNUMBER(MATCH(mod_st_utm,$B$427,0))*('Koszty operacyjne'!$K$114:$X$114=Moduły!F$77)*ISNUMBER(MATCH(st_utm_kw,tak,0)),st_utm)+SUMPRODUCT(ISNUMBER(MATCH(mod_st_utm_wbudowie,$B$427,0))*('Koszty operacyjne'!$K$114:$X$114=Moduły!F$77)*ISNUMBER(MATCH(st_utm_kw_wbudowie,tak,0)),st_utm_wbudowie)</f>
        <v>0</v>
      </c>
      <c r="G450" s="356" cm="1">
        <f t="array" ref="G450">SUMPRODUCT(ISNUMBER(MATCH(mod_st_utm,$B$427,0))*('Koszty operacyjne'!$K$114:$X$114=Moduły!G$77)*ISNUMBER(MATCH(st_utm_kw,tak,0)),st_utm)+SUMPRODUCT(ISNUMBER(MATCH(mod_st_utm_wbudowie,$B$427,0))*('Koszty operacyjne'!$K$114:$X$114=Moduły!G$77)*ISNUMBER(MATCH(st_utm_kw_wbudowie,tak,0)),st_utm_wbudowie)</f>
        <v>0</v>
      </c>
      <c r="H450" s="356" cm="1">
        <f t="array" ref="H450">SUMPRODUCT(ISNUMBER(MATCH(mod_st_utm,$B$427,0))*('Koszty operacyjne'!$K$114:$X$114=Moduły!H$77)*ISNUMBER(MATCH(st_utm_kw,tak,0)),st_utm)+SUMPRODUCT(ISNUMBER(MATCH(mod_st_utm_wbudowie,$B$427,0))*('Koszty operacyjne'!$K$114:$X$114=Moduły!H$77)*ISNUMBER(MATCH(st_utm_kw_wbudowie,tak,0)),st_utm_wbudowie)</f>
        <v>0</v>
      </c>
      <c r="I450" s="356" cm="1">
        <f t="array" ref="I450">SUMPRODUCT(ISNUMBER(MATCH(mod_st_utm,$B$427,0))*('Koszty operacyjne'!$K$114:$X$114=Moduły!I$77)*ISNUMBER(MATCH(st_utm_kw,tak,0)),st_utm)+SUMPRODUCT(ISNUMBER(MATCH(mod_st_utm_wbudowie,$B$427,0))*('Koszty operacyjne'!$K$114:$X$114=Moduły!I$77)*ISNUMBER(MATCH(st_utm_kw_wbudowie,tak,0)),st_utm_wbudowie)</f>
        <v>0</v>
      </c>
      <c r="J450" s="356" cm="1">
        <f t="array" ref="J450">SUMPRODUCT(ISNUMBER(MATCH(mod_st_utm,$B$427,0))*('Koszty operacyjne'!$K$114:$X$114=Moduły!J$77)*ISNUMBER(MATCH(st_utm_kw,tak,0)),st_utm)+SUMPRODUCT(ISNUMBER(MATCH(mod_st_utm_wbudowie,$B$427,0))*('Koszty operacyjne'!$K$114:$X$114=Moduły!J$77)*ISNUMBER(MATCH(st_utm_kw_wbudowie,tak,0)),st_utm_wbudowie)</f>
        <v>0</v>
      </c>
      <c r="K450" s="356" cm="1">
        <f t="array" ref="K450">SUMPRODUCT(ISNUMBER(MATCH(mod_st_utm,$B$427,0))*('Koszty operacyjne'!$K$114:$X$114=Moduły!K$77)*ISNUMBER(MATCH(st_utm_kw,tak,0)),st_utm)+SUMPRODUCT(ISNUMBER(MATCH(mod_st_utm_wbudowie,$B$427,0))*('Koszty operacyjne'!$K$114:$X$114=Moduły!K$77)*ISNUMBER(MATCH(st_utm_kw_wbudowie,tak,0)),st_utm_wbudowie)</f>
        <v>0</v>
      </c>
      <c r="L450" s="356" cm="1">
        <f t="array" ref="L450">SUMPRODUCT(ISNUMBER(MATCH(mod_st_utm,$B$427,0))*('Koszty operacyjne'!$K$114:$X$114=Moduły!L$77)*ISNUMBER(MATCH(st_utm_kw,tak,0)),st_utm)+SUMPRODUCT(ISNUMBER(MATCH(mod_st_utm_wbudowie,$B$427,0))*('Koszty operacyjne'!$K$114:$X$114=Moduły!L$77)*ISNUMBER(MATCH(st_utm_kw_wbudowie,tak,0)),st_utm_wbudowie)</f>
        <v>0</v>
      </c>
      <c r="M450" s="356" cm="1">
        <f t="array" ref="M450">SUMPRODUCT(ISNUMBER(MATCH(mod_st_utm,$B$427,0))*('Koszty operacyjne'!$K$114:$X$114=Moduły!M$77)*ISNUMBER(MATCH(st_utm_kw,tak,0)),st_utm)+SUMPRODUCT(ISNUMBER(MATCH(mod_st_utm_wbudowie,$B$427,0))*('Koszty operacyjne'!$K$114:$X$114=Moduły!M$77)*ISNUMBER(MATCH(st_utm_kw_wbudowie,tak,0)),st_utm_wbudowie)</f>
        <v>0</v>
      </c>
      <c r="N450" s="356" cm="1">
        <f t="array" ref="N450">SUMPRODUCT(ISNUMBER(MATCH(mod_st_utm,$B$427,0))*('Koszty operacyjne'!$K$114:$X$114=Moduły!N$77)*ISNUMBER(MATCH(st_utm_kw,tak,0)),st_utm)+SUMPRODUCT(ISNUMBER(MATCH(mod_st_utm_wbudowie,$B$427,0))*('Koszty operacyjne'!$K$114:$X$114=Moduły!N$77)*ISNUMBER(MATCH(st_utm_kw_wbudowie,tak,0)),st_utm_wbudowie)</f>
        <v>0</v>
      </c>
      <c r="O450" s="356" cm="1">
        <f t="array" ref="O450">SUMPRODUCT(ISNUMBER(MATCH(mod_st_utm,$B$427,0))*('Koszty operacyjne'!$K$114:$X$114=Moduły!O$77)*ISNUMBER(MATCH(st_utm_kw,tak,0)),st_utm)+SUMPRODUCT(ISNUMBER(MATCH(mod_st_utm_wbudowie,$B$427,0))*('Koszty operacyjne'!$K$114:$X$114=Moduły!O$77)*ISNUMBER(MATCH(st_utm_kw_wbudowie,tak,0)),st_utm_wbudowie)</f>
        <v>0</v>
      </c>
      <c r="P450" s="356" cm="1">
        <f t="array" ref="P450">SUMPRODUCT(ISNUMBER(MATCH(mod_st_utm,$B$427,0))*('Koszty operacyjne'!$K$114:$X$114=Moduły!P$77)*ISNUMBER(MATCH(st_utm_kw,tak,0)),st_utm)+SUMPRODUCT(ISNUMBER(MATCH(mod_st_utm_wbudowie,$B$427,0))*('Koszty operacyjne'!$K$114:$X$114=Moduły!P$77)*ISNUMBER(MATCH(st_utm_kw_wbudowie,tak,0)),st_utm_wbudowie)</f>
        <v>0</v>
      </c>
    </row>
    <row r="451" spans="2:16" ht="12" customHeight="1">
      <c r="B451" s="357" t="s">
        <v>96</v>
      </c>
      <c r="C451" s="358" cm="1">
        <f t="array" ref="C451">SUMPRODUCT(ISNUMBER(MATCH(mod_st_utm,$B$427,0))*('Koszty operacyjne'!$K$114:$X$114=Moduły!C$77)*ISNUMBER(MATCH(st_utm_kw,nie,0)),st_utm)+SUMPRODUCT(ISNUMBER(MATCH(mod_st_utm_wbudowie,$B$427,0))*('Koszty operacyjne'!$K$114:$X$114=Moduły!C$77)*ISNUMBER(MATCH(st_utm_kw_wbudowie,nie,0)),st_utm_wbudowie)</f>
        <v>0</v>
      </c>
      <c r="D451" s="358" cm="1">
        <f t="array" ref="D451">SUMPRODUCT(ISNUMBER(MATCH(mod_st_utm,$B$427,0))*('Koszty operacyjne'!$K$114:$X$114=Moduły!D$77)*ISNUMBER(MATCH(st_utm_kw,nie,0)),st_utm)+SUMPRODUCT(ISNUMBER(MATCH(mod_st_utm_wbudowie,$B$427,0))*('Koszty operacyjne'!$K$114:$X$114=Moduły!D$77)*ISNUMBER(MATCH(st_utm_kw_wbudowie,nie,0)),st_utm_wbudowie)</f>
        <v>0</v>
      </c>
      <c r="E451" s="358" cm="1">
        <f t="array" ref="E451">SUMPRODUCT(ISNUMBER(MATCH(mod_st_utm,$B$427,0))*('Koszty operacyjne'!$K$114:$X$114=Moduły!E$77)*ISNUMBER(MATCH(st_utm_kw,nie,0)),st_utm)+SUMPRODUCT(ISNUMBER(MATCH(mod_st_utm_wbudowie,$B$427,0))*('Koszty operacyjne'!$K$114:$X$114=Moduły!E$77)*ISNUMBER(MATCH(st_utm_kw_wbudowie,nie,0)),st_utm_wbudowie)</f>
        <v>0</v>
      </c>
      <c r="F451" s="358" cm="1">
        <f t="array" ref="F451">SUMPRODUCT(ISNUMBER(MATCH(mod_st_utm,$B$427,0))*('Koszty operacyjne'!$K$114:$X$114=Moduły!F$77)*ISNUMBER(MATCH(st_utm_kw,nie,0)),st_utm)+SUMPRODUCT(ISNUMBER(MATCH(mod_st_utm_wbudowie,$B$427,0))*('Koszty operacyjne'!$K$114:$X$114=Moduły!F$77)*ISNUMBER(MATCH(st_utm_kw_wbudowie,nie,0)),st_utm_wbudowie)</f>
        <v>0</v>
      </c>
      <c r="G451" s="358" cm="1">
        <f t="array" ref="G451">SUMPRODUCT(ISNUMBER(MATCH(mod_st_utm,$B$427,0))*('Koszty operacyjne'!$K$114:$X$114=Moduły!G$77)*ISNUMBER(MATCH(st_utm_kw,nie,0)),st_utm)+SUMPRODUCT(ISNUMBER(MATCH(mod_st_utm_wbudowie,$B$427,0))*('Koszty operacyjne'!$K$114:$X$114=Moduły!G$77)*ISNUMBER(MATCH(st_utm_kw_wbudowie,nie,0)),st_utm_wbudowie)</f>
        <v>0</v>
      </c>
      <c r="H451" s="358" cm="1">
        <f t="array" ref="H451">SUMPRODUCT(ISNUMBER(MATCH(mod_st_utm,$B$427,0))*('Koszty operacyjne'!$K$114:$X$114=Moduły!H$77)*ISNUMBER(MATCH(st_utm_kw,nie,0)),st_utm)+SUMPRODUCT(ISNUMBER(MATCH(mod_st_utm_wbudowie,$B$427,0))*('Koszty operacyjne'!$K$114:$X$114=Moduły!H$77)*ISNUMBER(MATCH(st_utm_kw_wbudowie,nie,0)),st_utm_wbudowie)</f>
        <v>0</v>
      </c>
      <c r="I451" s="358" cm="1">
        <f t="array" ref="I451">SUMPRODUCT(ISNUMBER(MATCH(mod_st_utm,$B$427,0))*('Koszty operacyjne'!$K$114:$X$114=Moduły!I$77)*ISNUMBER(MATCH(st_utm_kw,nie,0)),st_utm)+SUMPRODUCT(ISNUMBER(MATCH(mod_st_utm_wbudowie,$B$427,0))*('Koszty operacyjne'!$K$114:$X$114=Moduły!I$77)*ISNUMBER(MATCH(st_utm_kw_wbudowie,nie,0)),st_utm_wbudowie)</f>
        <v>0</v>
      </c>
      <c r="J451" s="358" cm="1">
        <f t="array" ref="J451">SUMPRODUCT(ISNUMBER(MATCH(mod_st_utm,$B$427,0))*('Koszty operacyjne'!$K$114:$X$114=Moduły!J$77)*ISNUMBER(MATCH(st_utm_kw,nie,0)),st_utm)+SUMPRODUCT(ISNUMBER(MATCH(mod_st_utm_wbudowie,$B$427,0))*('Koszty operacyjne'!$K$114:$X$114=Moduły!J$77)*ISNUMBER(MATCH(st_utm_kw_wbudowie,nie,0)),st_utm_wbudowie)</f>
        <v>0</v>
      </c>
      <c r="K451" s="358" cm="1">
        <f t="array" ref="K451">SUMPRODUCT(ISNUMBER(MATCH(mod_st_utm,$B$427,0))*('Koszty operacyjne'!$K$114:$X$114=Moduły!K$77)*ISNUMBER(MATCH(st_utm_kw,nie,0)),st_utm)+SUMPRODUCT(ISNUMBER(MATCH(mod_st_utm_wbudowie,$B$427,0))*('Koszty operacyjne'!$K$114:$X$114=Moduły!K$77)*ISNUMBER(MATCH(st_utm_kw_wbudowie,nie,0)),st_utm_wbudowie)</f>
        <v>0</v>
      </c>
      <c r="L451" s="358" cm="1">
        <f t="array" ref="L451">SUMPRODUCT(ISNUMBER(MATCH(mod_st_utm,$B$427,0))*('Koszty operacyjne'!$K$114:$X$114=Moduły!L$77)*ISNUMBER(MATCH(st_utm_kw,nie,0)),st_utm)+SUMPRODUCT(ISNUMBER(MATCH(mod_st_utm_wbudowie,$B$427,0))*('Koszty operacyjne'!$K$114:$X$114=Moduły!L$77)*ISNUMBER(MATCH(st_utm_kw_wbudowie,nie,0)),st_utm_wbudowie)</f>
        <v>0</v>
      </c>
      <c r="M451" s="358" cm="1">
        <f t="array" ref="M451">SUMPRODUCT(ISNUMBER(MATCH(mod_st_utm,$B$427,0))*('Koszty operacyjne'!$K$114:$X$114=Moduły!M$77)*ISNUMBER(MATCH(st_utm_kw,nie,0)),st_utm)+SUMPRODUCT(ISNUMBER(MATCH(mod_st_utm_wbudowie,$B$427,0))*('Koszty operacyjne'!$K$114:$X$114=Moduły!M$77)*ISNUMBER(MATCH(st_utm_kw_wbudowie,nie,0)),st_utm_wbudowie)</f>
        <v>0</v>
      </c>
      <c r="N451" s="358" cm="1">
        <f t="array" ref="N451">SUMPRODUCT(ISNUMBER(MATCH(mod_st_utm,$B$427,0))*('Koszty operacyjne'!$K$114:$X$114=Moduły!N$77)*ISNUMBER(MATCH(st_utm_kw,nie,0)),st_utm)+SUMPRODUCT(ISNUMBER(MATCH(mod_st_utm_wbudowie,$B$427,0))*('Koszty operacyjne'!$K$114:$X$114=Moduły!N$77)*ISNUMBER(MATCH(st_utm_kw_wbudowie,nie,0)),st_utm_wbudowie)</f>
        <v>0</v>
      </c>
      <c r="O451" s="358" cm="1">
        <f t="array" ref="O451">SUMPRODUCT(ISNUMBER(MATCH(mod_st_utm,$B$427,0))*('Koszty operacyjne'!$K$114:$X$114=Moduły!O$77)*ISNUMBER(MATCH(st_utm_kw,nie,0)),st_utm)+SUMPRODUCT(ISNUMBER(MATCH(mod_st_utm_wbudowie,$B$427,0))*('Koszty operacyjne'!$K$114:$X$114=Moduły!O$77)*ISNUMBER(MATCH(st_utm_kw_wbudowie,nie,0)),st_utm_wbudowie)</f>
        <v>0</v>
      </c>
      <c r="P451" s="358" cm="1">
        <f t="array" ref="P451">SUMPRODUCT(ISNUMBER(MATCH(mod_st_utm,$B$427,0))*('Koszty operacyjne'!$K$114:$X$114=Moduły!P$77)*ISNUMBER(MATCH(st_utm_kw,nie,0)),st_utm)+SUMPRODUCT(ISNUMBER(MATCH(mod_st_utm_wbudowie,$B$427,0))*('Koszty operacyjne'!$K$114:$X$114=Moduły!P$77)*ISNUMBER(MATCH(st_utm_kw_wbudowie,nie,0)),st_utm_wbudowie)</f>
        <v>0</v>
      </c>
    </row>
    <row r="452" spans="2:16" ht="3.9" customHeight="1">
      <c r="B452" s="8"/>
      <c r="C452" s="361"/>
      <c r="D452" s="361"/>
      <c r="E452" s="361"/>
      <c r="F452" s="361"/>
      <c r="G452" s="361"/>
      <c r="H452" s="361"/>
      <c r="I452" s="361"/>
      <c r="J452" s="361"/>
      <c r="K452" s="362"/>
      <c r="L452" s="362"/>
      <c r="M452" s="362"/>
      <c r="N452" s="362"/>
      <c r="O452" s="362"/>
      <c r="P452" s="362"/>
    </row>
    <row r="453" spans="2:16" ht="12" customHeight="1">
      <c r="B453" s="353" t="s">
        <v>101</v>
      </c>
      <c r="C453" s="354">
        <f t="shared" ref="C453:P453" si="195">SUM(C454:C455)</f>
        <v>0</v>
      </c>
      <c r="D453" s="354">
        <f t="shared" si="195"/>
        <v>0</v>
      </c>
      <c r="E453" s="354">
        <f t="shared" si="195"/>
        <v>0</v>
      </c>
      <c r="F453" s="354">
        <f t="shared" si="195"/>
        <v>0</v>
      </c>
      <c r="G453" s="354">
        <f t="shared" si="195"/>
        <v>0</v>
      </c>
      <c r="H453" s="354">
        <f t="shared" si="195"/>
        <v>0</v>
      </c>
      <c r="I453" s="354">
        <f t="shared" si="195"/>
        <v>0</v>
      </c>
      <c r="J453" s="354">
        <f t="shared" si="195"/>
        <v>0</v>
      </c>
      <c r="K453" s="354">
        <f t="shared" si="195"/>
        <v>0</v>
      </c>
      <c r="L453" s="354">
        <f t="shared" si="195"/>
        <v>0</v>
      </c>
      <c r="M453" s="354">
        <f t="shared" si="195"/>
        <v>0</v>
      </c>
      <c r="N453" s="354">
        <f t="shared" si="195"/>
        <v>0</v>
      </c>
      <c r="O453" s="354">
        <f t="shared" si="195"/>
        <v>0</v>
      </c>
      <c r="P453" s="354">
        <f t="shared" si="195"/>
        <v>0</v>
      </c>
    </row>
    <row r="454" spans="2:16" ht="12" customHeight="1">
      <c r="B454" s="355" t="s">
        <v>95</v>
      </c>
      <c r="C454" s="356" cm="1">
        <f t="array" ref="C454">SUMPRODUCT(ISNUMBER(MATCH(mod_st_stu,$B$427,0))*('Koszty operacyjne'!$K$114:$X$114=Moduły!C$77)*ISNUMBER(MATCH(st_stu_kw,tak,0)),st_stu)</f>
        <v>0</v>
      </c>
      <c r="D454" s="356" cm="1">
        <f t="array" ref="D454">SUMPRODUCT(ISNUMBER(MATCH(mod_st_stu,$B$427,0))*('Koszty operacyjne'!$K$114:$X$114=Moduły!D$77)*ISNUMBER(MATCH(st_stu_kw,tak,0)),st_stu)</f>
        <v>0</v>
      </c>
      <c r="E454" s="356" cm="1">
        <f t="array" ref="E454">SUMPRODUCT(ISNUMBER(MATCH(mod_st_stu,$B$427,0))*('Koszty operacyjne'!$K$114:$X$114=Moduły!E$77)*ISNUMBER(MATCH(st_stu_kw,tak,0)),st_stu)</f>
        <v>0</v>
      </c>
      <c r="F454" s="356" cm="1">
        <f t="array" ref="F454">SUMPRODUCT(ISNUMBER(MATCH(mod_st_stu,$B$427,0))*('Koszty operacyjne'!$K$114:$X$114=Moduły!F$77)*ISNUMBER(MATCH(st_stu_kw,tak,0)),st_stu)</f>
        <v>0</v>
      </c>
      <c r="G454" s="356" cm="1">
        <f t="array" ref="G454">SUMPRODUCT(ISNUMBER(MATCH(mod_st_stu,$B$427,0))*('Koszty operacyjne'!$K$114:$X$114=Moduły!G$77)*ISNUMBER(MATCH(st_stu_kw,tak,0)),st_stu)</f>
        <v>0</v>
      </c>
      <c r="H454" s="356" cm="1">
        <f t="array" ref="H454">SUMPRODUCT(ISNUMBER(MATCH(mod_st_stu,$B$427,0))*('Koszty operacyjne'!$K$114:$X$114=Moduły!H$77)*ISNUMBER(MATCH(st_stu_kw,tak,0)),st_stu)</f>
        <v>0</v>
      </c>
      <c r="I454" s="356" cm="1">
        <f t="array" ref="I454">SUMPRODUCT(ISNUMBER(MATCH(mod_st_stu,$B$427,0))*('Koszty operacyjne'!$K$114:$X$114=Moduły!I$77)*ISNUMBER(MATCH(st_stu_kw,tak,0)),st_stu)</f>
        <v>0</v>
      </c>
      <c r="J454" s="356" cm="1">
        <f t="array" ref="J454">SUMPRODUCT(ISNUMBER(MATCH(mod_st_stu,$B$427,0))*('Koszty operacyjne'!$K$114:$X$114=Moduły!J$77)*ISNUMBER(MATCH(st_stu_kw,tak,0)),st_stu)</f>
        <v>0</v>
      </c>
      <c r="K454" s="356" cm="1">
        <f t="array" ref="K454">SUMPRODUCT(ISNUMBER(MATCH(mod_st_stu,$B$427,0))*('Koszty operacyjne'!$K$114:$X$114=Moduły!K$77)*ISNUMBER(MATCH(st_stu_kw,tak,0)),st_stu)</f>
        <v>0</v>
      </c>
      <c r="L454" s="356" cm="1">
        <f t="array" ref="L454">SUMPRODUCT(ISNUMBER(MATCH(mod_st_stu,$B$427,0))*('Koszty operacyjne'!$K$114:$X$114=Moduły!L$77)*ISNUMBER(MATCH(st_stu_kw,tak,0)),st_stu)</f>
        <v>0</v>
      </c>
      <c r="M454" s="356" cm="1">
        <f t="array" ref="M454">SUMPRODUCT(ISNUMBER(MATCH(mod_st_stu,$B$427,0))*('Koszty operacyjne'!$K$114:$X$114=Moduły!M$77)*ISNUMBER(MATCH(st_stu_kw,tak,0)),st_stu)</f>
        <v>0</v>
      </c>
      <c r="N454" s="356" cm="1">
        <f t="array" ref="N454">SUMPRODUCT(ISNUMBER(MATCH(mod_st_stu,$B$427,0))*('Koszty operacyjne'!$K$114:$X$114=Moduły!N$77)*ISNUMBER(MATCH(st_stu_kw,tak,0)),st_stu)</f>
        <v>0</v>
      </c>
      <c r="O454" s="356" cm="1">
        <f t="array" ref="O454">SUMPRODUCT(ISNUMBER(MATCH(mod_st_stu,$B$427,0))*('Koszty operacyjne'!$K$114:$X$114=Moduły!O$77)*ISNUMBER(MATCH(st_stu_kw,tak,0)),st_stu)</f>
        <v>0</v>
      </c>
      <c r="P454" s="356" cm="1">
        <f t="array" ref="P454">SUMPRODUCT(ISNUMBER(MATCH(mod_st_stu,$B$427,0))*('Koszty operacyjne'!$K$114:$X$114=Moduły!P$77)*ISNUMBER(MATCH(st_stu_kw,tak,0)),st_stu)</f>
        <v>0</v>
      </c>
    </row>
    <row r="455" spans="2:16" ht="12" customHeight="1">
      <c r="B455" s="357" t="s">
        <v>96</v>
      </c>
      <c r="C455" s="358" cm="1">
        <f t="array" ref="C455">SUMPRODUCT(ISNUMBER(MATCH(mod_st_stu,$B$427,0))*('Koszty operacyjne'!$K$114:$X$114=Moduły!C$77)*ISNUMBER(MATCH(st_stu_kw,nie,0)),st_stu)</f>
        <v>0</v>
      </c>
      <c r="D455" s="358" cm="1">
        <f t="array" ref="D455">SUMPRODUCT(ISNUMBER(MATCH(mod_st_stu,$B$427,0))*('Koszty operacyjne'!$K$114:$X$114=Moduły!D$77)*ISNUMBER(MATCH(st_stu_kw,nie,0)),st_stu)</f>
        <v>0</v>
      </c>
      <c r="E455" s="358" cm="1">
        <f t="array" ref="E455">SUMPRODUCT(ISNUMBER(MATCH(mod_st_stu,$B$427,0))*('Koszty operacyjne'!$K$114:$X$114=Moduły!E$77)*ISNUMBER(MATCH(st_stu_kw,nie,0)),st_stu)</f>
        <v>0</v>
      </c>
      <c r="F455" s="358" cm="1">
        <f t="array" ref="F455">SUMPRODUCT(ISNUMBER(MATCH(mod_st_stu,$B$427,0))*('Koszty operacyjne'!$K$114:$X$114=Moduły!F$77)*ISNUMBER(MATCH(st_stu_kw,nie,0)),st_stu)</f>
        <v>0</v>
      </c>
      <c r="G455" s="358" cm="1">
        <f t="array" ref="G455">SUMPRODUCT(ISNUMBER(MATCH(mod_st_stu,$B$427,0))*('Koszty operacyjne'!$K$114:$X$114=Moduły!G$77)*ISNUMBER(MATCH(st_stu_kw,nie,0)),st_stu)</f>
        <v>0</v>
      </c>
      <c r="H455" s="358" cm="1">
        <f t="array" ref="H455">SUMPRODUCT(ISNUMBER(MATCH(mod_st_stu,$B$427,0))*('Koszty operacyjne'!$K$114:$X$114=Moduły!H$77)*ISNUMBER(MATCH(st_stu_kw,nie,0)),st_stu)</f>
        <v>0</v>
      </c>
      <c r="I455" s="358" cm="1">
        <f t="array" ref="I455">SUMPRODUCT(ISNUMBER(MATCH(mod_st_stu,$B$427,0))*('Koszty operacyjne'!$K$114:$X$114=Moduły!I$77)*ISNUMBER(MATCH(st_stu_kw,nie,0)),st_stu)</f>
        <v>0</v>
      </c>
      <c r="J455" s="358" cm="1">
        <f t="array" ref="J455">SUMPRODUCT(ISNUMBER(MATCH(mod_st_stu,$B$427,0))*('Koszty operacyjne'!$K$114:$X$114=Moduły!J$77)*ISNUMBER(MATCH(st_stu_kw,nie,0)),st_stu)</f>
        <v>0</v>
      </c>
      <c r="K455" s="359" cm="1">
        <f t="array" ref="K455">SUMPRODUCT(ISNUMBER(MATCH(mod_st_stu,$B$427,0))*('Koszty operacyjne'!$K$114:$X$114=Moduły!K$77)*ISNUMBER(MATCH(st_stu_kw,nie,0)),st_stu)</f>
        <v>0</v>
      </c>
      <c r="L455" s="359" cm="1">
        <f t="array" ref="L455">SUMPRODUCT(ISNUMBER(MATCH(mod_st_stu,$B$427,0))*('Koszty operacyjne'!$K$114:$X$114=Moduły!L$77)*ISNUMBER(MATCH(st_stu_kw,nie,0)),st_stu)</f>
        <v>0</v>
      </c>
      <c r="M455" s="359" cm="1">
        <f t="array" ref="M455">SUMPRODUCT(ISNUMBER(MATCH(mod_st_stu,$B$427,0))*('Koszty operacyjne'!$K$114:$X$114=Moduły!M$77)*ISNUMBER(MATCH(st_stu_kw,nie,0)),st_stu)</f>
        <v>0</v>
      </c>
      <c r="N455" s="359" cm="1">
        <f t="array" ref="N455">SUMPRODUCT(ISNUMBER(MATCH(mod_st_stu,$B$427,0))*('Koszty operacyjne'!$K$114:$X$114=Moduły!N$77)*ISNUMBER(MATCH(st_stu_kw,nie,0)),st_stu)</f>
        <v>0</v>
      </c>
      <c r="O455" s="359" cm="1">
        <f t="array" ref="O455">SUMPRODUCT(ISNUMBER(MATCH(mod_st_stu,$B$427,0))*('Koszty operacyjne'!$K$114:$X$114=Moduły!O$77)*ISNUMBER(MATCH(st_stu_kw,nie,0)),st_stu)</f>
        <v>0</v>
      </c>
      <c r="P455" s="359" cm="1">
        <f t="array" ref="P455">SUMPRODUCT(ISNUMBER(MATCH(mod_st_stu,$B$427,0))*('Koszty operacyjne'!$K$114:$X$114=Moduły!P$77)*ISNUMBER(MATCH(st_stu_kw,nie,0)),st_stu)</f>
        <v>0</v>
      </c>
    </row>
    <row r="456" spans="2:16" ht="3.9" customHeight="1">
      <c r="B456" s="8"/>
      <c r="C456" s="361"/>
      <c r="D456" s="361"/>
      <c r="E456" s="361"/>
      <c r="F456" s="361"/>
      <c r="G456" s="361"/>
      <c r="H456" s="361"/>
      <c r="I456" s="361"/>
      <c r="J456" s="361"/>
      <c r="K456" s="362"/>
      <c r="L456" s="362"/>
      <c r="M456" s="362"/>
      <c r="N456" s="362"/>
      <c r="O456" s="362"/>
      <c r="P456" s="362"/>
    </row>
    <row r="457" spans="2:16" ht="12" customHeight="1">
      <c r="B457" s="353" t="s">
        <v>102</v>
      </c>
      <c r="C457" s="354">
        <f t="shared" ref="C457:P457" si="196">SUM(C458:C459)</f>
        <v>0</v>
      </c>
      <c r="D457" s="354">
        <f t="shared" si="196"/>
        <v>0</v>
      </c>
      <c r="E457" s="354">
        <f t="shared" si="196"/>
        <v>0</v>
      </c>
      <c r="F457" s="354">
        <f t="shared" si="196"/>
        <v>0</v>
      </c>
      <c r="G457" s="354">
        <f t="shared" si="196"/>
        <v>0</v>
      </c>
      <c r="H457" s="354">
        <f t="shared" si="196"/>
        <v>0</v>
      </c>
      <c r="I457" s="354">
        <f t="shared" si="196"/>
        <v>0</v>
      </c>
      <c r="J457" s="354">
        <f t="shared" si="196"/>
        <v>0</v>
      </c>
      <c r="K457" s="354">
        <f t="shared" si="196"/>
        <v>0</v>
      </c>
      <c r="L457" s="354">
        <f t="shared" si="196"/>
        <v>0</v>
      </c>
      <c r="M457" s="354">
        <f t="shared" si="196"/>
        <v>0</v>
      </c>
      <c r="N457" s="354">
        <f t="shared" si="196"/>
        <v>0</v>
      </c>
      <c r="O457" s="354">
        <f t="shared" si="196"/>
        <v>0</v>
      </c>
      <c r="P457" s="354">
        <f t="shared" si="196"/>
        <v>0</v>
      </c>
    </row>
    <row r="458" spans="2:16" ht="12" customHeight="1">
      <c r="B458" s="355" t="s">
        <v>95</v>
      </c>
      <c r="C458" s="356" cm="1">
        <f t="array" ref="C458">SUMPRODUCT(ISNUMBER(MATCH(mod_st_ist,$B$427,0))*('Koszty operacyjne'!$K$114:$X$114=Moduły!C$77)*ISNUMBER(MATCH(st_ist_kw,tak,0)),st_ist)</f>
        <v>0</v>
      </c>
      <c r="D458" s="356" cm="1">
        <f t="array" ref="D458">SUMPRODUCT(ISNUMBER(MATCH(mod_st_ist,$B$427,0))*('Koszty operacyjne'!$K$114:$X$114=Moduły!D$77)*ISNUMBER(MATCH(st_ist_kw,tak,0)),st_ist)</f>
        <v>0</v>
      </c>
      <c r="E458" s="356" cm="1">
        <f t="array" ref="E458">SUMPRODUCT(ISNUMBER(MATCH(mod_st_ist,$B$427,0))*('Koszty operacyjne'!$K$114:$X$114=Moduły!E$77)*ISNUMBER(MATCH(st_ist_kw,tak,0)),st_ist)</f>
        <v>0</v>
      </c>
      <c r="F458" s="356" cm="1">
        <f t="array" ref="F458">SUMPRODUCT(ISNUMBER(MATCH(mod_st_ist,$B$427,0))*('Koszty operacyjne'!$K$114:$X$114=Moduły!F$77)*ISNUMBER(MATCH(st_ist_kw,tak,0)),st_ist)</f>
        <v>0</v>
      </c>
      <c r="G458" s="356" cm="1">
        <f t="array" ref="G458">SUMPRODUCT(ISNUMBER(MATCH(mod_st_ist,$B$427,0))*('Koszty operacyjne'!$K$114:$X$114=Moduły!G$77)*ISNUMBER(MATCH(st_ist_kw,tak,0)),st_ist)</f>
        <v>0</v>
      </c>
      <c r="H458" s="356" cm="1">
        <f t="array" ref="H458">SUMPRODUCT(ISNUMBER(MATCH(mod_st_ist,$B$427,0))*('Koszty operacyjne'!$K$114:$X$114=Moduły!H$77)*ISNUMBER(MATCH(st_ist_kw,tak,0)),st_ist)</f>
        <v>0</v>
      </c>
      <c r="I458" s="356" cm="1">
        <f t="array" ref="I458">SUMPRODUCT(ISNUMBER(MATCH(mod_st_ist,$B$427,0))*('Koszty operacyjne'!$K$114:$X$114=Moduły!I$77)*ISNUMBER(MATCH(st_ist_kw,tak,0)),st_ist)</f>
        <v>0</v>
      </c>
      <c r="J458" s="356" cm="1">
        <f t="array" ref="J458">SUMPRODUCT(ISNUMBER(MATCH(mod_st_ist,$B$427,0))*('Koszty operacyjne'!$K$114:$X$114=Moduły!J$77)*ISNUMBER(MATCH(st_ist_kw,tak,0)),st_ist)</f>
        <v>0</v>
      </c>
      <c r="K458" s="356" cm="1">
        <f t="array" ref="K458">SUMPRODUCT(ISNUMBER(MATCH(mod_st_ist,$B$427,0))*('Koszty operacyjne'!$K$114:$X$114=Moduły!K$77)*ISNUMBER(MATCH(st_ist_kw,tak,0)),st_ist)</f>
        <v>0</v>
      </c>
      <c r="L458" s="356" cm="1">
        <f t="array" ref="L458">SUMPRODUCT(ISNUMBER(MATCH(mod_st_ist,$B$427,0))*('Koszty operacyjne'!$K$114:$X$114=Moduły!L$77)*ISNUMBER(MATCH(st_ist_kw,tak,0)),st_ist)</f>
        <v>0</v>
      </c>
      <c r="M458" s="356" cm="1">
        <f t="array" ref="M458">SUMPRODUCT(ISNUMBER(MATCH(mod_st_ist,$B$427,0))*('Koszty operacyjne'!$K$114:$X$114=Moduły!M$77)*ISNUMBER(MATCH(st_ist_kw,tak,0)),st_ist)</f>
        <v>0</v>
      </c>
      <c r="N458" s="356" cm="1">
        <f t="array" ref="N458">SUMPRODUCT(ISNUMBER(MATCH(mod_st_ist,$B$427,0))*('Koszty operacyjne'!$K$114:$X$114=Moduły!N$77)*ISNUMBER(MATCH(st_ist_kw,tak,0)),st_ist)</f>
        <v>0</v>
      </c>
      <c r="O458" s="356" cm="1">
        <f t="array" ref="O458">SUMPRODUCT(ISNUMBER(MATCH(mod_st_ist,$B$427,0))*('Koszty operacyjne'!$K$114:$X$114=Moduły!O$77)*ISNUMBER(MATCH(st_ist_kw,tak,0)),st_ist)</f>
        <v>0</v>
      </c>
      <c r="P458" s="356" cm="1">
        <f t="array" ref="P458">SUMPRODUCT(ISNUMBER(MATCH(mod_st_ist,$B$427,0))*('Koszty operacyjne'!$K$114:$X$114=Moduły!P$77)*ISNUMBER(MATCH(st_ist_kw,tak,0)),st_ist)</f>
        <v>0</v>
      </c>
    </row>
    <row r="459" spans="2:16" ht="12" customHeight="1">
      <c r="B459" s="357" t="s">
        <v>96</v>
      </c>
      <c r="C459" s="358" cm="1">
        <f t="array" ref="C459">SUMPRODUCT(ISNUMBER(MATCH(mod_st_ist,$B$427,0))*('Koszty operacyjne'!$K$114:$X$114=Moduły!C$77)*ISNUMBER(MATCH(st_ist_kw,nie,0)),st_ist)</f>
        <v>0</v>
      </c>
      <c r="D459" s="358" cm="1">
        <f t="array" ref="D459">SUMPRODUCT(ISNUMBER(MATCH(mod_st_ist,$B$427,0))*('Koszty operacyjne'!$K$114:$X$114=Moduły!D$77)*ISNUMBER(MATCH(st_ist_kw,nie,0)),st_ist)</f>
        <v>0</v>
      </c>
      <c r="E459" s="358" cm="1">
        <f t="array" ref="E459">SUMPRODUCT(ISNUMBER(MATCH(mod_st_ist,$B$427,0))*('Koszty operacyjne'!$K$114:$X$114=Moduły!E$77)*ISNUMBER(MATCH(st_ist_kw,nie,0)),st_ist)</f>
        <v>0</v>
      </c>
      <c r="F459" s="358" cm="1">
        <f t="array" ref="F459">SUMPRODUCT(ISNUMBER(MATCH(mod_st_ist,$B$427,0))*('Koszty operacyjne'!$K$114:$X$114=Moduły!F$77)*ISNUMBER(MATCH(st_ist_kw,nie,0)),st_ist)</f>
        <v>0</v>
      </c>
      <c r="G459" s="358" cm="1">
        <f t="array" ref="G459">SUMPRODUCT(ISNUMBER(MATCH(mod_st_ist,$B$427,0))*('Koszty operacyjne'!$K$114:$X$114=Moduły!G$77)*ISNUMBER(MATCH(st_ist_kw,nie,0)),st_ist)</f>
        <v>0</v>
      </c>
      <c r="H459" s="358" cm="1">
        <f t="array" ref="H459">SUMPRODUCT(ISNUMBER(MATCH(mod_st_ist,$B$427,0))*('Koszty operacyjne'!$K$114:$X$114=Moduły!H$77)*ISNUMBER(MATCH(st_ist_kw,nie,0)),st_ist)</f>
        <v>0</v>
      </c>
      <c r="I459" s="358" cm="1">
        <f t="array" ref="I459">SUMPRODUCT(ISNUMBER(MATCH(mod_st_ist,$B$427,0))*('Koszty operacyjne'!$K$114:$X$114=Moduły!I$77)*ISNUMBER(MATCH(st_ist_kw,nie,0)),st_ist)</f>
        <v>0</v>
      </c>
      <c r="J459" s="358" cm="1">
        <f t="array" ref="J459">SUMPRODUCT(ISNUMBER(MATCH(mod_st_ist,$B$427,0))*('Koszty operacyjne'!$K$114:$X$114=Moduły!J$77)*ISNUMBER(MATCH(st_ist_kw,nie,0)),st_ist)</f>
        <v>0</v>
      </c>
      <c r="K459" s="359" cm="1">
        <f t="array" ref="K459">SUMPRODUCT(ISNUMBER(MATCH(mod_st_ist,$B$427,0))*('Koszty operacyjne'!$K$114:$X$114=Moduły!K$77)*ISNUMBER(MATCH(st_ist_kw,nie,0)),st_ist)</f>
        <v>0</v>
      </c>
      <c r="L459" s="359" cm="1">
        <f t="array" ref="L459">SUMPRODUCT(ISNUMBER(MATCH(mod_st_ist,$B$427,0))*('Koszty operacyjne'!$K$114:$X$114=Moduły!L$77)*ISNUMBER(MATCH(st_ist_kw,nie,0)),st_ist)</f>
        <v>0</v>
      </c>
      <c r="M459" s="359" cm="1">
        <f t="array" ref="M459">SUMPRODUCT(ISNUMBER(MATCH(mod_st_ist,$B$427,0))*('Koszty operacyjne'!$K$114:$X$114=Moduły!M$77)*ISNUMBER(MATCH(st_ist_kw,nie,0)),st_ist)</f>
        <v>0</v>
      </c>
      <c r="N459" s="359" cm="1">
        <f t="array" ref="N459">SUMPRODUCT(ISNUMBER(MATCH(mod_st_ist,$B$427,0))*('Koszty operacyjne'!$K$114:$X$114=Moduły!N$77)*ISNUMBER(MATCH(st_ist_kw,nie,0)),st_ist)</f>
        <v>0</v>
      </c>
      <c r="O459" s="359" cm="1">
        <f t="array" ref="O459">SUMPRODUCT(ISNUMBER(MATCH(mod_st_ist,$B$427,0))*('Koszty operacyjne'!$K$114:$X$114=Moduły!O$77)*ISNUMBER(MATCH(st_ist_kw,nie,0)),st_ist)</f>
        <v>0</v>
      </c>
      <c r="P459" s="359" cm="1">
        <f t="array" ref="P459">SUMPRODUCT(ISNUMBER(MATCH(mod_st_ist,$B$427,0))*('Koszty operacyjne'!$K$114:$X$114=Moduły!P$77)*ISNUMBER(MATCH(st_ist_kw,nie,0)),st_ist)</f>
        <v>0</v>
      </c>
    </row>
    <row r="460" spans="2:16" ht="3.9" customHeight="1">
      <c r="B460" s="8"/>
      <c r="C460" s="361"/>
      <c r="D460" s="361"/>
      <c r="E460" s="361"/>
      <c r="F460" s="361"/>
      <c r="G460" s="361"/>
      <c r="H460" s="361"/>
      <c r="I460" s="361"/>
      <c r="J460" s="361"/>
      <c r="K460" s="362"/>
      <c r="L460" s="362"/>
      <c r="M460" s="362"/>
      <c r="N460" s="362"/>
      <c r="O460" s="362"/>
      <c r="P460" s="362"/>
    </row>
    <row r="461" spans="2:16" ht="12" customHeight="1"/>
    <row r="462" spans="2:16">
      <c r="B462" s="98" t="s">
        <v>104</v>
      </c>
      <c r="C462" s="97" cm="1">
        <f t="array" ref="C462">SUMPRODUCT(ISNUMBER(MATCH(mod_pp_ppu,$B$427,0))*('Koszty operacyjne'!$K$114:$X$114=Moduły!C$77),pp_ppu)+SUMPRODUCT(ISNUMBER(MATCH(mod_pp_ptim,$B$427,0))*('Koszty operacyjne'!$K$114:$X$114=Moduły!C$77),pp_ptim)</f>
        <v>0</v>
      </c>
      <c r="D462" s="97" cm="1">
        <f t="array" ref="D462">SUMPRODUCT(ISNUMBER(MATCH(mod_pp_ppu,$B$427,0))*('Koszty operacyjne'!$K$114:$X$114=Moduły!D$77),pp_ppu)+SUMPRODUCT(ISNUMBER(MATCH(mod_pp_ptim,$B$427,0))*('Koszty operacyjne'!$K$114:$X$114=Moduły!D$77),pp_ptim)</f>
        <v>0</v>
      </c>
      <c r="E462" s="97" cm="1">
        <f t="array" ref="E462">SUMPRODUCT(ISNUMBER(MATCH(mod_pp_ppu,$B$427,0))*('Koszty operacyjne'!$K$114:$X$114=Moduły!E$77),pp_ppu)+SUMPRODUCT(ISNUMBER(MATCH(mod_pp_ptim,$B$427,0))*('Koszty operacyjne'!$K$114:$X$114=Moduły!E$77),pp_ptim)</f>
        <v>0</v>
      </c>
      <c r="F462" s="97" cm="1">
        <f t="array" ref="F462">SUMPRODUCT(ISNUMBER(MATCH(mod_pp_ppu,$B$427,0))*('Koszty operacyjne'!$K$114:$X$114=Moduły!F$77),pp_ppu)+SUMPRODUCT(ISNUMBER(MATCH(mod_pp_ptim,$B$427,0))*('Koszty operacyjne'!$K$114:$X$114=Moduły!F$77),pp_ptim)</f>
        <v>0</v>
      </c>
      <c r="G462" s="97" cm="1">
        <f t="array" ref="G462">SUMPRODUCT(ISNUMBER(MATCH(mod_pp_ppu,$B$427,0))*('Koszty operacyjne'!$K$114:$X$114=Moduły!G$77),pp_ppu)+SUMPRODUCT(ISNUMBER(MATCH(mod_pp_ptim,$B$427,0))*('Koszty operacyjne'!$K$114:$X$114=Moduły!G$77),pp_ptim)</f>
        <v>0</v>
      </c>
      <c r="H462" s="97" cm="1">
        <f t="array" ref="H462">SUMPRODUCT(ISNUMBER(MATCH(mod_pp_ppu,$B$427,0))*('Koszty operacyjne'!$K$114:$X$114=Moduły!H$77),pp_ppu)+SUMPRODUCT(ISNUMBER(MATCH(mod_pp_ptim,$B$427,0))*('Koszty operacyjne'!$K$114:$X$114=Moduły!H$77),pp_ptim)</f>
        <v>0</v>
      </c>
      <c r="I462" s="97" cm="1">
        <f t="array" ref="I462">SUMPRODUCT(ISNUMBER(MATCH(mod_pp_ppu,$B$427,0))*('Koszty operacyjne'!$K$114:$X$114=Moduły!I$77),pp_ppu)+SUMPRODUCT(ISNUMBER(MATCH(mod_pp_ptim,$B$427,0))*('Koszty operacyjne'!$K$114:$X$114=Moduły!I$77),pp_ptim)</f>
        <v>0</v>
      </c>
      <c r="J462" s="97" cm="1">
        <f t="array" ref="J462">SUMPRODUCT(ISNUMBER(MATCH(mod_pp_ppu,$B$427,0))*('Koszty operacyjne'!$K$114:$X$114=Moduły!J$77),pp_ppu)+SUMPRODUCT(ISNUMBER(MATCH(mod_pp_ptim,$B$427,0))*('Koszty operacyjne'!$K$114:$X$114=Moduły!J$77),pp_ptim)</f>
        <v>0</v>
      </c>
      <c r="K462" s="97" cm="1">
        <f t="array" ref="K462">SUMPRODUCT(ISNUMBER(MATCH(mod_pp_ppu,$B$427,0))*('Koszty operacyjne'!$K$114:$X$114=Moduły!K$77),pp_ppu)+SUMPRODUCT(ISNUMBER(MATCH(mod_pp_ptim,$B$427,0))*('Koszty operacyjne'!$K$114:$X$114=Moduły!K$77),pp_ptim)</f>
        <v>0</v>
      </c>
      <c r="L462" s="97" cm="1">
        <f t="array" ref="L462">SUMPRODUCT(ISNUMBER(MATCH(mod_pp_ppu,$B$427,0))*('Koszty operacyjne'!$K$114:$X$114=Moduły!L$77),pp_ppu)+SUMPRODUCT(ISNUMBER(MATCH(mod_pp_ptim,$B$427,0))*('Koszty operacyjne'!$K$114:$X$114=Moduły!L$77),pp_ptim)</f>
        <v>0</v>
      </c>
      <c r="M462" s="97" cm="1">
        <f t="array" ref="M462">SUMPRODUCT(ISNUMBER(MATCH(mod_pp_ppu,$B$427,0))*('Koszty operacyjne'!$K$114:$X$114=Moduły!M$77),pp_ppu)+SUMPRODUCT(ISNUMBER(MATCH(mod_pp_ptim,$B$427,0))*('Koszty operacyjne'!$K$114:$X$114=Moduły!M$77),pp_ptim)</f>
        <v>0</v>
      </c>
      <c r="N462" s="97" cm="1">
        <f t="array" ref="N462">SUMPRODUCT(ISNUMBER(MATCH(mod_pp_ppu,$B$427,0))*('Koszty operacyjne'!$K$114:$X$114=Moduły!N$77),pp_ppu)+SUMPRODUCT(ISNUMBER(MATCH(mod_pp_ptim,$B$427,0))*('Koszty operacyjne'!$K$114:$X$114=Moduły!N$77),pp_ptim)</f>
        <v>0</v>
      </c>
      <c r="O462" s="97" cm="1">
        <f t="array" ref="O462">SUMPRODUCT(ISNUMBER(MATCH(mod_pp_ppu,$B$427,0))*('Koszty operacyjne'!$K$114:$X$114=Moduły!O$77),pp_ppu)+SUMPRODUCT(ISNUMBER(MATCH(mod_pp_ptim,$B$427,0))*('Koszty operacyjne'!$K$114:$X$114=Moduły!O$77),pp_ptim)</f>
        <v>0</v>
      </c>
      <c r="P462" s="97" cm="1">
        <f t="array" ref="P462">SUMPRODUCT(ISNUMBER(MATCH(mod_pp_ppu,$B$427,0))*('Koszty operacyjne'!$K$114:$X$114=Moduły!P$77),pp_ppu)+SUMPRODUCT(ISNUMBER(MATCH(mod_pp_ptim,$B$427,0))*('Koszty operacyjne'!$K$114:$X$114=Moduły!P$77),pp_ptim)</f>
        <v>0</v>
      </c>
    </row>
    <row r="463" spans="2:16" ht="3.9" customHeight="1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2:16">
      <c r="B464" s="98" t="s">
        <v>105</v>
      </c>
      <c r="C464" s="97">
        <f t="shared" ref="C464:L464" ca="1" si="197">SUM(C465:C472)</f>
        <v>0</v>
      </c>
      <c r="D464" s="97">
        <f t="shared" ca="1" si="197"/>
        <v>0</v>
      </c>
      <c r="E464" s="97">
        <f t="shared" ca="1" si="197"/>
        <v>0</v>
      </c>
      <c r="F464" s="97">
        <f t="shared" ca="1" si="197"/>
        <v>0</v>
      </c>
      <c r="G464" s="97">
        <f t="shared" ca="1" si="197"/>
        <v>0</v>
      </c>
      <c r="H464" s="97">
        <f t="shared" ca="1" si="197"/>
        <v>0</v>
      </c>
      <c r="I464" s="97">
        <f t="shared" ca="1" si="197"/>
        <v>0</v>
      </c>
      <c r="J464" s="97">
        <f t="shared" ca="1" si="197"/>
        <v>0</v>
      </c>
      <c r="K464" s="97">
        <f t="shared" ca="1" si="197"/>
        <v>0</v>
      </c>
      <c r="L464" s="97">
        <f t="shared" ca="1" si="197"/>
        <v>0</v>
      </c>
      <c r="M464" s="97">
        <f ca="1">SUM(M465:M472)</f>
        <v>0</v>
      </c>
      <c r="N464" s="97">
        <f ca="1">SUM(N465:N472)</f>
        <v>0</v>
      </c>
      <c r="O464" s="97">
        <f ca="1">SUM(O465:O472)</f>
        <v>0</v>
      </c>
      <c r="P464" s="97">
        <f ca="1">SUM(P465:P472)</f>
        <v>0</v>
      </c>
    </row>
    <row r="465" spans="2:16">
      <c r="B465" s="103" t="s">
        <v>106</v>
      </c>
      <c r="C465" s="102" cm="1">
        <f t="array" aca="1" ref="C465" ca="1">SUMPRODUCT(ISNUMBER(MATCH(mod_st_am,$B$427,0))*('Koszty operacyjne'!$K$114:$X$114=Moduły!C$77),st_am)</f>
        <v>0</v>
      </c>
      <c r="D465" s="102" cm="1">
        <f t="array" aca="1" ref="D465" ca="1">SUMPRODUCT(ISNUMBER(MATCH(mod_st_am,$B$427,0))*('Koszty operacyjne'!$K$114:$X$114=Moduły!D$77),st_am)</f>
        <v>0</v>
      </c>
      <c r="E465" s="102" cm="1">
        <f t="array" aca="1" ref="E465" ca="1">SUMPRODUCT(ISNUMBER(MATCH(mod_st_am,$B$427,0))*('Koszty operacyjne'!$K$114:$X$114=Moduły!E$77),st_am)</f>
        <v>0</v>
      </c>
      <c r="F465" s="102" cm="1">
        <f t="array" aca="1" ref="F465" ca="1">SUMPRODUCT(ISNUMBER(MATCH(mod_st_am,$B$427,0))*('Koszty operacyjne'!$K$114:$X$114=Moduły!F$77),st_am)</f>
        <v>0</v>
      </c>
      <c r="G465" s="102" cm="1">
        <f t="array" aca="1" ref="G465" ca="1">SUMPRODUCT(ISNUMBER(MATCH(mod_st_am,$B$427,0))*('Koszty operacyjne'!$K$114:$X$114=Moduły!G$77),st_am)</f>
        <v>0</v>
      </c>
      <c r="H465" s="102" cm="1">
        <f t="array" aca="1" ref="H465" ca="1">SUMPRODUCT(ISNUMBER(MATCH(mod_st_am,$B$427,0))*('Koszty operacyjne'!$K$114:$X$114=Moduły!H$77),st_am)</f>
        <v>0</v>
      </c>
      <c r="I465" s="102" cm="1">
        <f t="array" aca="1" ref="I465" ca="1">SUMPRODUCT(ISNUMBER(MATCH(mod_st_am,$B$427,0))*('Koszty operacyjne'!$K$114:$X$114=Moduły!I$77),st_am)</f>
        <v>0</v>
      </c>
      <c r="J465" s="102" cm="1">
        <f t="array" aca="1" ref="J465" ca="1">SUMPRODUCT(ISNUMBER(MATCH(mod_st_am,$B$427,0))*('Koszty operacyjne'!$K$114:$X$114=Moduły!J$77),st_am)</f>
        <v>0</v>
      </c>
      <c r="K465" s="102" cm="1">
        <f t="array" aca="1" ref="K465" ca="1">SUMPRODUCT(ISNUMBER(MATCH(mod_st_am,$B$427,0))*('Koszty operacyjne'!$K$114:$X$114=Moduły!K$77),st_am)</f>
        <v>0</v>
      </c>
      <c r="L465" s="102" cm="1">
        <f t="array" aca="1" ref="L465" ca="1">SUMPRODUCT(ISNUMBER(MATCH(mod_st_am,$B$427,0))*('Koszty operacyjne'!$K$114:$X$114=Moduły!L$77),st_am)</f>
        <v>0</v>
      </c>
      <c r="M465" s="102" cm="1">
        <f t="array" aca="1" ref="M465" ca="1">SUMPRODUCT(ISNUMBER(MATCH(mod_st_am,$B$427,0))*('Koszty operacyjne'!$K$114:$X$114=Moduły!M$77),st_am)</f>
        <v>0</v>
      </c>
      <c r="N465" s="102" cm="1">
        <f t="array" aca="1" ref="N465" ca="1">SUMPRODUCT(ISNUMBER(MATCH(mod_st_am,$B$427,0))*('Koszty operacyjne'!$K$114:$X$114=Moduły!N$77),st_am)</f>
        <v>0</v>
      </c>
      <c r="O465" s="102" cm="1">
        <f t="array" aca="1" ref="O465" ca="1">SUMPRODUCT(ISNUMBER(MATCH(mod_st_am,$B$427,0))*('Koszty operacyjne'!$K$114:$X$114=Moduły!O$77),st_am)</f>
        <v>0</v>
      </c>
      <c r="P465" s="102" cm="1">
        <f t="array" aca="1" ref="P465" ca="1">SUMPRODUCT(ISNUMBER(MATCH(mod_st_am,$B$427,0))*('Koszty operacyjne'!$K$114:$X$114=Moduły!P$77),st_am)</f>
        <v>0</v>
      </c>
    </row>
    <row r="466" spans="2:16">
      <c r="B466" s="37" t="s">
        <v>107</v>
      </c>
      <c r="C466" s="33" cm="1">
        <f t="array" ref="C466">SUMPRODUCT(ISNUMBER(MATCH(mod_ko_zme,$B$427,0))*('Koszty operacyjne'!$K$114:$X$114=Moduły!C$77),ko_zme)</f>
        <v>0</v>
      </c>
      <c r="D466" s="33" cm="1">
        <f t="array" ref="D466">SUMPRODUCT(ISNUMBER(MATCH(mod_ko_zme,$B$427,0))*('Koszty operacyjne'!$K$114:$X$114=Moduły!D$77),ko_zme)</f>
        <v>0</v>
      </c>
      <c r="E466" s="33" cm="1">
        <f t="array" ref="E466">SUMPRODUCT(ISNUMBER(MATCH(mod_ko_zme,$B$427,0))*('Koszty operacyjne'!$K$114:$X$114=Moduły!E$77),ko_zme)</f>
        <v>0</v>
      </c>
      <c r="F466" s="33" cm="1">
        <f t="array" ref="F466">SUMPRODUCT(ISNUMBER(MATCH(mod_ko_zme,$B$427,0))*('Koszty operacyjne'!$K$114:$X$114=Moduły!F$77),ko_zme)</f>
        <v>0</v>
      </c>
      <c r="G466" s="33" cm="1">
        <f t="array" ref="G466">SUMPRODUCT(ISNUMBER(MATCH(mod_ko_zme,$B$427,0))*('Koszty operacyjne'!$K$114:$X$114=Moduły!G$77),ko_zme)</f>
        <v>0</v>
      </c>
      <c r="H466" s="33" cm="1">
        <f t="array" ref="H466">SUMPRODUCT(ISNUMBER(MATCH(mod_ko_zme,$B$427,0))*('Koszty operacyjne'!$K$114:$X$114=Moduły!H$77),ko_zme)</f>
        <v>0</v>
      </c>
      <c r="I466" s="33" cm="1">
        <f t="array" ref="I466">SUMPRODUCT(ISNUMBER(MATCH(mod_ko_zme,$B$427,0))*('Koszty operacyjne'!$K$114:$X$114=Moduły!I$77),ko_zme)</f>
        <v>0</v>
      </c>
      <c r="J466" s="33" cm="1">
        <f t="array" ref="J466">SUMPRODUCT(ISNUMBER(MATCH(mod_ko_zme,$B$427,0))*('Koszty operacyjne'!$K$114:$X$114=Moduły!J$77),ko_zme)</f>
        <v>0</v>
      </c>
      <c r="K466" s="33" cm="1">
        <f t="array" ref="K466">SUMPRODUCT(ISNUMBER(MATCH(mod_ko_zme,$B$427,0))*('Koszty operacyjne'!$K$114:$X$114=Moduły!K$77),ko_zme)</f>
        <v>0</v>
      </c>
      <c r="L466" s="33" cm="1">
        <f t="array" ref="L466">SUMPRODUCT(ISNUMBER(MATCH(mod_ko_zme,$B$427,0))*('Koszty operacyjne'!$K$114:$X$114=Moduły!L$77),ko_zme)</f>
        <v>0</v>
      </c>
      <c r="M466" s="33" cm="1">
        <f t="array" ref="M466">SUMPRODUCT(ISNUMBER(MATCH(mod_ko_zme,$B$427,0))*('Koszty operacyjne'!$K$114:$X$114=Moduły!M$77),ko_zme)</f>
        <v>0</v>
      </c>
      <c r="N466" s="33" cm="1">
        <f t="array" ref="N466">SUMPRODUCT(ISNUMBER(MATCH(mod_ko_zme,$B$427,0))*('Koszty operacyjne'!$K$114:$X$114=Moduły!N$77),ko_zme)</f>
        <v>0</v>
      </c>
      <c r="O466" s="33" cm="1">
        <f t="array" ref="O466">SUMPRODUCT(ISNUMBER(MATCH(mod_ko_zme,$B$427,0))*('Koszty operacyjne'!$K$114:$X$114=Moduły!O$77),ko_zme)</f>
        <v>0</v>
      </c>
      <c r="P466" s="33" cm="1">
        <f t="array" ref="P466">SUMPRODUCT(ISNUMBER(MATCH(mod_ko_zme,$B$427,0))*('Koszty operacyjne'!$K$114:$X$114=Moduły!P$77),ko_zme)</f>
        <v>0</v>
      </c>
    </row>
    <row r="467" spans="2:16">
      <c r="B467" s="37" t="s">
        <v>108</v>
      </c>
      <c r="C467" s="33" cm="1">
        <f t="array" ref="C467">SUMPRODUCT(ISNUMBER(MATCH(mod_ko_uoe,$B$427,0))*('Koszty operacyjne'!$K$114:$X$114=Moduły!C$77),ko_uoe)</f>
        <v>0</v>
      </c>
      <c r="D467" s="33" cm="1">
        <f t="array" ref="D467">SUMPRODUCT(ISNUMBER(MATCH(mod_ko_uoe,$B$427,0))*('Koszty operacyjne'!$K$114:$X$114=Moduły!D$77),ko_uoe)</f>
        <v>0</v>
      </c>
      <c r="E467" s="33" cm="1">
        <f t="array" ref="E467">SUMPRODUCT(ISNUMBER(MATCH(mod_ko_uoe,$B$427,0))*('Koszty operacyjne'!$K$114:$X$114=Moduły!E$77),ko_uoe)</f>
        <v>0</v>
      </c>
      <c r="F467" s="33" cm="1">
        <f t="array" ref="F467">SUMPRODUCT(ISNUMBER(MATCH(mod_ko_uoe,$B$427,0))*('Koszty operacyjne'!$K$114:$X$114=Moduły!F$77),ko_uoe)</f>
        <v>0</v>
      </c>
      <c r="G467" s="33" cm="1">
        <f t="array" ref="G467">SUMPRODUCT(ISNUMBER(MATCH(mod_ko_uoe,$B$427,0))*('Koszty operacyjne'!$K$114:$X$114=Moduły!G$77),ko_uoe)</f>
        <v>0</v>
      </c>
      <c r="H467" s="33" cm="1">
        <f t="array" ref="H467">SUMPRODUCT(ISNUMBER(MATCH(mod_ko_uoe,$B$427,0))*('Koszty operacyjne'!$K$114:$X$114=Moduły!H$77),ko_uoe)</f>
        <v>0</v>
      </c>
      <c r="I467" s="33" cm="1">
        <f t="array" ref="I467">SUMPRODUCT(ISNUMBER(MATCH(mod_ko_uoe,$B$427,0))*('Koszty operacyjne'!$K$114:$X$114=Moduły!I$77),ko_uoe)</f>
        <v>0</v>
      </c>
      <c r="J467" s="33" cm="1">
        <f t="array" ref="J467">SUMPRODUCT(ISNUMBER(MATCH(mod_ko_uoe,$B$427,0))*('Koszty operacyjne'!$K$114:$X$114=Moduły!J$77),ko_uoe)</f>
        <v>0</v>
      </c>
      <c r="K467" s="33" cm="1">
        <f t="array" ref="K467">SUMPRODUCT(ISNUMBER(MATCH(mod_ko_uoe,$B$427,0))*('Koszty operacyjne'!$K$114:$X$114=Moduły!K$77),ko_uoe)</f>
        <v>0</v>
      </c>
      <c r="L467" s="33" cm="1">
        <f t="array" ref="L467">SUMPRODUCT(ISNUMBER(MATCH(mod_ko_uoe,$B$427,0))*('Koszty operacyjne'!$K$114:$X$114=Moduły!L$77),ko_uoe)</f>
        <v>0</v>
      </c>
      <c r="M467" s="33" cm="1">
        <f t="array" ref="M467">SUMPRODUCT(ISNUMBER(MATCH(mod_ko_uoe,$B$427,0))*('Koszty operacyjne'!$K$114:$X$114=Moduły!M$77),ko_uoe)</f>
        <v>0</v>
      </c>
      <c r="N467" s="33" cm="1">
        <f t="array" ref="N467">SUMPRODUCT(ISNUMBER(MATCH(mod_ko_uoe,$B$427,0))*('Koszty operacyjne'!$K$114:$X$114=Moduły!N$77),ko_uoe)</f>
        <v>0</v>
      </c>
      <c r="O467" s="33" cm="1">
        <f t="array" ref="O467">SUMPRODUCT(ISNUMBER(MATCH(mod_ko_uoe,$B$427,0))*('Koszty operacyjne'!$K$114:$X$114=Moduły!O$77),ko_uoe)</f>
        <v>0</v>
      </c>
      <c r="P467" s="33" cm="1">
        <f t="array" ref="P467">SUMPRODUCT(ISNUMBER(MATCH(mod_ko_uoe,$B$427,0))*('Koszty operacyjne'!$K$114:$X$114=Moduły!P$77),ko_uoe)</f>
        <v>0</v>
      </c>
    </row>
    <row r="468" spans="2:16">
      <c r="B468" s="37" t="s">
        <v>778</v>
      </c>
      <c r="C468" s="33" cm="1">
        <f t="array" ref="C468">SUMPRODUCT(ISNUMBER(MATCH(mod_ko_pio,$B$427,0))*('Koszty operacyjne'!$K$114:$X$114=Moduły!C$77),ko_pio)</f>
        <v>0</v>
      </c>
      <c r="D468" s="33" cm="1">
        <f t="array" ref="D468">SUMPRODUCT(ISNUMBER(MATCH(mod_ko_pio,$B$427,0))*('Koszty operacyjne'!$K$114:$X$114=Moduły!D$77),ko_pio)</f>
        <v>0</v>
      </c>
      <c r="E468" s="33" cm="1">
        <f t="array" ref="E468">SUMPRODUCT(ISNUMBER(MATCH(mod_ko_pio,$B$427,0))*('Koszty operacyjne'!$K$114:$X$114=Moduły!E$77),ko_pio)</f>
        <v>0</v>
      </c>
      <c r="F468" s="33" cm="1">
        <f t="array" ref="F468">SUMPRODUCT(ISNUMBER(MATCH(mod_ko_pio,$B$427,0))*('Koszty operacyjne'!$K$114:$X$114=Moduły!F$77),ko_pio)</f>
        <v>0</v>
      </c>
      <c r="G468" s="33" cm="1">
        <f t="array" ref="G468">SUMPRODUCT(ISNUMBER(MATCH(mod_ko_pio,$B$427,0))*('Koszty operacyjne'!$K$114:$X$114=Moduły!G$77),ko_pio)</f>
        <v>0</v>
      </c>
      <c r="H468" s="33" cm="1">
        <f t="array" ref="H468">SUMPRODUCT(ISNUMBER(MATCH(mod_ko_pio,$B$427,0))*('Koszty operacyjne'!$K$114:$X$114=Moduły!H$77),ko_pio)</f>
        <v>0</v>
      </c>
      <c r="I468" s="33" cm="1">
        <f t="array" ref="I468">SUMPRODUCT(ISNUMBER(MATCH(mod_ko_pio,$B$427,0))*('Koszty operacyjne'!$K$114:$X$114=Moduły!I$77),ko_pio)</f>
        <v>0</v>
      </c>
      <c r="J468" s="33" cm="1">
        <f t="array" ref="J468">SUMPRODUCT(ISNUMBER(MATCH(mod_ko_pio,$B$427,0))*('Koszty operacyjne'!$K$114:$X$114=Moduły!J$77),ko_pio)</f>
        <v>0</v>
      </c>
      <c r="K468" s="33" cm="1">
        <f t="array" ref="K468">SUMPRODUCT(ISNUMBER(MATCH(mod_ko_pio,$B$427,0))*('Koszty operacyjne'!$K$114:$X$114=Moduły!K$77),ko_pio)</f>
        <v>0</v>
      </c>
      <c r="L468" s="33" cm="1">
        <f t="array" ref="L468">SUMPRODUCT(ISNUMBER(MATCH(mod_ko_pio,$B$427,0))*('Koszty operacyjne'!$K$114:$X$114=Moduły!L$77),ko_pio)</f>
        <v>0</v>
      </c>
      <c r="M468" s="33" cm="1">
        <f t="array" ref="M468">SUMPRODUCT(ISNUMBER(MATCH(mod_ko_pio,$B$427,0))*('Koszty operacyjne'!$K$114:$X$114=Moduły!M$77),ko_pio)</f>
        <v>0</v>
      </c>
      <c r="N468" s="33" cm="1">
        <f t="array" ref="N468">SUMPRODUCT(ISNUMBER(MATCH(mod_ko_pio,$B$427,0))*('Koszty operacyjne'!$K$114:$X$114=Moduły!N$77),ko_pio)</f>
        <v>0</v>
      </c>
      <c r="O468" s="33" cm="1">
        <f t="array" ref="O468">SUMPRODUCT(ISNUMBER(MATCH(mod_ko_pio,$B$427,0))*('Koszty operacyjne'!$K$114:$X$114=Moduły!O$77),ko_pio)</f>
        <v>0</v>
      </c>
      <c r="P468" s="33" cm="1">
        <f t="array" ref="P468">SUMPRODUCT(ISNUMBER(MATCH(mod_ko_pio,$B$427,0))*('Koszty operacyjne'!$K$114:$X$114=Moduły!P$77),ko_pio)</f>
        <v>0</v>
      </c>
    </row>
    <row r="469" spans="2:16">
      <c r="B469" s="37" t="s">
        <v>109</v>
      </c>
      <c r="C469" s="33" cm="1">
        <f t="array" ref="C469">SUMPRODUCT(ISNUMBER(MATCH(mod_ko_wyn,$B$427,0))*('Koszty operacyjne'!$K$114:$X$114=Moduły!C$77),ko_wyn)</f>
        <v>0</v>
      </c>
      <c r="D469" s="33" cm="1">
        <f t="array" ref="D469">SUMPRODUCT(ISNUMBER(MATCH(mod_ko_wyn,$B$427,0))*('Koszty operacyjne'!$K$114:$X$114=Moduły!D$77),ko_wyn)</f>
        <v>0</v>
      </c>
      <c r="E469" s="33" cm="1">
        <f t="array" ref="E469">SUMPRODUCT(ISNUMBER(MATCH(mod_ko_wyn,$B$427,0))*('Koszty operacyjne'!$K$114:$X$114=Moduły!E$77),ko_wyn)</f>
        <v>0</v>
      </c>
      <c r="F469" s="33" cm="1">
        <f t="array" ref="F469">SUMPRODUCT(ISNUMBER(MATCH(mod_ko_wyn,$B$427,0))*('Koszty operacyjne'!$K$114:$X$114=Moduły!F$77),ko_wyn)</f>
        <v>0</v>
      </c>
      <c r="G469" s="33" cm="1">
        <f t="array" ref="G469">SUMPRODUCT(ISNUMBER(MATCH(mod_ko_wyn,$B$427,0))*('Koszty operacyjne'!$K$114:$X$114=Moduły!G$77),ko_wyn)</f>
        <v>0</v>
      </c>
      <c r="H469" s="33" cm="1">
        <f t="array" ref="H469">SUMPRODUCT(ISNUMBER(MATCH(mod_ko_wyn,$B$427,0))*('Koszty operacyjne'!$K$114:$X$114=Moduły!H$77),ko_wyn)</f>
        <v>0</v>
      </c>
      <c r="I469" s="33" cm="1">
        <f t="array" ref="I469">SUMPRODUCT(ISNUMBER(MATCH(mod_ko_wyn,$B$427,0))*('Koszty operacyjne'!$K$114:$X$114=Moduły!I$77),ko_wyn)</f>
        <v>0</v>
      </c>
      <c r="J469" s="33" cm="1">
        <f t="array" ref="J469">SUMPRODUCT(ISNUMBER(MATCH(mod_ko_wyn,$B$427,0))*('Koszty operacyjne'!$K$114:$X$114=Moduły!J$77),ko_wyn)</f>
        <v>0</v>
      </c>
      <c r="K469" s="33" cm="1">
        <f t="array" ref="K469">SUMPRODUCT(ISNUMBER(MATCH(mod_ko_wyn,$B$427,0))*('Koszty operacyjne'!$K$114:$X$114=Moduły!K$77),ko_wyn)</f>
        <v>0</v>
      </c>
      <c r="L469" s="33" cm="1">
        <f t="array" ref="L469">SUMPRODUCT(ISNUMBER(MATCH(mod_ko_wyn,$B$427,0))*('Koszty operacyjne'!$K$114:$X$114=Moduły!L$77),ko_wyn)</f>
        <v>0</v>
      </c>
      <c r="M469" s="33" cm="1">
        <f t="array" ref="M469">SUMPRODUCT(ISNUMBER(MATCH(mod_ko_wyn,$B$427,0))*('Koszty operacyjne'!$K$114:$X$114=Moduły!M$77),ko_wyn)</f>
        <v>0</v>
      </c>
      <c r="N469" s="33" cm="1">
        <f t="array" ref="N469">SUMPRODUCT(ISNUMBER(MATCH(mod_ko_wyn,$B$427,0))*('Koszty operacyjne'!$K$114:$X$114=Moduły!N$77),ko_wyn)</f>
        <v>0</v>
      </c>
      <c r="O469" s="33" cm="1">
        <f t="array" ref="O469">SUMPRODUCT(ISNUMBER(MATCH(mod_ko_wyn,$B$427,0))*('Koszty operacyjne'!$K$114:$X$114=Moduły!O$77),ko_wyn)</f>
        <v>0</v>
      </c>
      <c r="P469" s="33" cm="1">
        <f t="array" ref="P469">SUMPRODUCT(ISNUMBER(MATCH(mod_ko_wyn,$B$427,0))*('Koszty operacyjne'!$K$114:$X$114=Moduły!P$77),ko_wyn)</f>
        <v>0</v>
      </c>
    </row>
    <row r="470" spans="2:16">
      <c r="B470" s="37" t="s">
        <v>110</v>
      </c>
      <c r="C470" s="33" cm="1">
        <f t="array" ref="C470">SUMPRODUCT(ISNUMBER(MATCH(mod_ko_zus,$B$427,0))*('Koszty operacyjne'!$K$114:$X$114=Moduły!C$77),ko_zus)</f>
        <v>0</v>
      </c>
      <c r="D470" s="33" cm="1">
        <f t="array" ref="D470">SUMPRODUCT(ISNUMBER(MATCH(mod_ko_zus,$B$427,0))*('Koszty operacyjne'!$K$114:$X$114=Moduły!D$77),ko_zus)</f>
        <v>0</v>
      </c>
      <c r="E470" s="33" cm="1">
        <f t="array" ref="E470">SUMPRODUCT(ISNUMBER(MATCH(mod_ko_zus,$B$427,0))*('Koszty operacyjne'!$K$114:$X$114=Moduły!E$77),ko_zus)</f>
        <v>0</v>
      </c>
      <c r="F470" s="33" cm="1">
        <f t="array" ref="F470">SUMPRODUCT(ISNUMBER(MATCH(mod_ko_zus,$B$427,0))*('Koszty operacyjne'!$K$114:$X$114=Moduły!F$77),ko_zus)</f>
        <v>0</v>
      </c>
      <c r="G470" s="33" cm="1">
        <f t="array" ref="G470">SUMPRODUCT(ISNUMBER(MATCH(mod_ko_zus,$B$427,0))*('Koszty operacyjne'!$K$114:$X$114=Moduły!G$77),ko_zus)</f>
        <v>0</v>
      </c>
      <c r="H470" s="33" cm="1">
        <f t="array" ref="H470">SUMPRODUCT(ISNUMBER(MATCH(mod_ko_zus,$B$427,0))*('Koszty operacyjne'!$K$114:$X$114=Moduły!H$77),ko_zus)</f>
        <v>0</v>
      </c>
      <c r="I470" s="33" cm="1">
        <f t="array" ref="I470">SUMPRODUCT(ISNUMBER(MATCH(mod_ko_zus,$B$427,0))*('Koszty operacyjne'!$K$114:$X$114=Moduły!I$77),ko_zus)</f>
        <v>0</v>
      </c>
      <c r="J470" s="33" cm="1">
        <f t="array" ref="J470">SUMPRODUCT(ISNUMBER(MATCH(mod_ko_zus,$B$427,0))*('Koszty operacyjne'!$K$114:$X$114=Moduły!J$77),ko_zus)</f>
        <v>0</v>
      </c>
      <c r="K470" s="33" cm="1">
        <f t="array" ref="K470">SUMPRODUCT(ISNUMBER(MATCH(mod_ko_zus,$B$427,0))*('Koszty operacyjne'!$K$114:$X$114=Moduły!K$77),ko_zus)</f>
        <v>0</v>
      </c>
      <c r="L470" s="33" cm="1">
        <f t="array" ref="L470">SUMPRODUCT(ISNUMBER(MATCH(mod_ko_zus,$B$427,0))*('Koszty operacyjne'!$K$114:$X$114=Moduły!L$77),ko_zus)</f>
        <v>0</v>
      </c>
      <c r="M470" s="33" cm="1">
        <f t="array" ref="M470">SUMPRODUCT(ISNUMBER(MATCH(mod_ko_zus,$B$427,0))*('Koszty operacyjne'!$K$114:$X$114=Moduły!M$77),ko_zus)</f>
        <v>0</v>
      </c>
      <c r="N470" s="33" cm="1">
        <f t="array" ref="N470">SUMPRODUCT(ISNUMBER(MATCH(mod_ko_zus,$B$427,0))*('Koszty operacyjne'!$K$114:$X$114=Moduły!N$77),ko_zus)</f>
        <v>0</v>
      </c>
      <c r="O470" s="33" cm="1">
        <f t="array" ref="O470">SUMPRODUCT(ISNUMBER(MATCH(mod_ko_zus,$B$427,0))*('Koszty operacyjne'!$K$114:$X$114=Moduły!O$77),ko_zus)</f>
        <v>0</v>
      </c>
      <c r="P470" s="33" cm="1">
        <f t="array" ref="P470">SUMPRODUCT(ISNUMBER(MATCH(mod_ko_zus,$B$427,0))*('Koszty operacyjne'!$K$114:$X$114=Moduły!P$77),ko_zus)</f>
        <v>0</v>
      </c>
    </row>
    <row r="471" spans="2:16">
      <c r="B471" s="37" t="s">
        <v>111</v>
      </c>
      <c r="C471" s="33" cm="1">
        <f t="array" ref="C471">SUMPRODUCT(ISNUMBER(MATCH(mod_ko_pkr,$B$427,0))*('Koszty operacyjne'!$K$114:$X$114=Moduły!C$77),ko_pkr)</f>
        <v>0</v>
      </c>
      <c r="D471" s="33" cm="1">
        <f t="array" ref="D471">SUMPRODUCT(ISNUMBER(MATCH(mod_ko_pkr,$B$427,0))*('Koszty operacyjne'!$K$114:$X$114=Moduły!D$77),ko_pkr)</f>
        <v>0</v>
      </c>
      <c r="E471" s="33" cm="1">
        <f t="array" ref="E471">SUMPRODUCT(ISNUMBER(MATCH(mod_ko_pkr,$B$427,0))*('Koszty operacyjne'!$K$114:$X$114=Moduły!E$77),ko_pkr)</f>
        <v>0</v>
      </c>
      <c r="F471" s="33" cm="1">
        <f t="array" ref="F471">SUMPRODUCT(ISNUMBER(MATCH(mod_ko_pkr,$B$427,0))*('Koszty operacyjne'!$K$114:$X$114=Moduły!F$77),ko_pkr)</f>
        <v>0</v>
      </c>
      <c r="G471" s="33" cm="1">
        <f t="array" ref="G471">SUMPRODUCT(ISNUMBER(MATCH(mod_ko_pkr,$B$427,0))*('Koszty operacyjne'!$K$114:$X$114=Moduły!G$77),ko_pkr)</f>
        <v>0</v>
      </c>
      <c r="H471" s="33" cm="1">
        <f t="array" ref="H471">SUMPRODUCT(ISNUMBER(MATCH(mod_ko_pkr,$B$427,0))*('Koszty operacyjne'!$K$114:$X$114=Moduły!H$77),ko_pkr)</f>
        <v>0</v>
      </c>
      <c r="I471" s="33" cm="1">
        <f t="array" ref="I471">SUMPRODUCT(ISNUMBER(MATCH(mod_ko_pkr,$B$427,0))*('Koszty operacyjne'!$K$114:$X$114=Moduły!I$77),ko_pkr)</f>
        <v>0</v>
      </c>
      <c r="J471" s="33" cm="1">
        <f t="array" ref="J471">SUMPRODUCT(ISNUMBER(MATCH(mod_ko_pkr,$B$427,0))*('Koszty operacyjne'!$K$114:$X$114=Moduły!J$77),ko_pkr)</f>
        <v>0</v>
      </c>
      <c r="K471" s="33" cm="1">
        <f t="array" ref="K471">SUMPRODUCT(ISNUMBER(MATCH(mod_ko_pkr,$B$427,0))*('Koszty operacyjne'!$K$114:$X$114=Moduły!K$77),ko_pkr)</f>
        <v>0</v>
      </c>
      <c r="L471" s="33" cm="1">
        <f t="array" ref="L471">SUMPRODUCT(ISNUMBER(MATCH(mod_ko_pkr,$B$427,0))*('Koszty operacyjne'!$K$114:$X$114=Moduły!L$77),ko_pkr)</f>
        <v>0</v>
      </c>
      <c r="M471" s="33" cm="1">
        <f t="array" ref="M471">SUMPRODUCT(ISNUMBER(MATCH(mod_ko_pkr,$B$427,0))*('Koszty operacyjne'!$K$114:$X$114=Moduły!M$77),ko_pkr)</f>
        <v>0</v>
      </c>
      <c r="N471" s="33" cm="1">
        <f t="array" ref="N471">SUMPRODUCT(ISNUMBER(MATCH(mod_ko_pkr,$B$427,0))*('Koszty operacyjne'!$K$114:$X$114=Moduły!N$77),ko_pkr)</f>
        <v>0</v>
      </c>
      <c r="O471" s="33" cm="1">
        <f t="array" ref="O471">SUMPRODUCT(ISNUMBER(MATCH(mod_ko_pkr,$B$427,0))*('Koszty operacyjne'!$K$114:$X$114=Moduły!O$77),ko_pkr)</f>
        <v>0</v>
      </c>
      <c r="P471" s="33" cm="1">
        <f t="array" ref="P471">SUMPRODUCT(ISNUMBER(MATCH(mod_ko_pkr,$B$427,0))*('Koszty operacyjne'!$K$114:$X$114=Moduły!P$77),ko_pkr)</f>
        <v>0</v>
      </c>
    </row>
    <row r="472" spans="2:16">
      <c r="B472" s="37" t="s">
        <v>112</v>
      </c>
      <c r="C472" s="33" cm="1">
        <f t="array" ref="C472">SUMPRODUCT(ISNUMBER(MATCH(mod_pp_ptim_wstim,$B$427,0))*('Koszty operacyjne'!$K$114:$X$114=Moduły!C$77),pp_ptim_wstim)</f>
        <v>0</v>
      </c>
      <c r="D472" s="33" cm="1">
        <f t="array" ref="D472">SUMPRODUCT(ISNUMBER(MATCH(mod_pp_ptim_wstim,$B$427,0))*('Koszty operacyjne'!$K$114:$X$114=Moduły!D$77),pp_ptim_wstim)</f>
        <v>0</v>
      </c>
      <c r="E472" s="33" cm="1">
        <f t="array" ref="E472">SUMPRODUCT(ISNUMBER(MATCH(mod_pp_ptim_wstim,$B$427,0))*('Koszty operacyjne'!$K$114:$X$114=Moduły!E$77),pp_ptim_wstim)</f>
        <v>0</v>
      </c>
      <c r="F472" s="33" cm="1">
        <f t="array" ref="F472">SUMPRODUCT(ISNUMBER(MATCH(mod_pp_ptim_wstim,$B$427,0))*('Koszty operacyjne'!$K$114:$X$114=Moduły!F$77),pp_ptim_wstim)</f>
        <v>0</v>
      </c>
      <c r="G472" s="33" cm="1">
        <f t="array" ref="G472">SUMPRODUCT(ISNUMBER(MATCH(mod_pp_ptim_wstim,$B$427,0))*('Koszty operacyjne'!$K$114:$X$114=Moduły!G$77),pp_ptim_wstim)</f>
        <v>0</v>
      </c>
      <c r="H472" s="33" cm="1">
        <f t="array" ref="H472">SUMPRODUCT(ISNUMBER(MATCH(mod_pp_ptim_wstim,$B$427,0))*('Koszty operacyjne'!$K$114:$X$114=Moduły!H$77),pp_ptim_wstim)</f>
        <v>0</v>
      </c>
      <c r="I472" s="33" cm="1">
        <f t="array" ref="I472">SUMPRODUCT(ISNUMBER(MATCH(mod_pp_ptim_wstim,$B$427,0))*('Koszty operacyjne'!$K$114:$X$114=Moduły!I$77),pp_ptim_wstim)</f>
        <v>0</v>
      </c>
      <c r="J472" s="33" cm="1">
        <f t="array" ref="J472">SUMPRODUCT(ISNUMBER(MATCH(mod_pp_ptim_wstim,$B$427,0))*('Koszty operacyjne'!$K$114:$X$114=Moduły!J$77),pp_ptim_wstim)</f>
        <v>0</v>
      </c>
      <c r="K472" s="33" cm="1">
        <f t="array" ref="K472">SUMPRODUCT(ISNUMBER(MATCH(mod_pp_ptim_wstim,$B$427,0))*('Koszty operacyjne'!$K$114:$X$114=Moduły!K$77),pp_ptim_wstim)</f>
        <v>0</v>
      </c>
      <c r="L472" s="33" cm="1">
        <f t="array" ref="L472">SUMPRODUCT(ISNUMBER(MATCH(mod_pp_ptim_wstim,$B$427,0))*('Koszty operacyjne'!$K$114:$X$114=Moduły!L$77),pp_ptim_wstim)</f>
        <v>0</v>
      </c>
      <c r="M472" s="33" cm="1">
        <f t="array" ref="M472">SUMPRODUCT(ISNUMBER(MATCH(mod_pp_ptim_wstim,$B$427,0))*('Koszty operacyjne'!$K$114:$X$114=Moduły!M$77),pp_ptim_wstim)</f>
        <v>0</v>
      </c>
      <c r="N472" s="33" cm="1">
        <f t="array" ref="N472">SUMPRODUCT(ISNUMBER(MATCH(mod_pp_ptim_wstim,$B$427,0))*('Koszty operacyjne'!$K$114:$X$114=Moduły!N$77),pp_ptim_wstim)</f>
        <v>0</v>
      </c>
      <c r="O472" s="33" cm="1">
        <f t="array" ref="O472">SUMPRODUCT(ISNUMBER(MATCH(mod_pp_ptim_wstim,$B$427,0))*('Koszty operacyjne'!$K$114:$X$114=Moduły!O$77),pp_ptim_wstim)</f>
        <v>0</v>
      </c>
      <c r="P472" s="33" cm="1">
        <f t="array" ref="P472">SUMPRODUCT(ISNUMBER(MATCH(mod_pp_ptim_wstim,$B$427,0))*('Koszty operacyjne'!$K$114:$X$114=Moduły!P$77),pp_ptim_wstim)</f>
        <v>0</v>
      </c>
    </row>
    <row r="473" spans="2:16"/>
    <row r="474" spans="2:16"/>
    <row r="475" spans="2:16">
      <c r="B475" s="367" t="s">
        <v>117</v>
      </c>
      <c r="C475" s="367" t="str">
        <f>C$77</f>
        <v>Uzupełnij dane</v>
      </c>
      <c r="D475" s="367" t="str">
        <f t="shared" ref="D475:P475" si="198">D$77</f>
        <v/>
      </c>
      <c r="E475" s="367" t="str">
        <f t="shared" si="198"/>
        <v/>
      </c>
      <c r="F475" s="367" t="str">
        <f t="shared" si="198"/>
        <v/>
      </c>
      <c r="G475" s="367" t="str">
        <f t="shared" si="198"/>
        <v/>
      </c>
      <c r="H475" s="367" t="str">
        <f t="shared" si="198"/>
        <v/>
      </c>
      <c r="I475" s="367" t="str">
        <f t="shared" si="198"/>
        <v/>
      </c>
      <c r="J475" s="367" t="str">
        <f t="shared" si="198"/>
        <v/>
      </c>
      <c r="K475" s="367" t="str">
        <f t="shared" si="198"/>
        <v/>
      </c>
      <c r="L475" s="367" t="str">
        <f t="shared" si="198"/>
        <v/>
      </c>
      <c r="M475" s="367" t="str">
        <f t="shared" si="198"/>
        <v/>
      </c>
      <c r="N475" s="367" t="str">
        <f t="shared" si="198"/>
        <v/>
      </c>
      <c r="O475" s="367" t="str">
        <f t="shared" si="198"/>
        <v/>
      </c>
      <c r="P475" s="367" t="str">
        <f t="shared" si="198"/>
        <v/>
      </c>
    </row>
    <row r="476" spans="2:16" ht="3.9" customHeight="1"/>
    <row r="477" spans="2:16" ht="12" customHeight="1">
      <c r="B477" s="98" t="s">
        <v>93</v>
      </c>
      <c r="C477" s="97">
        <f t="shared" ref="C477:P477" si="199">SUM(C478:C479)</f>
        <v>0</v>
      </c>
      <c r="D477" s="97">
        <f t="shared" si="199"/>
        <v>0</v>
      </c>
      <c r="E477" s="97">
        <f t="shared" si="199"/>
        <v>0</v>
      </c>
      <c r="F477" s="97">
        <f t="shared" si="199"/>
        <v>0</v>
      </c>
      <c r="G477" s="97">
        <f t="shared" si="199"/>
        <v>0</v>
      </c>
      <c r="H477" s="97">
        <f t="shared" si="199"/>
        <v>0</v>
      </c>
      <c r="I477" s="97">
        <f t="shared" si="199"/>
        <v>0</v>
      </c>
      <c r="J477" s="97">
        <f t="shared" si="199"/>
        <v>0</v>
      </c>
      <c r="K477" s="97">
        <f t="shared" si="199"/>
        <v>0</v>
      </c>
      <c r="L477" s="97">
        <f t="shared" si="199"/>
        <v>0</v>
      </c>
      <c r="M477" s="97">
        <f t="shared" si="199"/>
        <v>0</v>
      </c>
      <c r="N477" s="97">
        <f t="shared" si="199"/>
        <v>0</v>
      </c>
      <c r="O477" s="97">
        <f t="shared" si="199"/>
        <v>0</v>
      </c>
      <c r="P477" s="97">
        <f t="shared" si="199"/>
        <v>0</v>
      </c>
    </row>
    <row r="478" spans="2:16">
      <c r="B478" s="460" t="s">
        <v>95</v>
      </c>
      <c r="C478" s="461">
        <f t="shared" ref="C478:P478" si="200">C482+C486+C490+C494+C498+C502+C506</f>
        <v>0</v>
      </c>
      <c r="D478" s="461">
        <f t="shared" si="200"/>
        <v>0</v>
      </c>
      <c r="E478" s="461">
        <f t="shared" si="200"/>
        <v>0</v>
      </c>
      <c r="F478" s="461">
        <f t="shared" si="200"/>
        <v>0</v>
      </c>
      <c r="G478" s="461">
        <f t="shared" si="200"/>
        <v>0</v>
      </c>
      <c r="H478" s="461">
        <f t="shared" si="200"/>
        <v>0</v>
      </c>
      <c r="I478" s="461">
        <f t="shared" si="200"/>
        <v>0</v>
      </c>
      <c r="J478" s="461">
        <f t="shared" si="200"/>
        <v>0</v>
      </c>
      <c r="K478" s="462">
        <f t="shared" si="200"/>
        <v>0</v>
      </c>
      <c r="L478" s="462">
        <f t="shared" si="200"/>
        <v>0</v>
      </c>
      <c r="M478" s="462">
        <f t="shared" si="200"/>
        <v>0</v>
      </c>
      <c r="N478" s="462">
        <f t="shared" si="200"/>
        <v>0</v>
      </c>
      <c r="O478" s="462">
        <f t="shared" si="200"/>
        <v>0</v>
      </c>
      <c r="P478" s="462">
        <f t="shared" si="200"/>
        <v>0</v>
      </c>
    </row>
    <row r="479" spans="2:16">
      <c r="B479" s="463" t="s">
        <v>96</v>
      </c>
      <c r="C479" s="464">
        <f t="shared" ref="C479:P479" si="201">C483+C487+C491+C495+C499+C503+C507</f>
        <v>0</v>
      </c>
      <c r="D479" s="464">
        <f t="shared" si="201"/>
        <v>0</v>
      </c>
      <c r="E479" s="464">
        <f t="shared" si="201"/>
        <v>0</v>
      </c>
      <c r="F479" s="464">
        <f t="shared" si="201"/>
        <v>0</v>
      </c>
      <c r="G479" s="464">
        <f t="shared" si="201"/>
        <v>0</v>
      </c>
      <c r="H479" s="464">
        <f t="shared" si="201"/>
        <v>0</v>
      </c>
      <c r="I479" s="464">
        <f t="shared" si="201"/>
        <v>0</v>
      </c>
      <c r="J479" s="464">
        <f t="shared" si="201"/>
        <v>0</v>
      </c>
      <c r="K479" s="465">
        <f t="shared" si="201"/>
        <v>0</v>
      </c>
      <c r="L479" s="465">
        <f t="shared" si="201"/>
        <v>0</v>
      </c>
      <c r="M479" s="465">
        <f t="shared" si="201"/>
        <v>0</v>
      </c>
      <c r="N479" s="465">
        <f t="shared" si="201"/>
        <v>0</v>
      </c>
      <c r="O479" s="465">
        <f t="shared" si="201"/>
        <v>0</v>
      </c>
      <c r="P479" s="465">
        <f t="shared" si="201"/>
        <v>0</v>
      </c>
    </row>
    <row r="480" spans="2:16" ht="3.9" customHeight="1"/>
    <row r="481" spans="2:16" ht="12" customHeight="1">
      <c r="B481" s="353" t="s">
        <v>94</v>
      </c>
      <c r="C481" s="354">
        <f t="shared" ref="C481:P481" si="202">SUM(C482:C483)</f>
        <v>0</v>
      </c>
      <c r="D481" s="354">
        <f t="shared" si="202"/>
        <v>0</v>
      </c>
      <c r="E481" s="354">
        <f t="shared" si="202"/>
        <v>0</v>
      </c>
      <c r="F481" s="354">
        <f t="shared" si="202"/>
        <v>0</v>
      </c>
      <c r="G481" s="354">
        <f t="shared" si="202"/>
        <v>0</v>
      </c>
      <c r="H481" s="354">
        <f t="shared" si="202"/>
        <v>0</v>
      </c>
      <c r="I481" s="354">
        <f t="shared" si="202"/>
        <v>0</v>
      </c>
      <c r="J481" s="354">
        <f t="shared" si="202"/>
        <v>0</v>
      </c>
      <c r="K481" s="354">
        <f t="shared" si="202"/>
        <v>0</v>
      </c>
      <c r="L481" s="354">
        <f t="shared" si="202"/>
        <v>0</v>
      </c>
      <c r="M481" s="354">
        <f t="shared" si="202"/>
        <v>0</v>
      </c>
      <c r="N481" s="354">
        <f t="shared" si="202"/>
        <v>0</v>
      </c>
      <c r="O481" s="354">
        <f t="shared" si="202"/>
        <v>0</v>
      </c>
      <c r="P481" s="354">
        <f t="shared" si="202"/>
        <v>0</v>
      </c>
    </row>
    <row r="482" spans="2:16" ht="12" customHeight="1">
      <c r="B482" s="355" t="s">
        <v>95</v>
      </c>
      <c r="C482" s="356" cm="1">
        <f t="array" ref="C482">SUMPRODUCT(ISNUMBER(MATCH(mod_st_zpr,$B$475,0))*('Koszty operacyjne'!$K$114:$X$114=Moduły!C$77)*ISNUMBER(MATCH(st_zpr_kw,tak,0)),st_zpr)</f>
        <v>0</v>
      </c>
      <c r="D482" s="356" cm="1">
        <f t="array" ref="D482">SUMPRODUCT(ISNUMBER(MATCH(mod_st_zpr,$B$475,0))*('Koszty operacyjne'!$K$114:$X$114=Moduły!D$77)*ISNUMBER(MATCH(st_zpr_kw,tak,0)),st_zpr)</f>
        <v>0</v>
      </c>
      <c r="E482" s="356" cm="1">
        <f t="array" ref="E482">SUMPRODUCT(ISNUMBER(MATCH(mod_st_zpr,$B$475,0))*('Koszty operacyjne'!$K$114:$X$114=Moduły!E$77)*ISNUMBER(MATCH(st_zpr_kw,tak,0)),st_zpr)</f>
        <v>0</v>
      </c>
      <c r="F482" s="356" cm="1">
        <f t="array" ref="F482">SUMPRODUCT(ISNUMBER(MATCH(mod_st_zpr,$B$475,0))*('Koszty operacyjne'!$K$114:$X$114=Moduły!F$77)*ISNUMBER(MATCH(st_zpr_kw,tak,0)),st_zpr)</f>
        <v>0</v>
      </c>
      <c r="G482" s="356" cm="1">
        <f t="array" ref="G482">SUMPRODUCT(ISNUMBER(MATCH(mod_st_zpr,$B$475,0))*('Koszty operacyjne'!$K$114:$X$114=Moduły!G$77)*ISNUMBER(MATCH(st_zpr_kw,tak,0)),st_zpr)</f>
        <v>0</v>
      </c>
      <c r="H482" s="356" cm="1">
        <f t="array" ref="H482">SUMPRODUCT(ISNUMBER(MATCH(mod_st_zpr,$B$475,0))*('Koszty operacyjne'!$K$114:$X$114=Moduły!H$77)*ISNUMBER(MATCH(st_zpr_kw,tak,0)),st_zpr)</f>
        <v>0</v>
      </c>
      <c r="I482" s="356" cm="1">
        <f t="array" ref="I482">SUMPRODUCT(ISNUMBER(MATCH(mod_st_zpr,$B$475,0))*('Koszty operacyjne'!$K$114:$X$114=Moduły!I$77)*ISNUMBER(MATCH(st_zpr_kw,tak,0)),st_zpr)</f>
        <v>0</v>
      </c>
      <c r="J482" s="356" cm="1">
        <f t="array" ref="J482">SUMPRODUCT(ISNUMBER(MATCH(mod_st_zpr,$B$475,0))*('Koszty operacyjne'!$K$114:$X$114=Moduły!J$77)*ISNUMBER(MATCH(st_zpr_kw,tak,0)),st_zpr)</f>
        <v>0</v>
      </c>
      <c r="K482" s="356" cm="1">
        <f t="array" ref="K482">SUMPRODUCT(ISNUMBER(MATCH(mod_st_zpr,$B$475,0))*('Koszty operacyjne'!$K$114:$X$114=Moduły!K$77)*ISNUMBER(MATCH(st_zpr_kw,tak,0)),st_zpr)</f>
        <v>0</v>
      </c>
      <c r="L482" s="356" cm="1">
        <f t="array" ref="L482">SUMPRODUCT(ISNUMBER(MATCH(mod_st_zpr,$B$475,0))*('Koszty operacyjne'!$K$114:$X$114=Moduły!L$77)*ISNUMBER(MATCH(st_zpr_kw,tak,0)),st_zpr)</f>
        <v>0</v>
      </c>
      <c r="M482" s="356" cm="1">
        <f t="array" ref="M482">SUMPRODUCT(ISNUMBER(MATCH(mod_st_zpr,$B$475,0))*('Koszty operacyjne'!$K$114:$X$114=Moduły!M$77)*ISNUMBER(MATCH(st_zpr_kw,tak,0)),st_zpr)</f>
        <v>0</v>
      </c>
      <c r="N482" s="356" cm="1">
        <f t="array" ref="N482">SUMPRODUCT(ISNUMBER(MATCH(mod_st_zpr,$B$475,0))*('Koszty operacyjne'!$K$114:$X$114=Moduły!N$77)*ISNUMBER(MATCH(st_zpr_kw,tak,0)),st_zpr)</f>
        <v>0</v>
      </c>
      <c r="O482" s="356" cm="1">
        <f t="array" ref="O482">SUMPRODUCT(ISNUMBER(MATCH(mod_st_zpr,$B$475,0))*('Koszty operacyjne'!$K$114:$X$114=Moduły!O$77)*ISNUMBER(MATCH(st_zpr_kw,tak,0)),st_zpr)</f>
        <v>0</v>
      </c>
      <c r="P482" s="356" cm="1">
        <f t="array" ref="P482">SUMPRODUCT(ISNUMBER(MATCH(mod_st_zpr,$B$475,0))*('Koszty operacyjne'!$K$114:$X$114=Moduły!P$77)*ISNUMBER(MATCH(st_zpr_kw,tak,0)),st_zpr)</f>
        <v>0</v>
      </c>
    </row>
    <row r="483" spans="2:16" ht="12" customHeight="1">
      <c r="B483" s="357" t="s">
        <v>96</v>
      </c>
      <c r="C483" s="358" cm="1">
        <f t="array" ref="C483">SUMPRODUCT(ISNUMBER(MATCH(mod_st_zpr,$B$475,0))*('Koszty operacyjne'!$K$114:$X$114=Moduły!C$77)*ISNUMBER(MATCH(st_zpr_kw,nie,0)),st_zpr)</f>
        <v>0</v>
      </c>
      <c r="D483" s="358" cm="1">
        <f t="array" ref="D483">SUMPRODUCT(ISNUMBER(MATCH(mod_st_zpr,$B$475,0))*('Koszty operacyjne'!$K$114:$X$114=Moduły!D$77)*ISNUMBER(MATCH(st_zpr_kw,nie,0)),st_zpr)</f>
        <v>0</v>
      </c>
      <c r="E483" s="358" cm="1">
        <f t="array" ref="E483">SUMPRODUCT(ISNUMBER(MATCH(mod_st_zpr,$B$475,0))*('Koszty operacyjne'!$K$114:$X$114=Moduły!E$77)*ISNUMBER(MATCH(st_zpr_kw,nie,0)),st_zpr)</f>
        <v>0</v>
      </c>
      <c r="F483" s="358" cm="1">
        <f t="array" ref="F483">SUMPRODUCT(ISNUMBER(MATCH(mod_st_zpr,$B$475,0))*('Koszty operacyjne'!$K$114:$X$114=Moduły!F$77)*ISNUMBER(MATCH(st_zpr_kw,nie,0)),st_zpr)</f>
        <v>0</v>
      </c>
      <c r="G483" s="358" cm="1">
        <f t="array" ref="G483">SUMPRODUCT(ISNUMBER(MATCH(mod_st_zpr,$B$475,0))*('Koszty operacyjne'!$K$114:$X$114=Moduły!G$77)*ISNUMBER(MATCH(st_zpr_kw,nie,0)),st_zpr)</f>
        <v>0</v>
      </c>
      <c r="H483" s="358" cm="1">
        <f t="array" ref="H483">SUMPRODUCT(ISNUMBER(MATCH(mod_st_zpr,$B$475,0))*('Koszty operacyjne'!$K$114:$X$114=Moduły!H$77)*ISNUMBER(MATCH(st_zpr_kw,nie,0)),st_zpr)</f>
        <v>0</v>
      </c>
      <c r="I483" s="358" cm="1">
        <f t="array" ref="I483">SUMPRODUCT(ISNUMBER(MATCH(mod_st_zpr,$B$475,0))*('Koszty operacyjne'!$K$114:$X$114=Moduły!I$77)*ISNUMBER(MATCH(st_zpr_kw,nie,0)),st_zpr)</f>
        <v>0</v>
      </c>
      <c r="J483" s="358" cm="1">
        <f t="array" ref="J483">SUMPRODUCT(ISNUMBER(MATCH(mod_st_zpr,$B$475,0))*('Koszty operacyjne'!$K$114:$X$114=Moduły!J$77)*ISNUMBER(MATCH(st_zpr_kw,nie,0)),st_zpr)</f>
        <v>0</v>
      </c>
      <c r="K483" s="359" cm="1">
        <f t="array" ref="K483">SUMPRODUCT(ISNUMBER(MATCH(mod_st_zpr,$B$475,0))*('Koszty operacyjne'!$K$114:$X$114=Moduły!K$77)*ISNUMBER(MATCH(st_zpr_kw,nie,0)),st_zpr)</f>
        <v>0</v>
      </c>
      <c r="L483" s="359" cm="1">
        <f t="array" ref="L483">SUMPRODUCT(ISNUMBER(MATCH(mod_st_zpr,$B$475,0))*('Koszty operacyjne'!$K$114:$X$114=Moduły!L$77)*ISNUMBER(MATCH(st_zpr_kw,nie,0)),st_zpr)</f>
        <v>0</v>
      </c>
      <c r="M483" s="359" cm="1">
        <f t="array" ref="M483">SUMPRODUCT(ISNUMBER(MATCH(mod_st_zpr,$B$475,0))*('Koszty operacyjne'!$K$114:$X$114=Moduły!M$77)*ISNUMBER(MATCH(st_zpr_kw,nie,0)),st_zpr)</f>
        <v>0</v>
      </c>
      <c r="N483" s="359" cm="1">
        <f t="array" ref="N483">SUMPRODUCT(ISNUMBER(MATCH(mod_st_zpr,$B$475,0))*('Koszty operacyjne'!$K$114:$X$114=Moduły!N$77)*ISNUMBER(MATCH(st_zpr_kw,nie,0)),st_zpr)</f>
        <v>0</v>
      </c>
      <c r="O483" s="359" cm="1">
        <f t="array" ref="O483">SUMPRODUCT(ISNUMBER(MATCH(mod_st_zpr,$B$475,0))*('Koszty operacyjne'!$K$114:$X$114=Moduły!O$77)*ISNUMBER(MATCH(st_zpr_kw,nie,0)),st_zpr)</f>
        <v>0</v>
      </c>
      <c r="P483" s="359" cm="1">
        <f t="array" ref="P483">SUMPRODUCT(ISNUMBER(MATCH(mod_st_zpr,$B$475,0))*('Koszty operacyjne'!$K$114:$X$114=Moduły!P$77)*ISNUMBER(MATCH(st_zpr_kw,nie,0)),st_zpr)</f>
        <v>0</v>
      </c>
    </row>
    <row r="484" spans="2:16" ht="3.9" customHeight="1">
      <c r="B484" s="360"/>
      <c r="C484" s="361"/>
      <c r="D484" s="361"/>
      <c r="E484" s="361"/>
      <c r="F484" s="361"/>
      <c r="G484" s="361"/>
      <c r="H484" s="361"/>
      <c r="I484" s="361"/>
      <c r="J484" s="361"/>
      <c r="K484" s="362"/>
      <c r="L484" s="362"/>
      <c r="M484" s="362"/>
      <c r="N484" s="362"/>
      <c r="O484" s="362"/>
      <c r="P484" s="362"/>
    </row>
    <row r="485" spans="2:16" ht="12" customHeight="1">
      <c r="B485" s="353" t="s">
        <v>97</v>
      </c>
      <c r="C485" s="354">
        <f t="shared" ref="C485:P485" si="203">SUM(C486:C487)</f>
        <v>0</v>
      </c>
      <c r="D485" s="354">
        <f t="shared" si="203"/>
        <v>0</v>
      </c>
      <c r="E485" s="354">
        <f t="shared" si="203"/>
        <v>0</v>
      </c>
      <c r="F485" s="354">
        <f t="shared" si="203"/>
        <v>0</v>
      </c>
      <c r="G485" s="354">
        <f t="shared" si="203"/>
        <v>0</v>
      </c>
      <c r="H485" s="354">
        <f t="shared" si="203"/>
        <v>0</v>
      </c>
      <c r="I485" s="354">
        <f t="shared" si="203"/>
        <v>0</v>
      </c>
      <c r="J485" s="354">
        <f t="shared" si="203"/>
        <v>0</v>
      </c>
      <c r="K485" s="354">
        <f t="shared" si="203"/>
        <v>0</v>
      </c>
      <c r="L485" s="354">
        <f t="shared" si="203"/>
        <v>0</v>
      </c>
      <c r="M485" s="354">
        <f t="shared" si="203"/>
        <v>0</v>
      </c>
      <c r="N485" s="354">
        <f t="shared" si="203"/>
        <v>0</v>
      </c>
      <c r="O485" s="354">
        <f t="shared" si="203"/>
        <v>0</v>
      </c>
      <c r="P485" s="354">
        <f t="shared" si="203"/>
        <v>0</v>
      </c>
    </row>
    <row r="486" spans="2:16" ht="12" customHeight="1">
      <c r="B486" s="355" t="s">
        <v>95</v>
      </c>
      <c r="C486" s="356" cm="1">
        <f t="array" ref="C486">SUMPRODUCT(ISNUMBER(MATCH(mod_st_wnp,$B$475,0))*('Koszty operacyjne'!$K$114:$X$114=Moduły!C$77)*ISNUMBER(MATCH(st_wnp_kw,tak,0)),st_wnp)</f>
        <v>0</v>
      </c>
      <c r="D486" s="356" cm="1">
        <f t="array" ref="D486">SUMPRODUCT(ISNUMBER(MATCH(mod_st_wnp,$B$475,0))*('Koszty operacyjne'!$K$114:$X$114=Moduły!D$77)*ISNUMBER(MATCH(st_wnp_kw,tak,0)),st_wnp)</f>
        <v>0</v>
      </c>
      <c r="E486" s="356" cm="1">
        <f t="array" ref="E486">SUMPRODUCT(ISNUMBER(MATCH(mod_st_wnp,$B$475,0))*('Koszty operacyjne'!$K$114:$X$114=Moduły!E$77)*ISNUMBER(MATCH(st_wnp_kw,tak,0)),st_wnp)</f>
        <v>0</v>
      </c>
      <c r="F486" s="356" cm="1">
        <f t="array" ref="F486">SUMPRODUCT(ISNUMBER(MATCH(mod_st_wnp,$B$475,0))*('Koszty operacyjne'!$K$114:$X$114=Moduły!F$77)*ISNUMBER(MATCH(st_wnp_kw,tak,0)),st_wnp)</f>
        <v>0</v>
      </c>
      <c r="G486" s="356" cm="1">
        <f t="array" ref="G486">SUMPRODUCT(ISNUMBER(MATCH(mod_st_wnp,$B$475,0))*('Koszty operacyjne'!$K$114:$X$114=Moduły!G$77)*ISNUMBER(MATCH(st_wnp_kw,tak,0)),st_wnp)</f>
        <v>0</v>
      </c>
      <c r="H486" s="356" cm="1">
        <f t="array" ref="H486">SUMPRODUCT(ISNUMBER(MATCH(mod_st_wnp,$B$475,0))*('Koszty operacyjne'!$K$114:$X$114=Moduły!H$77)*ISNUMBER(MATCH(st_wnp_kw,tak,0)),st_wnp)</f>
        <v>0</v>
      </c>
      <c r="I486" s="356" cm="1">
        <f t="array" ref="I486">SUMPRODUCT(ISNUMBER(MATCH(mod_st_wnp,$B$475,0))*('Koszty operacyjne'!$K$114:$X$114=Moduły!I$77)*ISNUMBER(MATCH(st_wnp_kw,tak,0)),st_wnp)</f>
        <v>0</v>
      </c>
      <c r="J486" s="356" cm="1">
        <f t="array" ref="J486">SUMPRODUCT(ISNUMBER(MATCH(mod_st_wnp,$B$475,0))*('Koszty operacyjne'!$K$114:$X$114=Moduły!J$77)*ISNUMBER(MATCH(st_wnp_kw,tak,0)),st_wnp)</f>
        <v>0</v>
      </c>
      <c r="K486" s="356" cm="1">
        <f t="array" ref="K486">SUMPRODUCT(ISNUMBER(MATCH(mod_st_wnp,$B$475,0))*('Koszty operacyjne'!$K$114:$X$114=Moduły!K$77)*ISNUMBER(MATCH(st_wnp_kw,tak,0)),st_wnp)</f>
        <v>0</v>
      </c>
      <c r="L486" s="356" cm="1">
        <f t="array" ref="L486">SUMPRODUCT(ISNUMBER(MATCH(mod_st_wnp,$B$475,0))*('Koszty operacyjne'!$K$114:$X$114=Moduły!L$77)*ISNUMBER(MATCH(st_wnp_kw,tak,0)),st_wnp)</f>
        <v>0</v>
      </c>
      <c r="M486" s="356" cm="1">
        <f t="array" ref="M486">SUMPRODUCT(ISNUMBER(MATCH(mod_st_wnp,$B$475,0))*('Koszty operacyjne'!$K$114:$X$114=Moduły!M$77)*ISNUMBER(MATCH(st_wnp_kw,tak,0)),st_wnp)</f>
        <v>0</v>
      </c>
      <c r="N486" s="356" cm="1">
        <f t="array" ref="N486">SUMPRODUCT(ISNUMBER(MATCH(mod_st_wnp,$B$475,0))*('Koszty operacyjne'!$K$114:$X$114=Moduły!N$77)*ISNUMBER(MATCH(st_wnp_kw,tak,0)),st_wnp)</f>
        <v>0</v>
      </c>
      <c r="O486" s="356" cm="1">
        <f t="array" ref="O486">SUMPRODUCT(ISNUMBER(MATCH(mod_st_wnp,$B$475,0))*('Koszty operacyjne'!$K$114:$X$114=Moduły!O$77)*ISNUMBER(MATCH(st_wnp_kw,tak,0)),st_wnp)</f>
        <v>0</v>
      </c>
      <c r="P486" s="356" cm="1">
        <f t="array" ref="P486">SUMPRODUCT(ISNUMBER(MATCH(mod_st_wnp,$B$475,0))*('Koszty operacyjne'!$K$114:$X$114=Moduły!P$77)*ISNUMBER(MATCH(st_wnp_kw,tak,0)),st_wnp)</f>
        <v>0</v>
      </c>
    </row>
    <row r="487" spans="2:16" ht="12" customHeight="1">
      <c r="B487" s="357" t="s">
        <v>96</v>
      </c>
      <c r="C487" s="358" cm="1">
        <f t="array" ref="C487">SUMPRODUCT(ISNUMBER(MATCH(mod_st_wnp,$B$475,0))*('Koszty operacyjne'!$K$114:$X$114=Moduły!C$77)*ISNUMBER(MATCH(st_wnp_kw,nie,0)),st_wnp)</f>
        <v>0</v>
      </c>
      <c r="D487" s="358" cm="1">
        <f t="array" ref="D487">SUMPRODUCT(ISNUMBER(MATCH(mod_st_wnp,$B$475,0))*('Koszty operacyjne'!$K$114:$X$114=Moduły!D$77)*ISNUMBER(MATCH(st_wnp_kw,nie,0)),st_wnp)</f>
        <v>0</v>
      </c>
      <c r="E487" s="358" cm="1">
        <f t="array" ref="E487">SUMPRODUCT(ISNUMBER(MATCH(mod_st_wnp,$B$475,0))*('Koszty operacyjne'!$K$114:$X$114=Moduły!E$77)*ISNUMBER(MATCH(st_wnp_kw,nie,0)),st_wnp)</f>
        <v>0</v>
      </c>
      <c r="F487" s="358" cm="1">
        <f t="array" ref="F487">SUMPRODUCT(ISNUMBER(MATCH(mod_st_wnp,$B$475,0))*('Koszty operacyjne'!$K$114:$X$114=Moduły!F$77)*ISNUMBER(MATCH(st_wnp_kw,nie,0)),st_wnp)</f>
        <v>0</v>
      </c>
      <c r="G487" s="358" cm="1">
        <f t="array" ref="G487">SUMPRODUCT(ISNUMBER(MATCH(mod_st_wnp,$B$475,0))*('Koszty operacyjne'!$K$114:$X$114=Moduły!G$77)*ISNUMBER(MATCH(st_wnp_kw,nie,0)),st_wnp)</f>
        <v>0</v>
      </c>
      <c r="H487" s="358" cm="1">
        <f t="array" ref="H487">SUMPRODUCT(ISNUMBER(MATCH(mod_st_wnp,$B$475,0))*('Koszty operacyjne'!$K$114:$X$114=Moduły!H$77)*ISNUMBER(MATCH(st_wnp_kw,nie,0)),st_wnp)</f>
        <v>0</v>
      </c>
      <c r="I487" s="358" cm="1">
        <f t="array" ref="I487">SUMPRODUCT(ISNUMBER(MATCH(mod_st_wnp,$B$475,0))*('Koszty operacyjne'!$K$114:$X$114=Moduły!I$77)*ISNUMBER(MATCH(st_wnp_kw,nie,0)),st_wnp)</f>
        <v>0</v>
      </c>
      <c r="J487" s="358" cm="1">
        <f t="array" ref="J487">SUMPRODUCT(ISNUMBER(MATCH(mod_st_wnp,$B$475,0))*('Koszty operacyjne'!$K$114:$X$114=Moduły!J$77)*ISNUMBER(MATCH(st_wnp_kw,nie,0)),st_wnp)</f>
        <v>0</v>
      </c>
      <c r="K487" s="359" cm="1">
        <f t="array" ref="K487">SUMPRODUCT(ISNUMBER(MATCH(mod_st_wnp,$B$475,0))*('Koszty operacyjne'!$K$114:$X$114=Moduły!K$77)*ISNUMBER(MATCH(st_wnp_kw,nie,0)),st_wnp)</f>
        <v>0</v>
      </c>
      <c r="L487" s="359" cm="1">
        <f t="array" ref="L487">SUMPRODUCT(ISNUMBER(MATCH(mod_st_wnp,$B$475,0))*('Koszty operacyjne'!$K$114:$X$114=Moduły!L$77)*ISNUMBER(MATCH(st_wnp_kw,nie,0)),st_wnp)</f>
        <v>0</v>
      </c>
      <c r="M487" s="359" cm="1">
        <f t="array" ref="M487">SUMPRODUCT(ISNUMBER(MATCH(mod_st_wnp,$B$475,0))*('Koszty operacyjne'!$K$114:$X$114=Moduły!M$77)*ISNUMBER(MATCH(st_wnp_kw,nie,0)),st_wnp)</f>
        <v>0</v>
      </c>
      <c r="N487" s="359" cm="1">
        <f t="array" ref="N487">SUMPRODUCT(ISNUMBER(MATCH(mod_st_wnp,$B$475,0))*('Koszty operacyjne'!$K$114:$X$114=Moduły!N$77)*ISNUMBER(MATCH(st_wnp_kw,nie,0)),st_wnp)</f>
        <v>0</v>
      </c>
      <c r="O487" s="359" cm="1">
        <f t="array" ref="O487">SUMPRODUCT(ISNUMBER(MATCH(mod_st_wnp,$B$475,0))*('Koszty operacyjne'!$K$114:$X$114=Moduły!O$77)*ISNUMBER(MATCH(st_wnp_kw,nie,0)),st_wnp)</f>
        <v>0</v>
      </c>
      <c r="P487" s="359" cm="1">
        <f t="array" ref="P487">SUMPRODUCT(ISNUMBER(MATCH(mod_st_wnp,$B$475,0))*('Koszty operacyjne'!$K$114:$X$114=Moduły!P$77)*ISNUMBER(MATCH(st_wnp_kw,nie,0)),st_wnp)</f>
        <v>0</v>
      </c>
    </row>
    <row r="488" spans="2:16" ht="3.9" customHeight="1">
      <c r="B488" s="8"/>
      <c r="C488" s="361"/>
      <c r="D488" s="361"/>
      <c r="E488" s="361"/>
      <c r="F488" s="361"/>
      <c r="G488" s="361"/>
      <c r="H488" s="361"/>
      <c r="I488" s="361"/>
      <c r="J488" s="361"/>
      <c r="K488" s="362"/>
      <c r="L488" s="362"/>
      <c r="M488" s="362"/>
      <c r="N488" s="362"/>
      <c r="O488" s="362"/>
      <c r="P488" s="362"/>
    </row>
    <row r="489" spans="2:16" ht="12" customHeight="1">
      <c r="B489" s="353" t="s">
        <v>98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SUMPRODUCT(ISNUMBER(MATCH(mod_st_gry,$B$475,0))*('Koszty operacyjne'!$K$114:$X$114=Moduły!C$77)*ISNUMBER(MATCH(st_gry_kw,tak,0)),st_gry)</f>
        <v>0</v>
      </c>
      <c r="D490" s="356" cm="1">
        <f t="array" ref="D490">SUMPRODUCT(ISNUMBER(MATCH(mod_st_gry,$B$475,0))*('Koszty operacyjne'!$K$114:$X$114=Moduły!D$77)*ISNUMBER(MATCH(st_gry_kw,tak,0)),st_gry)</f>
        <v>0</v>
      </c>
      <c r="E490" s="356" cm="1">
        <f t="array" ref="E490">SUMPRODUCT(ISNUMBER(MATCH(mod_st_gry,$B$475,0))*('Koszty operacyjne'!$K$114:$X$114=Moduły!E$77)*ISNUMBER(MATCH(st_gry_kw,tak,0)),st_gry)</f>
        <v>0</v>
      </c>
      <c r="F490" s="356" cm="1">
        <f t="array" ref="F490">SUMPRODUCT(ISNUMBER(MATCH(mod_st_gry,$B$475,0))*('Koszty operacyjne'!$K$114:$X$114=Moduły!F$77)*ISNUMBER(MATCH(st_gry_kw,tak,0)),st_gry)</f>
        <v>0</v>
      </c>
      <c r="G490" s="356" cm="1">
        <f t="array" ref="G490">SUMPRODUCT(ISNUMBER(MATCH(mod_st_gry,$B$475,0))*('Koszty operacyjne'!$K$114:$X$114=Moduły!G$77)*ISNUMBER(MATCH(st_gry_kw,tak,0)),st_gry)</f>
        <v>0</v>
      </c>
      <c r="H490" s="356" cm="1">
        <f t="array" ref="H490">SUMPRODUCT(ISNUMBER(MATCH(mod_st_gry,$B$475,0))*('Koszty operacyjne'!$K$114:$X$114=Moduły!H$77)*ISNUMBER(MATCH(st_gry_kw,tak,0)),st_gry)</f>
        <v>0</v>
      </c>
      <c r="I490" s="356" cm="1">
        <f t="array" ref="I490">SUMPRODUCT(ISNUMBER(MATCH(mod_st_gry,$B$475,0))*('Koszty operacyjne'!$K$114:$X$114=Moduły!I$77)*ISNUMBER(MATCH(st_gry_kw,tak,0)),st_gry)</f>
        <v>0</v>
      </c>
      <c r="J490" s="356" cm="1">
        <f t="array" ref="J490">SUMPRODUCT(ISNUMBER(MATCH(mod_st_gry,$B$475,0))*('Koszty operacyjne'!$K$114:$X$114=Moduły!J$77)*ISNUMBER(MATCH(st_gry_kw,tak,0)),st_gry)</f>
        <v>0</v>
      </c>
      <c r="K490" s="356" cm="1">
        <f t="array" ref="K490">SUMPRODUCT(ISNUMBER(MATCH(mod_st_gry,$B$475,0))*('Koszty operacyjne'!$K$114:$X$114=Moduły!K$77)*ISNUMBER(MATCH(st_gry_kw,tak,0)),st_gry)</f>
        <v>0</v>
      </c>
      <c r="L490" s="356" cm="1">
        <f t="array" ref="L490">SUMPRODUCT(ISNUMBER(MATCH(mod_st_gry,$B$475,0))*('Koszty operacyjne'!$K$114:$X$114=Moduły!L$77)*ISNUMBER(MATCH(st_gry_kw,tak,0)),st_gry)</f>
        <v>0</v>
      </c>
      <c r="M490" s="356" cm="1">
        <f t="array" ref="M490">SUMPRODUCT(ISNUMBER(MATCH(mod_st_gry,$B$475,0))*('Koszty operacyjne'!$K$114:$X$114=Moduły!M$77)*ISNUMBER(MATCH(st_gry_kw,tak,0)),st_gry)</f>
        <v>0</v>
      </c>
      <c r="N490" s="356" cm="1">
        <f t="array" ref="N490">SUMPRODUCT(ISNUMBER(MATCH(mod_st_gry,$B$475,0))*('Koszty operacyjne'!$K$114:$X$114=Moduły!N$77)*ISNUMBER(MATCH(st_gry_kw,tak,0)),st_gry)</f>
        <v>0</v>
      </c>
      <c r="O490" s="356" cm="1">
        <f t="array" ref="O490">SUMPRODUCT(ISNUMBER(MATCH(mod_st_gry,$B$475,0))*('Koszty operacyjne'!$K$114:$X$114=Moduły!O$77)*ISNUMBER(MATCH(st_gry_kw,tak,0)),st_gry)</f>
        <v>0</v>
      </c>
      <c r="P490" s="356" cm="1">
        <f t="array" ref="P490">SUMPRODUCT(ISNUMBER(MATCH(mod_st_gry,$B$475,0))*('Koszty operacyjne'!$K$114:$X$114=Moduły!P$77)*ISNUMBER(MATCH(st_gry_kw,tak,0)),st_gry)</f>
        <v>0</v>
      </c>
    </row>
    <row r="491" spans="2:16" ht="12" customHeight="1">
      <c r="B491" s="357" t="s">
        <v>96</v>
      </c>
      <c r="C491" s="358" cm="1">
        <f t="array" ref="C491">SUMPRODUCT(ISNUMBER(MATCH(mod_st_gry,$B$475,0))*('Koszty operacyjne'!$K$114:$X$114=Moduły!C$77)*ISNUMBER(MATCH(st_gry_kw,nie,0)),st_gry)</f>
        <v>0</v>
      </c>
      <c r="D491" s="358" cm="1">
        <f t="array" ref="D491">SUMPRODUCT(ISNUMBER(MATCH(mod_st_gry,$B$475,0))*('Koszty operacyjne'!$K$114:$X$114=Moduły!D$77)*ISNUMBER(MATCH(st_gry_kw,nie,0)),st_gry)</f>
        <v>0</v>
      </c>
      <c r="E491" s="358" cm="1">
        <f t="array" ref="E491">SUMPRODUCT(ISNUMBER(MATCH(mod_st_gry,$B$475,0))*('Koszty operacyjne'!$K$114:$X$114=Moduły!E$77)*ISNUMBER(MATCH(st_gry_kw,nie,0)),st_gry)</f>
        <v>0</v>
      </c>
      <c r="F491" s="358" cm="1">
        <f t="array" ref="F491">SUMPRODUCT(ISNUMBER(MATCH(mod_st_gry,$B$475,0))*('Koszty operacyjne'!$K$114:$X$114=Moduły!F$77)*ISNUMBER(MATCH(st_gry_kw,nie,0)),st_gry)</f>
        <v>0</v>
      </c>
      <c r="G491" s="358" cm="1">
        <f t="array" ref="G491">SUMPRODUCT(ISNUMBER(MATCH(mod_st_gry,$B$475,0))*('Koszty operacyjne'!$K$114:$X$114=Moduły!G$77)*ISNUMBER(MATCH(st_gry_kw,nie,0)),st_gry)</f>
        <v>0</v>
      </c>
      <c r="H491" s="358" cm="1">
        <f t="array" ref="H491">SUMPRODUCT(ISNUMBER(MATCH(mod_st_gry,$B$475,0))*('Koszty operacyjne'!$K$114:$X$114=Moduły!H$77)*ISNUMBER(MATCH(st_gry_kw,nie,0)),st_gry)</f>
        <v>0</v>
      </c>
      <c r="I491" s="358" cm="1">
        <f t="array" ref="I491">SUMPRODUCT(ISNUMBER(MATCH(mod_st_gry,$B$475,0))*('Koszty operacyjne'!$K$114:$X$114=Moduły!I$77)*ISNUMBER(MATCH(st_gry_kw,nie,0)),st_gry)</f>
        <v>0</v>
      </c>
      <c r="J491" s="358" cm="1">
        <f t="array" ref="J491">SUMPRODUCT(ISNUMBER(MATCH(mod_st_gry,$B$475,0))*('Koszty operacyjne'!$K$114:$X$114=Moduły!J$77)*ISNUMBER(MATCH(st_gry_kw,nie,0)),st_gry)</f>
        <v>0</v>
      </c>
      <c r="K491" s="359" cm="1">
        <f t="array" ref="K491">SUMPRODUCT(ISNUMBER(MATCH(mod_st_gry,$B$475,0))*('Koszty operacyjne'!$K$114:$X$114=Moduły!K$77)*ISNUMBER(MATCH(st_gry_kw,nie,0)),st_gry)</f>
        <v>0</v>
      </c>
      <c r="L491" s="359" cm="1">
        <f t="array" ref="L491">SUMPRODUCT(ISNUMBER(MATCH(mod_st_gry,$B$475,0))*('Koszty operacyjne'!$K$114:$X$114=Moduły!L$77)*ISNUMBER(MATCH(st_gry_kw,nie,0)),st_gry)</f>
        <v>0</v>
      </c>
      <c r="M491" s="359" cm="1">
        <f t="array" ref="M491">SUMPRODUCT(ISNUMBER(MATCH(mod_st_gry,$B$475,0))*('Koszty operacyjne'!$K$114:$X$114=Moduły!M$77)*ISNUMBER(MATCH(st_gry_kw,nie,0)),st_gry)</f>
        <v>0</v>
      </c>
      <c r="N491" s="359" cm="1">
        <f t="array" ref="N491">SUMPRODUCT(ISNUMBER(MATCH(mod_st_gry,$B$475,0))*('Koszty operacyjne'!$K$114:$X$114=Moduły!N$77)*ISNUMBER(MATCH(st_gry_kw,nie,0)),st_gry)</f>
        <v>0</v>
      </c>
      <c r="O491" s="359" cm="1">
        <f t="array" ref="O491">SUMPRODUCT(ISNUMBER(MATCH(mod_st_gry,$B$475,0))*('Koszty operacyjne'!$K$114:$X$114=Moduły!O$77)*ISNUMBER(MATCH(st_gry_kw,nie,0)),st_gry)</f>
        <v>0</v>
      </c>
      <c r="P491" s="359" cm="1">
        <f t="array" ref="P491">SUMPRODUCT(ISNUMBER(MATCH(mod_st_gry,$B$475,0))*('Koszty operacyjne'!$K$114:$X$114=Moduły!P$77)*ISNUMBER(MATCH(st_gry_kw,nie,0)),st_gry)</f>
        <v>0</v>
      </c>
    </row>
    <row r="492" spans="2:16" ht="3.9" customHeight="1">
      <c r="B492" s="8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99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SUMPRODUCT(ISNUMBER(MATCH(mod_st_bib,$B$475,0))*('Koszty operacyjne'!$K$114:$X$114=Moduły!C$77)*ISNUMBER(MATCH(st_bib_kw,tak,0)),st_bib)+SUMPRODUCT(ISNUMBER(MATCH(mod_st_bib_wbudowie,$B$475,0))*('Koszty operacyjne'!$K$114:$X$114=Moduły!C$77)*ISNUMBER(MATCH(st_bib_wbudowie_kw,tak,0)),st_bib_wbudowie)</f>
        <v>0</v>
      </c>
      <c r="D494" s="356" cm="1">
        <f t="array" ref="D494">SUMPRODUCT(ISNUMBER(MATCH(mod_st_bib,$B$475,0))*('Koszty operacyjne'!$K$114:$X$114=Moduły!D$77)*ISNUMBER(MATCH(st_bib_kw,tak,0)),st_bib)+SUMPRODUCT(ISNUMBER(MATCH(mod_st_bib_wbudowie,$B$475,0))*('Koszty operacyjne'!$K$114:$X$114=Moduły!D$77)*ISNUMBER(MATCH(st_bib_wbudowie_kw,tak,0)),st_bib_wbudowie)</f>
        <v>0</v>
      </c>
      <c r="E494" s="356" cm="1">
        <f t="array" ref="E494">SUMPRODUCT(ISNUMBER(MATCH(mod_st_bib,$B$475,0))*('Koszty operacyjne'!$K$114:$X$114=Moduły!E$77)*ISNUMBER(MATCH(st_bib_kw,tak,0)),st_bib)+SUMPRODUCT(ISNUMBER(MATCH(mod_st_bib_wbudowie,$B$475,0))*('Koszty operacyjne'!$K$114:$X$114=Moduły!E$77)*ISNUMBER(MATCH(st_bib_wbudowie_kw,tak,0)),st_bib_wbudowie)</f>
        <v>0</v>
      </c>
      <c r="F494" s="356" cm="1">
        <f t="array" ref="F494">SUMPRODUCT(ISNUMBER(MATCH(mod_st_bib,$B$475,0))*('Koszty operacyjne'!$K$114:$X$114=Moduły!F$77)*ISNUMBER(MATCH(st_bib_kw,tak,0)),st_bib)+SUMPRODUCT(ISNUMBER(MATCH(mod_st_bib_wbudowie,$B$475,0))*('Koszty operacyjne'!$K$114:$X$114=Moduły!F$77)*ISNUMBER(MATCH(st_bib_wbudowie_kw,tak,0)),st_bib_wbudowie)</f>
        <v>0</v>
      </c>
      <c r="G494" s="356" cm="1">
        <f t="array" ref="G494">SUMPRODUCT(ISNUMBER(MATCH(mod_st_bib,$B$475,0))*('Koszty operacyjne'!$K$114:$X$114=Moduły!G$77)*ISNUMBER(MATCH(st_bib_kw,tak,0)),st_bib)+SUMPRODUCT(ISNUMBER(MATCH(mod_st_bib_wbudowie,$B$475,0))*('Koszty operacyjne'!$K$114:$X$114=Moduły!G$77)*ISNUMBER(MATCH(st_bib_wbudowie_kw,tak,0)),st_bib_wbudowie)</f>
        <v>0</v>
      </c>
      <c r="H494" s="356" cm="1">
        <f t="array" ref="H494">SUMPRODUCT(ISNUMBER(MATCH(mod_st_bib,$B$475,0))*('Koszty operacyjne'!$K$114:$X$114=Moduły!H$77)*ISNUMBER(MATCH(st_bib_kw,tak,0)),st_bib)+SUMPRODUCT(ISNUMBER(MATCH(mod_st_bib_wbudowie,$B$475,0))*('Koszty operacyjne'!$K$114:$X$114=Moduły!H$77)*ISNUMBER(MATCH(st_bib_wbudowie_kw,tak,0)),st_bib_wbudowie)</f>
        <v>0</v>
      </c>
      <c r="I494" s="356" cm="1">
        <f t="array" ref="I494">SUMPRODUCT(ISNUMBER(MATCH(mod_st_bib,$B$475,0))*('Koszty operacyjne'!$K$114:$X$114=Moduły!I$77)*ISNUMBER(MATCH(st_bib_kw,tak,0)),st_bib)+SUMPRODUCT(ISNUMBER(MATCH(mod_st_bib_wbudowie,$B$475,0))*('Koszty operacyjne'!$K$114:$X$114=Moduły!I$77)*ISNUMBER(MATCH(st_bib_wbudowie_kw,tak,0)),st_bib_wbudowie)</f>
        <v>0</v>
      </c>
      <c r="J494" s="356" cm="1">
        <f t="array" ref="J494">SUMPRODUCT(ISNUMBER(MATCH(mod_st_bib,$B$475,0))*('Koszty operacyjne'!$K$114:$X$114=Moduły!J$77)*ISNUMBER(MATCH(st_bib_kw,tak,0)),st_bib)+SUMPRODUCT(ISNUMBER(MATCH(mod_st_bib_wbudowie,$B$475,0))*('Koszty operacyjne'!$K$114:$X$114=Moduły!J$77)*ISNUMBER(MATCH(st_bib_wbudowie_kw,tak,0)),st_bib_wbudowie)</f>
        <v>0</v>
      </c>
      <c r="K494" s="356" cm="1">
        <f t="array" ref="K494">SUMPRODUCT(ISNUMBER(MATCH(mod_st_bib,$B$475,0))*('Koszty operacyjne'!$K$114:$X$114=Moduły!K$77)*ISNUMBER(MATCH(st_bib_kw,tak,0)),st_bib)+SUMPRODUCT(ISNUMBER(MATCH(mod_st_bib_wbudowie,$B$475,0))*('Koszty operacyjne'!$K$114:$X$114=Moduły!K$77)*ISNUMBER(MATCH(st_bib_wbudowie_kw,tak,0)),st_bib_wbudowie)</f>
        <v>0</v>
      </c>
      <c r="L494" s="356" cm="1">
        <f t="array" ref="L494">SUMPRODUCT(ISNUMBER(MATCH(mod_st_bib,$B$475,0))*('Koszty operacyjne'!$K$114:$X$114=Moduły!L$77)*ISNUMBER(MATCH(st_bib_kw,tak,0)),st_bib)+SUMPRODUCT(ISNUMBER(MATCH(mod_st_bib_wbudowie,$B$475,0))*('Koszty operacyjne'!$K$114:$X$114=Moduły!L$77)*ISNUMBER(MATCH(st_bib_wbudowie_kw,tak,0)),st_bib_wbudowie)</f>
        <v>0</v>
      </c>
      <c r="M494" s="356" cm="1">
        <f t="array" ref="M494">SUMPRODUCT(ISNUMBER(MATCH(mod_st_bib,$B$475,0))*('Koszty operacyjne'!$K$114:$X$114=Moduły!M$77)*ISNUMBER(MATCH(st_bib_kw,tak,0)),st_bib)+SUMPRODUCT(ISNUMBER(MATCH(mod_st_bib_wbudowie,$B$475,0))*('Koszty operacyjne'!$K$114:$X$114=Moduły!M$77)*ISNUMBER(MATCH(st_bib_wbudowie_kw,tak,0)),st_bib_wbudowie)</f>
        <v>0</v>
      </c>
      <c r="N494" s="356" cm="1">
        <f t="array" ref="N494">SUMPRODUCT(ISNUMBER(MATCH(mod_st_bib,$B$475,0))*('Koszty operacyjne'!$K$114:$X$114=Moduły!N$77)*ISNUMBER(MATCH(st_bib_kw,tak,0)),st_bib)+SUMPRODUCT(ISNUMBER(MATCH(mod_st_bib_wbudowie,$B$475,0))*('Koszty operacyjne'!$K$114:$X$114=Moduły!N$77)*ISNUMBER(MATCH(st_bib_wbudowie_kw,tak,0)),st_bib_wbudowie)</f>
        <v>0</v>
      </c>
      <c r="O494" s="356" cm="1">
        <f t="array" ref="O494">SUMPRODUCT(ISNUMBER(MATCH(mod_st_bib,$B$475,0))*('Koszty operacyjne'!$K$114:$X$114=Moduły!O$77)*ISNUMBER(MATCH(st_bib_kw,tak,0)),st_bib)+SUMPRODUCT(ISNUMBER(MATCH(mod_st_bib_wbudowie,$B$475,0))*('Koszty operacyjne'!$K$114:$X$114=Moduły!O$77)*ISNUMBER(MATCH(st_bib_wbudowie_kw,tak,0)),st_bib_wbudowie)</f>
        <v>0</v>
      </c>
      <c r="P494" s="356" cm="1">
        <f t="array" ref="P494">SUMPRODUCT(ISNUMBER(MATCH(mod_st_bib,$B$475,0))*('Koszty operacyjne'!$K$114:$X$114=Moduły!P$77)*ISNUMBER(MATCH(st_bib_kw,tak,0)),st_bib)+SUMPRODUCT(ISNUMBER(MATCH(mod_st_bib_wbudowie,$B$475,0))*('Koszty operacyjne'!$K$114:$X$114=Moduły!P$77)*ISNUMBER(MATCH(st_bib_wbudowie_kw,tak,0)),st_bib_wbudowie)</f>
        <v>0</v>
      </c>
    </row>
    <row r="495" spans="2:16" ht="12" customHeight="1">
      <c r="B495" s="357" t="s">
        <v>96</v>
      </c>
      <c r="C495" s="358" cm="1">
        <f t="array" ref="C495">SUMPRODUCT(ISNUMBER(MATCH(mod_st_bib,$B$475,0))*('Koszty operacyjne'!$K$114:$X$114=Moduły!C$77)*ISNUMBER(MATCH(st_bib_kw,nie,0)),st_bib)+SUMPRODUCT(ISNUMBER(MATCH(mod_st_bib_wbudowie,$B$475,0))*('Koszty operacyjne'!$K$114:$X$114=Moduły!C$77)*ISNUMBER(MATCH(st_bib_wbudowie_kw,nie,0)),st_bib_wbudowie)</f>
        <v>0</v>
      </c>
      <c r="D495" s="358" cm="1">
        <f t="array" ref="D495">SUMPRODUCT(ISNUMBER(MATCH(mod_st_bib,$B$475,0))*('Koszty operacyjne'!$K$114:$X$114=Moduły!D$77)*ISNUMBER(MATCH(st_bib_kw,nie,0)),st_bib)+SUMPRODUCT(ISNUMBER(MATCH(mod_st_bib_wbudowie,$B$475,0))*('Koszty operacyjne'!$K$114:$X$114=Moduły!D$77)*ISNUMBER(MATCH(st_bib_wbudowie_kw,nie,0)),st_bib_wbudowie)</f>
        <v>0</v>
      </c>
      <c r="E495" s="358" cm="1">
        <f t="array" ref="E495">SUMPRODUCT(ISNUMBER(MATCH(mod_st_bib,$B$475,0))*('Koszty operacyjne'!$K$114:$X$114=Moduły!E$77)*ISNUMBER(MATCH(st_bib_kw,nie,0)),st_bib)+SUMPRODUCT(ISNUMBER(MATCH(mod_st_bib_wbudowie,$B$475,0))*('Koszty operacyjne'!$K$114:$X$114=Moduły!E$77)*ISNUMBER(MATCH(st_bib_wbudowie_kw,nie,0)),st_bib_wbudowie)</f>
        <v>0</v>
      </c>
      <c r="F495" s="358" cm="1">
        <f t="array" ref="F495">SUMPRODUCT(ISNUMBER(MATCH(mod_st_bib,$B$475,0))*('Koszty operacyjne'!$K$114:$X$114=Moduły!F$77)*ISNUMBER(MATCH(st_bib_kw,nie,0)),st_bib)+SUMPRODUCT(ISNUMBER(MATCH(mod_st_bib_wbudowie,$B$475,0))*('Koszty operacyjne'!$K$114:$X$114=Moduły!F$77)*ISNUMBER(MATCH(st_bib_wbudowie_kw,nie,0)),st_bib_wbudowie)</f>
        <v>0</v>
      </c>
      <c r="G495" s="358" cm="1">
        <f t="array" ref="G495">SUMPRODUCT(ISNUMBER(MATCH(mod_st_bib,$B$475,0))*('Koszty operacyjne'!$K$114:$X$114=Moduły!G$77)*ISNUMBER(MATCH(st_bib_kw,nie,0)),st_bib)+SUMPRODUCT(ISNUMBER(MATCH(mod_st_bib_wbudowie,$B$475,0))*('Koszty operacyjne'!$K$114:$X$114=Moduły!G$77)*ISNUMBER(MATCH(st_bib_wbudowie_kw,nie,0)),st_bib_wbudowie)</f>
        <v>0</v>
      </c>
      <c r="H495" s="358" cm="1">
        <f t="array" ref="H495">SUMPRODUCT(ISNUMBER(MATCH(mod_st_bib,$B$475,0))*('Koszty operacyjne'!$K$114:$X$114=Moduły!H$77)*ISNUMBER(MATCH(st_bib_kw,nie,0)),st_bib)+SUMPRODUCT(ISNUMBER(MATCH(mod_st_bib_wbudowie,$B$475,0))*('Koszty operacyjne'!$K$114:$X$114=Moduły!H$77)*ISNUMBER(MATCH(st_bib_wbudowie_kw,nie,0)),st_bib_wbudowie)</f>
        <v>0</v>
      </c>
      <c r="I495" s="358" cm="1">
        <f t="array" ref="I495">SUMPRODUCT(ISNUMBER(MATCH(mod_st_bib,$B$475,0))*('Koszty operacyjne'!$K$114:$X$114=Moduły!I$77)*ISNUMBER(MATCH(st_bib_kw,nie,0)),st_bib)+SUMPRODUCT(ISNUMBER(MATCH(mod_st_bib_wbudowie,$B$475,0))*('Koszty operacyjne'!$K$114:$X$114=Moduły!I$77)*ISNUMBER(MATCH(st_bib_wbudowie_kw,nie,0)),st_bib_wbudowie)</f>
        <v>0</v>
      </c>
      <c r="J495" s="358" cm="1">
        <f t="array" ref="J495">SUMPRODUCT(ISNUMBER(MATCH(mod_st_bib,$B$475,0))*('Koszty operacyjne'!$K$114:$X$114=Moduły!J$77)*ISNUMBER(MATCH(st_bib_kw,nie,0)),st_bib)+SUMPRODUCT(ISNUMBER(MATCH(mod_st_bib_wbudowie,$B$475,0))*('Koszty operacyjne'!$K$114:$X$114=Moduły!J$77)*ISNUMBER(MATCH(st_bib_wbudowie_kw,nie,0)),st_bib_wbudowie)</f>
        <v>0</v>
      </c>
      <c r="K495" s="358" cm="1">
        <f t="array" ref="K495">SUMPRODUCT(ISNUMBER(MATCH(mod_st_bib,$B$475,0))*('Koszty operacyjne'!$K$114:$X$114=Moduły!K$77)*ISNUMBER(MATCH(st_bib_kw,nie,0)),st_bib)+SUMPRODUCT(ISNUMBER(MATCH(mod_st_bib_wbudowie,$B$475,0))*('Koszty operacyjne'!$K$114:$X$114=Moduły!K$77)*ISNUMBER(MATCH(st_bib_wbudowie_kw,nie,0)),st_bib_wbudowie)</f>
        <v>0</v>
      </c>
      <c r="L495" s="358" cm="1">
        <f t="array" ref="L495">SUMPRODUCT(ISNUMBER(MATCH(mod_st_bib,$B$475,0))*('Koszty operacyjne'!$K$114:$X$114=Moduły!L$77)*ISNUMBER(MATCH(st_bib_kw,nie,0)),st_bib)+SUMPRODUCT(ISNUMBER(MATCH(mod_st_bib_wbudowie,$B$475,0))*('Koszty operacyjne'!$K$114:$X$114=Moduły!L$77)*ISNUMBER(MATCH(st_bib_wbudowie_kw,nie,0)),st_bib_wbudowie)</f>
        <v>0</v>
      </c>
      <c r="M495" s="358" cm="1">
        <f t="array" ref="M495">SUMPRODUCT(ISNUMBER(MATCH(mod_st_bib,$B$475,0))*('Koszty operacyjne'!$K$114:$X$114=Moduły!M$77)*ISNUMBER(MATCH(st_bib_kw,nie,0)),st_bib)+SUMPRODUCT(ISNUMBER(MATCH(mod_st_bib_wbudowie,$B$475,0))*('Koszty operacyjne'!$K$114:$X$114=Moduły!M$77)*ISNUMBER(MATCH(st_bib_wbudowie_kw,nie,0)),st_bib_wbudowie)</f>
        <v>0</v>
      </c>
      <c r="N495" s="358" cm="1">
        <f t="array" ref="N495">SUMPRODUCT(ISNUMBER(MATCH(mod_st_bib,$B$475,0))*('Koszty operacyjne'!$K$114:$X$114=Moduły!N$77)*ISNUMBER(MATCH(st_bib_kw,nie,0)),st_bib)+SUMPRODUCT(ISNUMBER(MATCH(mod_st_bib_wbudowie,$B$475,0))*('Koszty operacyjne'!$K$114:$X$114=Moduły!N$77)*ISNUMBER(MATCH(st_bib_wbudowie_kw,nie,0)),st_bib_wbudowie)</f>
        <v>0</v>
      </c>
      <c r="O495" s="358" cm="1">
        <f t="array" ref="O495">SUMPRODUCT(ISNUMBER(MATCH(mod_st_bib,$B$475,0))*('Koszty operacyjne'!$K$114:$X$114=Moduły!O$77)*ISNUMBER(MATCH(st_bib_kw,nie,0)),st_bib)+SUMPRODUCT(ISNUMBER(MATCH(mod_st_bib_wbudowie,$B$475,0))*('Koszty operacyjne'!$K$114:$X$114=Moduły!O$77)*ISNUMBER(MATCH(st_bib_wbudowie_kw,nie,0)),st_bib_wbudowie)</f>
        <v>0</v>
      </c>
      <c r="P495" s="358" cm="1">
        <f t="array" ref="P495">SUMPRODUCT(ISNUMBER(MATCH(mod_st_bib,$B$475,0))*('Koszty operacyjne'!$K$114:$X$114=Moduły!P$77)*ISNUMBER(MATCH(st_bib_kw,nie,0)),st_bib)+SUMPRODUCT(ISNUMBER(MATCH(mod_st_bib_wbudowie,$B$475,0))*('Koszty operacyjne'!$K$114:$X$114=Moduły!P$77)*ISNUMBER(MATCH(st_bib_wbudowie_kw,nie,0)),st_bib_wbudowie)</f>
        <v>0</v>
      </c>
    </row>
    <row r="496" spans="2:16" ht="3.9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100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SUMPRODUCT(ISNUMBER(MATCH(mod_st_utm,$B$475,0))*('Koszty operacyjne'!$K$114:$X$114=Moduły!C$77)*ISNUMBER(MATCH(st_utm_kw,tak,0)),st_utm)+SUMPRODUCT(ISNUMBER(MATCH(mod_st_utm_wbudowie,$B$475,0))*('Koszty operacyjne'!$K$114:$X$114=Moduły!C$77)*ISNUMBER(MATCH(st_utm_kw_wbudowie,tak,0)),st_utm_wbudowie)</f>
        <v>0</v>
      </c>
      <c r="D498" s="356" cm="1">
        <f t="array" ref="D498">SUMPRODUCT(ISNUMBER(MATCH(mod_st_utm,$B$475,0))*('Koszty operacyjne'!$K$114:$X$114=Moduły!D$77)*ISNUMBER(MATCH(st_utm_kw,tak,0)),st_utm)+SUMPRODUCT(ISNUMBER(MATCH(mod_st_utm_wbudowie,$B$475,0))*('Koszty operacyjne'!$K$114:$X$114=Moduły!D$77)*ISNUMBER(MATCH(st_utm_kw_wbudowie,tak,0)),st_utm_wbudowie)</f>
        <v>0</v>
      </c>
      <c r="E498" s="356" cm="1">
        <f t="array" ref="E498">SUMPRODUCT(ISNUMBER(MATCH(mod_st_utm,$B$475,0))*('Koszty operacyjne'!$K$114:$X$114=Moduły!E$77)*ISNUMBER(MATCH(st_utm_kw,tak,0)),st_utm)+SUMPRODUCT(ISNUMBER(MATCH(mod_st_utm_wbudowie,$B$475,0))*('Koszty operacyjne'!$K$114:$X$114=Moduły!E$77)*ISNUMBER(MATCH(st_utm_kw_wbudowie,tak,0)),st_utm_wbudowie)</f>
        <v>0</v>
      </c>
      <c r="F498" s="356" cm="1">
        <f t="array" ref="F498">SUMPRODUCT(ISNUMBER(MATCH(mod_st_utm,$B$475,0))*('Koszty operacyjne'!$K$114:$X$114=Moduły!F$77)*ISNUMBER(MATCH(st_utm_kw,tak,0)),st_utm)+SUMPRODUCT(ISNUMBER(MATCH(mod_st_utm_wbudowie,$B$475,0))*('Koszty operacyjne'!$K$114:$X$114=Moduły!F$77)*ISNUMBER(MATCH(st_utm_kw_wbudowie,tak,0)),st_utm_wbudowie)</f>
        <v>0</v>
      </c>
      <c r="G498" s="356" cm="1">
        <f t="array" ref="G498">SUMPRODUCT(ISNUMBER(MATCH(mod_st_utm,$B$475,0))*('Koszty operacyjne'!$K$114:$X$114=Moduły!G$77)*ISNUMBER(MATCH(st_utm_kw,tak,0)),st_utm)+SUMPRODUCT(ISNUMBER(MATCH(mod_st_utm_wbudowie,$B$475,0))*('Koszty operacyjne'!$K$114:$X$114=Moduły!G$77)*ISNUMBER(MATCH(st_utm_kw_wbudowie,tak,0)),st_utm_wbudowie)</f>
        <v>0</v>
      </c>
      <c r="H498" s="356" cm="1">
        <f t="array" ref="H498">SUMPRODUCT(ISNUMBER(MATCH(mod_st_utm,$B$475,0))*('Koszty operacyjne'!$K$114:$X$114=Moduły!H$77)*ISNUMBER(MATCH(st_utm_kw,tak,0)),st_utm)+SUMPRODUCT(ISNUMBER(MATCH(mod_st_utm_wbudowie,$B$475,0))*('Koszty operacyjne'!$K$114:$X$114=Moduły!H$77)*ISNUMBER(MATCH(st_utm_kw_wbudowie,tak,0)),st_utm_wbudowie)</f>
        <v>0</v>
      </c>
      <c r="I498" s="356" cm="1">
        <f t="array" ref="I498">SUMPRODUCT(ISNUMBER(MATCH(mod_st_utm,$B$475,0))*('Koszty operacyjne'!$K$114:$X$114=Moduły!I$77)*ISNUMBER(MATCH(st_utm_kw,tak,0)),st_utm)+SUMPRODUCT(ISNUMBER(MATCH(mod_st_utm_wbudowie,$B$475,0))*('Koszty operacyjne'!$K$114:$X$114=Moduły!I$77)*ISNUMBER(MATCH(st_utm_kw_wbudowie,tak,0)),st_utm_wbudowie)</f>
        <v>0</v>
      </c>
      <c r="J498" s="356" cm="1">
        <f t="array" ref="J498">SUMPRODUCT(ISNUMBER(MATCH(mod_st_utm,$B$475,0))*('Koszty operacyjne'!$K$114:$X$114=Moduły!J$77)*ISNUMBER(MATCH(st_utm_kw,tak,0)),st_utm)+SUMPRODUCT(ISNUMBER(MATCH(mod_st_utm_wbudowie,$B$475,0))*('Koszty operacyjne'!$K$114:$X$114=Moduły!J$77)*ISNUMBER(MATCH(st_utm_kw_wbudowie,tak,0)),st_utm_wbudowie)</f>
        <v>0</v>
      </c>
      <c r="K498" s="356" cm="1">
        <f t="array" ref="K498">SUMPRODUCT(ISNUMBER(MATCH(mod_st_utm,$B$475,0))*('Koszty operacyjne'!$K$114:$X$114=Moduły!K$77)*ISNUMBER(MATCH(st_utm_kw,tak,0)),st_utm)+SUMPRODUCT(ISNUMBER(MATCH(mod_st_utm_wbudowie,$B$475,0))*('Koszty operacyjne'!$K$114:$X$114=Moduły!K$77)*ISNUMBER(MATCH(st_utm_kw_wbudowie,tak,0)),st_utm_wbudowie)</f>
        <v>0</v>
      </c>
      <c r="L498" s="356" cm="1">
        <f t="array" ref="L498">SUMPRODUCT(ISNUMBER(MATCH(mod_st_utm,$B$475,0))*('Koszty operacyjne'!$K$114:$X$114=Moduły!L$77)*ISNUMBER(MATCH(st_utm_kw,tak,0)),st_utm)+SUMPRODUCT(ISNUMBER(MATCH(mod_st_utm_wbudowie,$B$475,0))*('Koszty operacyjne'!$K$114:$X$114=Moduły!L$77)*ISNUMBER(MATCH(st_utm_kw_wbudowie,tak,0)),st_utm_wbudowie)</f>
        <v>0</v>
      </c>
      <c r="M498" s="356" cm="1">
        <f t="array" ref="M498">SUMPRODUCT(ISNUMBER(MATCH(mod_st_utm,$B$475,0))*('Koszty operacyjne'!$K$114:$X$114=Moduły!M$77)*ISNUMBER(MATCH(st_utm_kw,tak,0)),st_utm)+SUMPRODUCT(ISNUMBER(MATCH(mod_st_utm_wbudowie,$B$475,0))*('Koszty operacyjne'!$K$114:$X$114=Moduły!M$77)*ISNUMBER(MATCH(st_utm_kw_wbudowie,tak,0)),st_utm_wbudowie)</f>
        <v>0</v>
      </c>
      <c r="N498" s="356" cm="1">
        <f t="array" ref="N498">SUMPRODUCT(ISNUMBER(MATCH(mod_st_utm,$B$475,0))*('Koszty operacyjne'!$K$114:$X$114=Moduły!N$77)*ISNUMBER(MATCH(st_utm_kw,tak,0)),st_utm)+SUMPRODUCT(ISNUMBER(MATCH(mod_st_utm_wbudowie,$B$475,0))*('Koszty operacyjne'!$K$114:$X$114=Moduły!N$77)*ISNUMBER(MATCH(st_utm_kw_wbudowie,tak,0)),st_utm_wbudowie)</f>
        <v>0</v>
      </c>
      <c r="O498" s="356" cm="1">
        <f t="array" ref="O498">SUMPRODUCT(ISNUMBER(MATCH(mod_st_utm,$B$475,0))*('Koszty operacyjne'!$K$114:$X$114=Moduły!O$77)*ISNUMBER(MATCH(st_utm_kw,tak,0)),st_utm)+SUMPRODUCT(ISNUMBER(MATCH(mod_st_utm_wbudowie,$B$475,0))*('Koszty operacyjne'!$K$114:$X$114=Moduły!O$77)*ISNUMBER(MATCH(st_utm_kw_wbudowie,tak,0)),st_utm_wbudowie)</f>
        <v>0</v>
      </c>
      <c r="P498" s="356" cm="1">
        <f t="array" ref="P498">SUMPRODUCT(ISNUMBER(MATCH(mod_st_utm,$B$475,0))*('Koszty operacyjne'!$K$114:$X$114=Moduły!P$77)*ISNUMBER(MATCH(st_utm_kw,tak,0)),st_utm)+SUMPRODUCT(ISNUMBER(MATCH(mod_st_utm_wbudowie,$B$475,0))*('Koszty operacyjne'!$K$114:$X$114=Moduły!P$77)*ISNUMBER(MATCH(st_utm_kw_wbudowie,tak,0)),st_utm_wbudowie)</f>
        <v>0</v>
      </c>
    </row>
    <row r="499" spans="2:16" ht="12" customHeight="1">
      <c r="B499" s="357" t="s">
        <v>96</v>
      </c>
      <c r="C499" s="358" cm="1">
        <f t="array" ref="C499">SUMPRODUCT(ISNUMBER(MATCH(mod_st_utm,$B$475,0))*('Koszty operacyjne'!$K$114:$X$114=Moduły!C$77)*ISNUMBER(MATCH(st_utm_kw,nie,0)),st_utm)+SUMPRODUCT(ISNUMBER(MATCH(mod_st_utm_wbudowie,$B$475,0))*('Koszty operacyjne'!$K$114:$X$114=Moduły!C$77)*ISNUMBER(MATCH(st_utm_kw_wbudowie,nie,0)),st_utm_wbudowie)</f>
        <v>0</v>
      </c>
      <c r="D499" s="358" cm="1">
        <f t="array" ref="D499">SUMPRODUCT(ISNUMBER(MATCH(mod_st_utm,$B$475,0))*('Koszty operacyjne'!$K$114:$X$114=Moduły!D$77)*ISNUMBER(MATCH(st_utm_kw,nie,0)),st_utm)+SUMPRODUCT(ISNUMBER(MATCH(mod_st_utm_wbudowie,$B$475,0))*('Koszty operacyjne'!$K$114:$X$114=Moduły!D$77)*ISNUMBER(MATCH(st_utm_kw_wbudowie,nie,0)),st_utm_wbudowie)</f>
        <v>0</v>
      </c>
      <c r="E499" s="358" cm="1">
        <f t="array" ref="E499">SUMPRODUCT(ISNUMBER(MATCH(mod_st_utm,$B$475,0))*('Koszty operacyjne'!$K$114:$X$114=Moduły!E$77)*ISNUMBER(MATCH(st_utm_kw,nie,0)),st_utm)+SUMPRODUCT(ISNUMBER(MATCH(mod_st_utm_wbudowie,$B$475,0))*('Koszty operacyjne'!$K$114:$X$114=Moduły!E$77)*ISNUMBER(MATCH(st_utm_kw_wbudowie,nie,0)),st_utm_wbudowie)</f>
        <v>0</v>
      </c>
      <c r="F499" s="358" cm="1">
        <f t="array" ref="F499">SUMPRODUCT(ISNUMBER(MATCH(mod_st_utm,$B$475,0))*('Koszty operacyjne'!$K$114:$X$114=Moduły!F$77)*ISNUMBER(MATCH(st_utm_kw,nie,0)),st_utm)+SUMPRODUCT(ISNUMBER(MATCH(mod_st_utm_wbudowie,$B$475,0))*('Koszty operacyjne'!$K$114:$X$114=Moduły!F$77)*ISNUMBER(MATCH(st_utm_kw_wbudowie,nie,0)),st_utm_wbudowie)</f>
        <v>0</v>
      </c>
      <c r="G499" s="358" cm="1">
        <f t="array" ref="G499">SUMPRODUCT(ISNUMBER(MATCH(mod_st_utm,$B$475,0))*('Koszty operacyjne'!$K$114:$X$114=Moduły!G$77)*ISNUMBER(MATCH(st_utm_kw,nie,0)),st_utm)+SUMPRODUCT(ISNUMBER(MATCH(mod_st_utm_wbudowie,$B$475,0))*('Koszty operacyjne'!$K$114:$X$114=Moduły!G$77)*ISNUMBER(MATCH(st_utm_kw_wbudowie,nie,0)),st_utm_wbudowie)</f>
        <v>0</v>
      </c>
      <c r="H499" s="358" cm="1">
        <f t="array" ref="H499">SUMPRODUCT(ISNUMBER(MATCH(mod_st_utm,$B$475,0))*('Koszty operacyjne'!$K$114:$X$114=Moduły!H$77)*ISNUMBER(MATCH(st_utm_kw,nie,0)),st_utm)+SUMPRODUCT(ISNUMBER(MATCH(mod_st_utm_wbudowie,$B$475,0))*('Koszty operacyjne'!$K$114:$X$114=Moduły!H$77)*ISNUMBER(MATCH(st_utm_kw_wbudowie,nie,0)),st_utm_wbudowie)</f>
        <v>0</v>
      </c>
      <c r="I499" s="358" cm="1">
        <f t="array" ref="I499">SUMPRODUCT(ISNUMBER(MATCH(mod_st_utm,$B$475,0))*('Koszty operacyjne'!$K$114:$X$114=Moduły!I$77)*ISNUMBER(MATCH(st_utm_kw,nie,0)),st_utm)+SUMPRODUCT(ISNUMBER(MATCH(mod_st_utm_wbudowie,$B$475,0))*('Koszty operacyjne'!$K$114:$X$114=Moduły!I$77)*ISNUMBER(MATCH(st_utm_kw_wbudowie,nie,0)),st_utm_wbudowie)</f>
        <v>0</v>
      </c>
      <c r="J499" s="358" cm="1">
        <f t="array" ref="J499">SUMPRODUCT(ISNUMBER(MATCH(mod_st_utm,$B$475,0))*('Koszty operacyjne'!$K$114:$X$114=Moduły!J$77)*ISNUMBER(MATCH(st_utm_kw,nie,0)),st_utm)+SUMPRODUCT(ISNUMBER(MATCH(mod_st_utm_wbudowie,$B$475,0))*('Koszty operacyjne'!$K$114:$X$114=Moduły!J$77)*ISNUMBER(MATCH(st_utm_kw_wbudowie,nie,0)),st_utm_wbudowie)</f>
        <v>0</v>
      </c>
      <c r="K499" s="358" cm="1">
        <f t="array" ref="K499">SUMPRODUCT(ISNUMBER(MATCH(mod_st_utm,$B$475,0))*('Koszty operacyjne'!$K$114:$X$114=Moduły!K$77)*ISNUMBER(MATCH(st_utm_kw,nie,0)),st_utm)+SUMPRODUCT(ISNUMBER(MATCH(mod_st_utm_wbudowie,$B$475,0))*('Koszty operacyjne'!$K$114:$X$114=Moduły!K$77)*ISNUMBER(MATCH(st_utm_kw_wbudowie,nie,0)),st_utm_wbudowie)</f>
        <v>0</v>
      </c>
      <c r="L499" s="358" cm="1">
        <f t="array" ref="L499">SUMPRODUCT(ISNUMBER(MATCH(mod_st_utm,$B$475,0))*('Koszty operacyjne'!$K$114:$X$114=Moduły!L$77)*ISNUMBER(MATCH(st_utm_kw,nie,0)),st_utm)+SUMPRODUCT(ISNUMBER(MATCH(mod_st_utm_wbudowie,$B$475,0))*('Koszty operacyjne'!$K$114:$X$114=Moduły!L$77)*ISNUMBER(MATCH(st_utm_kw_wbudowie,nie,0)),st_utm_wbudowie)</f>
        <v>0</v>
      </c>
      <c r="M499" s="358" cm="1">
        <f t="array" ref="M499">SUMPRODUCT(ISNUMBER(MATCH(mod_st_utm,$B$475,0))*('Koszty operacyjne'!$K$114:$X$114=Moduły!M$77)*ISNUMBER(MATCH(st_utm_kw,nie,0)),st_utm)+SUMPRODUCT(ISNUMBER(MATCH(mod_st_utm_wbudowie,$B$475,0))*('Koszty operacyjne'!$K$114:$X$114=Moduły!M$77)*ISNUMBER(MATCH(st_utm_kw_wbudowie,nie,0)),st_utm_wbudowie)</f>
        <v>0</v>
      </c>
      <c r="N499" s="358" cm="1">
        <f t="array" ref="N499">SUMPRODUCT(ISNUMBER(MATCH(mod_st_utm,$B$475,0))*('Koszty operacyjne'!$K$114:$X$114=Moduły!N$77)*ISNUMBER(MATCH(st_utm_kw,nie,0)),st_utm)+SUMPRODUCT(ISNUMBER(MATCH(mod_st_utm_wbudowie,$B$475,0))*('Koszty operacyjne'!$K$114:$X$114=Moduły!N$77)*ISNUMBER(MATCH(st_utm_kw_wbudowie,nie,0)),st_utm_wbudowie)</f>
        <v>0</v>
      </c>
      <c r="O499" s="358" cm="1">
        <f t="array" ref="O499">SUMPRODUCT(ISNUMBER(MATCH(mod_st_utm,$B$475,0))*('Koszty operacyjne'!$K$114:$X$114=Moduły!O$77)*ISNUMBER(MATCH(st_utm_kw,nie,0)),st_utm)+SUMPRODUCT(ISNUMBER(MATCH(mod_st_utm_wbudowie,$B$475,0))*('Koszty operacyjne'!$K$114:$X$114=Moduły!O$77)*ISNUMBER(MATCH(st_utm_kw_wbudowie,nie,0)),st_utm_wbudowie)</f>
        <v>0</v>
      </c>
      <c r="P499" s="358" cm="1">
        <f t="array" ref="P499">SUMPRODUCT(ISNUMBER(MATCH(mod_st_utm,$B$475,0))*('Koszty operacyjne'!$K$114:$X$114=Moduły!P$77)*ISNUMBER(MATCH(st_utm_kw,nie,0)),st_utm)+SUMPRODUCT(ISNUMBER(MATCH(mod_st_utm_wbudowie,$B$475,0))*('Koszty operacyjne'!$K$114:$X$114=Moduły!P$77)*ISNUMBER(MATCH(st_utm_kw_wbudowie,nie,0)),st_utm_wbudowie)</f>
        <v>0</v>
      </c>
    </row>
    <row r="500" spans="2:16" ht="3.9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101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SUMPRODUCT(ISNUMBER(MATCH(mod_st_stu,$B$475,0))*('Koszty operacyjne'!$K$114:$X$114=Moduły!C$77)*ISNUMBER(MATCH(st_stu_kw,tak,0)),st_stu)</f>
        <v>0</v>
      </c>
      <c r="D502" s="356" cm="1">
        <f t="array" ref="D502">SUMPRODUCT(ISNUMBER(MATCH(mod_st_stu,$B$475,0))*('Koszty operacyjne'!$K$114:$X$114=Moduły!D$77)*ISNUMBER(MATCH(st_stu_kw,tak,0)),st_stu)</f>
        <v>0</v>
      </c>
      <c r="E502" s="356" cm="1">
        <f t="array" ref="E502">SUMPRODUCT(ISNUMBER(MATCH(mod_st_stu,$B$475,0))*('Koszty operacyjne'!$K$114:$X$114=Moduły!E$77)*ISNUMBER(MATCH(st_stu_kw,tak,0)),st_stu)</f>
        <v>0</v>
      </c>
      <c r="F502" s="356" cm="1">
        <f t="array" ref="F502">SUMPRODUCT(ISNUMBER(MATCH(mod_st_stu,$B$475,0))*('Koszty operacyjne'!$K$114:$X$114=Moduły!F$77)*ISNUMBER(MATCH(st_stu_kw,tak,0)),st_stu)</f>
        <v>0</v>
      </c>
      <c r="G502" s="356" cm="1">
        <f t="array" ref="G502">SUMPRODUCT(ISNUMBER(MATCH(mod_st_stu,$B$475,0))*('Koszty operacyjne'!$K$114:$X$114=Moduły!G$77)*ISNUMBER(MATCH(st_stu_kw,tak,0)),st_stu)</f>
        <v>0</v>
      </c>
      <c r="H502" s="356" cm="1">
        <f t="array" ref="H502">SUMPRODUCT(ISNUMBER(MATCH(mod_st_stu,$B$475,0))*('Koszty operacyjne'!$K$114:$X$114=Moduły!H$77)*ISNUMBER(MATCH(st_stu_kw,tak,0)),st_stu)</f>
        <v>0</v>
      </c>
      <c r="I502" s="356" cm="1">
        <f t="array" ref="I502">SUMPRODUCT(ISNUMBER(MATCH(mod_st_stu,$B$475,0))*('Koszty operacyjne'!$K$114:$X$114=Moduły!I$77)*ISNUMBER(MATCH(st_stu_kw,tak,0)),st_stu)</f>
        <v>0</v>
      </c>
      <c r="J502" s="356" cm="1">
        <f t="array" ref="J502">SUMPRODUCT(ISNUMBER(MATCH(mod_st_stu,$B$475,0))*('Koszty operacyjne'!$K$114:$X$114=Moduły!J$77)*ISNUMBER(MATCH(st_stu_kw,tak,0)),st_stu)</f>
        <v>0</v>
      </c>
      <c r="K502" s="356" cm="1">
        <f t="array" ref="K502">SUMPRODUCT(ISNUMBER(MATCH(mod_st_stu,$B$475,0))*('Koszty operacyjne'!$K$114:$X$114=Moduły!K$77)*ISNUMBER(MATCH(st_stu_kw,tak,0)),st_stu)</f>
        <v>0</v>
      </c>
      <c r="L502" s="356" cm="1">
        <f t="array" ref="L502">SUMPRODUCT(ISNUMBER(MATCH(mod_st_stu,$B$475,0))*('Koszty operacyjne'!$K$114:$X$114=Moduły!L$77)*ISNUMBER(MATCH(st_stu_kw,tak,0)),st_stu)</f>
        <v>0</v>
      </c>
      <c r="M502" s="356" cm="1">
        <f t="array" ref="M502">SUMPRODUCT(ISNUMBER(MATCH(mod_st_stu,$B$475,0))*('Koszty operacyjne'!$K$114:$X$114=Moduły!M$77)*ISNUMBER(MATCH(st_stu_kw,tak,0)),st_stu)</f>
        <v>0</v>
      </c>
      <c r="N502" s="356" cm="1">
        <f t="array" ref="N502">SUMPRODUCT(ISNUMBER(MATCH(mod_st_stu,$B$475,0))*('Koszty operacyjne'!$K$114:$X$114=Moduły!N$77)*ISNUMBER(MATCH(st_stu_kw,tak,0)),st_stu)</f>
        <v>0</v>
      </c>
      <c r="O502" s="356" cm="1">
        <f t="array" ref="O502">SUMPRODUCT(ISNUMBER(MATCH(mod_st_stu,$B$475,0))*('Koszty operacyjne'!$K$114:$X$114=Moduły!O$77)*ISNUMBER(MATCH(st_stu_kw,tak,0)),st_stu)</f>
        <v>0</v>
      </c>
      <c r="P502" s="356" cm="1">
        <f t="array" ref="P502">SUMPRODUCT(ISNUMBER(MATCH(mod_st_stu,$B$475,0))*('Koszty operacyjne'!$K$114:$X$114=Moduły!P$77)*ISNUMBER(MATCH(st_stu_kw,tak,0)),st_stu)</f>
        <v>0</v>
      </c>
    </row>
    <row r="503" spans="2:16" ht="12" customHeight="1">
      <c r="B503" s="357" t="s">
        <v>96</v>
      </c>
      <c r="C503" s="358" cm="1">
        <f t="array" ref="C503">SUMPRODUCT(ISNUMBER(MATCH(mod_st_stu,$B$475,0))*('Koszty operacyjne'!$K$114:$X$114=Moduły!C$77)*ISNUMBER(MATCH(st_stu_kw,nie,0)),st_stu)</f>
        <v>0</v>
      </c>
      <c r="D503" s="358" cm="1">
        <f t="array" ref="D503">SUMPRODUCT(ISNUMBER(MATCH(mod_st_stu,$B$475,0))*('Koszty operacyjne'!$K$114:$X$114=Moduły!D$77)*ISNUMBER(MATCH(st_stu_kw,nie,0)),st_stu)</f>
        <v>0</v>
      </c>
      <c r="E503" s="358" cm="1">
        <f t="array" ref="E503">SUMPRODUCT(ISNUMBER(MATCH(mod_st_stu,$B$475,0))*('Koszty operacyjne'!$K$114:$X$114=Moduły!E$77)*ISNUMBER(MATCH(st_stu_kw,nie,0)),st_stu)</f>
        <v>0</v>
      </c>
      <c r="F503" s="358" cm="1">
        <f t="array" ref="F503">SUMPRODUCT(ISNUMBER(MATCH(mod_st_stu,$B$475,0))*('Koszty operacyjne'!$K$114:$X$114=Moduły!F$77)*ISNUMBER(MATCH(st_stu_kw,nie,0)),st_stu)</f>
        <v>0</v>
      </c>
      <c r="G503" s="358" cm="1">
        <f t="array" ref="G503">SUMPRODUCT(ISNUMBER(MATCH(mod_st_stu,$B$475,0))*('Koszty operacyjne'!$K$114:$X$114=Moduły!G$77)*ISNUMBER(MATCH(st_stu_kw,nie,0)),st_stu)</f>
        <v>0</v>
      </c>
      <c r="H503" s="358" cm="1">
        <f t="array" ref="H503">SUMPRODUCT(ISNUMBER(MATCH(mod_st_stu,$B$475,0))*('Koszty operacyjne'!$K$114:$X$114=Moduły!H$77)*ISNUMBER(MATCH(st_stu_kw,nie,0)),st_stu)</f>
        <v>0</v>
      </c>
      <c r="I503" s="358" cm="1">
        <f t="array" ref="I503">SUMPRODUCT(ISNUMBER(MATCH(mod_st_stu,$B$475,0))*('Koszty operacyjne'!$K$114:$X$114=Moduły!I$77)*ISNUMBER(MATCH(st_stu_kw,nie,0)),st_stu)</f>
        <v>0</v>
      </c>
      <c r="J503" s="358" cm="1">
        <f t="array" ref="J503">SUMPRODUCT(ISNUMBER(MATCH(mod_st_stu,$B$475,0))*('Koszty operacyjne'!$K$114:$X$114=Moduły!J$77)*ISNUMBER(MATCH(st_stu_kw,nie,0)),st_stu)</f>
        <v>0</v>
      </c>
      <c r="K503" s="359" cm="1">
        <f t="array" ref="K503">SUMPRODUCT(ISNUMBER(MATCH(mod_st_stu,$B$475,0))*('Koszty operacyjne'!$K$114:$X$114=Moduły!K$77)*ISNUMBER(MATCH(st_stu_kw,nie,0)),st_stu)</f>
        <v>0</v>
      </c>
      <c r="L503" s="359" cm="1">
        <f t="array" ref="L503">SUMPRODUCT(ISNUMBER(MATCH(mod_st_stu,$B$475,0))*('Koszty operacyjne'!$K$114:$X$114=Moduły!L$77)*ISNUMBER(MATCH(st_stu_kw,nie,0)),st_stu)</f>
        <v>0</v>
      </c>
      <c r="M503" s="359" cm="1">
        <f t="array" ref="M503">SUMPRODUCT(ISNUMBER(MATCH(mod_st_stu,$B$475,0))*('Koszty operacyjne'!$K$114:$X$114=Moduły!M$77)*ISNUMBER(MATCH(st_stu_kw,nie,0)),st_stu)</f>
        <v>0</v>
      </c>
      <c r="N503" s="359" cm="1">
        <f t="array" ref="N503">SUMPRODUCT(ISNUMBER(MATCH(mod_st_stu,$B$475,0))*('Koszty operacyjne'!$K$114:$X$114=Moduły!N$77)*ISNUMBER(MATCH(st_stu_kw,nie,0)),st_stu)</f>
        <v>0</v>
      </c>
      <c r="O503" s="359" cm="1">
        <f t="array" ref="O503">SUMPRODUCT(ISNUMBER(MATCH(mod_st_stu,$B$475,0))*('Koszty operacyjne'!$K$114:$X$114=Moduły!O$77)*ISNUMBER(MATCH(st_stu_kw,nie,0)),st_stu)</f>
        <v>0</v>
      </c>
      <c r="P503" s="359" cm="1">
        <f t="array" ref="P503">SUMPRODUCT(ISNUMBER(MATCH(mod_st_stu,$B$475,0))*('Koszty operacyjne'!$K$114:$X$114=Moduły!P$77)*ISNUMBER(MATCH(st_stu_kw,nie,0)),st_stu)</f>
        <v>0</v>
      </c>
    </row>
    <row r="504" spans="2:16" ht="3.9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102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SUMPRODUCT(ISNUMBER(MATCH(mod_st_ist,$B$475,0))*('Koszty operacyjne'!$K$114:$X$114=Moduły!C$77)*ISNUMBER(MATCH(st_ist_kw,tak,0)),st_ist)</f>
        <v>0</v>
      </c>
      <c r="D506" s="356" cm="1">
        <f t="array" ref="D506">SUMPRODUCT(ISNUMBER(MATCH(mod_st_ist,$B$475,0))*('Koszty operacyjne'!$K$114:$X$114=Moduły!D$77)*ISNUMBER(MATCH(st_ist_kw,tak,0)),st_ist)</f>
        <v>0</v>
      </c>
      <c r="E506" s="356" cm="1">
        <f t="array" ref="E506">SUMPRODUCT(ISNUMBER(MATCH(mod_st_ist,$B$475,0))*('Koszty operacyjne'!$K$114:$X$114=Moduły!E$77)*ISNUMBER(MATCH(st_ist_kw,tak,0)),st_ist)</f>
        <v>0</v>
      </c>
      <c r="F506" s="356" cm="1">
        <f t="array" ref="F506">SUMPRODUCT(ISNUMBER(MATCH(mod_st_ist,$B$475,0))*('Koszty operacyjne'!$K$114:$X$114=Moduły!F$77)*ISNUMBER(MATCH(st_ist_kw,tak,0)),st_ist)</f>
        <v>0</v>
      </c>
      <c r="G506" s="356" cm="1">
        <f t="array" ref="G506">SUMPRODUCT(ISNUMBER(MATCH(mod_st_ist,$B$475,0))*('Koszty operacyjne'!$K$114:$X$114=Moduły!G$77)*ISNUMBER(MATCH(st_ist_kw,tak,0)),st_ist)</f>
        <v>0</v>
      </c>
      <c r="H506" s="356" cm="1">
        <f t="array" ref="H506">SUMPRODUCT(ISNUMBER(MATCH(mod_st_ist,$B$475,0))*('Koszty operacyjne'!$K$114:$X$114=Moduły!H$77)*ISNUMBER(MATCH(st_ist_kw,tak,0)),st_ist)</f>
        <v>0</v>
      </c>
      <c r="I506" s="356" cm="1">
        <f t="array" ref="I506">SUMPRODUCT(ISNUMBER(MATCH(mod_st_ist,$B$475,0))*('Koszty operacyjne'!$K$114:$X$114=Moduły!I$77)*ISNUMBER(MATCH(st_ist_kw,tak,0)),st_ist)</f>
        <v>0</v>
      </c>
      <c r="J506" s="356" cm="1">
        <f t="array" ref="J506">SUMPRODUCT(ISNUMBER(MATCH(mod_st_ist,$B$475,0))*('Koszty operacyjne'!$K$114:$X$114=Moduły!J$77)*ISNUMBER(MATCH(st_ist_kw,tak,0)),st_ist)</f>
        <v>0</v>
      </c>
      <c r="K506" s="356" cm="1">
        <f t="array" ref="K506">SUMPRODUCT(ISNUMBER(MATCH(mod_st_ist,$B$475,0))*('Koszty operacyjne'!$K$114:$X$114=Moduły!K$77)*ISNUMBER(MATCH(st_ist_kw,tak,0)),st_ist)</f>
        <v>0</v>
      </c>
      <c r="L506" s="356" cm="1">
        <f t="array" ref="L506">SUMPRODUCT(ISNUMBER(MATCH(mod_st_ist,$B$475,0))*('Koszty operacyjne'!$K$114:$X$114=Moduły!L$77)*ISNUMBER(MATCH(st_ist_kw,tak,0)),st_ist)</f>
        <v>0</v>
      </c>
      <c r="M506" s="356" cm="1">
        <f t="array" ref="M506">SUMPRODUCT(ISNUMBER(MATCH(mod_st_ist,$B$475,0))*('Koszty operacyjne'!$K$114:$X$114=Moduły!M$77)*ISNUMBER(MATCH(st_ist_kw,tak,0)),st_ist)</f>
        <v>0</v>
      </c>
      <c r="N506" s="356" cm="1">
        <f t="array" ref="N506">SUMPRODUCT(ISNUMBER(MATCH(mod_st_ist,$B$475,0))*('Koszty operacyjne'!$K$114:$X$114=Moduły!N$77)*ISNUMBER(MATCH(st_ist_kw,tak,0)),st_ist)</f>
        <v>0</v>
      </c>
      <c r="O506" s="356" cm="1">
        <f t="array" ref="O506">SUMPRODUCT(ISNUMBER(MATCH(mod_st_ist,$B$475,0))*('Koszty operacyjne'!$K$114:$X$114=Moduły!O$77)*ISNUMBER(MATCH(st_ist_kw,tak,0)),st_ist)</f>
        <v>0</v>
      </c>
      <c r="P506" s="356" cm="1">
        <f t="array" ref="P506">SUMPRODUCT(ISNUMBER(MATCH(mod_st_ist,$B$475,0))*('Koszty operacyjne'!$K$114:$X$114=Moduły!P$77)*ISNUMBER(MATCH(st_ist_kw,tak,0)),st_ist)</f>
        <v>0</v>
      </c>
    </row>
    <row r="507" spans="2:16" ht="12" customHeight="1">
      <c r="B507" s="357" t="s">
        <v>96</v>
      </c>
      <c r="C507" s="358" cm="1">
        <f t="array" ref="C507">SUMPRODUCT(ISNUMBER(MATCH(mod_st_ist,$B$475,0))*('Koszty operacyjne'!$K$114:$X$114=Moduły!C$77)*ISNUMBER(MATCH(st_ist_kw,nie,0)),st_ist)</f>
        <v>0</v>
      </c>
      <c r="D507" s="358" cm="1">
        <f t="array" ref="D507">SUMPRODUCT(ISNUMBER(MATCH(mod_st_ist,$B$475,0))*('Koszty operacyjne'!$K$114:$X$114=Moduły!D$77)*ISNUMBER(MATCH(st_ist_kw,nie,0)),st_ist)</f>
        <v>0</v>
      </c>
      <c r="E507" s="358" cm="1">
        <f t="array" ref="E507">SUMPRODUCT(ISNUMBER(MATCH(mod_st_ist,$B$475,0))*('Koszty operacyjne'!$K$114:$X$114=Moduły!E$77)*ISNUMBER(MATCH(st_ist_kw,nie,0)),st_ist)</f>
        <v>0</v>
      </c>
      <c r="F507" s="358" cm="1">
        <f t="array" ref="F507">SUMPRODUCT(ISNUMBER(MATCH(mod_st_ist,$B$475,0))*('Koszty operacyjne'!$K$114:$X$114=Moduły!F$77)*ISNUMBER(MATCH(st_ist_kw,nie,0)),st_ist)</f>
        <v>0</v>
      </c>
      <c r="G507" s="358" cm="1">
        <f t="array" ref="G507">SUMPRODUCT(ISNUMBER(MATCH(mod_st_ist,$B$475,0))*('Koszty operacyjne'!$K$114:$X$114=Moduły!G$77)*ISNUMBER(MATCH(st_ist_kw,nie,0)),st_ist)</f>
        <v>0</v>
      </c>
      <c r="H507" s="358" cm="1">
        <f t="array" ref="H507">SUMPRODUCT(ISNUMBER(MATCH(mod_st_ist,$B$475,0))*('Koszty operacyjne'!$K$114:$X$114=Moduły!H$77)*ISNUMBER(MATCH(st_ist_kw,nie,0)),st_ist)</f>
        <v>0</v>
      </c>
      <c r="I507" s="358" cm="1">
        <f t="array" ref="I507">SUMPRODUCT(ISNUMBER(MATCH(mod_st_ist,$B$475,0))*('Koszty operacyjne'!$K$114:$X$114=Moduły!I$77)*ISNUMBER(MATCH(st_ist_kw,nie,0)),st_ist)</f>
        <v>0</v>
      </c>
      <c r="J507" s="358" cm="1">
        <f t="array" ref="J507">SUMPRODUCT(ISNUMBER(MATCH(mod_st_ist,$B$475,0))*('Koszty operacyjne'!$K$114:$X$114=Moduły!J$77)*ISNUMBER(MATCH(st_ist_kw,nie,0)),st_ist)</f>
        <v>0</v>
      </c>
      <c r="K507" s="359" cm="1">
        <f t="array" ref="K507">SUMPRODUCT(ISNUMBER(MATCH(mod_st_ist,$B$475,0))*('Koszty operacyjne'!$K$114:$X$114=Moduły!K$77)*ISNUMBER(MATCH(st_ist_kw,nie,0)),st_ist)</f>
        <v>0</v>
      </c>
      <c r="L507" s="359" cm="1">
        <f t="array" ref="L507">SUMPRODUCT(ISNUMBER(MATCH(mod_st_ist,$B$475,0))*('Koszty operacyjne'!$K$114:$X$114=Moduły!L$77)*ISNUMBER(MATCH(st_ist_kw,nie,0)),st_ist)</f>
        <v>0</v>
      </c>
      <c r="M507" s="359" cm="1">
        <f t="array" ref="M507">SUMPRODUCT(ISNUMBER(MATCH(mod_st_ist,$B$475,0))*('Koszty operacyjne'!$K$114:$X$114=Moduły!M$77)*ISNUMBER(MATCH(st_ist_kw,nie,0)),st_ist)</f>
        <v>0</v>
      </c>
      <c r="N507" s="359" cm="1">
        <f t="array" ref="N507">SUMPRODUCT(ISNUMBER(MATCH(mod_st_ist,$B$475,0))*('Koszty operacyjne'!$K$114:$X$114=Moduły!N$77)*ISNUMBER(MATCH(st_ist_kw,nie,0)),st_ist)</f>
        <v>0</v>
      </c>
      <c r="O507" s="359" cm="1">
        <f t="array" ref="O507">SUMPRODUCT(ISNUMBER(MATCH(mod_st_ist,$B$475,0))*('Koszty operacyjne'!$K$114:$X$114=Moduły!O$77)*ISNUMBER(MATCH(st_ist_kw,nie,0)),st_ist)</f>
        <v>0</v>
      </c>
      <c r="P507" s="359" cm="1">
        <f t="array" ref="P507">SUMPRODUCT(ISNUMBER(MATCH(mod_st_ist,$B$475,0))*('Koszty operacyjne'!$K$114:$X$114=Moduły!P$77)*ISNUMBER(MATCH(st_ist_kw,nie,0)),st_ist)</f>
        <v>0</v>
      </c>
    </row>
    <row r="508" spans="2:16" ht="12" customHeight="1"/>
    <row r="509" spans="2:16">
      <c r="B509" s="98" t="s">
        <v>104</v>
      </c>
      <c r="C509" s="97" cm="1">
        <f t="array" ref="C509">SUMPRODUCT(ISNUMBER(MATCH(mod_pp_ppu,$B$475,0))*('Koszty operacyjne'!$K$114:$X$114=Moduły!C$77),pp_ppu)+SUMPRODUCT(ISNUMBER(MATCH(mod_pp_ptim,$B$475,0))*('Koszty operacyjne'!$K$114:$X$114=Moduły!C$77),pp_ptim)</f>
        <v>0</v>
      </c>
      <c r="D509" s="97" cm="1">
        <f t="array" ref="D509">SUMPRODUCT(ISNUMBER(MATCH(mod_pp_ppu,$B$475,0))*('Koszty operacyjne'!$K$114:$X$114=Moduły!D$77),pp_ppu)+SUMPRODUCT(ISNUMBER(MATCH(mod_pp_ptim,$B$475,0))*('Koszty operacyjne'!$K$114:$X$114=Moduły!D$77),pp_ptim)</f>
        <v>0</v>
      </c>
      <c r="E509" s="97" cm="1">
        <f t="array" ref="E509">SUMPRODUCT(ISNUMBER(MATCH(mod_pp_ppu,$B$475,0))*('Koszty operacyjne'!$K$114:$X$114=Moduły!E$77),pp_ppu)+SUMPRODUCT(ISNUMBER(MATCH(mod_pp_ptim,$B$475,0))*('Koszty operacyjne'!$K$114:$X$114=Moduły!E$77),pp_ptim)</f>
        <v>0</v>
      </c>
      <c r="F509" s="97" cm="1">
        <f t="array" ref="F509">SUMPRODUCT(ISNUMBER(MATCH(mod_pp_ppu,$B$475,0))*('Koszty operacyjne'!$K$114:$X$114=Moduły!F$77),pp_ppu)+SUMPRODUCT(ISNUMBER(MATCH(mod_pp_ptim,$B$475,0))*('Koszty operacyjne'!$K$114:$X$114=Moduły!F$77),pp_ptim)</f>
        <v>0</v>
      </c>
      <c r="G509" s="97" cm="1">
        <f t="array" ref="G509">SUMPRODUCT(ISNUMBER(MATCH(mod_pp_ppu,$B$475,0))*('Koszty operacyjne'!$K$114:$X$114=Moduły!G$77),pp_ppu)+SUMPRODUCT(ISNUMBER(MATCH(mod_pp_ptim,$B$475,0))*('Koszty operacyjne'!$K$114:$X$114=Moduły!G$77),pp_ptim)</f>
        <v>0</v>
      </c>
      <c r="H509" s="97" cm="1">
        <f t="array" ref="H509">SUMPRODUCT(ISNUMBER(MATCH(mod_pp_ppu,$B$475,0))*('Koszty operacyjne'!$K$114:$X$114=Moduły!H$77),pp_ppu)+SUMPRODUCT(ISNUMBER(MATCH(mod_pp_ptim,$B$475,0))*('Koszty operacyjne'!$K$114:$X$114=Moduły!H$77),pp_ptim)</f>
        <v>0</v>
      </c>
      <c r="I509" s="97" cm="1">
        <f t="array" ref="I509">SUMPRODUCT(ISNUMBER(MATCH(mod_pp_ppu,$B$475,0))*('Koszty operacyjne'!$K$114:$X$114=Moduły!I$77),pp_ppu)+SUMPRODUCT(ISNUMBER(MATCH(mod_pp_ptim,$B$475,0))*('Koszty operacyjne'!$K$114:$X$114=Moduły!I$77),pp_ptim)</f>
        <v>0</v>
      </c>
      <c r="J509" s="97" cm="1">
        <f t="array" ref="J509">SUMPRODUCT(ISNUMBER(MATCH(mod_pp_ppu,$B$475,0))*('Koszty operacyjne'!$K$114:$X$114=Moduły!J$77),pp_ppu)+SUMPRODUCT(ISNUMBER(MATCH(mod_pp_ptim,$B$475,0))*('Koszty operacyjne'!$K$114:$X$114=Moduły!J$77),pp_ptim)</f>
        <v>0</v>
      </c>
      <c r="K509" s="97" cm="1">
        <f t="array" ref="K509">SUMPRODUCT(ISNUMBER(MATCH(mod_pp_ppu,$B$475,0))*('Koszty operacyjne'!$K$114:$X$114=Moduły!K$77),pp_ppu)+SUMPRODUCT(ISNUMBER(MATCH(mod_pp_ptim,$B$475,0))*('Koszty operacyjne'!$K$114:$X$114=Moduły!K$77),pp_ptim)</f>
        <v>0</v>
      </c>
      <c r="L509" s="97" cm="1">
        <f t="array" ref="L509">SUMPRODUCT(ISNUMBER(MATCH(mod_pp_ppu,$B$475,0))*('Koszty operacyjne'!$K$114:$X$114=Moduły!L$77),pp_ppu)+SUMPRODUCT(ISNUMBER(MATCH(mod_pp_ptim,$B$475,0))*('Koszty operacyjne'!$K$114:$X$114=Moduły!L$77),pp_ptim)</f>
        <v>0</v>
      </c>
      <c r="M509" s="97" cm="1">
        <f t="array" ref="M509">SUMPRODUCT(ISNUMBER(MATCH(mod_pp_ppu,$B$475,0))*('Koszty operacyjne'!$K$114:$X$114=Moduły!M$77),pp_ppu)+SUMPRODUCT(ISNUMBER(MATCH(mod_pp_ptim,$B$475,0))*('Koszty operacyjne'!$K$114:$X$114=Moduły!M$77),pp_ptim)</f>
        <v>0</v>
      </c>
      <c r="N509" s="97" cm="1">
        <f t="array" ref="N509">SUMPRODUCT(ISNUMBER(MATCH(mod_pp_ppu,$B$475,0))*('Koszty operacyjne'!$K$114:$X$114=Moduły!N$77),pp_ppu)+SUMPRODUCT(ISNUMBER(MATCH(mod_pp_ptim,$B$475,0))*('Koszty operacyjne'!$K$114:$X$114=Moduły!N$77),pp_ptim)</f>
        <v>0</v>
      </c>
      <c r="O509" s="97" cm="1">
        <f t="array" ref="O509">SUMPRODUCT(ISNUMBER(MATCH(mod_pp_ppu,$B$475,0))*('Koszty operacyjne'!$K$114:$X$114=Moduły!O$77),pp_ppu)+SUMPRODUCT(ISNUMBER(MATCH(mod_pp_ptim,$B$475,0))*('Koszty operacyjne'!$K$114:$X$114=Moduły!O$77),pp_ptim)</f>
        <v>0</v>
      </c>
      <c r="P509" s="97" cm="1">
        <f t="array" ref="P509">SUMPRODUCT(ISNUMBER(MATCH(mod_pp_ppu,$B$475,0))*('Koszty operacyjne'!$K$114:$X$114=Moduły!P$77),pp_ppu)+SUMPRODUCT(ISNUMBER(MATCH(mod_pp_ptim,$B$475,0))*('Koszty operacyjne'!$K$114:$X$114=Moduły!P$77),pp_ptim)</f>
        <v>0</v>
      </c>
    </row>
    <row r="510" spans="2:16" ht="3.9" customHeight="1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spans="2:16">
      <c r="B511" s="98" t="s">
        <v>105</v>
      </c>
      <c r="C511" s="97">
        <f t="shared" ref="C511:L511" ca="1" si="209">SUM(C512:C519)</f>
        <v>0</v>
      </c>
      <c r="D511" s="97">
        <f t="shared" ca="1" si="209"/>
        <v>0</v>
      </c>
      <c r="E511" s="97">
        <f t="shared" ca="1" si="209"/>
        <v>0</v>
      </c>
      <c r="F511" s="97">
        <f t="shared" ca="1" si="209"/>
        <v>0</v>
      </c>
      <c r="G511" s="97">
        <f t="shared" ca="1" si="209"/>
        <v>0</v>
      </c>
      <c r="H511" s="97">
        <f t="shared" ca="1" si="209"/>
        <v>0</v>
      </c>
      <c r="I511" s="97">
        <f t="shared" ca="1" si="209"/>
        <v>0</v>
      </c>
      <c r="J511" s="97">
        <f t="shared" ca="1" si="209"/>
        <v>0</v>
      </c>
      <c r="K511" s="97">
        <f t="shared" ca="1" si="209"/>
        <v>0</v>
      </c>
      <c r="L511" s="97">
        <f t="shared" ca="1" si="209"/>
        <v>0</v>
      </c>
      <c r="M511" s="97">
        <f ca="1">SUM(M512:M519)</f>
        <v>0</v>
      </c>
      <c r="N511" s="97">
        <f ca="1">SUM(N512:N519)</f>
        <v>0</v>
      </c>
      <c r="O511" s="97">
        <f ca="1">SUM(O512:O519)</f>
        <v>0</v>
      </c>
      <c r="P511" s="97">
        <f ca="1">SUM(P512:P519)</f>
        <v>0</v>
      </c>
    </row>
    <row r="512" spans="2:16">
      <c r="B512" s="103" t="s">
        <v>106</v>
      </c>
      <c r="C512" s="102" cm="1">
        <f t="array" aca="1" ref="C512" ca="1">SUMPRODUCT(ISNUMBER(MATCH(mod_st_am,$B$475,0))*('Koszty operacyjne'!$K$114:$X$114=Moduły!C$77),st_am)</f>
        <v>0</v>
      </c>
      <c r="D512" s="102" cm="1">
        <f t="array" aca="1" ref="D512" ca="1">SUMPRODUCT(ISNUMBER(MATCH(mod_st_am,$B$475,0))*('Koszty operacyjne'!$K$114:$X$114=Moduły!D$77),st_am)</f>
        <v>0</v>
      </c>
      <c r="E512" s="102" cm="1">
        <f t="array" aca="1" ref="E512" ca="1">SUMPRODUCT(ISNUMBER(MATCH(mod_st_am,$B$475,0))*('Koszty operacyjne'!$K$114:$X$114=Moduły!E$77),st_am)</f>
        <v>0</v>
      </c>
      <c r="F512" s="102" cm="1">
        <f t="array" aca="1" ref="F512" ca="1">SUMPRODUCT(ISNUMBER(MATCH(mod_st_am,$B$475,0))*('Koszty operacyjne'!$K$114:$X$114=Moduły!F$77),st_am)</f>
        <v>0</v>
      </c>
      <c r="G512" s="102" cm="1">
        <f t="array" aca="1" ref="G512" ca="1">SUMPRODUCT(ISNUMBER(MATCH(mod_st_am,$B$475,0))*('Koszty operacyjne'!$K$114:$X$114=Moduły!G$77),st_am)</f>
        <v>0</v>
      </c>
      <c r="H512" s="102" cm="1">
        <f t="array" aca="1" ref="H512" ca="1">SUMPRODUCT(ISNUMBER(MATCH(mod_st_am,$B$475,0))*('Koszty operacyjne'!$K$114:$X$114=Moduły!H$77),st_am)</f>
        <v>0</v>
      </c>
      <c r="I512" s="102" cm="1">
        <f t="array" aca="1" ref="I512" ca="1">SUMPRODUCT(ISNUMBER(MATCH(mod_st_am,$B$475,0))*('Koszty operacyjne'!$K$114:$X$114=Moduły!I$77),st_am)</f>
        <v>0</v>
      </c>
      <c r="J512" s="102" cm="1">
        <f t="array" aca="1" ref="J512" ca="1">SUMPRODUCT(ISNUMBER(MATCH(mod_st_am,$B$475,0))*('Koszty operacyjne'!$K$114:$X$114=Moduły!J$77),st_am)</f>
        <v>0</v>
      </c>
      <c r="K512" s="102" cm="1">
        <f t="array" aca="1" ref="K512" ca="1">SUMPRODUCT(ISNUMBER(MATCH(mod_st_am,$B$475,0))*('Koszty operacyjne'!$K$114:$X$114=Moduły!K$77),st_am)</f>
        <v>0</v>
      </c>
      <c r="L512" s="102" cm="1">
        <f t="array" aca="1" ref="L512" ca="1">SUMPRODUCT(ISNUMBER(MATCH(mod_st_am,$B$475,0))*('Koszty operacyjne'!$K$114:$X$114=Moduły!L$77),st_am)</f>
        <v>0</v>
      </c>
      <c r="M512" s="102" cm="1">
        <f t="array" aca="1" ref="M512" ca="1">SUMPRODUCT(ISNUMBER(MATCH(mod_st_am,$B$475,0))*('Koszty operacyjne'!$K$114:$X$114=Moduły!M$77),st_am)</f>
        <v>0</v>
      </c>
      <c r="N512" s="102" cm="1">
        <f t="array" aca="1" ref="N512" ca="1">SUMPRODUCT(ISNUMBER(MATCH(mod_st_am,$B$475,0))*('Koszty operacyjne'!$K$114:$X$114=Moduły!N$77),st_am)</f>
        <v>0</v>
      </c>
      <c r="O512" s="102" cm="1">
        <f t="array" aca="1" ref="O512" ca="1">SUMPRODUCT(ISNUMBER(MATCH(mod_st_am,$B$475,0))*('Koszty operacyjne'!$K$114:$X$114=Moduły!O$77),st_am)</f>
        <v>0</v>
      </c>
      <c r="P512" s="102" cm="1">
        <f t="array" aca="1" ref="P512" ca="1">SUMPRODUCT(ISNUMBER(MATCH(mod_st_am,$B$475,0))*('Koszty operacyjne'!$K$114:$X$114=Moduły!P$77),st_am)</f>
        <v>0</v>
      </c>
    </row>
    <row r="513" spans="2:16">
      <c r="B513" s="37" t="s">
        <v>107</v>
      </c>
      <c r="C513" s="33" cm="1">
        <f t="array" ref="C513">SUMPRODUCT(ISNUMBER(MATCH(mod_ko_zme,$B$475,0))*('Koszty operacyjne'!$K$114:$X$114=Moduły!C$77),ko_zme)</f>
        <v>0</v>
      </c>
      <c r="D513" s="33" cm="1">
        <f t="array" ref="D513">SUMPRODUCT(ISNUMBER(MATCH(mod_ko_zme,$B$475,0))*('Koszty operacyjne'!$K$114:$X$114=Moduły!D$77),ko_zme)</f>
        <v>0</v>
      </c>
      <c r="E513" s="33" cm="1">
        <f t="array" ref="E513">SUMPRODUCT(ISNUMBER(MATCH(mod_ko_zme,$B$475,0))*('Koszty operacyjne'!$K$114:$X$114=Moduły!E$77),ko_zme)</f>
        <v>0</v>
      </c>
      <c r="F513" s="33" cm="1">
        <f t="array" ref="F513">SUMPRODUCT(ISNUMBER(MATCH(mod_ko_zme,$B$475,0))*('Koszty operacyjne'!$K$114:$X$114=Moduły!F$77),ko_zme)</f>
        <v>0</v>
      </c>
      <c r="G513" s="33" cm="1">
        <f t="array" ref="G513">SUMPRODUCT(ISNUMBER(MATCH(mod_ko_zme,$B$475,0))*('Koszty operacyjne'!$K$114:$X$114=Moduły!G$77),ko_zme)</f>
        <v>0</v>
      </c>
      <c r="H513" s="33" cm="1">
        <f t="array" ref="H513">SUMPRODUCT(ISNUMBER(MATCH(mod_ko_zme,$B$475,0))*('Koszty operacyjne'!$K$114:$X$114=Moduły!H$77),ko_zme)</f>
        <v>0</v>
      </c>
      <c r="I513" s="33" cm="1">
        <f t="array" ref="I513">SUMPRODUCT(ISNUMBER(MATCH(mod_ko_zme,$B$475,0))*('Koszty operacyjne'!$K$114:$X$114=Moduły!I$77),ko_zme)</f>
        <v>0</v>
      </c>
      <c r="J513" s="33" cm="1">
        <f t="array" ref="J513">SUMPRODUCT(ISNUMBER(MATCH(mod_ko_zme,$B$475,0))*('Koszty operacyjne'!$K$114:$X$114=Moduły!J$77),ko_zme)</f>
        <v>0</v>
      </c>
      <c r="K513" s="33" cm="1">
        <f t="array" ref="K513">SUMPRODUCT(ISNUMBER(MATCH(mod_ko_zme,$B$475,0))*('Koszty operacyjne'!$K$114:$X$114=Moduły!K$77),ko_zme)</f>
        <v>0</v>
      </c>
      <c r="L513" s="33" cm="1">
        <f t="array" ref="L513">SUMPRODUCT(ISNUMBER(MATCH(mod_ko_zme,$B$475,0))*('Koszty operacyjne'!$K$114:$X$114=Moduły!L$77),ko_zme)</f>
        <v>0</v>
      </c>
      <c r="M513" s="33" cm="1">
        <f t="array" ref="M513">SUMPRODUCT(ISNUMBER(MATCH(mod_ko_zme,$B$475,0))*('Koszty operacyjne'!$K$114:$X$114=Moduły!M$77),ko_zme)</f>
        <v>0</v>
      </c>
      <c r="N513" s="33" cm="1">
        <f t="array" ref="N513">SUMPRODUCT(ISNUMBER(MATCH(mod_ko_zme,$B$475,0))*('Koszty operacyjne'!$K$114:$X$114=Moduły!N$77),ko_zme)</f>
        <v>0</v>
      </c>
      <c r="O513" s="33" cm="1">
        <f t="array" ref="O513">SUMPRODUCT(ISNUMBER(MATCH(mod_ko_zme,$B$475,0))*('Koszty operacyjne'!$K$114:$X$114=Moduły!O$77),ko_zme)</f>
        <v>0</v>
      </c>
      <c r="P513" s="33" cm="1">
        <f t="array" ref="P513">SUMPRODUCT(ISNUMBER(MATCH(mod_ko_zme,$B$475,0))*('Koszty operacyjne'!$K$114:$X$114=Moduły!P$77),ko_zme)</f>
        <v>0</v>
      </c>
    </row>
    <row r="514" spans="2:16">
      <c r="B514" s="37" t="s">
        <v>108</v>
      </c>
      <c r="C514" s="33" cm="1">
        <f t="array" ref="C514">SUMPRODUCT(ISNUMBER(MATCH(mod_ko_uoe,$B$475,0))*('Koszty operacyjne'!$K$114:$X$114=Moduły!C$77),ko_uoe)</f>
        <v>0</v>
      </c>
      <c r="D514" s="33" cm="1">
        <f t="array" ref="D514">SUMPRODUCT(ISNUMBER(MATCH(mod_ko_uoe,$B$475,0))*('Koszty operacyjne'!$K$114:$X$114=Moduły!D$77),ko_uoe)</f>
        <v>0</v>
      </c>
      <c r="E514" s="33" cm="1">
        <f t="array" ref="E514">SUMPRODUCT(ISNUMBER(MATCH(mod_ko_uoe,$B$475,0))*('Koszty operacyjne'!$K$114:$X$114=Moduły!E$77),ko_uoe)</f>
        <v>0</v>
      </c>
      <c r="F514" s="33" cm="1">
        <f t="array" ref="F514">SUMPRODUCT(ISNUMBER(MATCH(mod_ko_uoe,$B$475,0))*('Koszty operacyjne'!$K$114:$X$114=Moduły!F$77),ko_uoe)</f>
        <v>0</v>
      </c>
      <c r="G514" s="33" cm="1">
        <f t="array" ref="G514">SUMPRODUCT(ISNUMBER(MATCH(mod_ko_uoe,$B$475,0))*('Koszty operacyjne'!$K$114:$X$114=Moduły!G$77),ko_uoe)</f>
        <v>0</v>
      </c>
      <c r="H514" s="33" cm="1">
        <f t="array" ref="H514">SUMPRODUCT(ISNUMBER(MATCH(mod_ko_uoe,$B$475,0))*('Koszty operacyjne'!$K$114:$X$114=Moduły!H$77),ko_uoe)</f>
        <v>0</v>
      </c>
      <c r="I514" s="33" cm="1">
        <f t="array" ref="I514">SUMPRODUCT(ISNUMBER(MATCH(mod_ko_uoe,$B$475,0))*('Koszty operacyjne'!$K$114:$X$114=Moduły!I$77),ko_uoe)</f>
        <v>0</v>
      </c>
      <c r="J514" s="33" cm="1">
        <f t="array" ref="J514">SUMPRODUCT(ISNUMBER(MATCH(mod_ko_uoe,$B$475,0))*('Koszty operacyjne'!$K$114:$X$114=Moduły!J$77),ko_uoe)</f>
        <v>0</v>
      </c>
      <c r="K514" s="33" cm="1">
        <f t="array" ref="K514">SUMPRODUCT(ISNUMBER(MATCH(mod_ko_uoe,$B$475,0))*('Koszty operacyjne'!$K$114:$X$114=Moduły!K$77),ko_uoe)</f>
        <v>0</v>
      </c>
      <c r="L514" s="33" cm="1">
        <f t="array" ref="L514">SUMPRODUCT(ISNUMBER(MATCH(mod_ko_uoe,$B$475,0))*('Koszty operacyjne'!$K$114:$X$114=Moduły!L$77),ko_uoe)</f>
        <v>0</v>
      </c>
      <c r="M514" s="33" cm="1">
        <f t="array" ref="M514">SUMPRODUCT(ISNUMBER(MATCH(mod_ko_uoe,$B$475,0))*('Koszty operacyjne'!$K$114:$X$114=Moduły!M$77),ko_uoe)</f>
        <v>0</v>
      </c>
      <c r="N514" s="33" cm="1">
        <f t="array" ref="N514">SUMPRODUCT(ISNUMBER(MATCH(mod_ko_uoe,$B$475,0))*('Koszty operacyjne'!$K$114:$X$114=Moduły!N$77),ko_uoe)</f>
        <v>0</v>
      </c>
      <c r="O514" s="33" cm="1">
        <f t="array" ref="O514">SUMPRODUCT(ISNUMBER(MATCH(mod_ko_uoe,$B$475,0))*('Koszty operacyjne'!$K$114:$X$114=Moduły!O$77),ko_uoe)</f>
        <v>0</v>
      </c>
      <c r="P514" s="33" cm="1">
        <f t="array" ref="P514">SUMPRODUCT(ISNUMBER(MATCH(mod_ko_uoe,$B$475,0))*('Koszty operacyjne'!$K$114:$X$114=Moduły!P$77),ko_uoe)</f>
        <v>0</v>
      </c>
    </row>
    <row r="515" spans="2:16">
      <c r="B515" s="37" t="s">
        <v>778</v>
      </c>
      <c r="C515" s="33" cm="1">
        <f t="array" ref="C515">SUMPRODUCT(ISNUMBER(MATCH(mod_ko_pio,$B$475,0))*('Koszty operacyjne'!$K$114:$X$114=Moduły!C$77),ko_pio)</f>
        <v>0</v>
      </c>
      <c r="D515" s="33" cm="1">
        <f t="array" ref="D515">SUMPRODUCT(ISNUMBER(MATCH(mod_ko_pio,$B$475,0))*('Koszty operacyjne'!$K$114:$X$114=Moduły!D$77),ko_pio)</f>
        <v>0</v>
      </c>
      <c r="E515" s="33" cm="1">
        <f t="array" ref="E515">SUMPRODUCT(ISNUMBER(MATCH(mod_ko_pio,$B$475,0))*('Koszty operacyjne'!$K$114:$X$114=Moduły!E$77),ko_pio)</f>
        <v>0</v>
      </c>
      <c r="F515" s="33" cm="1">
        <f t="array" ref="F515">SUMPRODUCT(ISNUMBER(MATCH(mod_ko_pio,$B$475,0))*('Koszty operacyjne'!$K$114:$X$114=Moduły!F$77),ko_pio)</f>
        <v>0</v>
      </c>
      <c r="G515" s="33" cm="1">
        <f t="array" ref="G515">SUMPRODUCT(ISNUMBER(MATCH(mod_ko_pio,$B$475,0))*('Koszty operacyjne'!$K$114:$X$114=Moduły!G$77),ko_pio)</f>
        <v>0</v>
      </c>
      <c r="H515" s="33" cm="1">
        <f t="array" ref="H515">SUMPRODUCT(ISNUMBER(MATCH(mod_ko_pio,$B$475,0))*('Koszty operacyjne'!$K$114:$X$114=Moduły!H$77),ko_pio)</f>
        <v>0</v>
      </c>
      <c r="I515" s="33" cm="1">
        <f t="array" ref="I515">SUMPRODUCT(ISNUMBER(MATCH(mod_ko_pio,$B$475,0))*('Koszty operacyjne'!$K$114:$X$114=Moduły!I$77),ko_pio)</f>
        <v>0</v>
      </c>
      <c r="J515" s="33" cm="1">
        <f t="array" ref="J515">SUMPRODUCT(ISNUMBER(MATCH(mod_ko_pio,$B$475,0))*('Koszty operacyjne'!$K$114:$X$114=Moduły!J$77),ko_pio)</f>
        <v>0</v>
      </c>
      <c r="K515" s="33" cm="1">
        <f t="array" ref="K515">SUMPRODUCT(ISNUMBER(MATCH(mod_ko_pio,$B$475,0))*('Koszty operacyjne'!$K$114:$X$114=Moduły!K$77),ko_pio)</f>
        <v>0</v>
      </c>
      <c r="L515" s="33" cm="1">
        <f t="array" ref="L515">SUMPRODUCT(ISNUMBER(MATCH(mod_ko_pio,$B$475,0))*('Koszty operacyjne'!$K$114:$X$114=Moduły!L$77),ko_pio)</f>
        <v>0</v>
      </c>
      <c r="M515" s="33" cm="1">
        <f t="array" ref="M515">SUMPRODUCT(ISNUMBER(MATCH(mod_ko_pio,$B$475,0))*('Koszty operacyjne'!$K$114:$X$114=Moduły!M$77),ko_pio)</f>
        <v>0</v>
      </c>
      <c r="N515" s="33" cm="1">
        <f t="array" ref="N515">SUMPRODUCT(ISNUMBER(MATCH(mod_ko_pio,$B$475,0))*('Koszty operacyjne'!$K$114:$X$114=Moduły!N$77),ko_pio)</f>
        <v>0</v>
      </c>
      <c r="O515" s="33" cm="1">
        <f t="array" ref="O515">SUMPRODUCT(ISNUMBER(MATCH(mod_ko_pio,$B$475,0))*('Koszty operacyjne'!$K$114:$X$114=Moduły!O$77),ko_pio)</f>
        <v>0</v>
      </c>
      <c r="P515" s="33" cm="1">
        <f t="array" ref="P515">SUMPRODUCT(ISNUMBER(MATCH(mod_ko_pio,$B$475,0))*('Koszty operacyjne'!$K$114:$X$114=Moduły!P$77),ko_pio)</f>
        <v>0</v>
      </c>
    </row>
    <row r="516" spans="2:16">
      <c r="B516" s="37" t="s">
        <v>109</v>
      </c>
      <c r="C516" s="33" cm="1">
        <f t="array" ref="C516">SUMPRODUCT(ISNUMBER(MATCH(mod_ko_wyn,$B$475,0))*('Koszty operacyjne'!$K$114:$X$114=Moduły!C$77),ko_wyn)</f>
        <v>0</v>
      </c>
      <c r="D516" s="33" cm="1">
        <f t="array" ref="D516">SUMPRODUCT(ISNUMBER(MATCH(mod_ko_wyn,$B$475,0))*('Koszty operacyjne'!$K$114:$X$114=Moduły!D$77),ko_wyn)</f>
        <v>0</v>
      </c>
      <c r="E516" s="33" cm="1">
        <f t="array" ref="E516">SUMPRODUCT(ISNUMBER(MATCH(mod_ko_wyn,$B$475,0))*('Koszty operacyjne'!$K$114:$X$114=Moduły!E$77),ko_wyn)</f>
        <v>0</v>
      </c>
      <c r="F516" s="33" cm="1">
        <f t="array" ref="F516">SUMPRODUCT(ISNUMBER(MATCH(mod_ko_wyn,$B$475,0))*('Koszty operacyjne'!$K$114:$X$114=Moduły!F$77),ko_wyn)</f>
        <v>0</v>
      </c>
      <c r="G516" s="33" cm="1">
        <f t="array" ref="G516">SUMPRODUCT(ISNUMBER(MATCH(mod_ko_wyn,$B$475,0))*('Koszty operacyjne'!$K$114:$X$114=Moduły!G$77),ko_wyn)</f>
        <v>0</v>
      </c>
      <c r="H516" s="33" cm="1">
        <f t="array" ref="H516">SUMPRODUCT(ISNUMBER(MATCH(mod_ko_wyn,$B$475,0))*('Koszty operacyjne'!$K$114:$X$114=Moduły!H$77),ko_wyn)</f>
        <v>0</v>
      </c>
      <c r="I516" s="33" cm="1">
        <f t="array" ref="I516">SUMPRODUCT(ISNUMBER(MATCH(mod_ko_wyn,$B$475,0))*('Koszty operacyjne'!$K$114:$X$114=Moduły!I$77),ko_wyn)</f>
        <v>0</v>
      </c>
      <c r="J516" s="33" cm="1">
        <f t="array" ref="J516">SUMPRODUCT(ISNUMBER(MATCH(mod_ko_wyn,$B$475,0))*('Koszty operacyjne'!$K$114:$X$114=Moduły!J$77),ko_wyn)</f>
        <v>0</v>
      </c>
      <c r="K516" s="33" cm="1">
        <f t="array" ref="K516">SUMPRODUCT(ISNUMBER(MATCH(mod_ko_wyn,$B$475,0))*('Koszty operacyjne'!$K$114:$X$114=Moduły!K$77),ko_wyn)</f>
        <v>0</v>
      </c>
      <c r="L516" s="33" cm="1">
        <f t="array" ref="L516">SUMPRODUCT(ISNUMBER(MATCH(mod_ko_wyn,$B$475,0))*('Koszty operacyjne'!$K$114:$X$114=Moduły!L$77),ko_wyn)</f>
        <v>0</v>
      </c>
      <c r="M516" s="33" cm="1">
        <f t="array" ref="M516">SUMPRODUCT(ISNUMBER(MATCH(mod_ko_wyn,$B$475,0))*('Koszty operacyjne'!$K$114:$X$114=Moduły!M$77),ko_wyn)</f>
        <v>0</v>
      </c>
      <c r="N516" s="33" cm="1">
        <f t="array" ref="N516">SUMPRODUCT(ISNUMBER(MATCH(mod_ko_wyn,$B$475,0))*('Koszty operacyjne'!$K$114:$X$114=Moduły!N$77),ko_wyn)</f>
        <v>0</v>
      </c>
      <c r="O516" s="33" cm="1">
        <f t="array" ref="O516">SUMPRODUCT(ISNUMBER(MATCH(mod_ko_wyn,$B$475,0))*('Koszty operacyjne'!$K$114:$X$114=Moduły!O$77),ko_wyn)</f>
        <v>0</v>
      </c>
      <c r="P516" s="33" cm="1">
        <f t="array" ref="P516">SUMPRODUCT(ISNUMBER(MATCH(mod_ko_wyn,$B$475,0))*('Koszty operacyjne'!$K$114:$X$114=Moduły!P$77),ko_wyn)</f>
        <v>0</v>
      </c>
    </row>
    <row r="517" spans="2:16">
      <c r="B517" s="37" t="s">
        <v>110</v>
      </c>
      <c r="C517" s="33" cm="1">
        <f t="array" ref="C517">SUMPRODUCT(ISNUMBER(MATCH(mod_ko_zus,$B$475,0))*('Koszty operacyjne'!$K$114:$X$114=Moduły!C$77),ko_zus)</f>
        <v>0</v>
      </c>
      <c r="D517" s="33" cm="1">
        <f t="array" ref="D517">SUMPRODUCT(ISNUMBER(MATCH(mod_ko_zus,$B$475,0))*('Koszty operacyjne'!$K$114:$X$114=Moduły!D$77),ko_zus)</f>
        <v>0</v>
      </c>
      <c r="E517" s="33" cm="1">
        <f t="array" ref="E517">SUMPRODUCT(ISNUMBER(MATCH(mod_ko_zus,$B$475,0))*('Koszty operacyjne'!$K$114:$X$114=Moduły!E$77),ko_zus)</f>
        <v>0</v>
      </c>
      <c r="F517" s="33" cm="1">
        <f t="array" ref="F517">SUMPRODUCT(ISNUMBER(MATCH(mod_ko_zus,$B$475,0))*('Koszty operacyjne'!$K$114:$X$114=Moduły!F$77),ko_zus)</f>
        <v>0</v>
      </c>
      <c r="G517" s="33" cm="1">
        <f t="array" ref="G517">SUMPRODUCT(ISNUMBER(MATCH(mod_ko_zus,$B$475,0))*('Koszty operacyjne'!$K$114:$X$114=Moduły!G$77),ko_zus)</f>
        <v>0</v>
      </c>
      <c r="H517" s="33" cm="1">
        <f t="array" ref="H517">SUMPRODUCT(ISNUMBER(MATCH(mod_ko_zus,$B$475,0))*('Koszty operacyjne'!$K$114:$X$114=Moduły!H$77),ko_zus)</f>
        <v>0</v>
      </c>
      <c r="I517" s="33" cm="1">
        <f t="array" ref="I517">SUMPRODUCT(ISNUMBER(MATCH(mod_ko_zus,$B$475,0))*('Koszty operacyjne'!$K$114:$X$114=Moduły!I$77),ko_zus)</f>
        <v>0</v>
      </c>
      <c r="J517" s="33" cm="1">
        <f t="array" ref="J517">SUMPRODUCT(ISNUMBER(MATCH(mod_ko_zus,$B$475,0))*('Koszty operacyjne'!$K$114:$X$114=Moduły!J$77),ko_zus)</f>
        <v>0</v>
      </c>
      <c r="K517" s="33" cm="1">
        <f t="array" ref="K517">SUMPRODUCT(ISNUMBER(MATCH(mod_ko_zus,$B$475,0))*('Koszty operacyjne'!$K$114:$X$114=Moduły!K$77),ko_zus)</f>
        <v>0</v>
      </c>
      <c r="L517" s="33" cm="1">
        <f t="array" ref="L517">SUMPRODUCT(ISNUMBER(MATCH(mod_ko_zus,$B$475,0))*('Koszty operacyjne'!$K$114:$X$114=Moduły!L$77),ko_zus)</f>
        <v>0</v>
      </c>
      <c r="M517" s="33" cm="1">
        <f t="array" ref="M517">SUMPRODUCT(ISNUMBER(MATCH(mod_ko_zus,$B$475,0))*('Koszty operacyjne'!$K$114:$X$114=Moduły!M$77),ko_zus)</f>
        <v>0</v>
      </c>
      <c r="N517" s="33" cm="1">
        <f t="array" ref="N517">SUMPRODUCT(ISNUMBER(MATCH(mod_ko_zus,$B$475,0))*('Koszty operacyjne'!$K$114:$X$114=Moduły!N$77),ko_zus)</f>
        <v>0</v>
      </c>
      <c r="O517" s="33" cm="1">
        <f t="array" ref="O517">SUMPRODUCT(ISNUMBER(MATCH(mod_ko_zus,$B$475,0))*('Koszty operacyjne'!$K$114:$X$114=Moduły!O$77),ko_zus)</f>
        <v>0</v>
      </c>
      <c r="P517" s="33" cm="1">
        <f t="array" ref="P517">SUMPRODUCT(ISNUMBER(MATCH(mod_ko_zus,$B$475,0))*('Koszty operacyjne'!$K$114:$X$114=Moduły!P$77),ko_zus)</f>
        <v>0</v>
      </c>
    </row>
    <row r="518" spans="2:16">
      <c r="B518" s="37" t="s">
        <v>111</v>
      </c>
      <c r="C518" s="33" cm="1">
        <f t="array" ref="C518">SUMPRODUCT(ISNUMBER(MATCH(mod_ko_pkr,$B$475,0))*('Koszty operacyjne'!$K$114:$X$114=Moduły!C$77),ko_pkr)</f>
        <v>0</v>
      </c>
      <c r="D518" s="33" cm="1">
        <f t="array" ref="D518">SUMPRODUCT(ISNUMBER(MATCH(mod_ko_pkr,$B$475,0))*('Koszty operacyjne'!$K$114:$X$114=Moduły!D$77),ko_pkr)</f>
        <v>0</v>
      </c>
      <c r="E518" s="33" cm="1">
        <f t="array" ref="E518">SUMPRODUCT(ISNUMBER(MATCH(mod_ko_pkr,$B$475,0))*('Koszty operacyjne'!$K$114:$X$114=Moduły!E$77),ko_pkr)</f>
        <v>0</v>
      </c>
      <c r="F518" s="33" cm="1">
        <f t="array" ref="F518">SUMPRODUCT(ISNUMBER(MATCH(mod_ko_pkr,$B$475,0))*('Koszty operacyjne'!$K$114:$X$114=Moduły!F$77),ko_pkr)</f>
        <v>0</v>
      </c>
      <c r="G518" s="33" cm="1">
        <f t="array" ref="G518">SUMPRODUCT(ISNUMBER(MATCH(mod_ko_pkr,$B$475,0))*('Koszty operacyjne'!$K$114:$X$114=Moduły!G$77),ko_pkr)</f>
        <v>0</v>
      </c>
      <c r="H518" s="33" cm="1">
        <f t="array" ref="H518">SUMPRODUCT(ISNUMBER(MATCH(mod_ko_pkr,$B$475,0))*('Koszty operacyjne'!$K$114:$X$114=Moduły!H$77),ko_pkr)</f>
        <v>0</v>
      </c>
      <c r="I518" s="33" cm="1">
        <f t="array" ref="I518">SUMPRODUCT(ISNUMBER(MATCH(mod_ko_pkr,$B$475,0))*('Koszty operacyjne'!$K$114:$X$114=Moduły!I$77),ko_pkr)</f>
        <v>0</v>
      </c>
      <c r="J518" s="33" cm="1">
        <f t="array" ref="J518">SUMPRODUCT(ISNUMBER(MATCH(mod_ko_pkr,$B$475,0))*('Koszty operacyjne'!$K$114:$X$114=Moduły!J$77),ko_pkr)</f>
        <v>0</v>
      </c>
      <c r="K518" s="33" cm="1">
        <f t="array" ref="K518">SUMPRODUCT(ISNUMBER(MATCH(mod_ko_pkr,$B$475,0))*('Koszty operacyjne'!$K$114:$X$114=Moduły!K$77),ko_pkr)</f>
        <v>0</v>
      </c>
      <c r="L518" s="33" cm="1">
        <f t="array" ref="L518">SUMPRODUCT(ISNUMBER(MATCH(mod_ko_pkr,$B$475,0))*('Koszty operacyjne'!$K$114:$X$114=Moduły!L$77),ko_pkr)</f>
        <v>0</v>
      </c>
      <c r="M518" s="33" cm="1">
        <f t="array" ref="M518">SUMPRODUCT(ISNUMBER(MATCH(mod_ko_pkr,$B$475,0))*('Koszty operacyjne'!$K$114:$X$114=Moduły!M$77),ko_pkr)</f>
        <v>0</v>
      </c>
      <c r="N518" s="33" cm="1">
        <f t="array" ref="N518">SUMPRODUCT(ISNUMBER(MATCH(mod_ko_pkr,$B$475,0))*('Koszty operacyjne'!$K$114:$X$114=Moduły!N$77),ko_pkr)</f>
        <v>0</v>
      </c>
      <c r="O518" s="33" cm="1">
        <f t="array" ref="O518">SUMPRODUCT(ISNUMBER(MATCH(mod_ko_pkr,$B$475,0))*('Koszty operacyjne'!$K$114:$X$114=Moduły!O$77),ko_pkr)</f>
        <v>0</v>
      </c>
      <c r="P518" s="33" cm="1">
        <f t="array" ref="P518">SUMPRODUCT(ISNUMBER(MATCH(mod_ko_pkr,$B$475,0))*('Koszty operacyjne'!$K$114:$X$114=Moduły!P$77),ko_pkr)</f>
        <v>0</v>
      </c>
    </row>
    <row r="519" spans="2:16">
      <c r="B519" s="37" t="s">
        <v>112</v>
      </c>
      <c r="C519" s="33" cm="1">
        <f t="array" ref="C519">SUMPRODUCT(ISNUMBER(MATCH(mod_pp_ptim_wstim,$B$475,0))*('Koszty operacyjne'!$K$114:$X$114=Moduły!C$77),pp_ptim_wstim)</f>
        <v>0</v>
      </c>
      <c r="D519" s="33" cm="1">
        <f t="array" ref="D519">SUMPRODUCT(ISNUMBER(MATCH(mod_pp_ptim_wstim,$B$475,0))*('Koszty operacyjne'!$K$114:$X$114=Moduły!D$77),pp_ptim_wstim)</f>
        <v>0</v>
      </c>
      <c r="E519" s="33" cm="1">
        <f t="array" ref="E519">SUMPRODUCT(ISNUMBER(MATCH(mod_pp_ptim_wstim,$B$475,0))*('Koszty operacyjne'!$K$114:$X$114=Moduły!E$77),pp_ptim_wstim)</f>
        <v>0</v>
      </c>
      <c r="F519" s="33" cm="1">
        <f t="array" ref="F519">SUMPRODUCT(ISNUMBER(MATCH(mod_pp_ptim_wstim,$B$475,0))*('Koszty operacyjne'!$K$114:$X$114=Moduły!F$77),pp_ptim_wstim)</f>
        <v>0</v>
      </c>
      <c r="G519" s="33" cm="1">
        <f t="array" ref="G519">SUMPRODUCT(ISNUMBER(MATCH(mod_pp_ptim_wstim,$B$475,0))*('Koszty operacyjne'!$K$114:$X$114=Moduły!G$77),pp_ptim_wstim)</f>
        <v>0</v>
      </c>
      <c r="H519" s="33" cm="1">
        <f t="array" ref="H519">SUMPRODUCT(ISNUMBER(MATCH(mod_pp_ptim_wstim,$B$475,0))*('Koszty operacyjne'!$K$114:$X$114=Moduły!H$77),pp_ptim_wstim)</f>
        <v>0</v>
      </c>
      <c r="I519" s="33" cm="1">
        <f t="array" ref="I519">SUMPRODUCT(ISNUMBER(MATCH(mod_pp_ptim_wstim,$B$475,0))*('Koszty operacyjne'!$K$114:$X$114=Moduły!I$77),pp_ptim_wstim)</f>
        <v>0</v>
      </c>
      <c r="J519" s="33" cm="1">
        <f t="array" ref="J519">SUMPRODUCT(ISNUMBER(MATCH(mod_pp_ptim_wstim,$B$475,0))*('Koszty operacyjne'!$K$114:$X$114=Moduły!J$77),pp_ptim_wstim)</f>
        <v>0</v>
      </c>
      <c r="K519" s="33" cm="1">
        <f t="array" ref="K519">SUMPRODUCT(ISNUMBER(MATCH(mod_pp_ptim_wstim,$B$475,0))*('Koszty operacyjne'!$K$114:$X$114=Moduły!K$77),pp_ptim_wstim)</f>
        <v>0</v>
      </c>
      <c r="L519" s="33" cm="1">
        <f t="array" ref="L519">SUMPRODUCT(ISNUMBER(MATCH(mod_pp_ptim_wstim,$B$475,0))*('Koszty operacyjne'!$K$114:$X$114=Moduły!L$77),pp_ptim_wstim)</f>
        <v>0</v>
      </c>
      <c r="M519" s="33" cm="1">
        <f t="array" ref="M519">SUMPRODUCT(ISNUMBER(MATCH(mod_pp_ptim_wstim,$B$475,0))*('Koszty operacyjne'!$K$114:$X$114=Moduły!M$77),pp_ptim_wstim)</f>
        <v>0</v>
      </c>
      <c r="N519" s="33" cm="1">
        <f t="array" ref="N519">SUMPRODUCT(ISNUMBER(MATCH(mod_pp_ptim_wstim,$B$475,0))*('Koszty operacyjne'!$K$114:$X$114=Moduły!N$77),pp_ptim_wstim)</f>
        <v>0</v>
      </c>
      <c r="O519" s="33" cm="1">
        <f t="array" ref="O519">SUMPRODUCT(ISNUMBER(MATCH(mod_pp_ptim_wstim,$B$475,0))*('Koszty operacyjne'!$K$114:$X$114=Moduły!O$77),pp_ptim_wstim)</f>
        <v>0</v>
      </c>
      <c r="P519" s="33" cm="1">
        <f t="array" ref="P519">SUMPRODUCT(ISNUMBER(MATCH(mod_pp_ptim_wstim,$B$475,0))*('Koszty operacyjne'!$K$114:$X$114=Moduły!P$77),pp_ptim_wstim)</f>
        <v>0</v>
      </c>
    </row>
    <row r="520" spans="2:16"/>
    <row r="521" spans="2:16" ht="14.5">
      <c r="B521" s="11" t="s">
        <v>51</v>
      </c>
    </row>
    <row r="522" spans="2:16" ht="14.5">
      <c r="B522" s="11"/>
    </row>
    <row r="523" spans="2:16" ht="14.5">
      <c r="B523" s="11"/>
    </row>
    <row r="524" spans="2:16" ht="14.5">
      <c r="B524" s="11"/>
    </row>
    <row r="525" spans="2:16" ht="14.5">
      <c r="B525" s="11"/>
    </row>
    <row r="526" spans="2:16" ht="14.5">
      <c r="B526" s="11"/>
    </row>
    <row r="527" spans="2:16" ht="14.5">
      <c r="B527" s="11"/>
    </row>
    <row r="528" spans="2:16" ht="14.5">
      <c r="B528" s="11"/>
    </row>
    <row r="529" spans="2:2" ht="14.5">
      <c r="B529" s="11"/>
    </row>
    <row r="530" spans="2:2" ht="14.5">
      <c r="B530" s="11"/>
    </row>
    <row r="531" spans="2:2" ht="14.5">
      <c r="B531" s="11"/>
    </row>
    <row r="532" spans="2:2" ht="14.5">
      <c r="B532" s="11"/>
    </row>
    <row r="533" spans="2:2" ht="14.5">
      <c r="B533" s="11"/>
    </row>
    <row r="534" spans="2:2" ht="14.5">
      <c r="B534" s="11"/>
    </row>
    <row r="535" spans="2:2" ht="14.5">
      <c r="B535" s="11"/>
    </row>
    <row r="536" spans="2:2" ht="14.5">
      <c r="B536" s="11"/>
    </row>
    <row r="537" spans="2:2" ht="14.5">
      <c r="B537" s="11"/>
    </row>
    <row r="538" spans="2:2" ht="14.5">
      <c r="B538" s="11"/>
    </row>
    <row r="539" spans="2:2" ht="14.5">
      <c r="B539" s="11"/>
    </row>
    <row r="540" spans="2:2" ht="14.5">
      <c r="B540" s="11"/>
    </row>
    <row r="541" spans="2:2" ht="14.5">
      <c r="B541" s="11"/>
    </row>
    <row r="542" spans="2:2" ht="14.5">
      <c r="B542" s="11"/>
    </row>
    <row r="543" spans="2:2" ht="14.5">
      <c r="B543" s="11"/>
    </row>
    <row r="544" spans="2:2" ht="14.5">
      <c r="B544" s="11"/>
    </row>
    <row r="545" spans="2:2" ht="14.5">
      <c r="B545" s="11"/>
    </row>
    <row r="546" spans="2:2" ht="14.5">
      <c r="B546" s="11"/>
    </row>
    <row r="547" spans="2:2" ht="14.5">
      <c r="B547" s="11"/>
    </row>
    <row r="548" spans="2:2" ht="14.5">
      <c r="B548" s="11"/>
    </row>
    <row r="549" spans="2:2" ht="14.5">
      <c r="B549" s="11"/>
    </row>
    <row r="550" spans="2:2"/>
    <row r="551" spans="2:2"/>
    <row r="552" spans="2:2"/>
    <row r="553" spans="2:2"/>
    <row r="554" spans="2:2"/>
    <row r="555" spans="2:2"/>
    <row r="556" spans="2:2"/>
    <row r="557" spans="2:2"/>
    <row r="558" spans="2:2"/>
    <row r="559" spans="2:2"/>
    <row r="560" spans="2:2"/>
    <row r="561" spans="2:7"/>
    <row r="565" spans="2:7" hidden="1">
      <c r="B565" s="21"/>
      <c r="C565" s="471"/>
      <c r="D565" s="471" t="str">
        <f>""</f>
        <v/>
      </c>
      <c r="E565" s="471" t="str">
        <f>""</f>
        <v/>
      </c>
      <c r="F565" s="471" t="str">
        <f>""</f>
        <v/>
      </c>
      <c r="G565" s="471"/>
    </row>
    <row r="566" spans="2:7" hidden="1">
      <c r="B566" s="21" t="s">
        <v>103</v>
      </c>
      <c r="C566" s="471" t="b">
        <v>0</v>
      </c>
      <c r="D566" s="471" t="str">
        <f>IF(C566=TRUE,B566,"")</f>
        <v/>
      </c>
      <c r="E566" s="471" cm="1">
        <f t="array" ref="E566">IFERROR(INDEX($D$566:$D$572,MATCH(0,IF($D$566:$D$572="",1,COUNTIF($E$565:E565,$D$566:$D$572)),0)),1111)</f>
        <v>1111</v>
      </c>
      <c r="F566" s="471">
        <f>COUNTA($E$566:$E$572)-COUNTIF($E$566:$E$572,"&gt;0")</f>
        <v>0</v>
      </c>
      <c r="G566" s="471" t="e" cm="1">
        <f t="array" aca="1" ref="G566" ca="1">OFFSET($E$566,,,$F$566)</f>
        <v>#REF!</v>
      </c>
    </row>
    <row r="567" spans="2:7" hidden="1">
      <c r="B567" s="21" t="s">
        <v>761</v>
      </c>
      <c r="C567" s="471" t="b">
        <v>0</v>
      </c>
      <c r="D567" s="471" t="str">
        <f t="shared" ref="D567:D572" si="210">IF(C567=TRUE,B567,"")</f>
        <v/>
      </c>
      <c r="E567" s="471" cm="1">
        <f t="array" ref="E567">IFERROR(INDEX($D$566:$D$572,MATCH(0,IF($D$566:$D$572="",1,COUNTIF($E$565:E566,$D$566:$D$572)),0)),1111)</f>
        <v>1111</v>
      </c>
      <c r="F567" s="471"/>
      <c r="G567" s="471"/>
    </row>
    <row r="568" spans="2:7" hidden="1">
      <c r="B568" s="21" t="s">
        <v>113</v>
      </c>
      <c r="C568" s="471" t="b">
        <v>0</v>
      </c>
      <c r="D568" s="471" t="str">
        <f t="shared" si="210"/>
        <v/>
      </c>
      <c r="E568" s="471" cm="1">
        <f t="array" ref="E568">IFERROR(INDEX($D$566:$D$572,MATCH(0,IF($D$566:$D$572="",1,COUNTIF($E$565:E567,$D$566:$D$572)),0)),1111)</f>
        <v>1111</v>
      </c>
      <c r="F568" s="471"/>
      <c r="G568" s="471"/>
    </row>
    <row r="569" spans="2:7" hidden="1">
      <c r="B569" s="21" t="s">
        <v>114</v>
      </c>
      <c r="C569" s="471" t="b">
        <v>0</v>
      </c>
      <c r="D569" s="471" t="str">
        <f t="shared" si="210"/>
        <v/>
      </c>
      <c r="E569" s="471" cm="1">
        <f t="array" ref="E569">IFERROR(INDEX($D$566:$D$572,MATCH(0,IF($D$566:$D$572="",1,COUNTIF($E$565:E568,$D$566:$D$572)),0)),1111)</f>
        <v>1111</v>
      </c>
      <c r="F569" s="471"/>
      <c r="G569" s="471"/>
    </row>
    <row r="570" spans="2:7" hidden="1">
      <c r="B570" s="21" t="s">
        <v>115</v>
      </c>
      <c r="C570" s="471" t="b">
        <v>0</v>
      </c>
      <c r="D570" s="471" t="str">
        <f t="shared" si="210"/>
        <v/>
      </c>
      <c r="E570" s="471" cm="1">
        <f t="array" ref="E570">IFERROR(INDEX($D$566:$D$572,MATCH(0,IF($D$566:$D$572="",1,COUNTIF($E$565:E569,$D$566:$D$572)),0)),1111)</f>
        <v>1111</v>
      </c>
      <c r="F570" s="471"/>
      <c r="G570" s="471"/>
    </row>
    <row r="571" spans="2:7" hidden="1">
      <c r="B571" s="21" t="s">
        <v>116</v>
      </c>
      <c r="C571" s="471" t="b">
        <v>0</v>
      </c>
      <c r="D571" s="471" t="str">
        <f t="shared" si="210"/>
        <v/>
      </c>
      <c r="E571" s="471" cm="1">
        <f t="array" ref="E571">IFERROR(INDEX($D$566:$D$572,MATCH(0,IF($D$566:$D$572="",1,COUNTIF($E$565:E570,$D$566:$D$572)),0)),1111)</f>
        <v>1111</v>
      </c>
      <c r="F571" s="471"/>
      <c r="G571" s="471"/>
    </row>
    <row r="572" spans="2:7" hidden="1">
      <c r="B572" s="21" t="s">
        <v>117</v>
      </c>
      <c r="C572" s="471" t="b">
        <v>0</v>
      </c>
      <c r="D572" s="471" t="str">
        <f t="shared" si="210"/>
        <v/>
      </c>
      <c r="E572" s="471" cm="1">
        <f t="array" ref="E572">IFERROR(INDEX($D$566:$D$572,MATCH(0,IF($D$566:$D$572="",1,COUNTIF($E$565:E571,$D$566:$D$572)),0)),1111)</f>
        <v>1111</v>
      </c>
      <c r="F572" s="471"/>
      <c r="G572" s="471"/>
    </row>
    <row r="574" spans="2:7" hidden="1">
      <c r="B574" s="21" t="s">
        <v>118</v>
      </c>
    </row>
    <row r="575" spans="2:7" hidden="1">
      <c r="B575" s="21" t="s">
        <v>119</v>
      </c>
    </row>
    <row r="577" spans="2:16" hidden="1">
      <c r="B577" s="21" t="s">
        <v>671</v>
      </c>
      <c r="D577" s="21" t="s">
        <v>671</v>
      </c>
    </row>
    <row r="578" spans="2:16" hidden="1">
      <c r="B578" s="21" t="s">
        <v>669</v>
      </c>
    </row>
    <row r="579" spans="2:16" hidden="1">
      <c r="B579" s="21" t="s">
        <v>670</v>
      </c>
    </row>
    <row r="582" spans="2:16" hidden="1">
      <c r="B582" s="1" t="b">
        <f>C58='Koszty operacyjne'!K605</f>
        <v>1</v>
      </c>
    </row>
    <row r="583" spans="2:16" hidden="1">
      <c r="B583" s="1" t="b">
        <f>C59='Koszty operacyjne'!K606</f>
        <v>1</v>
      </c>
    </row>
    <row r="584" spans="2:16" hidden="1">
      <c r="B584" s="1" t="b">
        <f>C60='Koszty operacyjne'!K607</f>
        <v>1</v>
      </c>
    </row>
    <row r="585" spans="2:16" hidden="1">
      <c r="B585" s="1" t="b">
        <f>C61='Koszty operacyjne'!K608</f>
        <v>1</v>
      </c>
    </row>
    <row r="586" spans="2:16" hidden="1">
      <c r="B586" s="1" t="b">
        <f>C62='Koszty operacyjne'!K609</f>
        <v>1</v>
      </c>
    </row>
    <row r="587" spans="2:16" hidden="1">
      <c r="B587" s="1" t="b">
        <f>C63='Koszty operacyjne'!K610</f>
        <v>1</v>
      </c>
    </row>
    <row r="588" spans="2:16" hidden="1">
      <c r="B588" s="1" t="b">
        <f>C64='Koszty operacyjne'!K611</f>
        <v>1</v>
      </c>
    </row>
    <row r="590" spans="2:16" hidden="1">
      <c r="B590" s="7" t="s">
        <v>787</v>
      </c>
    </row>
    <row r="592" spans="2:16" hidden="1">
      <c r="C592" s="1" t="str">
        <f>C$475</f>
        <v>Uzupełnij dane</v>
      </c>
      <c r="D592" s="1" t="str">
        <f t="shared" ref="D592:P592" si="211">D$475</f>
        <v/>
      </c>
      <c r="E592" s="1" t="str">
        <f t="shared" si="211"/>
        <v/>
      </c>
      <c r="F592" s="1" t="str">
        <f t="shared" si="211"/>
        <v/>
      </c>
      <c r="G592" s="1" t="str">
        <f t="shared" si="211"/>
        <v/>
      </c>
      <c r="H592" s="1" t="str">
        <f t="shared" si="211"/>
        <v/>
      </c>
      <c r="I592" s="1" t="str">
        <f t="shared" si="211"/>
        <v/>
      </c>
      <c r="J592" s="1" t="str">
        <f t="shared" si="211"/>
        <v/>
      </c>
      <c r="K592" s="1" t="str">
        <f t="shared" si="211"/>
        <v/>
      </c>
      <c r="L592" s="1" t="str">
        <f t="shared" si="211"/>
        <v/>
      </c>
      <c r="M592" s="1" t="str">
        <f t="shared" si="211"/>
        <v/>
      </c>
      <c r="N592" s="1" t="str">
        <f t="shared" si="211"/>
        <v/>
      </c>
      <c r="O592" s="1" t="str">
        <f t="shared" si="211"/>
        <v/>
      </c>
      <c r="P592" s="1" t="str">
        <f t="shared" si="211"/>
        <v/>
      </c>
    </row>
    <row r="593" spans="2:16" hidden="1">
      <c r="B593" s="527" t="str">
        <f>B77</f>
        <v>B+R</v>
      </c>
    </row>
    <row r="594" spans="2:16" hidden="1">
      <c r="B594" s="1" t="s">
        <v>788</v>
      </c>
      <c r="C594" s="5">
        <f t="shared" ref="C594:P594" si="212">C79</f>
        <v>0</v>
      </c>
      <c r="D594" s="5">
        <f t="shared" si="212"/>
        <v>0</v>
      </c>
      <c r="E594" s="5">
        <f t="shared" si="212"/>
        <v>0</v>
      </c>
      <c r="F594" s="5">
        <f t="shared" si="212"/>
        <v>0</v>
      </c>
      <c r="G594" s="5">
        <f t="shared" si="212"/>
        <v>0</v>
      </c>
      <c r="H594" s="5">
        <f t="shared" si="212"/>
        <v>0</v>
      </c>
      <c r="I594" s="5">
        <f t="shared" si="212"/>
        <v>0</v>
      </c>
      <c r="J594" s="5">
        <f t="shared" si="212"/>
        <v>0</v>
      </c>
      <c r="K594" s="5">
        <f t="shared" si="212"/>
        <v>0</v>
      </c>
      <c r="L594" s="5">
        <f t="shared" si="212"/>
        <v>0</v>
      </c>
      <c r="M594" s="5">
        <f t="shared" si="212"/>
        <v>0</v>
      </c>
      <c r="N594" s="5">
        <f t="shared" si="212"/>
        <v>0</v>
      </c>
      <c r="O594" s="5">
        <f t="shared" si="212"/>
        <v>0</v>
      </c>
      <c r="P594" s="5">
        <f t="shared" si="212"/>
        <v>0</v>
      </c>
    </row>
    <row r="595" spans="2:16" hidden="1">
      <c r="B595" s="1" t="s">
        <v>793</v>
      </c>
      <c r="C595" s="5">
        <f t="shared" ref="C595:P595" si="213">C117-C118</f>
        <v>0</v>
      </c>
      <c r="D595" s="5">
        <f t="shared" ca="1" si="213"/>
        <v>0</v>
      </c>
      <c r="E595" s="5">
        <f t="shared" ca="1" si="213"/>
        <v>0</v>
      </c>
      <c r="F595" s="5">
        <f t="shared" ca="1" si="213"/>
        <v>0</v>
      </c>
      <c r="G595" s="5">
        <f t="shared" ca="1" si="213"/>
        <v>0</v>
      </c>
      <c r="H595" s="5">
        <f t="shared" ca="1" si="213"/>
        <v>0</v>
      </c>
      <c r="I595" s="5">
        <f t="shared" ca="1" si="213"/>
        <v>0</v>
      </c>
      <c r="J595" s="5">
        <f t="shared" ca="1" si="213"/>
        <v>0</v>
      </c>
      <c r="K595" s="5">
        <f t="shared" ca="1" si="213"/>
        <v>0</v>
      </c>
      <c r="L595" s="5">
        <f t="shared" ca="1" si="213"/>
        <v>0</v>
      </c>
      <c r="M595" s="5">
        <f t="shared" ca="1" si="213"/>
        <v>0</v>
      </c>
      <c r="N595" s="5">
        <f t="shared" ca="1" si="213"/>
        <v>0</v>
      </c>
      <c r="O595" s="5">
        <f t="shared" ca="1" si="213"/>
        <v>0</v>
      </c>
      <c r="P595" s="5">
        <f t="shared" ca="1" si="213"/>
        <v>0</v>
      </c>
    </row>
    <row r="596" spans="2:16" hidden="1">
      <c r="B596" s="7" t="s">
        <v>789</v>
      </c>
      <c r="C596" s="13">
        <f>SUM(C594:C595)</f>
        <v>0</v>
      </c>
      <c r="D596" s="13">
        <f t="shared" ref="D596:P596" ca="1" si="214">SUM(D594:D595)</f>
        <v>0</v>
      </c>
      <c r="E596" s="13">
        <f t="shared" ca="1" si="214"/>
        <v>0</v>
      </c>
      <c r="F596" s="13">
        <f t="shared" ca="1" si="214"/>
        <v>0</v>
      </c>
      <c r="G596" s="13">
        <f t="shared" ca="1" si="214"/>
        <v>0</v>
      </c>
      <c r="H596" s="13">
        <f t="shared" ca="1" si="214"/>
        <v>0</v>
      </c>
      <c r="I596" s="13">
        <f t="shared" ca="1" si="214"/>
        <v>0</v>
      </c>
      <c r="J596" s="13">
        <f t="shared" ca="1" si="214"/>
        <v>0</v>
      </c>
      <c r="K596" s="13">
        <f t="shared" ca="1" si="214"/>
        <v>0</v>
      </c>
      <c r="L596" s="13">
        <f t="shared" ca="1" si="214"/>
        <v>0</v>
      </c>
      <c r="M596" s="13">
        <f t="shared" ca="1" si="214"/>
        <v>0</v>
      </c>
      <c r="N596" s="13">
        <f t="shared" ca="1" si="214"/>
        <v>0</v>
      </c>
      <c r="O596" s="13">
        <f t="shared" ca="1" si="214"/>
        <v>0</v>
      </c>
      <c r="P596" s="13">
        <f t="shared" ca="1" si="214"/>
        <v>0</v>
      </c>
    </row>
    <row r="599" spans="2:16" hidden="1">
      <c r="B599" s="527" t="str">
        <f>B163</f>
        <v>Wdrożenie innowacji</v>
      </c>
    </row>
    <row r="600" spans="2:16" hidden="1">
      <c r="B600" s="1" t="s">
        <v>788</v>
      </c>
      <c r="C600" s="5">
        <f t="shared" ref="C600:P600" si="215">C165</f>
        <v>0</v>
      </c>
      <c r="D600" s="5">
        <f t="shared" si="215"/>
        <v>0</v>
      </c>
      <c r="E600" s="5">
        <f t="shared" si="215"/>
        <v>0</v>
      </c>
      <c r="F600" s="5">
        <f t="shared" si="215"/>
        <v>0</v>
      </c>
      <c r="G600" s="5">
        <f t="shared" si="215"/>
        <v>0</v>
      </c>
      <c r="H600" s="5">
        <f t="shared" si="215"/>
        <v>0</v>
      </c>
      <c r="I600" s="5">
        <f t="shared" si="215"/>
        <v>0</v>
      </c>
      <c r="J600" s="5">
        <f t="shared" si="215"/>
        <v>0</v>
      </c>
      <c r="K600" s="5">
        <f t="shared" si="215"/>
        <v>0</v>
      </c>
      <c r="L600" s="5">
        <f t="shared" si="215"/>
        <v>0</v>
      </c>
      <c r="M600" s="5">
        <f t="shared" si="215"/>
        <v>0</v>
      </c>
      <c r="N600" s="5">
        <f t="shared" si="215"/>
        <v>0</v>
      </c>
      <c r="O600" s="5">
        <f t="shared" si="215"/>
        <v>0</v>
      </c>
      <c r="P600" s="5">
        <f t="shared" si="215"/>
        <v>0</v>
      </c>
    </row>
    <row r="601" spans="2:16" hidden="1">
      <c r="B601" s="1" t="s">
        <v>793</v>
      </c>
      <c r="C601" s="5">
        <f t="shared" ref="C601:P601" si="216">C199-C200</f>
        <v>0</v>
      </c>
      <c r="D601" s="5">
        <f t="shared" ca="1" si="216"/>
        <v>0</v>
      </c>
      <c r="E601" s="5">
        <f t="shared" ca="1" si="216"/>
        <v>0</v>
      </c>
      <c r="F601" s="5">
        <f t="shared" ca="1" si="216"/>
        <v>0</v>
      </c>
      <c r="G601" s="5">
        <f t="shared" ca="1" si="216"/>
        <v>0</v>
      </c>
      <c r="H601" s="5">
        <f t="shared" ca="1" si="216"/>
        <v>0</v>
      </c>
      <c r="I601" s="5">
        <f t="shared" ca="1" si="216"/>
        <v>0</v>
      </c>
      <c r="J601" s="5">
        <f t="shared" ca="1" si="216"/>
        <v>0</v>
      </c>
      <c r="K601" s="5">
        <f t="shared" ca="1" si="216"/>
        <v>0</v>
      </c>
      <c r="L601" s="5">
        <f t="shared" ca="1" si="216"/>
        <v>0</v>
      </c>
      <c r="M601" s="5">
        <f t="shared" ca="1" si="216"/>
        <v>0</v>
      </c>
      <c r="N601" s="5">
        <f t="shared" ca="1" si="216"/>
        <v>0</v>
      </c>
      <c r="O601" s="5">
        <f t="shared" ca="1" si="216"/>
        <v>0</v>
      </c>
      <c r="P601" s="5">
        <f t="shared" ca="1" si="216"/>
        <v>0</v>
      </c>
    </row>
    <row r="602" spans="2:16" hidden="1">
      <c r="B602" s="7" t="s">
        <v>789</v>
      </c>
      <c r="C602" s="13">
        <f>SUM(C600:C601)</f>
        <v>0</v>
      </c>
      <c r="D602" s="13">
        <f t="shared" ref="D602" ca="1" si="217">SUM(D600:D601)</f>
        <v>0</v>
      </c>
      <c r="E602" s="13">
        <f t="shared" ref="E602" ca="1" si="218">SUM(E600:E601)</f>
        <v>0</v>
      </c>
      <c r="F602" s="13">
        <f t="shared" ref="F602" ca="1" si="219">SUM(F600:F601)</f>
        <v>0</v>
      </c>
      <c r="G602" s="13">
        <f t="shared" ref="G602" ca="1" si="220">SUM(G600:G601)</f>
        <v>0</v>
      </c>
      <c r="H602" s="13">
        <f t="shared" ref="H602" ca="1" si="221">SUM(H600:H601)</f>
        <v>0</v>
      </c>
      <c r="I602" s="13">
        <f t="shared" ref="I602" ca="1" si="222">SUM(I600:I601)</f>
        <v>0</v>
      </c>
      <c r="J602" s="13">
        <f t="shared" ref="J602" ca="1" si="223">SUM(J600:J601)</f>
        <v>0</v>
      </c>
      <c r="K602" s="13">
        <f t="shared" ref="K602" ca="1" si="224">SUM(K600:K601)</f>
        <v>0</v>
      </c>
      <c r="L602" s="13">
        <f t="shared" ref="L602" ca="1" si="225">SUM(L600:L601)</f>
        <v>0</v>
      </c>
      <c r="M602" s="13">
        <f t="shared" ref="M602" ca="1" si="226">SUM(M600:M601)</f>
        <v>0</v>
      </c>
      <c r="N602" s="13">
        <f t="shared" ref="N602" ca="1" si="227">SUM(N600:N601)</f>
        <v>0</v>
      </c>
      <c r="O602" s="13">
        <f t="shared" ref="O602" ca="1" si="228">SUM(O600:O601)</f>
        <v>0</v>
      </c>
      <c r="P602" s="13">
        <f t="shared" ref="P602" ca="1" si="229">SUM(P600:P601)</f>
        <v>0</v>
      </c>
    </row>
    <row r="603" spans="2:16" hidden="1">
      <c r="C603" s="474"/>
      <c r="D603" s="474"/>
      <c r="E603" s="474"/>
      <c r="F603" s="474"/>
      <c r="G603" s="474"/>
      <c r="H603" s="474"/>
      <c r="I603" s="474"/>
      <c r="J603" s="474"/>
    </row>
    <row r="604" spans="2:16" hidden="1">
      <c r="C604" s="474"/>
      <c r="D604" s="474"/>
      <c r="E604" s="474"/>
      <c r="F604" s="474"/>
      <c r="G604" s="474"/>
      <c r="H604" s="474"/>
      <c r="I604" s="474"/>
      <c r="J604" s="474"/>
    </row>
    <row r="605" spans="2:16" hidden="1">
      <c r="C605" s="474"/>
      <c r="D605" s="474"/>
      <c r="E605" s="474"/>
      <c r="F605" s="474"/>
      <c r="G605" s="474"/>
      <c r="H605" s="474"/>
      <c r="I605" s="474"/>
      <c r="J605" s="474"/>
    </row>
    <row r="606" spans="2:16" hidden="1">
      <c r="B606" s="527" t="str">
        <f>B593</f>
        <v>B+R</v>
      </c>
      <c r="C606" s="5">
        <f>IF($C$566=TRUE,C596,0)</f>
        <v>0</v>
      </c>
      <c r="D606" s="5">
        <f t="shared" ref="D606:P606" si="230">IF($C$566=TRUE,D596,0)</f>
        <v>0</v>
      </c>
      <c r="E606" s="5">
        <f t="shared" si="230"/>
        <v>0</v>
      </c>
      <c r="F606" s="5">
        <f t="shared" si="230"/>
        <v>0</v>
      </c>
      <c r="G606" s="5">
        <f t="shared" si="230"/>
        <v>0</v>
      </c>
      <c r="H606" s="5">
        <f t="shared" si="230"/>
        <v>0</v>
      </c>
      <c r="I606" s="5">
        <f t="shared" si="230"/>
        <v>0</v>
      </c>
      <c r="J606" s="5">
        <f t="shared" si="230"/>
        <v>0</v>
      </c>
      <c r="K606" s="5">
        <f t="shared" si="230"/>
        <v>0</v>
      </c>
      <c r="L606" s="5">
        <f t="shared" si="230"/>
        <v>0</v>
      </c>
      <c r="M606" s="5">
        <f t="shared" si="230"/>
        <v>0</v>
      </c>
      <c r="N606" s="5">
        <f t="shared" si="230"/>
        <v>0</v>
      </c>
      <c r="O606" s="5">
        <f t="shared" si="230"/>
        <v>0</v>
      </c>
      <c r="P606" s="5">
        <f t="shared" si="230"/>
        <v>0</v>
      </c>
    </row>
    <row r="607" spans="2:16" hidden="1">
      <c r="B607" s="527" t="str">
        <f>B599</f>
        <v>Wdrożenie innowacji</v>
      </c>
      <c r="C607" s="5">
        <f>IF($C$567=TRUE,C602,0)</f>
        <v>0</v>
      </c>
      <c r="D607" s="5">
        <f t="shared" ref="D607:P607" si="231">IF($C$567=TRUE,D602,0)</f>
        <v>0</v>
      </c>
      <c r="E607" s="5">
        <f t="shared" si="231"/>
        <v>0</v>
      </c>
      <c r="F607" s="5">
        <f t="shared" si="231"/>
        <v>0</v>
      </c>
      <c r="G607" s="5">
        <f t="shared" si="231"/>
        <v>0</v>
      </c>
      <c r="H607" s="5">
        <f t="shared" si="231"/>
        <v>0</v>
      </c>
      <c r="I607" s="5">
        <f t="shared" si="231"/>
        <v>0</v>
      </c>
      <c r="J607" s="5">
        <f t="shared" si="231"/>
        <v>0</v>
      </c>
      <c r="K607" s="5">
        <f t="shared" si="231"/>
        <v>0</v>
      </c>
      <c r="L607" s="5">
        <f t="shared" si="231"/>
        <v>0</v>
      </c>
      <c r="M607" s="5">
        <f t="shared" si="231"/>
        <v>0</v>
      </c>
      <c r="N607" s="5">
        <f t="shared" si="231"/>
        <v>0</v>
      </c>
      <c r="O607" s="5">
        <f t="shared" si="231"/>
        <v>0</v>
      </c>
      <c r="P607" s="5">
        <f t="shared" si="231"/>
        <v>0</v>
      </c>
    </row>
    <row r="608" spans="2:16" hidden="1">
      <c r="B608" s="528"/>
      <c r="C608" s="5">
        <f t="shared" ref="C608:P608" si="232">IF($C$568=TRUE,(C287+C321-C322),0)</f>
        <v>0</v>
      </c>
      <c r="D608" s="5">
        <f t="shared" si="232"/>
        <v>0</v>
      </c>
      <c r="E608" s="5">
        <f t="shared" si="232"/>
        <v>0</v>
      </c>
      <c r="F608" s="5">
        <f t="shared" si="232"/>
        <v>0</v>
      </c>
      <c r="G608" s="5">
        <f t="shared" si="232"/>
        <v>0</v>
      </c>
      <c r="H608" s="5">
        <f t="shared" si="232"/>
        <v>0</v>
      </c>
      <c r="I608" s="5">
        <f t="shared" si="232"/>
        <v>0</v>
      </c>
      <c r="J608" s="5">
        <f t="shared" si="232"/>
        <v>0</v>
      </c>
      <c r="K608" s="5">
        <f t="shared" si="232"/>
        <v>0</v>
      </c>
      <c r="L608" s="5">
        <f t="shared" si="232"/>
        <v>0</v>
      </c>
      <c r="M608" s="5">
        <f t="shared" si="232"/>
        <v>0</v>
      </c>
      <c r="N608" s="5">
        <f t="shared" si="232"/>
        <v>0</v>
      </c>
      <c r="O608" s="5">
        <f t="shared" si="232"/>
        <v>0</v>
      </c>
      <c r="P608" s="5">
        <f t="shared" si="232"/>
        <v>0</v>
      </c>
    </row>
    <row r="609" spans="2:16" hidden="1">
      <c r="B609" s="528"/>
      <c r="C609" s="5">
        <f t="shared" ref="C609:P609" si="233">IF($C$569=TRUE,(C334+C368-C369),0)</f>
        <v>0</v>
      </c>
      <c r="D609" s="5">
        <f t="shared" si="233"/>
        <v>0</v>
      </c>
      <c r="E609" s="5">
        <f t="shared" si="233"/>
        <v>0</v>
      </c>
      <c r="F609" s="5">
        <f t="shared" si="233"/>
        <v>0</v>
      </c>
      <c r="G609" s="5">
        <f t="shared" si="233"/>
        <v>0</v>
      </c>
      <c r="H609" s="5">
        <f t="shared" si="233"/>
        <v>0</v>
      </c>
      <c r="I609" s="5">
        <f t="shared" si="233"/>
        <v>0</v>
      </c>
      <c r="J609" s="5">
        <f t="shared" si="233"/>
        <v>0</v>
      </c>
      <c r="K609" s="5">
        <f t="shared" si="233"/>
        <v>0</v>
      </c>
      <c r="L609" s="5">
        <f t="shared" si="233"/>
        <v>0</v>
      </c>
      <c r="M609" s="5">
        <f t="shared" si="233"/>
        <v>0</v>
      </c>
      <c r="N609" s="5">
        <f t="shared" si="233"/>
        <v>0</v>
      </c>
      <c r="O609" s="5">
        <f t="shared" si="233"/>
        <v>0</v>
      </c>
      <c r="P609" s="5">
        <f t="shared" si="233"/>
        <v>0</v>
      </c>
    </row>
    <row r="610" spans="2:16" hidden="1">
      <c r="B610" s="528"/>
      <c r="C610" s="5">
        <f t="shared" ref="C610:P610" si="234">IF($C$570=TRUE,(C381+C416-C417),0)</f>
        <v>0</v>
      </c>
      <c r="D610" s="5">
        <f t="shared" si="234"/>
        <v>0</v>
      </c>
      <c r="E610" s="5">
        <f t="shared" si="234"/>
        <v>0</v>
      </c>
      <c r="F610" s="5">
        <f t="shared" si="234"/>
        <v>0</v>
      </c>
      <c r="G610" s="5">
        <f t="shared" si="234"/>
        <v>0</v>
      </c>
      <c r="H610" s="5">
        <f t="shared" si="234"/>
        <v>0</v>
      </c>
      <c r="I610" s="5">
        <f t="shared" si="234"/>
        <v>0</v>
      </c>
      <c r="J610" s="5">
        <f t="shared" si="234"/>
        <v>0</v>
      </c>
      <c r="K610" s="5">
        <f t="shared" si="234"/>
        <v>0</v>
      </c>
      <c r="L610" s="5">
        <f t="shared" si="234"/>
        <v>0</v>
      </c>
      <c r="M610" s="5">
        <f t="shared" si="234"/>
        <v>0</v>
      </c>
      <c r="N610" s="5">
        <f t="shared" si="234"/>
        <v>0</v>
      </c>
      <c r="O610" s="5">
        <f t="shared" si="234"/>
        <v>0</v>
      </c>
      <c r="P610" s="5">
        <f t="shared" si="234"/>
        <v>0</v>
      </c>
    </row>
    <row r="611" spans="2:16" hidden="1">
      <c r="B611" s="528"/>
      <c r="C611" s="5">
        <f t="shared" ref="C611:P611" si="235">IF($C$571=TRUE,(C429+C464-C465),0)</f>
        <v>0</v>
      </c>
      <c r="D611" s="5">
        <f t="shared" si="235"/>
        <v>0</v>
      </c>
      <c r="E611" s="5">
        <f t="shared" si="235"/>
        <v>0</v>
      </c>
      <c r="F611" s="5">
        <f t="shared" si="235"/>
        <v>0</v>
      </c>
      <c r="G611" s="5">
        <f t="shared" si="235"/>
        <v>0</v>
      </c>
      <c r="H611" s="5">
        <f t="shared" si="235"/>
        <v>0</v>
      </c>
      <c r="I611" s="5">
        <f t="shared" si="235"/>
        <v>0</v>
      </c>
      <c r="J611" s="5">
        <f t="shared" si="235"/>
        <v>0</v>
      </c>
      <c r="K611" s="5">
        <f t="shared" si="235"/>
        <v>0</v>
      </c>
      <c r="L611" s="5">
        <f t="shared" si="235"/>
        <v>0</v>
      </c>
      <c r="M611" s="5">
        <f t="shared" si="235"/>
        <v>0</v>
      </c>
      <c r="N611" s="5">
        <f t="shared" si="235"/>
        <v>0</v>
      </c>
      <c r="O611" s="5">
        <f t="shared" si="235"/>
        <v>0</v>
      </c>
      <c r="P611" s="5">
        <f t="shared" si="235"/>
        <v>0</v>
      </c>
    </row>
    <row r="612" spans="2:16" hidden="1">
      <c r="B612" s="528"/>
      <c r="C612" s="5">
        <f t="shared" ref="C612:P612" si="236">IF($C$572=TRUE,(C477+C511-C512),0)</f>
        <v>0</v>
      </c>
      <c r="D612" s="5">
        <f t="shared" si="236"/>
        <v>0</v>
      </c>
      <c r="E612" s="5">
        <f t="shared" si="236"/>
        <v>0</v>
      </c>
      <c r="F612" s="5">
        <f t="shared" si="236"/>
        <v>0</v>
      </c>
      <c r="G612" s="5">
        <f t="shared" si="236"/>
        <v>0</v>
      </c>
      <c r="H612" s="5">
        <f t="shared" si="236"/>
        <v>0</v>
      </c>
      <c r="I612" s="5">
        <f t="shared" si="236"/>
        <v>0</v>
      </c>
      <c r="J612" s="5">
        <f t="shared" si="236"/>
        <v>0</v>
      </c>
      <c r="K612" s="5">
        <f t="shared" si="236"/>
        <v>0</v>
      </c>
      <c r="L612" s="5">
        <f t="shared" si="236"/>
        <v>0</v>
      </c>
      <c r="M612" s="5">
        <f t="shared" si="236"/>
        <v>0</v>
      </c>
      <c r="N612" s="5">
        <f t="shared" si="236"/>
        <v>0</v>
      </c>
      <c r="O612" s="5">
        <f t="shared" si="236"/>
        <v>0</v>
      </c>
      <c r="P612" s="5">
        <f t="shared" si="236"/>
        <v>0</v>
      </c>
    </row>
    <row r="613" spans="2:16" hidden="1">
      <c r="B613" s="7" t="s">
        <v>335</v>
      </c>
      <c r="C613" s="526">
        <f>SUM(C606:C612)</f>
        <v>0</v>
      </c>
      <c r="D613" s="526">
        <f t="shared" ref="D613:P613" si="237">SUM(D606:D612)</f>
        <v>0</v>
      </c>
      <c r="E613" s="526">
        <f t="shared" si="237"/>
        <v>0</v>
      </c>
      <c r="F613" s="526">
        <f t="shared" si="237"/>
        <v>0</v>
      </c>
      <c r="G613" s="526">
        <f t="shared" si="237"/>
        <v>0</v>
      </c>
      <c r="H613" s="526">
        <f t="shared" si="237"/>
        <v>0</v>
      </c>
      <c r="I613" s="526">
        <f t="shared" si="237"/>
        <v>0</v>
      </c>
      <c r="J613" s="526">
        <f t="shared" si="237"/>
        <v>0</v>
      </c>
      <c r="K613" s="526">
        <f t="shared" si="237"/>
        <v>0</v>
      </c>
      <c r="L613" s="526">
        <f t="shared" si="237"/>
        <v>0</v>
      </c>
      <c r="M613" s="526">
        <f t="shared" si="237"/>
        <v>0</v>
      </c>
      <c r="N613" s="526">
        <f t="shared" si="237"/>
        <v>0</v>
      </c>
      <c r="O613" s="526">
        <f t="shared" si="237"/>
        <v>0</v>
      </c>
      <c r="P613" s="526">
        <f t="shared" si="237"/>
        <v>0</v>
      </c>
    </row>
    <row r="615" spans="2:16" hidden="1">
      <c r="B615" s="1" t="s">
        <v>791</v>
      </c>
    </row>
    <row r="616" spans="2:16" hidden="1">
      <c r="B616" s="527" t="str">
        <f>B606</f>
        <v>B+R</v>
      </c>
      <c r="C616" s="1">
        <f>IF(AND($C$566=TRUE,$C$567=TRUE),IF(ROUND(C606,0)=0,0,C606/C613),IF(AND($C$566=TRUE,$C$567=FALSE),1,0))</f>
        <v>0</v>
      </c>
      <c r="D616" s="1">
        <f t="shared" ref="D616:P616" si="238">IF(AND($C$566=TRUE,$C$567=TRUE),IF(ROUND(D606,0)=0,0,D606/D613),IF(AND($C$566=TRUE,$C$567=FALSE),1,0))</f>
        <v>0</v>
      </c>
      <c r="E616" s="1">
        <f t="shared" si="238"/>
        <v>0</v>
      </c>
      <c r="F616" s="1">
        <f t="shared" si="238"/>
        <v>0</v>
      </c>
      <c r="G616" s="1">
        <f t="shared" si="238"/>
        <v>0</v>
      </c>
      <c r="H616" s="1">
        <f t="shared" si="238"/>
        <v>0</v>
      </c>
      <c r="I616" s="1">
        <f t="shared" si="238"/>
        <v>0</v>
      </c>
      <c r="J616" s="1">
        <f t="shared" si="238"/>
        <v>0</v>
      </c>
      <c r="K616" s="1">
        <f t="shared" si="238"/>
        <v>0</v>
      </c>
      <c r="L616" s="1">
        <f t="shared" si="238"/>
        <v>0</v>
      </c>
      <c r="M616" s="1">
        <f t="shared" si="238"/>
        <v>0</v>
      </c>
      <c r="N616" s="1">
        <f t="shared" si="238"/>
        <v>0</v>
      </c>
      <c r="O616" s="1">
        <f t="shared" si="238"/>
        <v>0</v>
      </c>
      <c r="P616" s="1">
        <f t="shared" si="238"/>
        <v>0</v>
      </c>
    </row>
    <row r="617" spans="2:16" hidden="1">
      <c r="B617" s="527" t="str">
        <f>B607</f>
        <v>Wdrożenie innowacji</v>
      </c>
      <c r="C617" s="1">
        <f>IF(AND($C$566=TRUE,$C$567=TRUE),IF(ROUND(C607,0)=0,0,C607/C613),IF(AND($C$566=FALSE,$C$567=TRUE),1,0))</f>
        <v>0</v>
      </c>
      <c r="D617" s="1">
        <f t="shared" ref="D617:P617" si="239">IF(AND($C$566=TRUE,$C$567=TRUE),IF(ROUND(D607,0)=0,0,D607/D613),IF(AND($C$566=FALSE,$C$567=TRUE),1,0))</f>
        <v>0</v>
      </c>
      <c r="E617" s="1">
        <f t="shared" si="239"/>
        <v>0</v>
      </c>
      <c r="F617" s="1">
        <f t="shared" si="239"/>
        <v>0</v>
      </c>
      <c r="G617" s="1">
        <f t="shared" si="239"/>
        <v>0</v>
      </c>
      <c r="H617" s="1">
        <f t="shared" si="239"/>
        <v>0</v>
      </c>
      <c r="I617" s="1">
        <f t="shared" si="239"/>
        <v>0</v>
      </c>
      <c r="J617" s="1">
        <f t="shared" si="239"/>
        <v>0</v>
      </c>
      <c r="K617" s="1">
        <f t="shared" si="239"/>
        <v>0</v>
      </c>
      <c r="L617" s="1">
        <f t="shared" si="239"/>
        <v>0</v>
      </c>
      <c r="M617" s="1">
        <f t="shared" si="239"/>
        <v>0</v>
      </c>
      <c r="N617" s="1">
        <f t="shared" si="239"/>
        <v>0</v>
      </c>
      <c r="O617" s="1">
        <f t="shared" si="239"/>
        <v>0</v>
      </c>
      <c r="P617" s="1">
        <f t="shared" si="239"/>
        <v>0</v>
      </c>
    </row>
    <row r="618" spans="2:16" hidden="1">
      <c r="B618" s="7" t="s">
        <v>335</v>
      </c>
      <c r="C618" s="7">
        <f>SUM(C616:C617)</f>
        <v>0</v>
      </c>
      <c r="D618" s="7">
        <f t="shared" ref="D618:P618" si="240">SUM(D616:D617)</f>
        <v>0</v>
      </c>
      <c r="E618" s="7">
        <f t="shared" si="240"/>
        <v>0</v>
      </c>
      <c r="F618" s="7">
        <f t="shared" si="240"/>
        <v>0</v>
      </c>
      <c r="G618" s="7">
        <f t="shared" si="240"/>
        <v>0</v>
      </c>
      <c r="H618" s="7">
        <f t="shared" si="240"/>
        <v>0</v>
      </c>
      <c r="I618" s="7">
        <f t="shared" si="240"/>
        <v>0</v>
      </c>
      <c r="J618" s="7">
        <f t="shared" si="240"/>
        <v>0</v>
      </c>
      <c r="K618" s="7">
        <f t="shared" si="240"/>
        <v>0</v>
      </c>
      <c r="L618" s="7">
        <f t="shared" si="240"/>
        <v>0</v>
      </c>
      <c r="M618" s="7">
        <f t="shared" si="240"/>
        <v>0</v>
      </c>
      <c r="N618" s="7">
        <f t="shared" si="240"/>
        <v>0</v>
      </c>
      <c r="O618" s="7">
        <f t="shared" si="240"/>
        <v>0</v>
      </c>
      <c r="P618" s="7">
        <f t="shared" si="240"/>
        <v>0</v>
      </c>
    </row>
    <row r="620" spans="2:16" hidden="1">
      <c r="B620" s="7" t="s">
        <v>790</v>
      </c>
      <c r="C620" s="13">
        <f>'Kapitał pracujący'!K93</f>
        <v>0</v>
      </c>
      <c r="D620" s="13">
        <f ca="1">'Kapitał pracujący'!L93</f>
        <v>0</v>
      </c>
      <c r="E620" s="13">
        <f ca="1">'Kapitał pracujący'!M93</f>
        <v>0</v>
      </c>
      <c r="F620" s="13">
        <f ca="1">'Kapitał pracujący'!N93</f>
        <v>0</v>
      </c>
      <c r="G620" s="13">
        <f ca="1">'Kapitał pracujący'!O93</f>
        <v>0</v>
      </c>
      <c r="H620" s="13">
        <f ca="1">'Kapitał pracujący'!P93</f>
        <v>0</v>
      </c>
      <c r="I620" s="13">
        <f ca="1">'Kapitał pracujący'!Q93</f>
        <v>0</v>
      </c>
      <c r="J620" s="13">
        <f ca="1">'Kapitał pracujący'!R93</f>
        <v>0</v>
      </c>
      <c r="K620" s="13">
        <f ca="1">'Kapitał pracujący'!S93</f>
        <v>0</v>
      </c>
      <c r="L620" s="13">
        <f ca="1">'Kapitał pracujący'!T93</f>
        <v>0</v>
      </c>
      <c r="M620" s="13">
        <f ca="1">'Kapitał pracujący'!U93</f>
        <v>0</v>
      </c>
      <c r="N620" s="13">
        <f ca="1">'Kapitał pracujący'!V93</f>
        <v>0</v>
      </c>
      <c r="O620" s="13">
        <f ca="1">'Kapitał pracujący'!W93</f>
        <v>0</v>
      </c>
      <c r="P620" s="13">
        <f ca="1">'Kapitał pracujący'!X93</f>
        <v>0</v>
      </c>
    </row>
    <row r="621" spans="2:16" hidden="1">
      <c r="B621" s="7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2:16" hidden="1">
      <c r="B622" s="1" t="s">
        <v>792</v>
      </c>
    </row>
    <row r="623" spans="2:16" hidden="1">
      <c r="B623" s="527" t="str">
        <f>B616</f>
        <v>B+R</v>
      </c>
      <c r="C623" s="1">
        <f>ROUND(C616*C620,0)</f>
        <v>0</v>
      </c>
      <c r="D623" s="1">
        <f t="shared" ref="D623:P623" ca="1" si="241">ROUND(D616*D620,0)</f>
        <v>0</v>
      </c>
      <c r="E623" s="1">
        <f t="shared" ca="1" si="241"/>
        <v>0</v>
      </c>
      <c r="F623" s="1">
        <f t="shared" ca="1" si="241"/>
        <v>0</v>
      </c>
      <c r="G623" s="1">
        <f t="shared" ca="1" si="241"/>
        <v>0</v>
      </c>
      <c r="H623" s="1">
        <f t="shared" ca="1" si="241"/>
        <v>0</v>
      </c>
      <c r="I623" s="1">
        <f t="shared" ca="1" si="241"/>
        <v>0</v>
      </c>
      <c r="J623" s="1">
        <f t="shared" ca="1" si="241"/>
        <v>0</v>
      </c>
      <c r="K623" s="1">
        <f t="shared" ca="1" si="241"/>
        <v>0</v>
      </c>
      <c r="L623" s="1">
        <f t="shared" ca="1" si="241"/>
        <v>0</v>
      </c>
      <c r="M623" s="1">
        <f t="shared" ca="1" si="241"/>
        <v>0</v>
      </c>
      <c r="N623" s="1">
        <f t="shared" ca="1" si="241"/>
        <v>0</v>
      </c>
      <c r="O623" s="1">
        <f t="shared" ca="1" si="241"/>
        <v>0</v>
      </c>
      <c r="P623" s="1">
        <f t="shared" ca="1" si="241"/>
        <v>0</v>
      </c>
    </row>
    <row r="624" spans="2:16" hidden="1">
      <c r="B624" s="527" t="str">
        <f>B617</f>
        <v>Wdrożenie innowacji</v>
      </c>
      <c r="C624" s="5">
        <f>C620-C623</f>
        <v>0</v>
      </c>
      <c r="D624" s="5">
        <f t="shared" ref="D624:P624" ca="1" si="242">D620-D623</f>
        <v>0</v>
      </c>
      <c r="E624" s="5">
        <f t="shared" ca="1" si="242"/>
        <v>0</v>
      </c>
      <c r="F624" s="5">
        <f t="shared" ca="1" si="242"/>
        <v>0</v>
      </c>
      <c r="G624" s="5">
        <f t="shared" ca="1" si="242"/>
        <v>0</v>
      </c>
      <c r="H624" s="5">
        <f t="shared" ca="1" si="242"/>
        <v>0</v>
      </c>
      <c r="I624" s="5">
        <f t="shared" ca="1" si="242"/>
        <v>0</v>
      </c>
      <c r="J624" s="5">
        <f t="shared" ca="1" si="242"/>
        <v>0</v>
      </c>
      <c r="K624" s="5">
        <f t="shared" ca="1" si="242"/>
        <v>0</v>
      </c>
      <c r="L624" s="5">
        <f t="shared" ca="1" si="242"/>
        <v>0</v>
      </c>
      <c r="M624" s="5">
        <f t="shared" ca="1" si="242"/>
        <v>0</v>
      </c>
      <c r="N624" s="5">
        <f t="shared" ca="1" si="242"/>
        <v>0</v>
      </c>
      <c r="O624" s="5">
        <f t="shared" ca="1" si="242"/>
        <v>0</v>
      </c>
      <c r="P624" s="5">
        <f t="shared" ca="1" si="242"/>
        <v>0</v>
      </c>
    </row>
    <row r="638" spans="2:16" hidden="1">
      <c r="B638" s="1" t="s">
        <v>798</v>
      </c>
      <c r="C638" s="534" cm="1">
        <f t="array" ref="C638">IF(C$66&lt;=Koniec,SUMPRODUCT(ISNUMBER(MATCH(mod_ko_zme,$B$77,0))*('Koszty operacyjne'!$K$114:$X$114=Moduły!C$77)*ISNUMBER(MATCH(ko_zme_pr,moduly_pr,0))*ISNUMBER(MATCH(ko_zme_kw,tak,0)),ko_zme),0)</f>
        <v>0</v>
      </c>
      <c r="D638" s="534" cm="1">
        <f t="array" ref="D638">IF(D$66&lt;=Koniec,SUMPRODUCT(ISNUMBER(MATCH(mod_ko_zme,$B$77,0))*('Koszty operacyjne'!$K$114:$X$114=Moduły!D$77)*ISNUMBER(MATCH(ko_zme_pr,moduly_pr,0))*ISNUMBER(MATCH(ko_zme_kw,tak,0)),ko_zme),0)</f>
        <v>0</v>
      </c>
      <c r="E638" s="534" cm="1">
        <f t="array" ref="E638">IF(E$66&lt;=Koniec,SUMPRODUCT(ISNUMBER(MATCH(mod_ko_zme,$B$77,0))*('Koszty operacyjne'!$K$114:$X$114=Moduły!E$77)*ISNUMBER(MATCH(ko_zme_pr,moduly_pr,0))*ISNUMBER(MATCH(ko_zme_kw,tak,0)),ko_zme),0)</f>
        <v>0</v>
      </c>
      <c r="F638" s="534" cm="1">
        <f t="array" ref="F638">IF(F$66&lt;=Koniec,SUMPRODUCT(ISNUMBER(MATCH(mod_ko_zme,$B$77,0))*('Koszty operacyjne'!$K$114:$X$114=Moduły!F$77)*ISNUMBER(MATCH(ko_zme_pr,moduly_pr,0))*ISNUMBER(MATCH(ko_zme_kw,tak,0)),ko_zme),0)</f>
        <v>0</v>
      </c>
      <c r="G638" s="534" cm="1">
        <f t="array" ref="G638">IF(G$66&lt;=Koniec,SUMPRODUCT(ISNUMBER(MATCH(mod_ko_zme,$B$77,0))*('Koszty operacyjne'!$K$114:$X$114=Moduły!G$77)*ISNUMBER(MATCH(ko_zme_pr,moduly_pr,0))*ISNUMBER(MATCH(ko_zme_kw,tak,0)),ko_zme),0)</f>
        <v>0</v>
      </c>
      <c r="H638" s="534" cm="1">
        <f t="array" ref="H638">IF(H$66&lt;=Koniec,SUMPRODUCT(ISNUMBER(MATCH(mod_ko_zme,$B$77,0))*('Koszty operacyjne'!$K$114:$X$114=Moduły!H$77)*ISNUMBER(MATCH(ko_zme_pr,moduly_pr,0))*ISNUMBER(MATCH(ko_zme_kw,tak,0)),ko_zme),0)</f>
        <v>0</v>
      </c>
      <c r="I638" s="534" cm="1">
        <f t="array" ref="I638">IF(I$66&lt;=Koniec,SUMPRODUCT(ISNUMBER(MATCH(mod_ko_zme,$B$77,0))*('Koszty operacyjne'!$K$114:$X$114=Moduły!I$77)*ISNUMBER(MATCH(ko_zme_pr,moduly_pr,0))*ISNUMBER(MATCH(ko_zme_kw,tak,0)),ko_zme),0)</f>
        <v>0</v>
      </c>
      <c r="J638" s="534" cm="1">
        <f t="array" ref="J638">IF(J$66&lt;=Koniec,SUMPRODUCT(ISNUMBER(MATCH(mod_ko_zme,$B$77,0))*('Koszty operacyjne'!$K$114:$X$114=Moduły!J$77)*ISNUMBER(MATCH(ko_zme_pr,moduly_pr,0))*ISNUMBER(MATCH(ko_zme_kw,tak,0)),ko_zme),0)</f>
        <v>0</v>
      </c>
      <c r="K638" s="534" cm="1">
        <f t="array" ref="K638">IF(K$66&lt;=Koniec,SUMPRODUCT(ISNUMBER(MATCH(mod_ko_zme,$B$77,0))*('Koszty operacyjne'!$K$114:$X$114=Moduły!K$77)*ISNUMBER(MATCH(ko_zme_pr,moduly_pr,0))*ISNUMBER(MATCH(ko_zme_kw,tak,0)),ko_zme),0)</f>
        <v>0</v>
      </c>
      <c r="L638" s="534" cm="1">
        <f t="array" ref="L638">IF(L$66&lt;=Koniec,SUMPRODUCT(ISNUMBER(MATCH(mod_ko_zme,$B$77,0))*('Koszty operacyjne'!$K$114:$X$114=Moduły!L$77)*ISNUMBER(MATCH(ko_zme_pr,moduly_pr,0))*ISNUMBER(MATCH(ko_zme_kw,tak,0)),ko_zme),0)</f>
        <v>0</v>
      </c>
      <c r="M638" s="534" cm="1">
        <f t="array" ref="M638">IF(M$66&lt;=Koniec,SUMPRODUCT(ISNUMBER(MATCH(mod_ko_zme,$B$77,0))*('Koszty operacyjne'!$K$114:$X$114=Moduły!M$77)*ISNUMBER(MATCH(ko_zme_pr,moduly_pr,0))*ISNUMBER(MATCH(ko_zme_kw,tak,0)),ko_zme),0)</f>
        <v>0</v>
      </c>
      <c r="N638" s="534" cm="1">
        <f t="array" ref="N638">IF(N$66&lt;=Koniec,SUMPRODUCT(ISNUMBER(MATCH(mod_ko_zme,$B$77,0))*('Koszty operacyjne'!$K$114:$X$114=Moduły!N$77)*ISNUMBER(MATCH(ko_zme_pr,moduly_pr,0))*ISNUMBER(MATCH(ko_zme_kw,tak,0)),ko_zme),0)</f>
        <v>0</v>
      </c>
      <c r="O638" s="534" cm="1">
        <f t="array" ref="O638">IF(O$66&lt;=Koniec,SUMPRODUCT(ISNUMBER(MATCH(mod_ko_zme,$B$77,0))*('Koszty operacyjne'!$K$114:$X$114=Moduły!O$77)*ISNUMBER(MATCH(ko_zme_pr,moduly_pr,0))*ISNUMBER(MATCH(ko_zme_kw,tak,0)),ko_zme),0)</f>
        <v>0</v>
      </c>
      <c r="P638" s="534" cm="1">
        <f t="array" ref="P638">IF(P$66&lt;=Koniec,SUMPRODUCT(ISNUMBER(MATCH(mod_ko_zme,$B$77,0))*('Koszty operacyjne'!$K$114:$X$114=Moduły!P$77)*ISNUMBER(MATCH(ko_zme_pr,moduly_pr,0))*ISNUMBER(MATCH(ko_zme_kw,tak,0)),ko_zme),0)</f>
        <v>0</v>
      </c>
    </row>
    <row r="639" spans="2:16" hidden="1">
      <c r="C639" s="33" cm="1">
        <f t="array" ref="C639">IF(C$66&lt;=Koniec,SUMPRODUCT(ISNUMBER(MATCH(mod_ko_uoe,$B$77,0))*('Koszty operacyjne'!$K$114:$X$114=Moduły!C$77)*ISNUMBER(MATCH(ko_uoe_pr,moduly_pr,0))*ISNUMBER(MATCH(ko_uoe_kw,tak,0)),ko_uoe),0)</f>
        <v>0</v>
      </c>
      <c r="D639" s="33" cm="1">
        <f t="array" ref="D639">IF(D$66&lt;=Koniec,SUMPRODUCT(ISNUMBER(MATCH(mod_ko_uoe,$B$77,0))*('Koszty operacyjne'!$K$114:$X$114=Moduły!D$77)*ISNUMBER(MATCH(ko_uoe_pr,moduly_pr,0))*ISNUMBER(MATCH(ko_uoe_kw,tak,0)),ko_uoe),0)</f>
        <v>0</v>
      </c>
      <c r="E639" s="33" cm="1">
        <f t="array" ref="E639">IF(E$66&lt;=Koniec,SUMPRODUCT(ISNUMBER(MATCH(mod_ko_uoe,$B$77,0))*('Koszty operacyjne'!$K$114:$X$114=Moduły!E$77)*ISNUMBER(MATCH(ko_uoe_pr,moduly_pr,0))*ISNUMBER(MATCH(ko_uoe_kw,tak,0)),ko_uoe),0)</f>
        <v>0</v>
      </c>
      <c r="F639" s="33" cm="1">
        <f t="array" ref="F639">IF(F$66&lt;=Koniec,SUMPRODUCT(ISNUMBER(MATCH(mod_ko_uoe,$B$77,0))*('Koszty operacyjne'!$K$114:$X$114=Moduły!F$77)*ISNUMBER(MATCH(ko_uoe_pr,moduly_pr,0))*ISNUMBER(MATCH(ko_uoe_kw,tak,0)),ko_uoe),0)</f>
        <v>0</v>
      </c>
      <c r="G639" s="33" cm="1">
        <f t="array" ref="G639">IF(G$66&lt;=Koniec,SUMPRODUCT(ISNUMBER(MATCH(mod_ko_uoe,$B$77,0))*('Koszty operacyjne'!$K$114:$X$114=Moduły!G$77)*ISNUMBER(MATCH(ko_uoe_pr,moduly_pr,0))*ISNUMBER(MATCH(ko_uoe_kw,tak,0)),ko_uoe),0)</f>
        <v>0</v>
      </c>
      <c r="H639" s="33" cm="1">
        <f t="array" ref="H639">IF(H$66&lt;=Koniec,SUMPRODUCT(ISNUMBER(MATCH(mod_ko_uoe,$B$77,0))*('Koszty operacyjne'!$K$114:$X$114=Moduły!H$77)*ISNUMBER(MATCH(ko_uoe_pr,moduly_pr,0))*ISNUMBER(MATCH(ko_uoe_kw,tak,0)),ko_uoe),0)</f>
        <v>0</v>
      </c>
      <c r="I639" s="33" cm="1">
        <f t="array" ref="I639">IF(I$66&lt;=Koniec,SUMPRODUCT(ISNUMBER(MATCH(mod_ko_uoe,$B$77,0))*('Koszty operacyjne'!$K$114:$X$114=Moduły!I$77)*ISNUMBER(MATCH(ko_uoe_pr,moduly_pr,0))*ISNUMBER(MATCH(ko_uoe_kw,tak,0)),ko_uoe),0)</f>
        <v>0</v>
      </c>
      <c r="J639" s="33" cm="1">
        <f t="array" ref="J639">IF(J$66&lt;=Koniec,SUMPRODUCT(ISNUMBER(MATCH(mod_ko_uoe,$B$77,0))*('Koszty operacyjne'!$K$114:$X$114=Moduły!J$77)*ISNUMBER(MATCH(ko_uoe_pr,moduly_pr,0))*ISNUMBER(MATCH(ko_uoe_kw,tak,0)),ko_uoe),0)</f>
        <v>0</v>
      </c>
      <c r="K639" s="33" cm="1">
        <f t="array" ref="K639">IF(K$66&lt;=Koniec,SUMPRODUCT(ISNUMBER(MATCH(mod_ko_uoe,$B$77,0))*('Koszty operacyjne'!$K$114:$X$114=Moduły!K$77)*ISNUMBER(MATCH(ko_uoe_pr,moduly_pr,0))*ISNUMBER(MATCH(ko_uoe_kw,tak,0)),ko_uoe),0)</f>
        <v>0</v>
      </c>
      <c r="L639" s="33" cm="1">
        <f t="array" ref="L639">IF(L$66&lt;=Koniec,SUMPRODUCT(ISNUMBER(MATCH(mod_ko_uoe,$B$77,0))*('Koszty operacyjne'!$K$114:$X$114=Moduły!L$77)*ISNUMBER(MATCH(ko_uoe_pr,moduly_pr,0))*ISNUMBER(MATCH(ko_uoe_kw,tak,0)),ko_uoe),0)</f>
        <v>0</v>
      </c>
      <c r="M639" s="33" cm="1">
        <f t="array" ref="M639">IF(M$66&lt;=Koniec,SUMPRODUCT(ISNUMBER(MATCH(mod_ko_uoe,$B$77,0))*('Koszty operacyjne'!$K$114:$X$114=Moduły!M$77)*ISNUMBER(MATCH(ko_uoe_pr,moduly_pr,0))*ISNUMBER(MATCH(ko_uoe_kw,tak,0)),ko_uoe),0)</f>
        <v>0</v>
      </c>
      <c r="N639" s="33" cm="1">
        <f t="array" ref="N639">IF(N$66&lt;=Koniec,SUMPRODUCT(ISNUMBER(MATCH(mod_ko_uoe,$B$77,0))*('Koszty operacyjne'!$K$114:$X$114=Moduły!N$77)*ISNUMBER(MATCH(ko_uoe_pr,moduly_pr,0))*ISNUMBER(MATCH(ko_uoe_kw,tak,0)),ko_uoe),0)</f>
        <v>0</v>
      </c>
      <c r="O639" s="33" cm="1">
        <f t="array" ref="O639">IF(O$66&lt;=Koniec,SUMPRODUCT(ISNUMBER(MATCH(mod_ko_uoe,$B$77,0))*('Koszty operacyjne'!$K$114:$X$114=Moduły!O$77)*ISNUMBER(MATCH(ko_uoe_pr,moduly_pr,0))*ISNUMBER(MATCH(ko_uoe_kw,tak,0)),ko_uoe),0)</f>
        <v>0</v>
      </c>
      <c r="P639" s="33" cm="1">
        <f t="array" ref="P639">IF(P$66&lt;=Koniec,SUMPRODUCT(ISNUMBER(MATCH(mod_ko_uoe,$B$77,0))*('Koszty operacyjne'!$K$114:$X$114=Moduły!P$77)*ISNUMBER(MATCH(ko_uoe_pr,moduly_pr,0))*ISNUMBER(MATCH(ko_uoe_kw,tak,0)),ko_uoe),0)</f>
        <v>0</v>
      </c>
    </row>
    <row r="640" spans="2:16" hidden="1">
      <c r="C640" s="33" cm="1">
        <f t="array" ref="C640">IF(C$66&lt;=Koniec,SUMPRODUCT(ISNUMBER(MATCH(mod_ko_pio,$B$77,0))*('Koszty operacyjne'!$K$114:$X$114=Moduły!C$77)*ISNUMBER(MATCH(ko_pio_pr,moduly_pr,0))*ISNUMBER(MATCH(ko_pio_kw,tak,0)),ko_pio),0)</f>
        <v>0</v>
      </c>
      <c r="D640" s="33" cm="1">
        <f t="array" ref="D640">IF(D$66&lt;=Koniec,SUMPRODUCT(ISNUMBER(MATCH(mod_ko_pio,$B$77,0))*('Koszty operacyjne'!$K$114:$X$114=Moduły!D$77)*ISNUMBER(MATCH(ko_pio_pr,moduly_pr,0))*ISNUMBER(MATCH(ko_pio_kw,tak,0)),ko_pio),0)</f>
        <v>0</v>
      </c>
      <c r="E640" s="33" cm="1">
        <f t="array" ref="E640">IF(E$66&lt;=Koniec,SUMPRODUCT(ISNUMBER(MATCH(mod_ko_pio,$B$77,0))*('Koszty operacyjne'!$K$114:$X$114=Moduły!E$77)*ISNUMBER(MATCH(ko_pio_pr,moduly_pr,0))*ISNUMBER(MATCH(ko_pio_kw,tak,0)),ko_pio),0)</f>
        <v>0</v>
      </c>
      <c r="F640" s="33" cm="1">
        <f t="array" ref="F640">IF(F$66&lt;=Koniec,SUMPRODUCT(ISNUMBER(MATCH(mod_ko_pio,$B$77,0))*('Koszty operacyjne'!$K$114:$X$114=Moduły!F$77)*ISNUMBER(MATCH(ko_pio_pr,moduly_pr,0))*ISNUMBER(MATCH(ko_pio_kw,tak,0)),ko_pio),0)</f>
        <v>0</v>
      </c>
      <c r="G640" s="33" cm="1">
        <f t="array" ref="G640">IF(G$66&lt;=Koniec,SUMPRODUCT(ISNUMBER(MATCH(mod_ko_pio,$B$77,0))*('Koszty operacyjne'!$K$114:$X$114=Moduły!G$77)*ISNUMBER(MATCH(ko_pio_pr,moduly_pr,0))*ISNUMBER(MATCH(ko_pio_kw,tak,0)),ko_pio),0)</f>
        <v>0</v>
      </c>
      <c r="H640" s="33" cm="1">
        <f t="array" ref="H640">IF(H$66&lt;=Koniec,SUMPRODUCT(ISNUMBER(MATCH(mod_ko_pio,$B$77,0))*('Koszty operacyjne'!$K$114:$X$114=Moduły!H$77)*ISNUMBER(MATCH(ko_pio_pr,moduly_pr,0))*ISNUMBER(MATCH(ko_pio_kw,tak,0)),ko_pio),0)</f>
        <v>0</v>
      </c>
      <c r="I640" s="33" cm="1">
        <f t="array" ref="I640">IF(I$66&lt;=Koniec,SUMPRODUCT(ISNUMBER(MATCH(mod_ko_pio,$B$77,0))*('Koszty operacyjne'!$K$114:$X$114=Moduły!I$77)*ISNUMBER(MATCH(ko_pio_pr,moduly_pr,0))*ISNUMBER(MATCH(ko_pio_kw,tak,0)),ko_pio),0)</f>
        <v>0</v>
      </c>
      <c r="J640" s="33" cm="1">
        <f t="array" ref="J640">IF(J$66&lt;=Koniec,SUMPRODUCT(ISNUMBER(MATCH(mod_ko_pio,$B$77,0))*('Koszty operacyjne'!$K$114:$X$114=Moduły!J$77)*ISNUMBER(MATCH(ko_pio_pr,moduly_pr,0))*ISNUMBER(MATCH(ko_pio_kw,tak,0)),ko_pio),0)</f>
        <v>0</v>
      </c>
      <c r="K640" s="33" cm="1">
        <f t="array" ref="K640">IF(K$66&lt;=Koniec,SUMPRODUCT(ISNUMBER(MATCH(mod_ko_pio,$B$77,0))*('Koszty operacyjne'!$K$114:$X$114=Moduły!K$77)*ISNUMBER(MATCH(ko_pio_pr,moduly_pr,0))*ISNUMBER(MATCH(ko_pio_kw,tak,0)),ko_pio),0)</f>
        <v>0</v>
      </c>
      <c r="L640" s="33" cm="1">
        <f t="array" ref="L640">IF(L$66&lt;=Koniec,SUMPRODUCT(ISNUMBER(MATCH(mod_ko_pio,$B$77,0))*('Koszty operacyjne'!$K$114:$X$114=Moduły!L$77)*ISNUMBER(MATCH(ko_pio_pr,moduly_pr,0))*ISNUMBER(MATCH(ko_pio_kw,tak,0)),ko_pio),0)</f>
        <v>0</v>
      </c>
      <c r="M640" s="33" cm="1">
        <f t="array" ref="M640">IF(M$66&lt;=Koniec,SUMPRODUCT(ISNUMBER(MATCH(mod_ko_pio,$B$77,0))*('Koszty operacyjne'!$K$114:$X$114=Moduły!M$77)*ISNUMBER(MATCH(ko_pio_pr,moduly_pr,0))*ISNUMBER(MATCH(ko_pio_kw,tak,0)),ko_pio),0)</f>
        <v>0</v>
      </c>
      <c r="N640" s="33" cm="1">
        <f t="array" ref="N640">IF(N$66&lt;=Koniec,SUMPRODUCT(ISNUMBER(MATCH(mod_ko_pio,$B$77,0))*('Koszty operacyjne'!$K$114:$X$114=Moduły!N$77)*ISNUMBER(MATCH(ko_pio_pr,moduly_pr,0))*ISNUMBER(MATCH(ko_pio_kw,tak,0)),ko_pio),0)</f>
        <v>0</v>
      </c>
      <c r="O640" s="33" cm="1">
        <f t="array" ref="O640">IF(O$66&lt;=Koniec,SUMPRODUCT(ISNUMBER(MATCH(mod_ko_pio,$B$77,0))*('Koszty operacyjne'!$K$114:$X$114=Moduły!O$77)*ISNUMBER(MATCH(ko_pio_pr,moduly_pr,0))*ISNUMBER(MATCH(ko_pio_kw,tak,0)),ko_pio),0)</f>
        <v>0</v>
      </c>
      <c r="P640" s="33" cm="1">
        <f t="array" ref="P640">IF(P$66&lt;=Koniec,SUMPRODUCT(ISNUMBER(MATCH(mod_ko_pio,$B$77,0))*('Koszty operacyjne'!$K$114:$X$114=Moduły!P$77)*ISNUMBER(MATCH(ko_pio_pr,moduly_pr,0))*ISNUMBER(MATCH(ko_pio_kw,tak,0)),ko_pio),0)</f>
        <v>0</v>
      </c>
    </row>
    <row r="641" spans="2:16" hidden="1">
      <c r="C641" s="33" cm="1">
        <f t="array" ref="C641">IF(C$66&lt;=Koniec,SUMPRODUCT(ISNUMBER(MATCH(mod_ko_wyn,$B$77,0))*('Koszty operacyjne'!$K$114:$X$114=Moduły!C$77)*ISNUMBER(MATCH(ko_wyn_pr,moduly_pr,0))*ISNUMBER(MATCH(ko_wyn_kw,tak,0)),ko_wyn),0)</f>
        <v>0</v>
      </c>
      <c r="D641" s="33" cm="1">
        <f t="array" ref="D641">IF(D$66&lt;=Koniec,SUMPRODUCT(ISNUMBER(MATCH(mod_ko_wyn,$B$77,0))*('Koszty operacyjne'!$K$114:$X$114=Moduły!D$77)*ISNUMBER(MATCH(ko_wyn_pr,moduly_pr,0))*ISNUMBER(MATCH(ko_wyn_kw,tak,0)),ko_wyn),0)</f>
        <v>0</v>
      </c>
      <c r="E641" s="33" cm="1">
        <f t="array" ref="E641">IF(E$66&lt;=Koniec,SUMPRODUCT(ISNUMBER(MATCH(mod_ko_wyn,$B$77,0))*('Koszty operacyjne'!$K$114:$X$114=Moduły!E$77)*ISNUMBER(MATCH(ko_wyn_pr,moduly_pr,0))*ISNUMBER(MATCH(ko_wyn_kw,tak,0)),ko_wyn),0)</f>
        <v>0</v>
      </c>
      <c r="F641" s="33" cm="1">
        <f t="array" ref="F641">IF(F$66&lt;=Koniec,SUMPRODUCT(ISNUMBER(MATCH(mod_ko_wyn,$B$77,0))*('Koszty operacyjne'!$K$114:$X$114=Moduły!F$77)*ISNUMBER(MATCH(ko_wyn_pr,moduly_pr,0))*ISNUMBER(MATCH(ko_wyn_kw,tak,0)),ko_wyn),0)</f>
        <v>0</v>
      </c>
      <c r="G641" s="33" cm="1">
        <f t="array" ref="G641">IF(G$66&lt;=Koniec,SUMPRODUCT(ISNUMBER(MATCH(mod_ko_wyn,$B$77,0))*('Koszty operacyjne'!$K$114:$X$114=Moduły!G$77)*ISNUMBER(MATCH(ko_wyn_pr,moduly_pr,0))*ISNUMBER(MATCH(ko_wyn_kw,tak,0)),ko_wyn),0)</f>
        <v>0</v>
      </c>
      <c r="H641" s="33" cm="1">
        <f t="array" ref="H641">IF(H$66&lt;=Koniec,SUMPRODUCT(ISNUMBER(MATCH(mod_ko_wyn,$B$77,0))*('Koszty operacyjne'!$K$114:$X$114=Moduły!H$77)*ISNUMBER(MATCH(ko_wyn_pr,moduly_pr,0))*ISNUMBER(MATCH(ko_wyn_kw,tak,0)),ko_wyn),0)</f>
        <v>0</v>
      </c>
      <c r="I641" s="33" cm="1">
        <f t="array" ref="I641">IF(I$66&lt;=Koniec,SUMPRODUCT(ISNUMBER(MATCH(mod_ko_wyn,$B$77,0))*('Koszty operacyjne'!$K$114:$X$114=Moduły!I$77)*ISNUMBER(MATCH(ko_wyn_pr,moduly_pr,0))*ISNUMBER(MATCH(ko_wyn_kw,tak,0)),ko_wyn),0)</f>
        <v>0</v>
      </c>
      <c r="J641" s="33" cm="1">
        <f t="array" ref="J641">IF(J$66&lt;=Koniec,SUMPRODUCT(ISNUMBER(MATCH(mod_ko_wyn,$B$77,0))*('Koszty operacyjne'!$K$114:$X$114=Moduły!J$77)*ISNUMBER(MATCH(ko_wyn_pr,moduly_pr,0))*ISNUMBER(MATCH(ko_wyn_kw,tak,0)),ko_wyn),0)</f>
        <v>0</v>
      </c>
      <c r="K641" s="33" cm="1">
        <f t="array" ref="K641">IF(K$66&lt;=Koniec,SUMPRODUCT(ISNUMBER(MATCH(mod_ko_wyn,$B$77,0))*('Koszty operacyjne'!$K$114:$X$114=Moduły!K$77)*ISNUMBER(MATCH(ko_wyn_pr,moduly_pr,0))*ISNUMBER(MATCH(ko_wyn_kw,tak,0)),ko_wyn),0)</f>
        <v>0</v>
      </c>
      <c r="L641" s="33" cm="1">
        <f t="array" ref="L641">IF(L$66&lt;=Koniec,SUMPRODUCT(ISNUMBER(MATCH(mod_ko_wyn,$B$77,0))*('Koszty operacyjne'!$K$114:$X$114=Moduły!L$77)*ISNUMBER(MATCH(ko_wyn_pr,moduly_pr,0))*ISNUMBER(MATCH(ko_wyn_kw,tak,0)),ko_wyn),0)</f>
        <v>0</v>
      </c>
      <c r="M641" s="33" cm="1">
        <f t="array" ref="M641">IF(M$66&lt;=Koniec,SUMPRODUCT(ISNUMBER(MATCH(mod_ko_wyn,$B$77,0))*('Koszty operacyjne'!$K$114:$X$114=Moduły!M$77)*ISNUMBER(MATCH(ko_wyn_pr,moduly_pr,0))*ISNUMBER(MATCH(ko_wyn_kw,tak,0)),ko_wyn),0)</f>
        <v>0</v>
      </c>
      <c r="N641" s="33" cm="1">
        <f t="array" ref="N641">IF(N$66&lt;=Koniec,SUMPRODUCT(ISNUMBER(MATCH(mod_ko_wyn,$B$77,0))*('Koszty operacyjne'!$K$114:$X$114=Moduły!N$77)*ISNUMBER(MATCH(ko_wyn_pr,moduly_pr,0))*ISNUMBER(MATCH(ko_wyn_kw,tak,0)),ko_wyn),0)</f>
        <v>0</v>
      </c>
      <c r="O641" s="33" cm="1">
        <f t="array" ref="O641">IF(O$66&lt;=Koniec,SUMPRODUCT(ISNUMBER(MATCH(mod_ko_wyn,$B$77,0))*('Koszty operacyjne'!$K$114:$X$114=Moduły!O$77)*ISNUMBER(MATCH(ko_wyn_pr,moduly_pr,0))*ISNUMBER(MATCH(ko_wyn_kw,tak,0)),ko_wyn),0)</f>
        <v>0</v>
      </c>
      <c r="P641" s="33" cm="1">
        <f t="array" ref="P641">IF(P$66&lt;=Koniec,SUMPRODUCT(ISNUMBER(MATCH(mod_ko_wyn,$B$77,0))*('Koszty operacyjne'!$K$114:$X$114=Moduły!P$77)*ISNUMBER(MATCH(ko_wyn_pr,moduly_pr,0))*ISNUMBER(MATCH(ko_wyn_kw,tak,0)),ko_wyn),0)</f>
        <v>0</v>
      </c>
    </row>
    <row r="642" spans="2:16" hidden="1">
      <c r="C642" s="33" cm="1">
        <f t="array" ref="C642">IF(C$66&lt;=Koniec,SUMPRODUCT(ISNUMBER(MATCH(mod_ko_zus,$B$77,0))*('Koszty operacyjne'!$K$114:$X$114=Moduły!C$77)*ISNUMBER(MATCH(ko_zus_pr,moduly_pr,0))*ISNUMBER(MATCH(ko_zus_kw,tak,0)),ko_zus),0)</f>
        <v>0</v>
      </c>
      <c r="D642" s="33" cm="1">
        <f t="array" ref="D642">IF(D$66&lt;=Koniec,SUMPRODUCT(ISNUMBER(MATCH(mod_ko_zus,$B$77,0))*('Koszty operacyjne'!$K$114:$X$114=Moduły!D$77)*ISNUMBER(MATCH(ko_zus_pr,moduly_pr,0))*ISNUMBER(MATCH(ko_zus_kw,tak,0)),ko_zus),0)</f>
        <v>0</v>
      </c>
      <c r="E642" s="33" cm="1">
        <f t="array" ref="E642">IF(E$66&lt;=Koniec,SUMPRODUCT(ISNUMBER(MATCH(mod_ko_zus,$B$77,0))*('Koszty operacyjne'!$K$114:$X$114=Moduły!E$77)*ISNUMBER(MATCH(ko_zus_pr,moduly_pr,0))*ISNUMBER(MATCH(ko_zus_kw,tak,0)),ko_zus),0)</f>
        <v>0</v>
      </c>
      <c r="F642" s="33" cm="1">
        <f t="array" ref="F642">IF(F$66&lt;=Koniec,SUMPRODUCT(ISNUMBER(MATCH(mod_ko_zus,$B$77,0))*('Koszty operacyjne'!$K$114:$X$114=Moduły!F$77)*ISNUMBER(MATCH(ko_zus_pr,moduly_pr,0))*ISNUMBER(MATCH(ko_zus_kw,tak,0)),ko_zus),0)</f>
        <v>0</v>
      </c>
      <c r="G642" s="33" cm="1">
        <f t="array" ref="G642">IF(G$66&lt;=Koniec,SUMPRODUCT(ISNUMBER(MATCH(mod_ko_zus,$B$77,0))*('Koszty operacyjne'!$K$114:$X$114=Moduły!G$77)*ISNUMBER(MATCH(ko_zus_pr,moduly_pr,0))*ISNUMBER(MATCH(ko_zus_kw,tak,0)),ko_zus),0)</f>
        <v>0</v>
      </c>
      <c r="H642" s="33" cm="1">
        <f t="array" ref="H642">IF(H$66&lt;=Koniec,SUMPRODUCT(ISNUMBER(MATCH(mod_ko_zus,$B$77,0))*('Koszty operacyjne'!$K$114:$X$114=Moduły!H$77)*ISNUMBER(MATCH(ko_zus_pr,moduly_pr,0))*ISNUMBER(MATCH(ko_zus_kw,tak,0)),ko_zus),0)</f>
        <v>0</v>
      </c>
      <c r="I642" s="33" cm="1">
        <f t="array" ref="I642">IF(I$66&lt;=Koniec,SUMPRODUCT(ISNUMBER(MATCH(mod_ko_zus,$B$77,0))*('Koszty operacyjne'!$K$114:$X$114=Moduły!I$77)*ISNUMBER(MATCH(ko_zus_pr,moduly_pr,0))*ISNUMBER(MATCH(ko_zus_kw,tak,0)),ko_zus),0)</f>
        <v>0</v>
      </c>
      <c r="J642" s="33" cm="1">
        <f t="array" ref="J642">IF(J$66&lt;=Koniec,SUMPRODUCT(ISNUMBER(MATCH(mod_ko_zus,$B$77,0))*('Koszty operacyjne'!$K$114:$X$114=Moduły!J$77)*ISNUMBER(MATCH(ko_zus_pr,moduly_pr,0))*ISNUMBER(MATCH(ko_zus_kw,tak,0)),ko_zus),0)</f>
        <v>0</v>
      </c>
      <c r="K642" s="33" cm="1">
        <f t="array" ref="K642">IF(K$66&lt;=Koniec,SUMPRODUCT(ISNUMBER(MATCH(mod_ko_zus,$B$77,0))*('Koszty operacyjne'!$K$114:$X$114=Moduły!K$77)*ISNUMBER(MATCH(ko_zus_pr,moduly_pr,0))*ISNUMBER(MATCH(ko_zus_kw,tak,0)),ko_zus),0)</f>
        <v>0</v>
      </c>
      <c r="L642" s="33" cm="1">
        <f t="array" ref="L642">IF(L$66&lt;=Koniec,SUMPRODUCT(ISNUMBER(MATCH(mod_ko_zus,$B$77,0))*('Koszty operacyjne'!$K$114:$X$114=Moduły!L$77)*ISNUMBER(MATCH(ko_zus_pr,moduly_pr,0))*ISNUMBER(MATCH(ko_zus_kw,tak,0)),ko_zus),0)</f>
        <v>0</v>
      </c>
      <c r="M642" s="33" cm="1">
        <f t="array" ref="M642">IF(M$66&lt;=Koniec,SUMPRODUCT(ISNUMBER(MATCH(mod_ko_zus,$B$77,0))*('Koszty operacyjne'!$K$114:$X$114=Moduły!M$77)*ISNUMBER(MATCH(ko_zus_pr,moduly_pr,0))*ISNUMBER(MATCH(ko_zus_kw,tak,0)),ko_zus),0)</f>
        <v>0</v>
      </c>
      <c r="N642" s="33" cm="1">
        <f t="array" ref="N642">IF(N$66&lt;=Koniec,SUMPRODUCT(ISNUMBER(MATCH(mod_ko_zus,$B$77,0))*('Koszty operacyjne'!$K$114:$X$114=Moduły!N$77)*ISNUMBER(MATCH(ko_zus_pr,moduly_pr,0))*ISNUMBER(MATCH(ko_zus_kw,tak,0)),ko_zus),0)</f>
        <v>0</v>
      </c>
      <c r="O642" s="33" cm="1">
        <f t="array" ref="O642">IF(O$66&lt;=Koniec,SUMPRODUCT(ISNUMBER(MATCH(mod_ko_zus,$B$77,0))*('Koszty operacyjne'!$K$114:$X$114=Moduły!O$77)*ISNUMBER(MATCH(ko_zus_pr,moduly_pr,0))*ISNUMBER(MATCH(ko_zus_kw,tak,0)),ko_zus),0)</f>
        <v>0</v>
      </c>
      <c r="P642" s="33" cm="1">
        <f t="array" ref="P642">IF(P$66&lt;=Koniec,SUMPRODUCT(ISNUMBER(MATCH(mod_ko_zus,$B$77,0))*('Koszty operacyjne'!$K$114:$X$114=Moduły!P$77)*ISNUMBER(MATCH(ko_zus_pr,moduly_pr,0))*ISNUMBER(MATCH(ko_zus_kw,tak,0)),ko_zus),0)</f>
        <v>0</v>
      </c>
    </row>
    <row r="643" spans="2:16" hidden="1">
      <c r="C643" s="33" cm="1">
        <f t="array" ref="C643">IF(C$66&lt;=Koniec,SUMPRODUCT(ISNUMBER(MATCH(mod_ko_pkr,$B$77,0))*('Koszty operacyjne'!$K$114:$X$114=Moduły!C$77)*ISNUMBER(MATCH(ko_pkr_pr,moduly_pr,0))*ISNUMBER(MATCH(ko_pkr_kw,tak,0)),ko_pkr),0)</f>
        <v>0</v>
      </c>
      <c r="D643" s="33" cm="1">
        <f t="array" ref="D643">IF(D$66&lt;=Koniec,SUMPRODUCT(ISNUMBER(MATCH(mod_ko_pkr,$B$77,0))*('Koszty operacyjne'!$K$114:$X$114=Moduły!D$77)*ISNUMBER(MATCH(ko_pkr_pr,moduly_pr,0))*ISNUMBER(MATCH(ko_pkr_kw,tak,0)),ko_pkr),0)</f>
        <v>0</v>
      </c>
      <c r="E643" s="33" cm="1">
        <f t="array" ref="E643">IF(E$66&lt;=Koniec,SUMPRODUCT(ISNUMBER(MATCH(mod_ko_pkr,$B$77,0))*('Koszty operacyjne'!$K$114:$X$114=Moduły!E$77)*ISNUMBER(MATCH(ko_pkr_pr,moduly_pr,0))*ISNUMBER(MATCH(ko_pkr_kw,tak,0)),ko_pkr),0)</f>
        <v>0</v>
      </c>
      <c r="F643" s="33" cm="1">
        <f t="array" ref="F643">IF(F$66&lt;=Koniec,SUMPRODUCT(ISNUMBER(MATCH(mod_ko_pkr,$B$77,0))*('Koszty operacyjne'!$K$114:$X$114=Moduły!F$77)*ISNUMBER(MATCH(ko_pkr_pr,moduly_pr,0))*ISNUMBER(MATCH(ko_pkr_kw,tak,0)),ko_pkr),0)</f>
        <v>0</v>
      </c>
      <c r="G643" s="33" cm="1">
        <f t="array" ref="G643">IF(G$66&lt;=Koniec,SUMPRODUCT(ISNUMBER(MATCH(mod_ko_pkr,$B$77,0))*('Koszty operacyjne'!$K$114:$X$114=Moduły!G$77)*ISNUMBER(MATCH(ko_pkr_pr,moduly_pr,0))*ISNUMBER(MATCH(ko_pkr_kw,tak,0)),ko_pkr),0)</f>
        <v>0</v>
      </c>
      <c r="H643" s="33" cm="1">
        <f t="array" ref="H643">IF(H$66&lt;=Koniec,SUMPRODUCT(ISNUMBER(MATCH(mod_ko_pkr,$B$77,0))*('Koszty operacyjne'!$K$114:$X$114=Moduły!H$77)*ISNUMBER(MATCH(ko_pkr_pr,moduly_pr,0))*ISNUMBER(MATCH(ko_pkr_kw,tak,0)),ko_pkr),0)</f>
        <v>0</v>
      </c>
      <c r="I643" s="33" cm="1">
        <f t="array" ref="I643">IF(I$66&lt;=Koniec,SUMPRODUCT(ISNUMBER(MATCH(mod_ko_pkr,$B$77,0))*('Koszty operacyjne'!$K$114:$X$114=Moduły!I$77)*ISNUMBER(MATCH(ko_pkr_pr,moduly_pr,0))*ISNUMBER(MATCH(ko_pkr_kw,tak,0)),ko_pkr),0)</f>
        <v>0</v>
      </c>
      <c r="J643" s="33" cm="1">
        <f t="array" ref="J643">IF(J$66&lt;=Koniec,SUMPRODUCT(ISNUMBER(MATCH(mod_ko_pkr,$B$77,0))*('Koszty operacyjne'!$K$114:$X$114=Moduły!J$77)*ISNUMBER(MATCH(ko_pkr_pr,moduly_pr,0))*ISNUMBER(MATCH(ko_pkr_kw,tak,0)),ko_pkr),0)</f>
        <v>0</v>
      </c>
      <c r="K643" s="33" cm="1">
        <f t="array" ref="K643">IF(K$66&lt;=Koniec,SUMPRODUCT(ISNUMBER(MATCH(mod_ko_pkr,$B$77,0))*('Koszty operacyjne'!$K$114:$X$114=Moduły!K$77)*ISNUMBER(MATCH(ko_pkr_pr,moduly_pr,0))*ISNUMBER(MATCH(ko_pkr_kw,tak,0)),ko_pkr),0)</f>
        <v>0</v>
      </c>
      <c r="L643" s="33" cm="1">
        <f t="array" ref="L643">IF(L$66&lt;=Koniec,SUMPRODUCT(ISNUMBER(MATCH(mod_ko_pkr,$B$77,0))*('Koszty operacyjne'!$K$114:$X$114=Moduły!L$77)*ISNUMBER(MATCH(ko_pkr_pr,moduly_pr,0))*ISNUMBER(MATCH(ko_pkr_kw,tak,0)),ko_pkr),0)</f>
        <v>0</v>
      </c>
      <c r="M643" s="33" cm="1">
        <f t="array" ref="M643">IF(M$66&lt;=Koniec,SUMPRODUCT(ISNUMBER(MATCH(mod_ko_pkr,$B$77,0))*('Koszty operacyjne'!$K$114:$X$114=Moduły!M$77)*ISNUMBER(MATCH(ko_pkr_pr,moduly_pr,0))*ISNUMBER(MATCH(ko_pkr_kw,tak,0)),ko_pkr),0)</f>
        <v>0</v>
      </c>
      <c r="N643" s="33" cm="1">
        <f t="array" ref="N643">IF(N$66&lt;=Koniec,SUMPRODUCT(ISNUMBER(MATCH(mod_ko_pkr,$B$77,0))*('Koszty operacyjne'!$K$114:$X$114=Moduły!N$77)*ISNUMBER(MATCH(ko_pkr_pr,moduly_pr,0))*ISNUMBER(MATCH(ko_pkr_kw,tak,0)),ko_pkr),0)</f>
        <v>0</v>
      </c>
      <c r="O643" s="33" cm="1">
        <f t="array" ref="O643">IF(O$66&lt;=Koniec,SUMPRODUCT(ISNUMBER(MATCH(mod_ko_pkr,$B$77,0))*('Koszty operacyjne'!$K$114:$X$114=Moduły!O$77)*ISNUMBER(MATCH(ko_pkr_pr,moduly_pr,0))*ISNUMBER(MATCH(ko_pkr_kw,tak,0)),ko_pkr),0)</f>
        <v>0</v>
      </c>
      <c r="P643" s="33" cm="1">
        <f t="array" ref="P643">IF(P$66&lt;=Koniec,SUMPRODUCT(ISNUMBER(MATCH(mod_ko_pkr,$B$77,0))*('Koszty operacyjne'!$K$114:$X$114=Moduły!P$77)*ISNUMBER(MATCH(ko_pkr_pr,moduly_pr,0))*ISNUMBER(MATCH(ko_pkr_kw,tak,0)),ko_pkr),0)</f>
        <v>0</v>
      </c>
    </row>
    <row r="646" spans="2:16" hidden="1">
      <c r="C646" s="535">
        <f t="shared" ref="C646:P646" si="243">IF(C$592&lt;=Koniec_PR,SUM(C638:C644),0)</f>
        <v>0</v>
      </c>
      <c r="D646" s="535">
        <f t="shared" si="243"/>
        <v>0</v>
      </c>
      <c r="E646" s="535">
        <f t="shared" si="243"/>
        <v>0</v>
      </c>
      <c r="F646" s="535">
        <f t="shared" si="243"/>
        <v>0</v>
      </c>
      <c r="G646" s="535">
        <f t="shared" si="243"/>
        <v>0</v>
      </c>
      <c r="H646" s="535">
        <f t="shared" si="243"/>
        <v>0</v>
      </c>
      <c r="I646" s="535">
        <f t="shared" si="243"/>
        <v>0</v>
      </c>
      <c r="J646" s="535">
        <f t="shared" si="243"/>
        <v>0</v>
      </c>
      <c r="K646" s="535">
        <f t="shared" si="243"/>
        <v>0</v>
      </c>
      <c r="L646" s="535">
        <f t="shared" si="243"/>
        <v>0</v>
      </c>
      <c r="M646" s="535">
        <f t="shared" si="243"/>
        <v>0</v>
      </c>
      <c r="N646" s="535">
        <f t="shared" si="243"/>
        <v>0</v>
      </c>
      <c r="O646" s="535">
        <f t="shared" si="243"/>
        <v>0</v>
      </c>
      <c r="P646" s="535">
        <f t="shared" si="243"/>
        <v>0</v>
      </c>
    </row>
    <row r="650" spans="2:16" hidden="1">
      <c r="B650" s="1" t="s">
        <v>799</v>
      </c>
      <c r="C650" s="534" cm="1">
        <f t="array" ref="C650">IF(C$66&lt;=Koniec,SUMPRODUCT(ISNUMBER(MATCH(mod_ko_zme,$B$77,0))*('Koszty operacyjne'!$K$114:$X$114=Moduły!C$77)*ISNUMBER(MATCH(ko_zme_pr,moduly_pr,0))*ISNUMBER(MATCH(ko_zme_kw,nie,0)),ko_zme),0)</f>
        <v>0</v>
      </c>
      <c r="D650" s="534" cm="1">
        <f t="array" ref="D650">IF(D$66&lt;=Koniec,SUMPRODUCT(ISNUMBER(MATCH(mod_ko_zme,$B$77,0))*('Koszty operacyjne'!$K$114:$X$114=Moduły!D$77)*ISNUMBER(MATCH(ko_zme_pr,moduly_pr,0))*ISNUMBER(MATCH(ko_zme_kw,nie,0)),ko_zme),0)</f>
        <v>0</v>
      </c>
      <c r="E650" s="534" cm="1">
        <f t="array" ref="E650">IF(E$66&lt;=Koniec,SUMPRODUCT(ISNUMBER(MATCH(mod_ko_zme,$B$77,0))*('Koszty operacyjne'!$K$114:$X$114=Moduły!E$77)*ISNUMBER(MATCH(ko_zme_pr,moduly_pr,0))*ISNUMBER(MATCH(ko_zme_kw,nie,0)),ko_zme),0)</f>
        <v>0</v>
      </c>
      <c r="F650" s="534" cm="1">
        <f t="array" ref="F650">IF(F$66&lt;=Koniec,SUMPRODUCT(ISNUMBER(MATCH(mod_ko_zme,$B$77,0))*('Koszty operacyjne'!$K$114:$X$114=Moduły!F$77)*ISNUMBER(MATCH(ko_zme_pr,moduly_pr,0))*ISNUMBER(MATCH(ko_zme_kw,nie,0)),ko_zme),0)</f>
        <v>0</v>
      </c>
      <c r="G650" s="534" cm="1">
        <f t="array" ref="G650">IF(G$66&lt;=Koniec,SUMPRODUCT(ISNUMBER(MATCH(mod_ko_zme,$B$77,0))*('Koszty operacyjne'!$K$114:$X$114=Moduły!G$77)*ISNUMBER(MATCH(ko_zme_pr,moduly_pr,0))*ISNUMBER(MATCH(ko_zme_kw,nie,0)),ko_zme),0)</f>
        <v>0</v>
      </c>
      <c r="H650" s="534" cm="1">
        <f t="array" ref="H650">IF(H$66&lt;=Koniec,SUMPRODUCT(ISNUMBER(MATCH(mod_ko_zme,$B$77,0))*('Koszty operacyjne'!$K$114:$X$114=Moduły!H$77)*ISNUMBER(MATCH(ko_zme_pr,moduly_pr,0))*ISNUMBER(MATCH(ko_zme_kw,nie,0)),ko_zme),0)</f>
        <v>0</v>
      </c>
      <c r="I650" s="534" cm="1">
        <f t="array" ref="I650">IF(I$66&lt;=Koniec,SUMPRODUCT(ISNUMBER(MATCH(mod_ko_zme,$B$77,0))*('Koszty operacyjne'!$K$114:$X$114=Moduły!I$77)*ISNUMBER(MATCH(ko_zme_pr,moduly_pr,0))*ISNUMBER(MATCH(ko_zme_kw,nie,0)),ko_zme),0)</f>
        <v>0</v>
      </c>
      <c r="J650" s="534" cm="1">
        <f t="array" ref="J650">IF(J$66&lt;=Koniec,SUMPRODUCT(ISNUMBER(MATCH(mod_ko_zme,$B$77,0))*('Koszty operacyjne'!$K$114:$X$114=Moduły!J$77)*ISNUMBER(MATCH(ko_zme_pr,moduly_pr,0))*ISNUMBER(MATCH(ko_zme_kw,nie,0)),ko_zme),0)</f>
        <v>0</v>
      </c>
      <c r="K650" s="534" cm="1">
        <f t="array" ref="K650">IF(K$66&lt;=Koniec,SUMPRODUCT(ISNUMBER(MATCH(mod_ko_zme,$B$77,0))*('Koszty operacyjne'!$K$114:$X$114=Moduły!K$77)*ISNUMBER(MATCH(ko_zme_pr,moduly_pr,0))*ISNUMBER(MATCH(ko_zme_kw,nie,0)),ko_zme),0)</f>
        <v>0</v>
      </c>
      <c r="L650" s="534" cm="1">
        <f t="array" ref="L650">IF(L$66&lt;=Koniec,SUMPRODUCT(ISNUMBER(MATCH(mod_ko_zme,$B$77,0))*('Koszty operacyjne'!$K$114:$X$114=Moduły!L$77)*ISNUMBER(MATCH(ko_zme_pr,moduly_pr,0))*ISNUMBER(MATCH(ko_zme_kw,nie,0)),ko_zme),0)</f>
        <v>0</v>
      </c>
      <c r="M650" s="534" cm="1">
        <f t="array" ref="M650">IF(M$66&lt;=Koniec,SUMPRODUCT(ISNUMBER(MATCH(mod_ko_zme,$B$77,0))*('Koszty operacyjne'!$K$114:$X$114=Moduły!M$77)*ISNUMBER(MATCH(ko_zme_pr,moduly_pr,0))*ISNUMBER(MATCH(ko_zme_kw,nie,0)),ko_zme),0)</f>
        <v>0</v>
      </c>
      <c r="N650" s="534" cm="1">
        <f t="array" ref="N650">IF(N$66&lt;=Koniec,SUMPRODUCT(ISNUMBER(MATCH(mod_ko_zme,$B$77,0))*('Koszty operacyjne'!$K$114:$X$114=Moduły!N$77)*ISNUMBER(MATCH(ko_zme_pr,moduly_pr,0))*ISNUMBER(MATCH(ko_zme_kw,nie,0)),ko_zme),0)</f>
        <v>0</v>
      </c>
      <c r="O650" s="534" cm="1">
        <f t="array" ref="O650">IF(O$66&lt;=Koniec,SUMPRODUCT(ISNUMBER(MATCH(mod_ko_zme,$B$77,0))*('Koszty operacyjne'!$K$114:$X$114=Moduły!O$77)*ISNUMBER(MATCH(ko_zme_pr,moduly_pr,0))*ISNUMBER(MATCH(ko_zme_kw,nie,0)),ko_zme),0)</f>
        <v>0</v>
      </c>
      <c r="P650" s="534" cm="1">
        <f t="array" ref="P650">IF(P$66&lt;=Koniec,SUMPRODUCT(ISNUMBER(MATCH(mod_ko_zme,$B$77,0))*('Koszty operacyjne'!$K$114:$X$114=Moduły!P$77)*ISNUMBER(MATCH(ko_zme_pr,moduly_pr,0))*ISNUMBER(MATCH(ko_zme_kw,nie,0)),ko_zme),0)</f>
        <v>0</v>
      </c>
    </row>
    <row r="651" spans="2:16" hidden="1">
      <c r="C651" s="33" cm="1">
        <f t="array" ref="C651">IF(C$66&lt;=Koniec,SUMPRODUCT(ISNUMBER(MATCH(mod_ko_uoe,$B$77,0))*('Koszty operacyjne'!$K$114:$X$114=Moduły!C$77)*ISNUMBER(MATCH(ko_uoe_pr,moduly_pr,0))*ISNUMBER(MATCH(ko_uoe_kw,nie,0)),ko_uoe),0)</f>
        <v>0</v>
      </c>
      <c r="D651" s="33" cm="1">
        <f t="array" ref="D651">IF(D$66&lt;=Koniec,SUMPRODUCT(ISNUMBER(MATCH(mod_ko_uoe,$B$77,0))*('Koszty operacyjne'!$K$114:$X$114=Moduły!D$77)*ISNUMBER(MATCH(ko_uoe_pr,moduly_pr,0))*ISNUMBER(MATCH(ko_uoe_kw,nie,0)),ko_uoe),0)</f>
        <v>0</v>
      </c>
      <c r="E651" s="33" cm="1">
        <f t="array" ref="E651">IF(E$66&lt;=Koniec,SUMPRODUCT(ISNUMBER(MATCH(mod_ko_uoe,$B$77,0))*('Koszty operacyjne'!$K$114:$X$114=Moduły!E$77)*ISNUMBER(MATCH(ko_uoe_pr,moduly_pr,0))*ISNUMBER(MATCH(ko_uoe_kw,nie,0)),ko_uoe),0)</f>
        <v>0</v>
      </c>
      <c r="F651" s="33" cm="1">
        <f t="array" ref="F651">IF(F$66&lt;=Koniec,SUMPRODUCT(ISNUMBER(MATCH(mod_ko_uoe,$B$77,0))*('Koszty operacyjne'!$K$114:$X$114=Moduły!F$77)*ISNUMBER(MATCH(ko_uoe_pr,moduly_pr,0))*ISNUMBER(MATCH(ko_uoe_kw,nie,0)),ko_uoe),0)</f>
        <v>0</v>
      </c>
      <c r="G651" s="33" cm="1">
        <f t="array" ref="G651">IF(G$66&lt;=Koniec,SUMPRODUCT(ISNUMBER(MATCH(mod_ko_uoe,$B$77,0))*('Koszty operacyjne'!$K$114:$X$114=Moduły!G$77)*ISNUMBER(MATCH(ko_uoe_pr,moduly_pr,0))*ISNUMBER(MATCH(ko_uoe_kw,nie,0)),ko_uoe),0)</f>
        <v>0</v>
      </c>
      <c r="H651" s="33" cm="1">
        <f t="array" ref="H651">IF(H$66&lt;=Koniec,SUMPRODUCT(ISNUMBER(MATCH(mod_ko_uoe,$B$77,0))*('Koszty operacyjne'!$K$114:$X$114=Moduły!H$77)*ISNUMBER(MATCH(ko_uoe_pr,moduly_pr,0))*ISNUMBER(MATCH(ko_uoe_kw,nie,0)),ko_uoe),0)</f>
        <v>0</v>
      </c>
      <c r="I651" s="33" cm="1">
        <f t="array" ref="I651">IF(I$66&lt;=Koniec,SUMPRODUCT(ISNUMBER(MATCH(mod_ko_uoe,$B$77,0))*('Koszty operacyjne'!$K$114:$X$114=Moduły!I$77)*ISNUMBER(MATCH(ko_uoe_pr,moduly_pr,0))*ISNUMBER(MATCH(ko_uoe_kw,nie,0)),ko_uoe),0)</f>
        <v>0</v>
      </c>
      <c r="J651" s="33" cm="1">
        <f t="array" ref="J651">IF(J$66&lt;=Koniec,SUMPRODUCT(ISNUMBER(MATCH(mod_ko_uoe,$B$77,0))*('Koszty operacyjne'!$K$114:$X$114=Moduły!J$77)*ISNUMBER(MATCH(ko_uoe_pr,moduly_pr,0))*ISNUMBER(MATCH(ko_uoe_kw,nie,0)),ko_uoe),0)</f>
        <v>0</v>
      </c>
      <c r="K651" s="33" cm="1">
        <f t="array" ref="K651">IF(K$66&lt;=Koniec,SUMPRODUCT(ISNUMBER(MATCH(mod_ko_uoe,$B$77,0))*('Koszty operacyjne'!$K$114:$X$114=Moduły!K$77)*ISNUMBER(MATCH(ko_uoe_pr,moduly_pr,0))*ISNUMBER(MATCH(ko_uoe_kw,nie,0)),ko_uoe),0)</f>
        <v>0</v>
      </c>
      <c r="L651" s="33" cm="1">
        <f t="array" ref="L651">IF(L$66&lt;=Koniec,SUMPRODUCT(ISNUMBER(MATCH(mod_ko_uoe,$B$77,0))*('Koszty operacyjne'!$K$114:$X$114=Moduły!L$77)*ISNUMBER(MATCH(ko_uoe_pr,moduly_pr,0))*ISNUMBER(MATCH(ko_uoe_kw,nie,0)),ko_uoe),0)</f>
        <v>0</v>
      </c>
      <c r="M651" s="33" cm="1">
        <f t="array" ref="M651">IF(M$66&lt;=Koniec,SUMPRODUCT(ISNUMBER(MATCH(mod_ko_uoe,$B$77,0))*('Koszty operacyjne'!$K$114:$X$114=Moduły!M$77)*ISNUMBER(MATCH(ko_uoe_pr,moduly_pr,0))*ISNUMBER(MATCH(ko_uoe_kw,nie,0)),ko_uoe),0)</f>
        <v>0</v>
      </c>
      <c r="N651" s="33" cm="1">
        <f t="array" ref="N651">IF(N$66&lt;=Koniec,SUMPRODUCT(ISNUMBER(MATCH(mod_ko_uoe,$B$77,0))*('Koszty operacyjne'!$K$114:$X$114=Moduły!N$77)*ISNUMBER(MATCH(ko_uoe_pr,moduly_pr,0))*ISNUMBER(MATCH(ko_uoe_kw,nie,0)),ko_uoe),0)</f>
        <v>0</v>
      </c>
      <c r="O651" s="33" cm="1">
        <f t="array" ref="O651">IF(O$66&lt;=Koniec,SUMPRODUCT(ISNUMBER(MATCH(mod_ko_uoe,$B$77,0))*('Koszty operacyjne'!$K$114:$X$114=Moduły!O$77)*ISNUMBER(MATCH(ko_uoe_pr,moduly_pr,0))*ISNUMBER(MATCH(ko_uoe_kw,nie,0)),ko_uoe),0)</f>
        <v>0</v>
      </c>
      <c r="P651" s="33" cm="1">
        <f t="array" ref="P651">IF(P$66&lt;=Koniec,SUMPRODUCT(ISNUMBER(MATCH(mod_ko_uoe,$B$77,0))*('Koszty operacyjne'!$K$114:$X$114=Moduły!P$77)*ISNUMBER(MATCH(ko_uoe_pr,moduly_pr,0))*ISNUMBER(MATCH(ko_uoe_kw,nie,0)),ko_uoe),0)</f>
        <v>0</v>
      </c>
    </row>
    <row r="652" spans="2:16" hidden="1">
      <c r="C652" s="33" cm="1">
        <f t="array" ref="C652">IF(C$66&lt;=Koniec,SUMPRODUCT(ISNUMBER(MATCH(mod_ko_pio,$B$77,0))*('Koszty operacyjne'!$K$114:$X$114=Moduły!C$77)*ISNUMBER(MATCH(ko_pio_pr,moduly_pr,0))*ISNUMBER(MATCH(ko_pio_kw,nie,0)),ko_pio),0)</f>
        <v>0</v>
      </c>
      <c r="D652" s="33" cm="1">
        <f t="array" ref="D652">IF(D$66&lt;=Koniec,SUMPRODUCT(ISNUMBER(MATCH(mod_ko_pio,$B$77,0))*('Koszty operacyjne'!$K$114:$X$114=Moduły!D$77)*ISNUMBER(MATCH(ko_pio_pr,moduly_pr,0))*ISNUMBER(MATCH(ko_pio_kw,nie,0)),ko_pio),0)</f>
        <v>0</v>
      </c>
      <c r="E652" s="33" cm="1">
        <f t="array" ref="E652">IF(E$66&lt;=Koniec,SUMPRODUCT(ISNUMBER(MATCH(mod_ko_pio,$B$77,0))*('Koszty operacyjne'!$K$114:$X$114=Moduły!E$77)*ISNUMBER(MATCH(ko_pio_pr,moduly_pr,0))*ISNUMBER(MATCH(ko_pio_kw,nie,0)),ko_pio),0)</f>
        <v>0</v>
      </c>
      <c r="F652" s="33" cm="1">
        <f t="array" ref="F652">IF(F$66&lt;=Koniec,SUMPRODUCT(ISNUMBER(MATCH(mod_ko_pio,$B$77,0))*('Koszty operacyjne'!$K$114:$X$114=Moduły!F$77)*ISNUMBER(MATCH(ko_pio_pr,moduly_pr,0))*ISNUMBER(MATCH(ko_pio_kw,nie,0)),ko_pio),0)</f>
        <v>0</v>
      </c>
      <c r="G652" s="33" cm="1">
        <f t="array" ref="G652">IF(G$66&lt;=Koniec,SUMPRODUCT(ISNUMBER(MATCH(mod_ko_pio,$B$77,0))*('Koszty operacyjne'!$K$114:$X$114=Moduły!G$77)*ISNUMBER(MATCH(ko_pio_pr,moduly_pr,0))*ISNUMBER(MATCH(ko_pio_kw,nie,0)),ko_pio),0)</f>
        <v>0</v>
      </c>
      <c r="H652" s="33" cm="1">
        <f t="array" ref="H652">IF(H$66&lt;=Koniec,SUMPRODUCT(ISNUMBER(MATCH(mod_ko_pio,$B$77,0))*('Koszty operacyjne'!$K$114:$X$114=Moduły!H$77)*ISNUMBER(MATCH(ko_pio_pr,moduly_pr,0))*ISNUMBER(MATCH(ko_pio_kw,nie,0)),ko_pio),0)</f>
        <v>0</v>
      </c>
      <c r="I652" s="33" cm="1">
        <f t="array" ref="I652">IF(I$66&lt;=Koniec,SUMPRODUCT(ISNUMBER(MATCH(mod_ko_pio,$B$77,0))*('Koszty operacyjne'!$K$114:$X$114=Moduły!I$77)*ISNUMBER(MATCH(ko_pio_pr,moduly_pr,0))*ISNUMBER(MATCH(ko_pio_kw,nie,0)),ko_pio),0)</f>
        <v>0</v>
      </c>
      <c r="J652" s="33" cm="1">
        <f t="array" ref="J652">IF(J$66&lt;=Koniec,SUMPRODUCT(ISNUMBER(MATCH(mod_ko_pio,$B$77,0))*('Koszty operacyjne'!$K$114:$X$114=Moduły!J$77)*ISNUMBER(MATCH(ko_pio_pr,moduly_pr,0))*ISNUMBER(MATCH(ko_pio_kw,nie,0)),ko_pio),0)</f>
        <v>0</v>
      </c>
      <c r="K652" s="33" cm="1">
        <f t="array" ref="K652">IF(K$66&lt;=Koniec,SUMPRODUCT(ISNUMBER(MATCH(mod_ko_pio,$B$77,0))*('Koszty operacyjne'!$K$114:$X$114=Moduły!K$77)*ISNUMBER(MATCH(ko_pio_pr,moduly_pr,0))*ISNUMBER(MATCH(ko_pio_kw,nie,0)),ko_pio),0)</f>
        <v>0</v>
      </c>
      <c r="L652" s="33" cm="1">
        <f t="array" ref="L652">IF(L$66&lt;=Koniec,SUMPRODUCT(ISNUMBER(MATCH(mod_ko_pio,$B$77,0))*('Koszty operacyjne'!$K$114:$X$114=Moduły!L$77)*ISNUMBER(MATCH(ko_pio_pr,moduly_pr,0))*ISNUMBER(MATCH(ko_pio_kw,nie,0)),ko_pio),0)</f>
        <v>0</v>
      </c>
      <c r="M652" s="33" cm="1">
        <f t="array" ref="M652">IF(M$66&lt;=Koniec,SUMPRODUCT(ISNUMBER(MATCH(mod_ko_pio,$B$77,0))*('Koszty operacyjne'!$K$114:$X$114=Moduły!M$77)*ISNUMBER(MATCH(ko_pio_pr,moduly_pr,0))*ISNUMBER(MATCH(ko_pio_kw,nie,0)),ko_pio),0)</f>
        <v>0</v>
      </c>
      <c r="N652" s="33" cm="1">
        <f t="array" ref="N652">IF(N$66&lt;=Koniec,SUMPRODUCT(ISNUMBER(MATCH(mod_ko_pio,$B$77,0))*('Koszty operacyjne'!$K$114:$X$114=Moduły!N$77)*ISNUMBER(MATCH(ko_pio_pr,moduly_pr,0))*ISNUMBER(MATCH(ko_pio_kw,nie,0)),ko_pio),0)</f>
        <v>0</v>
      </c>
      <c r="O652" s="33" cm="1">
        <f t="array" ref="O652">IF(O$66&lt;=Koniec,SUMPRODUCT(ISNUMBER(MATCH(mod_ko_pio,$B$77,0))*('Koszty operacyjne'!$K$114:$X$114=Moduły!O$77)*ISNUMBER(MATCH(ko_pio_pr,moduly_pr,0))*ISNUMBER(MATCH(ko_pio_kw,nie,0)),ko_pio),0)</f>
        <v>0</v>
      </c>
      <c r="P652" s="33" cm="1">
        <f t="array" ref="P652">IF(P$66&lt;=Koniec,SUMPRODUCT(ISNUMBER(MATCH(mod_ko_pio,$B$77,0))*('Koszty operacyjne'!$K$114:$X$114=Moduły!P$77)*ISNUMBER(MATCH(ko_pio_pr,moduly_pr,0))*ISNUMBER(MATCH(ko_pio_kw,nie,0)),ko_pio),0)</f>
        <v>0</v>
      </c>
    </row>
    <row r="653" spans="2:16" hidden="1">
      <c r="C653" s="33" cm="1">
        <f t="array" ref="C653">IF(C$66&lt;=Koniec,SUMPRODUCT(ISNUMBER(MATCH(mod_ko_wyn,$B$77,0))*('Koszty operacyjne'!$K$114:$X$114=Moduły!C$77)*ISNUMBER(MATCH(ko_wyn_pr,moduly_pr,0))*ISNUMBER(MATCH(ko_wyn_kw,nie,0)),ko_wyn),0)</f>
        <v>0</v>
      </c>
      <c r="D653" s="33" cm="1">
        <f t="array" ref="D653">IF(D$66&lt;=Koniec,SUMPRODUCT(ISNUMBER(MATCH(mod_ko_wyn,$B$77,0))*('Koszty operacyjne'!$K$114:$X$114=Moduły!D$77)*ISNUMBER(MATCH(ko_wyn_pr,moduly_pr,0))*ISNUMBER(MATCH(ko_wyn_kw,nie,0)),ko_wyn),0)</f>
        <v>0</v>
      </c>
      <c r="E653" s="33" cm="1">
        <f t="array" ref="E653">IF(E$66&lt;=Koniec,SUMPRODUCT(ISNUMBER(MATCH(mod_ko_wyn,$B$77,0))*('Koszty operacyjne'!$K$114:$X$114=Moduły!E$77)*ISNUMBER(MATCH(ko_wyn_pr,moduly_pr,0))*ISNUMBER(MATCH(ko_wyn_kw,nie,0)),ko_wyn),0)</f>
        <v>0</v>
      </c>
      <c r="F653" s="33" cm="1">
        <f t="array" ref="F653">IF(F$66&lt;=Koniec,SUMPRODUCT(ISNUMBER(MATCH(mod_ko_wyn,$B$77,0))*('Koszty operacyjne'!$K$114:$X$114=Moduły!F$77)*ISNUMBER(MATCH(ko_wyn_pr,moduly_pr,0))*ISNUMBER(MATCH(ko_wyn_kw,nie,0)),ko_wyn),0)</f>
        <v>0</v>
      </c>
      <c r="G653" s="33" cm="1">
        <f t="array" ref="G653">IF(G$66&lt;=Koniec,SUMPRODUCT(ISNUMBER(MATCH(mod_ko_wyn,$B$77,0))*('Koszty operacyjne'!$K$114:$X$114=Moduły!G$77)*ISNUMBER(MATCH(ko_wyn_pr,moduly_pr,0))*ISNUMBER(MATCH(ko_wyn_kw,nie,0)),ko_wyn),0)</f>
        <v>0</v>
      </c>
      <c r="H653" s="33" cm="1">
        <f t="array" ref="H653">IF(H$66&lt;=Koniec,SUMPRODUCT(ISNUMBER(MATCH(mod_ko_wyn,$B$77,0))*('Koszty operacyjne'!$K$114:$X$114=Moduły!H$77)*ISNUMBER(MATCH(ko_wyn_pr,moduly_pr,0))*ISNUMBER(MATCH(ko_wyn_kw,nie,0)),ko_wyn),0)</f>
        <v>0</v>
      </c>
      <c r="I653" s="33" cm="1">
        <f t="array" ref="I653">IF(I$66&lt;=Koniec,SUMPRODUCT(ISNUMBER(MATCH(mod_ko_wyn,$B$77,0))*('Koszty operacyjne'!$K$114:$X$114=Moduły!I$77)*ISNUMBER(MATCH(ko_wyn_pr,moduly_pr,0))*ISNUMBER(MATCH(ko_wyn_kw,nie,0)),ko_wyn),0)</f>
        <v>0</v>
      </c>
      <c r="J653" s="33" cm="1">
        <f t="array" ref="J653">IF(J$66&lt;=Koniec,SUMPRODUCT(ISNUMBER(MATCH(mod_ko_wyn,$B$77,0))*('Koszty operacyjne'!$K$114:$X$114=Moduły!J$77)*ISNUMBER(MATCH(ko_wyn_pr,moduly_pr,0))*ISNUMBER(MATCH(ko_wyn_kw,nie,0)),ko_wyn),0)</f>
        <v>0</v>
      </c>
      <c r="K653" s="33" cm="1">
        <f t="array" ref="K653">IF(K$66&lt;=Koniec,SUMPRODUCT(ISNUMBER(MATCH(mod_ko_wyn,$B$77,0))*('Koszty operacyjne'!$K$114:$X$114=Moduły!K$77)*ISNUMBER(MATCH(ko_wyn_pr,moduly_pr,0))*ISNUMBER(MATCH(ko_wyn_kw,nie,0)),ko_wyn),0)</f>
        <v>0</v>
      </c>
      <c r="L653" s="33" cm="1">
        <f t="array" ref="L653">IF(L$66&lt;=Koniec,SUMPRODUCT(ISNUMBER(MATCH(mod_ko_wyn,$B$77,0))*('Koszty operacyjne'!$K$114:$X$114=Moduły!L$77)*ISNUMBER(MATCH(ko_wyn_pr,moduly_pr,0))*ISNUMBER(MATCH(ko_wyn_kw,nie,0)),ko_wyn),0)</f>
        <v>0</v>
      </c>
      <c r="M653" s="33" cm="1">
        <f t="array" ref="M653">IF(M$66&lt;=Koniec,SUMPRODUCT(ISNUMBER(MATCH(mod_ko_wyn,$B$77,0))*('Koszty operacyjne'!$K$114:$X$114=Moduły!M$77)*ISNUMBER(MATCH(ko_wyn_pr,moduly_pr,0))*ISNUMBER(MATCH(ko_wyn_kw,nie,0)),ko_wyn),0)</f>
        <v>0</v>
      </c>
      <c r="N653" s="33" cm="1">
        <f t="array" ref="N653">IF(N$66&lt;=Koniec,SUMPRODUCT(ISNUMBER(MATCH(mod_ko_wyn,$B$77,0))*('Koszty operacyjne'!$K$114:$X$114=Moduły!N$77)*ISNUMBER(MATCH(ko_wyn_pr,moduly_pr,0))*ISNUMBER(MATCH(ko_wyn_kw,nie,0)),ko_wyn),0)</f>
        <v>0</v>
      </c>
      <c r="O653" s="33" cm="1">
        <f t="array" ref="O653">IF(O$66&lt;=Koniec,SUMPRODUCT(ISNUMBER(MATCH(mod_ko_wyn,$B$77,0))*('Koszty operacyjne'!$K$114:$X$114=Moduły!O$77)*ISNUMBER(MATCH(ko_wyn_pr,moduly_pr,0))*ISNUMBER(MATCH(ko_wyn_kw,nie,0)),ko_wyn),0)</f>
        <v>0</v>
      </c>
      <c r="P653" s="33" cm="1">
        <f t="array" ref="P653">IF(P$66&lt;=Koniec,SUMPRODUCT(ISNUMBER(MATCH(mod_ko_wyn,$B$77,0))*('Koszty operacyjne'!$K$114:$X$114=Moduły!P$77)*ISNUMBER(MATCH(ko_wyn_pr,moduly_pr,0))*ISNUMBER(MATCH(ko_wyn_kw,nie,0)),ko_wyn),0)</f>
        <v>0</v>
      </c>
    </row>
    <row r="654" spans="2:16" hidden="1">
      <c r="C654" s="33" cm="1">
        <f t="array" ref="C654">IF(C$66&lt;=Koniec,SUMPRODUCT(ISNUMBER(MATCH(mod_ko_zus,$B$77,0))*('Koszty operacyjne'!$K$114:$X$114=Moduły!C$77)*ISNUMBER(MATCH(ko_zus_pr,moduly_pr,0))*ISNUMBER(MATCH(ko_zus_kw,nie,0)),ko_zus),0)</f>
        <v>0</v>
      </c>
      <c r="D654" s="33" cm="1">
        <f t="array" ref="D654">IF(D$66&lt;=Koniec,SUMPRODUCT(ISNUMBER(MATCH(mod_ko_zus,$B$77,0))*('Koszty operacyjne'!$K$114:$X$114=Moduły!D$77)*ISNUMBER(MATCH(ko_zus_pr,moduly_pr,0))*ISNUMBER(MATCH(ko_zus_kw,nie,0)),ko_zus),0)</f>
        <v>0</v>
      </c>
      <c r="E654" s="33" cm="1">
        <f t="array" ref="E654">IF(E$66&lt;=Koniec,SUMPRODUCT(ISNUMBER(MATCH(mod_ko_zus,$B$77,0))*('Koszty operacyjne'!$K$114:$X$114=Moduły!E$77)*ISNUMBER(MATCH(ko_zus_pr,moduly_pr,0))*ISNUMBER(MATCH(ko_zus_kw,nie,0)),ko_zus),0)</f>
        <v>0</v>
      </c>
      <c r="F654" s="33" cm="1">
        <f t="array" ref="F654">IF(F$66&lt;=Koniec,SUMPRODUCT(ISNUMBER(MATCH(mod_ko_zus,$B$77,0))*('Koszty operacyjne'!$K$114:$X$114=Moduły!F$77)*ISNUMBER(MATCH(ko_zus_pr,moduly_pr,0))*ISNUMBER(MATCH(ko_zus_kw,nie,0)),ko_zus),0)</f>
        <v>0</v>
      </c>
      <c r="G654" s="33" cm="1">
        <f t="array" ref="G654">IF(G$66&lt;=Koniec,SUMPRODUCT(ISNUMBER(MATCH(mod_ko_zus,$B$77,0))*('Koszty operacyjne'!$K$114:$X$114=Moduły!G$77)*ISNUMBER(MATCH(ko_zus_pr,moduly_pr,0))*ISNUMBER(MATCH(ko_zus_kw,nie,0)),ko_zus),0)</f>
        <v>0</v>
      </c>
      <c r="H654" s="33" cm="1">
        <f t="array" ref="H654">IF(H$66&lt;=Koniec,SUMPRODUCT(ISNUMBER(MATCH(mod_ko_zus,$B$77,0))*('Koszty operacyjne'!$K$114:$X$114=Moduły!H$77)*ISNUMBER(MATCH(ko_zus_pr,moduly_pr,0))*ISNUMBER(MATCH(ko_zus_kw,nie,0)),ko_zus),0)</f>
        <v>0</v>
      </c>
      <c r="I654" s="33" cm="1">
        <f t="array" ref="I654">IF(I$66&lt;=Koniec,SUMPRODUCT(ISNUMBER(MATCH(mod_ko_zus,$B$77,0))*('Koszty operacyjne'!$K$114:$X$114=Moduły!I$77)*ISNUMBER(MATCH(ko_zus_pr,moduly_pr,0))*ISNUMBER(MATCH(ko_zus_kw,nie,0)),ko_zus),0)</f>
        <v>0</v>
      </c>
      <c r="J654" s="33" cm="1">
        <f t="array" ref="J654">IF(J$66&lt;=Koniec,SUMPRODUCT(ISNUMBER(MATCH(mod_ko_zus,$B$77,0))*('Koszty operacyjne'!$K$114:$X$114=Moduły!J$77)*ISNUMBER(MATCH(ko_zus_pr,moduly_pr,0))*ISNUMBER(MATCH(ko_zus_kw,nie,0)),ko_zus),0)</f>
        <v>0</v>
      </c>
      <c r="K654" s="33" cm="1">
        <f t="array" ref="K654">IF(K$66&lt;=Koniec,SUMPRODUCT(ISNUMBER(MATCH(mod_ko_zus,$B$77,0))*('Koszty operacyjne'!$K$114:$X$114=Moduły!K$77)*ISNUMBER(MATCH(ko_zus_pr,moduly_pr,0))*ISNUMBER(MATCH(ko_zus_kw,nie,0)),ko_zus),0)</f>
        <v>0</v>
      </c>
      <c r="L654" s="33" cm="1">
        <f t="array" ref="L654">IF(L$66&lt;=Koniec,SUMPRODUCT(ISNUMBER(MATCH(mod_ko_zus,$B$77,0))*('Koszty operacyjne'!$K$114:$X$114=Moduły!L$77)*ISNUMBER(MATCH(ko_zus_pr,moduly_pr,0))*ISNUMBER(MATCH(ko_zus_kw,nie,0)),ko_zus),0)</f>
        <v>0</v>
      </c>
      <c r="M654" s="33" cm="1">
        <f t="array" ref="M654">IF(M$66&lt;=Koniec,SUMPRODUCT(ISNUMBER(MATCH(mod_ko_zus,$B$77,0))*('Koszty operacyjne'!$K$114:$X$114=Moduły!M$77)*ISNUMBER(MATCH(ko_zus_pr,moduly_pr,0))*ISNUMBER(MATCH(ko_zus_kw,nie,0)),ko_zus),0)</f>
        <v>0</v>
      </c>
      <c r="N654" s="33" cm="1">
        <f t="array" ref="N654">IF(N$66&lt;=Koniec,SUMPRODUCT(ISNUMBER(MATCH(mod_ko_zus,$B$77,0))*('Koszty operacyjne'!$K$114:$X$114=Moduły!N$77)*ISNUMBER(MATCH(ko_zus_pr,moduly_pr,0))*ISNUMBER(MATCH(ko_zus_kw,nie,0)),ko_zus),0)</f>
        <v>0</v>
      </c>
      <c r="O654" s="33" cm="1">
        <f t="array" ref="O654">IF(O$66&lt;=Koniec,SUMPRODUCT(ISNUMBER(MATCH(mod_ko_zus,$B$77,0))*('Koszty operacyjne'!$K$114:$X$114=Moduły!O$77)*ISNUMBER(MATCH(ko_zus_pr,moduly_pr,0))*ISNUMBER(MATCH(ko_zus_kw,nie,0)),ko_zus),0)</f>
        <v>0</v>
      </c>
      <c r="P654" s="33" cm="1">
        <f t="array" ref="P654">IF(P$66&lt;=Koniec,SUMPRODUCT(ISNUMBER(MATCH(mod_ko_zus,$B$77,0))*('Koszty operacyjne'!$K$114:$X$114=Moduły!P$77)*ISNUMBER(MATCH(ko_zus_pr,moduly_pr,0))*ISNUMBER(MATCH(ko_zus_kw,nie,0)),ko_zus),0)</f>
        <v>0</v>
      </c>
    </row>
    <row r="655" spans="2:16" hidden="1">
      <c r="C655" s="33" cm="1">
        <f t="array" ref="C655">IF(C$66&lt;=Koniec,SUMPRODUCT(ISNUMBER(MATCH(mod_ko_pkr,$B$77,0))*('Koszty operacyjne'!$K$114:$X$114=Moduły!C$77)*ISNUMBER(MATCH(ko_pkr_pr,moduly_pr,0))*ISNUMBER(MATCH(ko_pkr_kw,nie,0)),ko_pkr),0)</f>
        <v>0</v>
      </c>
      <c r="D655" s="33" cm="1">
        <f t="array" ref="D655">IF(D$66&lt;=Koniec,SUMPRODUCT(ISNUMBER(MATCH(mod_ko_pkr,$B$77,0))*('Koszty operacyjne'!$K$114:$X$114=Moduły!D$77)*ISNUMBER(MATCH(ko_pkr_pr,moduly_pr,0))*ISNUMBER(MATCH(ko_pkr_kw,nie,0)),ko_pkr),0)</f>
        <v>0</v>
      </c>
      <c r="E655" s="33" cm="1">
        <f t="array" ref="E655">IF(E$66&lt;=Koniec,SUMPRODUCT(ISNUMBER(MATCH(mod_ko_pkr,$B$77,0))*('Koszty operacyjne'!$K$114:$X$114=Moduły!E$77)*ISNUMBER(MATCH(ko_pkr_pr,moduly_pr,0))*ISNUMBER(MATCH(ko_pkr_kw,nie,0)),ko_pkr),0)</f>
        <v>0</v>
      </c>
      <c r="F655" s="33" cm="1">
        <f t="array" ref="F655">IF(F$66&lt;=Koniec,SUMPRODUCT(ISNUMBER(MATCH(mod_ko_pkr,$B$77,0))*('Koszty operacyjne'!$K$114:$X$114=Moduły!F$77)*ISNUMBER(MATCH(ko_pkr_pr,moduly_pr,0))*ISNUMBER(MATCH(ko_pkr_kw,nie,0)),ko_pkr),0)</f>
        <v>0</v>
      </c>
      <c r="G655" s="33" cm="1">
        <f t="array" ref="G655">IF(G$66&lt;=Koniec,SUMPRODUCT(ISNUMBER(MATCH(mod_ko_pkr,$B$77,0))*('Koszty operacyjne'!$K$114:$X$114=Moduły!G$77)*ISNUMBER(MATCH(ko_pkr_pr,moduly_pr,0))*ISNUMBER(MATCH(ko_pkr_kw,nie,0)),ko_pkr),0)</f>
        <v>0</v>
      </c>
      <c r="H655" s="33" cm="1">
        <f t="array" ref="H655">IF(H$66&lt;=Koniec,SUMPRODUCT(ISNUMBER(MATCH(mod_ko_pkr,$B$77,0))*('Koszty operacyjne'!$K$114:$X$114=Moduły!H$77)*ISNUMBER(MATCH(ko_pkr_pr,moduly_pr,0))*ISNUMBER(MATCH(ko_pkr_kw,nie,0)),ko_pkr),0)</f>
        <v>0</v>
      </c>
      <c r="I655" s="33" cm="1">
        <f t="array" ref="I655">IF(I$66&lt;=Koniec,SUMPRODUCT(ISNUMBER(MATCH(mod_ko_pkr,$B$77,0))*('Koszty operacyjne'!$K$114:$X$114=Moduły!I$77)*ISNUMBER(MATCH(ko_pkr_pr,moduly_pr,0))*ISNUMBER(MATCH(ko_pkr_kw,nie,0)),ko_pkr),0)</f>
        <v>0</v>
      </c>
      <c r="J655" s="33" cm="1">
        <f t="array" ref="J655">IF(J$66&lt;=Koniec,SUMPRODUCT(ISNUMBER(MATCH(mod_ko_pkr,$B$77,0))*('Koszty operacyjne'!$K$114:$X$114=Moduły!J$77)*ISNUMBER(MATCH(ko_pkr_pr,moduly_pr,0))*ISNUMBER(MATCH(ko_pkr_kw,nie,0)),ko_pkr),0)</f>
        <v>0</v>
      </c>
      <c r="K655" s="33" cm="1">
        <f t="array" ref="K655">IF(K$66&lt;=Koniec,SUMPRODUCT(ISNUMBER(MATCH(mod_ko_pkr,$B$77,0))*('Koszty operacyjne'!$K$114:$X$114=Moduły!K$77)*ISNUMBER(MATCH(ko_pkr_pr,moduly_pr,0))*ISNUMBER(MATCH(ko_pkr_kw,nie,0)),ko_pkr),0)</f>
        <v>0</v>
      </c>
      <c r="L655" s="33" cm="1">
        <f t="array" ref="L655">IF(L$66&lt;=Koniec,SUMPRODUCT(ISNUMBER(MATCH(mod_ko_pkr,$B$77,0))*('Koszty operacyjne'!$K$114:$X$114=Moduły!L$77)*ISNUMBER(MATCH(ko_pkr_pr,moduly_pr,0))*ISNUMBER(MATCH(ko_pkr_kw,nie,0)),ko_pkr),0)</f>
        <v>0</v>
      </c>
      <c r="M655" s="33" cm="1">
        <f t="array" ref="M655">IF(M$66&lt;=Koniec,SUMPRODUCT(ISNUMBER(MATCH(mod_ko_pkr,$B$77,0))*('Koszty operacyjne'!$K$114:$X$114=Moduły!M$77)*ISNUMBER(MATCH(ko_pkr_pr,moduly_pr,0))*ISNUMBER(MATCH(ko_pkr_kw,nie,0)),ko_pkr),0)</f>
        <v>0</v>
      </c>
      <c r="N655" s="33" cm="1">
        <f t="array" ref="N655">IF(N$66&lt;=Koniec,SUMPRODUCT(ISNUMBER(MATCH(mod_ko_pkr,$B$77,0))*('Koszty operacyjne'!$K$114:$X$114=Moduły!N$77)*ISNUMBER(MATCH(ko_pkr_pr,moduly_pr,0))*ISNUMBER(MATCH(ko_pkr_kw,nie,0)),ko_pkr),0)</f>
        <v>0</v>
      </c>
      <c r="O655" s="33" cm="1">
        <f t="array" ref="O655">IF(O$66&lt;=Koniec,SUMPRODUCT(ISNUMBER(MATCH(mod_ko_pkr,$B$77,0))*('Koszty operacyjne'!$K$114:$X$114=Moduły!O$77)*ISNUMBER(MATCH(ko_pkr_pr,moduly_pr,0))*ISNUMBER(MATCH(ko_pkr_kw,nie,0)),ko_pkr),0)</f>
        <v>0</v>
      </c>
      <c r="P655" s="33" cm="1">
        <f t="array" ref="P655">IF(P$66&lt;=Koniec,SUMPRODUCT(ISNUMBER(MATCH(mod_ko_pkr,$B$77,0))*('Koszty operacyjne'!$K$114:$X$114=Moduły!P$77)*ISNUMBER(MATCH(ko_pkr_pr,moduly_pr,0))*ISNUMBER(MATCH(ko_pkr_kw,nie,0)),ko_pkr),0)</f>
        <v>0</v>
      </c>
    </row>
    <row r="658" spans="3:16" hidden="1">
      <c r="C658" s="535">
        <f t="shared" ref="C658:P658" si="244">IF(C$592&lt;=Koniec_PR,SUM(C650:C656),0)</f>
        <v>0</v>
      </c>
      <c r="D658" s="535">
        <f t="shared" si="244"/>
        <v>0</v>
      </c>
      <c r="E658" s="535">
        <f t="shared" si="244"/>
        <v>0</v>
      </c>
      <c r="F658" s="535">
        <f t="shared" si="244"/>
        <v>0</v>
      </c>
      <c r="G658" s="535">
        <f t="shared" si="244"/>
        <v>0</v>
      </c>
      <c r="H658" s="535">
        <f t="shared" si="244"/>
        <v>0</v>
      </c>
      <c r="I658" s="535">
        <f t="shared" si="244"/>
        <v>0</v>
      </c>
      <c r="J658" s="535">
        <f t="shared" si="244"/>
        <v>0</v>
      </c>
      <c r="K658" s="535">
        <f t="shared" si="244"/>
        <v>0</v>
      </c>
      <c r="L658" s="535">
        <f t="shared" si="244"/>
        <v>0</v>
      </c>
      <c r="M658" s="535">
        <f t="shared" si="244"/>
        <v>0</v>
      </c>
      <c r="N658" s="535">
        <f t="shared" si="244"/>
        <v>0</v>
      </c>
      <c r="O658" s="535">
        <f t="shared" si="244"/>
        <v>0</v>
      </c>
      <c r="P658" s="535">
        <f t="shared" si="244"/>
        <v>0</v>
      </c>
    </row>
  </sheetData>
  <sheetProtection algorithmName="SHA-512" hashValue="q/TFo9Pgm5JuttECQGI9T3NjicZ4iBkDlycJqczP3qqmiun99MX2JOVZgk9PqfbvYdYkT/5BOdShCAJXvnCrvw==" saltValue="Ev5pUd/C0gck19ia64IMLA==" spinCount="100000" sheet="1" objects="1" scenarios="1"/>
  <mergeCells count="1">
    <mergeCell ref="B2:P3"/>
  </mergeCells>
  <conditionalFormatting sqref="C159:P159">
    <cfRule type="cellIs" dxfId="65" priority="112" operator="lessThan">
      <formula>0</formula>
    </cfRule>
    <cfRule type="cellIs" dxfId="64" priority="113" operator="greaterThan">
      <formula>0</formula>
    </cfRule>
  </conditionalFormatting>
  <conditionalFormatting sqref="C157">
    <cfRule type="cellIs" dxfId="63" priority="110" operator="lessThan">
      <formula>0</formula>
    </cfRule>
    <cfRule type="cellIs" dxfId="62" priority="111" operator="greaterThan">
      <formula>0</formula>
    </cfRule>
  </conditionalFormatting>
  <conditionalFormatting sqref="D157:P157">
    <cfRule type="cellIs" dxfId="61" priority="108" operator="lessThan">
      <formula>0</formula>
    </cfRule>
    <cfRule type="cellIs" dxfId="60" priority="109" operator="greaterThan">
      <formula>0</formula>
    </cfRule>
  </conditionalFormatting>
  <conditionalFormatting sqref="C151:P151">
    <cfRule type="cellIs" dxfId="59" priority="106" operator="lessThan">
      <formula>0</formula>
    </cfRule>
    <cfRule type="cellIs" dxfId="58" priority="107" operator="greaterThan">
      <formula>0</formula>
    </cfRule>
  </conditionalFormatting>
  <conditionalFormatting sqref="C152:P152">
    <cfRule type="cellIs" dxfId="57" priority="104" operator="lessThan">
      <formula>0</formula>
    </cfRule>
    <cfRule type="cellIs" dxfId="56" priority="105" operator="greaterThan">
      <formula>0</formula>
    </cfRule>
  </conditionalFormatting>
  <conditionalFormatting sqref="C149:P149">
    <cfRule type="cellIs" dxfId="55" priority="101" operator="lessThan">
      <formula>0</formula>
    </cfRule>
    <cfRule type="cellIs" dxfId="54" priority="102" operator="greaterThan">
      <formula>0</formula>
    </cfRule>
  </conditionalFormatting>
  <conditionalFormatting sqref="C160:P160">
    <cfRule type="containsText" dxfId="53" priority="97" operator="containsText" text="n/d">
      <formula>NOT(ISERROR(SEARCH("n/d",C160)))</formula>
    </cfRule>
    <cfRule type="cellIs" dxfId="52" priority="98" operator="lessThan">
      <formula>0</formula>
    </cfRule>
    <cfRule type="cellIs" dxfId="51" priority="99" operator="greaterThan">
      <formula>0</formula>
    </cfRule>
  </conditionalFormatting>
  <conditionalFormatting sqref="C241:P241">
    <cfRule type="cellIs" dxfId="50" priority="94" operator="lessThan">
      <formula>0</formula>
    </cfRule>
    <cfRule type="cellIs" dxfId="49" priority="95" operator="greaterThan">
      <formula>0</formula>
    </cfRule>
  </conditionalFormatting>
  <conditionalFormatting sqref="C239">
    <cfRule type="cellIs" dxfId="48" priority="92" operator="lessThan">
      <formula>0</formula>
    </cfRule>
    <cfRule type="cellIs" dxfId="47" priority="93" operator="greaterThan">
      <formula>0</formula>
    </cfRule>
  </conditionalFormatting>
  <conditionalFormatting sqref="D239:P239">
    <cfRule type="cellIs" dxfId="46" priority="90" operator="lessThan">
      <formula>0</formula>
    </cfRule>
    <cfRule type="cellIs" dxfId="45" priority="91" operator="greaterThan">
      <formula>0</formula>
    </cfRule>
  </conditionalFormatting>
  <conditionalFormatting sqref="C233:P233">
    <cfRule type="cellIs" dxfId="44" priority="88" operator="lessThan">
      <formula>0</formula>
    </cfRule>
    <cfRule type="cellIs" dxfId="43" priority="89" operator="greaterThan">
      <formula>0</formula>
    </cfRule>
  </conditionalFormatting>
  <conditionalFormatting sqref="C234:P234">
    <cfRule type="containsText" dxfId="42" priority="85" operator="containsText" text="n/d">
      <formula>NOT(ISERROR(SEARCH("n/d",C234)))</formula>
    </cfRule>
    <cfRule type="cellIs" dxfId="41" priority="86" operator="lessThan">
      <formula>0</formula>
    </cfRule>
    <cfRule type="cellIs" dxfId="40" priority="87" operator="greaterThan">
      <formula>0</formula>
    </cfRule>
  </conditionalFormatting>
  <conditionalFormatting sqref="C231:P231">
    <cfRule type="cellIs" dxfId="39" priority="83" operator="lessThan">
      <formula>0</formula>
    </cfRule>
    <cfRule type="cellIs" dxfId="38" priority="84" operator="greaterThan">
      <formula>0</formula>
    </cfRule>
  </conditionalFormatting>
  <conditionalFormatting sqref="C242:P242">
    <cfRule type="containsText" dxfId="37" priority="79" operator="containsText" text="n/d">
      <formula>NOT(ISERROR(SEARCH("n/d",C242)))</formula>
    </cfRule>
    <cfRule type="cellIs" dxfId="36" priority="80" operator="lessThan">
      <formula>0</formula>
    </cfRule>
    <cfRule type="cellIs" dxfId="35" priority="81" operator="greaterThan">
      <formula>0</formula>
    </cfRule>
  </conditionalFormatting>
  <conditionalFormatting sqref="C143:P144">
    <cfRule type="expression" dxfId="34" priority="59">
      <formula>C143=0</formula>
    </cfRule>
  </conditionalFormatting>
  <conditionalFormatting sqref="C225:P226">
    <cfRule type="expression" dxfId="33" priority="58">
      <formula>C225=0</formula>
    </cfRule>
  </conditionalFormatting>
  <conditionalFormatting sqref="C279:P279">
    <cfRule type="cellIs" dxfId="32" priority="20" operator="lessThan">
      <formula>0</formula>
    </cfRule>
    <cfRule type="cellIs" dxfId="31" priority="100" operator="greaterThan">
      <formula>0</formula>
    </cfRule>
  </conditionalFormatting>
  <conditionalFormatting sqref="C277">
    <cfRule type="cellIs" dxfId="30" priority="17" operator="lessThan">
      <formula>0</formula>
    </cfRule>
    <cfRule type="cellIs" dxfId="29" priority="18" operator="greaterThan">
      <formula>0</formula>
    </cfRule>
  </conditionalFormatting>
  <conditionalFormatting sqref="D277:P277">
    <cfRule type="cellIs" dxfId="28" priority="15" operator="lessThan">
      <formula>0</formula>
    </cfRule>
    <cfRule type="cellIs" dxfId="27" priority="16" operator="greaterThan">
      <formula>0</formula>
    </cfRule>
  </conditionalFormatting>
  <conditionalFormatting sqref="C280:P280">
    <cfRule type="containsText" dxfId="26" priority="13" operator="containsText" text="n/d">
      <formula>NOT(ISERROR(SEARCH("n/d",C280)))</formula>
    </cfRule>
    <cfRule type="cellIs" dxfId="25" priority="14" operator="lessThan">
      <formula>0</formula>
    </cfRule>
    <cfRule type="cellIs" dxfId="24" priority="19" operator="greaterThan">
      <formula>0</formula>
    </cfRule>
  </conditionalFormatting>
  <conditionalFormatting sqref="C271:P271">
    <cfRule type="cellIs" dxfId="23" priority="10" operator="lessThan">
      <formula>0</formula>
    </cfRule>
    <cfRule type="cellIs" dxfId="22" priority="12" operator="greaterThan">
      <formula>0</formula>
    </cfRule>
  </conditionalFormatting>
  <conditionalFormatting sqref="C272:P272">
    <cfRule type="containsText" dxfId="21" priority="7" operator="containsText" text="n/d">
      <formula>NOT(ISERROR(SEARCH("n/d",C272)))</formula>
    </cfRule>
    <cfRule type="cellIs" dxfId="20" priority="8" operator="lessThan">
      <formula>0</formula>
    </cfRule>
    <cfRule type="cellIs" dxfId="19" priority="9" operator="greaterThan">
      <formula>0</formula>
    </cfRule>
  </conditionalFormatting>
  <conditionalFormatting sqref="C269:P269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C263:P263">
    <cfRule type="expression" dxfId="16" priority="2">
      <formula>C263=0</formula>
    </cfRule>
  </conditionalFormatting>
  <conditionalFormatting sqref="C264:P264">
    <cfRule type="expression" dxfId="15" priority="1">
      <formula>C264=0</formula>
    </cfRule>
  </conditionalFormatting>
  <conditionalFormatting sqref="C152:P152 C144:P144 C226:P226 C264:P264">
    <cfRule type="containsText" dxfId="14" priority="103" operator="containsText" text="n/d">
      <formula>NOT(ISERROR(SEARCH("n/d",C144)))</formula>
    </cfRule>
  </conditionalFormatting>
  <conditionalFormatting sqref="C151:P152 C159:P160 C233:P234 C241:P242 C271:P272 C279:P280">
    <cfRule type="expression" dxfId="13" priority="6" stopIfTrue="1">
      <formula>OR(C$66&lt;=Koniec_Projekt,C$66&gt;Koniec)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6" min="1" max="15" man="1"/>
    <brk id="126" min="1" max="15" man="1"/>
    <brk id="162" min="1" max="15" man="1"/>
    <brk id="208" min="1" max="15" man="1"/>
    <brk id="244" min="1" max="15" man="1"/>
    <brk id="284" min="1" max="15" man="1"/>
    <brk id="331" min="1" max="15" man="1"/>
    <brk id="378" min="1" max="15" man="1"/>
    <brk id="426" min="1" max="15" man="1"/>
    <brk id="474" min="1" max="15" man="1"/>
    <brk id="520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165100</xdr:colOff>
                    <xdr:row>3</xdr:row>
                    <xdr:rowOff>101600</xdr:rowOff>
                  </from>
                  <to>
                    <xdr:col>8</xdr:col>
                    <xdr:colOff>50800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77.109375" style="1" bestFit="1" customWidth="1"/>
    <col min="3" max="6" width="9.33203125" style="1" hidden="1" customWidth="1"/>
    <col min="7" max="24" width="12.88671875" style="1" customWidth="1"/>
    <col min="25" max="25" width="2.88671875" style="1" customWidth="1"/>
    <col min="26" max="16384" width="9.3320312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5">
      <c r="B14" s="149" t="s">
        <v>517</v>
      </c>
    </row>
    <row r="15" spans="2:24">
      <c r="B15" s="95" t="s">
        <v>518</v>
      </c>
      <c r="C15" s="96" t="s">
        <v>519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520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521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522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523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524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525</v>
      </c>
      <c r="C21" s="19" t="s">
        <v>526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527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528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529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530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531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532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533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534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535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536</v>
      </c>
      <c r="C33" s="96" t="s">
        <v>537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538</v>
      </c>
      <c r="C36" s="89" t="s">
        <v>539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540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541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542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543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544</v>
      </c>
      <c r="C41" s="89"/>
      <c r="D41" s="89" t="s">
        <v>543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545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5">
      <c r="B45" s="149" t="s">
        <v>546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3">
      <c r="B46" s="147" t="s">
        <v>547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548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549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550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551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552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553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554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555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556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557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558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559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560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561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562</v>
      </c>
      <c r="C66" s="101" t="s">
        <v>563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564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565</v>
      </c>
      <c r="C68" s="1" t="s">
        <v>566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567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568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569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3">
      <c r="B75" s="147" t="s">
        <v>570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571</v>
      </c>
      <c r="C76" s="96" t="s">
        <v>572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573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574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575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576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577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578</v>
      </c>
      <c r="C82" s="96" t="s">
        <v>579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580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581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582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583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584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585</v>
      </c>
      <c r="C88" s="467" t="s">
        <v>586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587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588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589</v>
      </c>
      <c r="C91" s="52"/>
      <c r="D91" s="52"/>
      <c r="E91" s="52"/>
      <c r="F91" s="52"/>
      <c r="G91" s="33">
        <f>G92+G93</f>
        <v>0</v>
      </c>
      <c r="H91" s="33">
        <f>H92+H93</f>
        <v>0</v>
      </c>
      <c r="I91" s="33">
        <f>I92+I93</f>
        <v>0</v>
      </c>
      <c r="J91" s="33">
        <f>J92+J93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590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dotacji'!K22</f>
        <v>0</v>
      </c>
      <c r="L92" s="468">
        <f>IF(L$12&lt;=Koniec,'Rozliczenie dotacji'!L22,0)</f>
        <v>0</v>
      </c>
      <c r="M92" s="468">
        <f>IF(M$12&lt;=Koniec,'Rozliczenie dotacji'!M22,0)</f>
        <v>0</v>
      </c>
      <c r="N92" s="468">
        <f>IF(N$12&lt;=Koniec,'Rozliczenie dotacji'!N22,0)</f>
        <v>0</v>
      </c>
      <c r="O92" s="468">
        <f>IF(O$12&lt;=Koniec,'Rozliczenie dotacji'!O22,0)</f>
        <v>0</v>
      </c>
      <c r="P92" s="468">
        <f>IF(P$12&lt;=Koniec,'Rozliczenie dotacji'!P22,0)</f>
        <v>0</v>
      </c>
      <c r="Q92" s="468">
        <f>IF(Q$12&lt;=Koniec,'Rozliczenie dotacji'!Q22,0)</f>
        <v>0</v>
      </c>
      <c r="R92" s="468">
        <f>IF(R$12&lt;=Koniec,'Rozliczenie dotacji'!R22,0)</f>
        <v>0</v>
      </c>
      <c r="S92" s="468">
        <f>IF(S$12&lt;=Koniec,'Rozliczenie dotacji'!S22,0)</f>
        <v>0</v>
      </c>
      <c r="T92" s="468">
        <f>IF(T$12&lt;=Koniec,'Rozliczenie dotacji'!T22,0)</f>
        <v>0</v>
      </c>
      <c r="U92" s="468">
        <f>IF(U$12&lt;=Koniec,'Rozliczenie dotacji'!U22,0)</f>
        <v>0</v>
      </c>
      <c r="V92" s="468">
        <f>IF(V$12&lt;=Koniec,'Rozliczenie dotacji'!V22,0)</f>
        <v>0</v>
      </c>
      <c r="W92" s="468">
        <f>IF(W$12&lt;=Koniec,'Rozliczenie dotacji'!W22,0)</f>
        <v>0</v>
      </c>
      <c r="X92" s="468">
        <f>IF(X$12&lt;=Koniec,'Rozliczenie dotacji'!X22,0)</f>
        <v>0</v>
      </c>
    </row>
    <row r="93" spans="2:25">
      <c r="B93" s="39" t="s">
        <v>583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>
      <c r="B95" s="108" t="s">
        <v>591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5">
      <c r="B98" s="149" t="s">
        <v>592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593</v>
      </c>
      <c r="C99" s="96"/>
      <c r="D99" s="96"/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594</v>
      </c>
      <c r="C100" s="19"/>
      <c r="D100" s="19"/>
      <c r="E100" s="19"/>
      <c r="F100" s="19"/>
      <c r="G100" s="94">
        <f t="shared" ref="G100:K100" si="44">G42</f>
        <v>0</v>
      </c>
      <c r="H100" s="94">
        <f t="shared" si="44"/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595</v>
      </c>
      <c r="C101" s="52"/>
      <c r="D101" s="52"/>
      <c r="E101" s="52"/>
      <c r="F101" s="52"/>
      <c r="G101" s="33">
        <f t="shared" ref="G101:K101" si="46">G21</f>
        <v>0</v>
      </c>
      <c r="H101" s="33">
        <f t="shared" si="46"/>
        <v>0</v>
      </c>
      <c r="I101" s="33">
        <f t="shared" si="46"/>
        <v>0</v>
      </c>
      <c r="J101" s="33">
        <f>IF(Rok_n="",0,J21)</f>
        <v>0</v>
      </c>
      <c r="K101" s="33">
        <f t="shared" si="46"/>
        <v>0</v>
      </c>
      <c r="L101" s="33">
        <f t="shared" ref="L101:X101" ca="1" si="47">IF(L$12&lt;=Koniec,L21,0)</f>
        <v>0</v>
      </c>
      <c r="M101" s="33">
        <f t="shared" ca="1" si="47"/>
        <v>0</v>
      </c>
      <c r="N101" s="33">
        <f t="shared" ca="1" si="47"/>
        <v>0</v>
      </c>
      <c r="O101" s="33">
        <f t="shared" ca="1" si="47"/>
        <v>0</v>
      </c>
      <c r="P101" s="33">
        <f t="shared" ca="1" si="47"/>
        <v>0</v>
      </c>
      <c r="Q101" s="33">
        <f t="shared" ca="1" si="47"/>
        <v>0</v>
      </c>
      <c r="R101" s="33">
        <f t="shared" ca="1" si="47"/>
        <v>0</v>
      </c>
      <c r="S101" s="33">
        <f t="shared" ca="1" si="47"/>
        <v>0</v>
      </c>
      <c r="T101" s="33">
        <f t="shared" ca="1" si="47"/>
        <v>0</v>
      </c>
      <c r="U101" s="33">
        <f t="shared" ca="1" si="47"/>
        <v>0</v>
      </c>
      <c r="V101" s="33">
        <f t="shared" ca="1" si="47"/>
        <v>0</v>
      </c>
      <c r="W101" s="33">
        <f t="shared" ca="1" si="47"/>
        <v>0</v>
      </c>
      <c r="X101" s="33">
        <f t="shared" ca="1" si="47"/>
        <v>0</v>
      </c>
    </row>
    <row r="102" spans="2:24">
      <c r="B102" s="37" t="s">
        <v>596</v>
      </c>
      <c r="C102" s="52"/>
      <c r="D102" s="52"/>
      <c r="E102" s="52"/>
      <c r="F102" s="52"/>
      <c r="G102" s="33">
        <f>E66-G66</f>
        <v>0</v>
      </c>
      <c r="H102" s="33">
        <f t="shared" ref="H102:I102" si="48">G66-H66</f>
        <v>0</v>
      </c>
      <c r="I102" s="33">
        <f t="shared" si="48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49">IF(L$12&lt;=Koniec,K66-L66,0)</f>
        <v>0</v>
      </c>
      <c r="M102" s="33">
        <f t="shared" ca="1" si="49"/>
        <v>0</v>
      </c>
      <c r="N102" s="33">
        <f t="shared" ca="1" si="49"/>
        <v>0</v>
      </c>
      <c r="O102" s="33">
        <f t="shared" ca="1" si="49"/>
        <v>0</v>
      </c>
      <c r="P102" s="33">
        <f t="shared" ca="1" si="49"/>
        <v>0</v>
      </c>
      <c r="Q102" s="33">
        <f t="shared" ca="1" si="49"/>
        <v>0</v>
      </c>
      <c r="R102" s="33">
        <f t="shared" ca="1" si="49"/>
        <v>0</v>
      </c>
      <c r="S102" s="33">
        <f t="shared" ca="1" si="49"/>
        <v>0</v>
      </c>
      <c r="T102" s="33">
        <f t="shared" ca="1" si="49"/>
        <v>0</v>
      </c>
      <c r="U102" s="33">
        <f t="shared" ca="1" si="49"/>
        <v>0</v>
      </c>
      <c r="V102" s="33">
        <f t="shared" ca="1" si="49"/>
        <v>0</v>
      </c>
      <c r="W102" s="33">
        <f t="shared" ca="1" si="49"/>
        <v>0</v>
      </c>
      <c r="X102" s="33">
        <f t="shared" ca="1" si="49"/>
        <v>0</v>
      </c>
    </row>
    <row r="103" spans="2:24">
      <c r="B103" s="37" t="s">
        <v>597</v>
      </c>
      <c r="C103" s="52"/>
      <c r="D103" s="52"/>
      <c r="E103" s="52"/>
      <c r="F103" s="52"/>
      <c r="G103" s="33">
        <f>E67-G67</f>
        <v>0</v>
      </c>
      <c r="H103" s="33">
        <f t="shared" ref="H103:I103" si="50">G67-H67</f>
        <v>0</v>
      </c>
      <c r="I103" s="33">
        <f t="shared" si="50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1">IF(L$12&lt;=Koniec,K67-L67,0)</f>
        <v>0</v>
      </c>
      <c r="M103" s="33">
        <f t="shared" ca="1" si="51"/>
        <v>0</v>
      </c>
      <c r="N103" s="33">
        <f t="shared" ca="1" si="51"/>
        <v>0</v>
      </c>
      <c r="O103" s="33">
        <f t="shared" ca="1" si="51"/>
        <v>0</v>
      </c>
      <c r="P103" s="33">
        <f t="shared" ca="1" si="51"/>
        <v>0</v>
      </c>
      <c r="Q103" s="33">
        <f t="shared" ca="1" si="51"/>
        <v>0</v>
      </c>
      <c r="R103" s="33">
        <f t="shared" ca="1" si="51"/>
        <v>0</v>
      </c>
      <c r="S103" s="33">
        <f t="shared" ca="1" si="51"/>
        <v>0</v>
      </c>
      <c r="T103" s="33">
        <f t="shared" ca="1" si="51"/>
        <v>0</v>
      </c>
      <c r="U103" s="33">
        <f t="shared" ca="1" si="51"/>
        <v>0</v>
      </c>
      <c r="V103" s="33">
        <f t="shared" ca="1" si="51"/>
        <v>0</v>
      </c>
      <c r="W103" s="33">
        <f t="shared" ca="1" si="51"/>
        <v>0</v>
      </c>
      <c r="X103" s="33">
        <f t="shared" ca="1" si="51"/>
        <v>0</v>
      </c>
    </row>
    <row r="104" spans="2:24">
      <c r="B104" s="37" t="s">
        <v>598</v>
      </c>
      <c r="C104" s="52"/>
      <c r="D104" s="52"/>
      <c r="E104" s="52"/>
      <c r="F104" s="52"/>
      <c r="G104" s="33">
        <f>(G87-E87)-(G89-E89)</f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2">IF(L$12&lt;=Koniec,(L87-K87)-(L89-K89),0)</f>
        <v>0</v>
      </c>
      <c r="M104" s="33">
        <f t="shared" ca="1" si="52"/>
        <v>0</v>
      </c>
      <c r="N104" s="33">
        <f t="shared" ca="1" si="52"/>
        <v>0</v>
      </c>
      <c r="O104" s="33">
        <f t="shared" ca="1" si="52"/>
        <v>0</v>
      </c>
      <c r="P104" s="33">
        <f t="shared" ca="1" si="52"/>
        <v>0</v>
      </c>
      <c r="Q104" s="33">
        <f t="shared" ca="1" si="52"/>
        <v>0</v>
      </c>
      <c r="R104" s="33">
        <f t="shared" ca="1" si="52"/>
        <v>0</v>
      </c>
      <c r="S104" s="33">
        <f t="shared" ca="1" si="52"/>
        <v>0</v>
      </c>
      <c r="T104" s="33">
        <f t="shared" ca="1" si="52"/>
        <v>0</v>
      </c>
      <c r="U104" s="33">
        <f t="shared" ca="1" si="52"/>
        <v>0</v>
      </c>
      <c r="V104" s="33">
        <f t="shared" ca="1" si="52"/>
        <v>0</v>
      </c>
      <c r="W104" s="33">
        <f t="shared" ca="1" si="52"/>
        <v>0</v>
      </c>
      <c r="X104" s="33">
        <f t="shared" ca="1" si="52"/>
        <v>0</v>
      </c>
    </row>
    <row r="105" spans="2:24">
      <c r="B105" s="37" t="s">
        <v>599</v>
      </c>
      <c r="C105" s="52"/>
      <c r="D105" s="52"/>
      <c r="E105" s="52"/>
      <c r="F105" s="52"/>
      <c r="G105" s="33">
        <f>(E64-G64)+(E72-G72)+(G91-E91)-G117</f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3">IF(L$12&lt;=Koniec,(K64-L64)+(K72-L72)+(L91-K91)-L117,0)</f>
        <v>0</v>
      </c>
      <c r="M105" s="33">
        <f t="shared" si="53"/>
        <v>0</v>
      </c>
      <c r="N105" s="33">
        <f t="shared" si="53"/>
        <v>0</v>
      </c>
      <c r="O105" s="33">
        <f t="shared" si="53"/>
        <v>0</v>
      </c>
      <c r="P105" s="33">
        <f t="shared" si="53"/>
        <v>0</v>
      </c>
      <c r="Q105" s="33">
        <f t="shared" si="53"/>
        <v>0</v>
      </c>
      <c r="R105" s="33">
        <f t="shared" si="53"/>
        <v>0</v>
      </c>
      <c r="S105" s="33">
        <f t="shared" si="53"/>
        <v>0</v>
      </c>
      <c r="T105" s="33">
        <f t="shared" si="53"/>
        <v>0</v>
      </c>
      <c r="U105" s="33">
        <f t="shared" si="53"/>
        <v>0</v>
      </c>
      <c r="V105" s="33">
        <f t="shared" si="53"/>
        <v>0</v>
      </c>
      <c r="W105" s="33">
        <f t="shared" si="53"/>
        <v>0</v>
      </c>
      <c r="X105" s="33">
        <f t="shared" si="53"/>
        <v>0</v>
      </c>
    </row>
    <row r="106" spans="2:24">
      <c r="B106" s="37" t="s">
        <v>600</v>
      </c>
      <c r="C106" s="52"/>
      <c r="D106" s="52"/>
      <c r="E106" s="52"/>
      <c r="F106" s="52"/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601</v>
      </c>
      <c r="C108" s="96"/>
      <c r="D108" s="96"/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4">ROUND(SUM(L109:L110),0)</f>
        <v>0</v>
      </c>
      <c r="M108" s="97">
        <f t="shared" ca="1" si="54"/>
        <v>0</v>
      </c>
      <c r="N108" s="97">
        <f t="shared" ca="1" si="54"/>
        <v>0</v>
      </c>
      <c r="O108" s="97">
        <f t="shared" ca="1" si="54"/>
        <v>0</v>
      </c>
      <c r="P108" s="97">
        <f t="shared" ca="1" si="54"/>
        <v>0</v>
      </c>
      <c r="Q108" s="97">
        <f t="shared" ca="1" si="54"/>
        <v>0</v>
      </c>
      <c r="R108" s="97">
        <f t="shared" ca="1" si="54"/>
        <v>0</v>
      </c>
      <c r="S108" s="97">
        <f t="shared" ca="1" si="54"/>
        <v>0</v>
      </c>
      <c r="T108" s="97">
        <f t="shared" ca="1" si="54"/>
        <v>0</v>
      </c>
      <c r="U108" s="97">
        <f t="shared" ca="1" si="54"/>
        <v>0</v>
      </c>
      <c r="V108" s="97">
        <f t="shared" ca="1" si="54"/>
        <v>0</v>
      </c>
      <c r="W108" s="97">
        <f t="shared" ca="1" si="54"/>
        <v>0</v>
      </c>
      <c r="X108" s="97">
        <f t="shared" ca="1" si="54"/>
        <v>0</v>
      </c>
    </row>
    <row r="109" spans="2:24">
      <c r="B109" s="93" t="s">
        <v>602</v>
      </c>
      <c r="C109" s="19"/>
      <c r="D109" s="19"/>
      <c r="E109" s="19"/>
      <c r="F109" s="19"/>
      <c r="G109" s="94">
        <f>(E48+E53)-(G48+G53)-G21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5">IF(M$12&lt;=Koniec,(L48+L53)-(M48+M53)-M21,0)</f>
        <v>0</v>
      </c>
      <c r="N109" s="94">
        <f t="shared" ca="1" si="55"/>
        <v>0</v>
      </c>
      <c r="O109" s="94">
        <f t="shared" ca="1" si="55"/>
        <v>0</v>
      </c>
      <c r="P109" s="94">
        <f t="shared" ca="1" si="55"/>
        <v>0</v>
      </c>
      <c r="Q109" s="94">
        <f t="shared" ca="1" si="55"/>
        <v>0</v>
      </c>
      <c r="R109" s="94">
        <f t="shared" ca="1" si="55"/>
        <v>0</v>
      </c>
      <c r="S109" s="94">
        <f t="shared" ca="1" si="55"/>
        <v>0</v>
      </c>
      <c r="T109" s="94">
        <f t="shared" ca="1" si="55"/>
        <v>0</v>
      </c>
      <c r="U109" s="94">
        <f t="shared" ca="1" si="55"/>
        <v>0</v>
      </c>
      <c r="V109" s="94">
        <f t="shared" ca="1" si="55"/>
        <v>0</v>
      </c>
      <c r="W109" s="94">
        <f t="shared" ca="1" si="55"/>
        <v>0</v>
      </c>
      <c r="X109" s="94">
        <f t="shared" ca="1" si="55"/>
        <v>0</v>
      </c>
    </row>
    <row r="110" spans="2:24">
      <c r="B110" s="37" t="s">
        <v>603</v>
      </c>
      <c r="C110" s="52"/>
      <c r="D110" s="52"/>
      <c r="E110" s="52"/>
      <c r="F110" s="52"/>
      <c r="G110" s="33">
        <f>(E62+E63)-(G62+G63)</f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56">IF(M$12&lt;=Koniec,(L62+L63)-(M62+M63),0)</f>
        <v>0</v>
      </c>
      <c r="N110" s="33">
        <f t="shared" si="56"/>
        <v>0</v>
      </c>
      <c r="O110" s="33">
        <f t="shared" si="56"/>
        <v>0</v>
      </c>
      <c r="P110" s="33">
        <f t="shared" si="56"/>
        <v>0</v>
      </c>
      <c r="Q110" s="33">
        <f t="shared" si="56"/>
        <v>0</v>
      </c>
      <c r="R110" s="33">
        <f t="shared" si="56"/>
        <v>0</v>
      </c>
      <c r="S110" s="33">
        <f t="shared" si="56"/>
        <v>0</v>
      </c>
      <c r="T110" s="33">
        <f t="shared" si="56"/>
        <v>0</v>
      </c>
      <c r="U110" s="33">
        <f t="shared" si="56"/>
        <v>0</v>
      </c>
      <c r="V110" s="33">
        <f t="shared" si="56"/>
        <v>0</v>
      </c>
      <c r="W110" s="33">
        <f t="shared" si="56"/>
        <v>0</v>
      </c>
      <c r="X110" s="33">
        <f t="shared" si="56"/>
        <v>0</v>
      </c>
    </row>
    <row r="111" spans="2:24"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604</v>
      </c>
      <c r="C112" s="96"/>
      <c r="D112" s="96"/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57">ROUND(L118+L117+L116+L115+L114+L113+L119,0)</f>
        <v>0</v>
      </c>
      <c r="M112" s="97">
        <f t="shared" si="57"/>
        <v>0</v>
      </c>
      <c r="N112" s="97">
        <f t="shared" si="57"/>
        <v>0</v>
      </c>
      <c r="O112" s="97">
        <f t="shared" si="57"/>
        <v>0</v>
      </c>
      <c r="P112" s="97">
        <f t="shared" si="57"/>
        <v>0</v>
      </c>
      <c r="Q112" s="97">
        <f t="shared" si="57"/>
        <v>0</v>
      </c>
      <c r="R112" s="97">
        <f t="shared" si="57"/>
        <v>0</v>
      </c>
      <c r="S112" s="97">
        <f t="shared" si="57"/>
        <v>0</v>
      </c>
      <c r="T112" s="97">
        <f t="shared" si="57"/>
        <v>0</v>
      </c>
      <c r="U112" s="97">
        <f t="shared" si="57"/>
        <v>0</v>
      </c>
      <c r="V112" s="97">
        <f t="shared" si="57"/>
        <v>0</v>
      </c>
      <c r="W112" s="97">
        <f t="shared" si="57"/>
        <v>0</v>
      </c>
      <c r="X112" s="97">
        <f t="shared" si="57"/>
        <v>0</v>
      </c>
    </row>
    <row r="113" spans="2:24">
      <c r="B113" s="93" t="s">
        <v>605</v>
      </c>
      <c r="C113" s="19"/>
      <c r="D113" s="19"/>
      <c r="E113" s="19"/>
      <c r="F113" s="19"/>
      <c r="G113" s="94">
        <f>(G89-E89)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58">IF(M$12&lt;=Koniec,(M89-L89),0)</f>
        <v>0</v>
      </c>
      <c r="N113" s="94">
        <f t="shared" si="58"/>
        <v>0</v>
      </c>
      <c r="O113" s="94">
        <f t="shared" si="58"/>
        <v>0</v>
      </c>
      <c r="P113" s="94">
        <f t="shared" si="58"/>
        <v>0</v>
      </c>
      <c r="Q113" s="94">
        <f t="shared" si="58"/>
        <v>0</v>
      </c>
      <c r="R113" s="94">
        <f t="shared" si="58"/>
        <v>0</v>
      </c>
      <c r="S113" s="94">
        <f t="shared" si="58"/>
        <v>0</v>
      </c>
      <c r="T113" s="94">
        <f t="shared" si="58"/>
        <v>0</v>
      </c>
      <c r="U113" s="94">
        <f t="shared" si="58"/>
        <v>0</v>
      </c>
      <c r="V113" s="94">
        <f t="shared" si="58"/>
        <v>0</v>
      </c>
      <c r="W113" s="94">
        <f t="shared" si="58"/>
        <v>0</v>
      </c>
      <c r="X113" s="94">
        <f t="shared" si="58"/>
        <v>0</v>
      </c>
    </row>
    <row r="114" spans="2:24">
      <c r="B114" s="37" t="s">
        <v>606</v>
      </c>
      <c r="C114" s="52"/>
      <c r="D114" s="52"/>
      <c r="E114" s="52"/>
      <c r="F114" s="52"/>
      <c r="G114" s="33">
        <f>G85</f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59">L85-K85</f>
        <v>0</v>
      </c>
      <c r="M114" s="33">
        <f t="shared" ref="M114:X114" si="60">IF(M$12&lt;=Koniec,M85-L85,0)</f>
        <v>0</v>
      </c>
      <c r="N114" s="33">
        <f t="shared" si="60"/>
        <v>0</v>
      </c>
      <c r="O114" s="33">
        <f t="shared" si="60"/>
        <v>0</v>
      </c>
      <c r="P114" s="33">
        <f t="shared" si="60"/>
        <v>0</v>
      </c>
      <c r="Q114" s="33">
        <f t="shared" si="60"/>
        <v>0</v>
      </c>
      <c r="R114" s="33">
        <f t="shared" si="60"/>
        <v>0</v>
      </c>
      <c r="S114" s="33">
        <f t="shared" si="60"/>
        <v>0</v>
      </c>
      <c r="T114" s="33">
        <f t="shared" si="60"/>
        <v>0</v>
      </c>
      <c r="U114" s="33">
        <f t="shared" si="60"/>
        <v>0</v>
      </c>
      <c r="V114" s="33">
        <f t="shared" si="60"/>
        <v>0</v>
      </c>
      <c r="W114" s="33">
        <f t="shared" si="60"/>
        <v>0</v>
      </c>
      <c r="X114" s="33">
        <f t="shared" si="60"/>
        <v>0</v>
      </c>
    </row>
    <row r="115" spans="2:24">
      <c r="B115" s="37" t="s">
        <v>607</v>
      </c>
      <c r="C115" s="52"/>
      <c r="D115" s="52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608</v>
      </c>
      <c r="C116" s="52"/>
      <c r="D116" s="52"/>
      <c r="E116" s="52"/>
      <c r="F116" s="52"/>
      <c r="G116" s="33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609</v>
      </c>
      <c r="C117" s="52"/>
      <c r="D117" s="52"/>
      <c r="E117" s="52"/>
      <c r="F117" s="52"/>
      <c r="G117" s="33"/>
      <c r="H117" s="33"/>
      <c r="I117" s="33"/>
      <c r="J117" s="33"/>
      <c r="K117" s="33">
        <v>0</v>
      </c>
      <c r="L117" s="33">
        <v>0</v>
      </c>
      <c r="M117" s="33">
        <f>0</f>
        <v>0</v>
      </c>
      <c r="N117" s="33">
        <f>0</f>
        <v>0</v>
      </c>
      <c r="O117" s="33">
        <f>0</f>
        <v>0</v>
      </c>
      <c r="P117" s="33">
        <f>0</f>
        <v>0</v>
      </c>
      <c r="Q117" s="33">
        <f>0</f>
        <v>0</v>
      </c>
      <c r="R117" s="33">
        <f>0</f>
        <v>0</v>
      </c>
      <c r="S117" s="33">
        <f>0</f>
        <v>0</v>
      </c>
      <c r="T117" s="33">
        <f>0</f>
        <v>0</v>
      </c>
      <c r="U117" s="33">
        <f>0</f>
        <v>0</v>
      </c>
      <c r="V117" s="33">
        <f>0</f>
        <v>0</v>
      </c>
      <c r="W117" s="33">
        <f>0</f>
        <v>0</v>
      </c>
      <c r="X117" s="33">
        <f>0</f>
        <v>0</v>
      </c>
    </row>
    <row r="118" spans="2:24">
      <c r="B118" s="37" t="s">
        <v>610</v>
      </c>
      <c r="C118" s="52"/>
      <c r="D118" s="52"/>
      <c r="E118" s="52"/>
      <c r="F118" s="52"/>
      <c r="G118" s="33">
        <f>(G83-E83)+(G84-E84)-(G85-E85)</f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1">(L83-K83)+(L84-K84)-(L85-K85)</f>
        <v>0</v>
      </c>
      <c r="M118" s="33">
        <f t="shared" ref="M118:X118" si="62">IF(M$12&lt;=Koniec,(M83-L83)+(M84-L84)-(M85-L85),0)</f>
        <v>0</v>
      </c>
      <c r="N118" s="33">
        <f t="shared" si="62"/>
        <v>0</v>
      </c>
      <c r="O118" s="33">
        <f t="shared" si="62"/>
        <v>0</v>
      </c>
      <c r="P118" s="33">
        <f t="shared" si="62"/>
        <v>0</v>
      </c>
      <c r="Q118" s="33">
        <f t="shared" si="62"/>
        <v>0</v>
      </c>
      <c r="R118" s="33">
        <f t="shared" si="62"/>
        <v>0</v>
      </c>
      <c r="S118" s="33">
        <f t="shared" si="62"/>
        <v>0</v>
      </c>
      <c r="T118" s="33">
        <f t="shared" si="62"/>
        <v>0</v>
      </c>
      <c r="U118" s="33">
        <f t="shared" si="62"/>
        <v>0</v>
      </c>
      <c r="V118" s="33">
        <f t="shared" si="62"/>
        <v>0</v>
      </c>
      <c r="W118" s="33">
        <f t="shared" si="62"/>
        <v>0</v>
      </c>
      <c r="X118" s="33">
        <f t="shared" si="62"/>
        <v>0</v>
      </c>
    </row>
    <row r="119" spans="2:24">
      <c r="B119" s="37" t="s">
        <v>611</v>
      </c>
      <c r="C119" s="252"/>
      <c r="D119" s="252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612</v>
      </c>
      <c r="C121" s="98"/>
      <c r="D121" s="98"/>
      <c r="E121" s="98"/>
      <c r="F121" s="98"/>
      <c r="G121" s="97">
        <f>ROUND(G99+G108+G112,0)</f>
        <v>0</v>
      </c>
      <c r="H121" s="97">
        <f t="shared" ref="H121:X121" si="63">ROUND(H99+H108+H112,0)</f>
        <v>0</v>
      </c>
      <c r="I121" s="97">
        <f t="shared" si="63"/>
        <v>0</v>
      </c>
      <c r="J121" s="97">
        <f t="shared" si="63"/>
        <v>0</v>
      </c>
      <c r="K121" s="97">
        <f t="shared" ca="1" si="63"/>
        <v>0</v>
      </c>
      <c r="L121" s="97">
        <f t="shared" ca="1" si="63"/>
        <v>0</v>
      </c>
      <c r="M121" s="97">
        <f t="shared" ca="1" si="63"/>
        <v>0</v>
      </c>
      <c r="N121" s="97">
        <f t="shared" ca="1" si="63"/>
        <v>0</v>
      </c>
      <c r="O121" s="97">
        <f t="shared" ca="1" si="63"/>
        <v>0</v>
      </c>
      <c r="P121" s="97">
        <f t="shared" ca="1" si="63"/>
        <v>0</v>
      </c>
      <c r="Q121" s="97">
        <f t="shared" ca="1" si="63"/>
        <v>0</v>
      </c>
      <c r="R121" s="97">
        <f t="shared" ca="1" si="63"/>
        <v>0</v>
      </c>
      <c r="S121" s="97">
        <f t="shared" ca="1" si="63"/>
        <v>0</v>
      </c>
      <c r="T121" s="97">
        <f t="shared" ca="1" si="63"/>
        <v>0</v>
      </c>
      <c r="U121" s="97">
        <f t="shared" ca="1" si="63"/>
        <v>0</v>
      </c>
      <c r="V121" s="97">
        <f t="shared" ca="1" si="63"/>
        <v>0</v>
      </c>
      <c r="W121" s="97">
        <f t="shared" ca="1" si="63"/>
        <v>0</v>
      </c>
      <c r="X121" s="97">
        <f t="shared" ca="1" si="63"/>
        <v>0</v>
      </c>
    </row>
    <row r="122" spans="2:24">
      <c r="B122" s="7" t="s">
        <v>613</v>
      </c>
      <c r="C122" s="7"/>
      <c r="D122" s="7"/>
      <c r="E122" s="7"/>
      <c r="F122" s="7"/>
      <c r="G122" s="13"/>
      <c r="H122" s="13">
        <f>G123</f>
        <v>0</v>
      </c>
      <c r="I122" s="13">
        <f t="shared" ref="I122:X122" si="64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4"/>
        <v>0</v>
      </c>
      <c r="M122" s="13">
        <f t="shared" ca="1" si="64"/>
        <v>0</v>
      </c>
      <c r="N122" s="13">
        <f t="shared" ca="1" si="64"/>
        <v>0</v>
      </c>
      <c r="O122" s="13">
        <f t="shared" ca="1" si="64"/>
        <v>0</v>
      </c>
      <c r="P122" s="13">
        <f t="shared" ca="1" si="64"/>
        <v>0</v>
      </c>
      <c r="Q122" s="13">
        <f t="shared" ca="1" si="64"/>
        <v>0</v>
      </c>
      <c r="R122" s="13">
        <f t="shared" ca="1" si="64"/>
        <v>0</v>
      </c>
      <c r="S122" s="13">
        <f t="shared" ca="1" si="64"/>
        <v>0</v>
      </c>
      <c r="T122" s="13">
        <f t="shared" ca="1" si="64"/>
        <v>0</v>
      </c>
      <c r="U122" s="13">
        <f t="shared" ca="1" si="64"/>
        <v>0</v>
      </c>
      <c r="V122" s="13">
        <f t="shared" ca="1" si="64"/>
        <v>0</v>
      </c>
      <c r="W122" s="13">
        <f t="shared" ca="1" si="64"/>
        <v>0</v>
      </c>
      <c r="X122" s="13">
        <f t="shared" ca="1" si="64"/>
        <v>0</v>
      </c>
    </row>
    <row r="123" spans="2:24">
      <c r="B123" s="98" t="s">
        <v>614</v>
      </c>
      <c r="C123" s="98"/>
      <c r="D123" s="98"/>
      <c r="E123" s="98"/>
      <c r="F123" s="98"/>
      <c r="G123" s="97">
        <f>ROUND(G121+G122,0)</f>
        <v>0</v>
      </c>
      <c r="H123" s="97">
        <f t="shared" ref="H123:X123" si="65">ROUND(H121+H122,0)</f>
        <v>0</v>
      </c>
      <c r="I123" s="97">
        <f t="shared" si="65"/>
        <v>0</v>
      </c>
      <c r="J123" s="97">
        <f t="shared" si="65"/>
        <v>0</v>
      </c>
      <c r="K123" s="97">
        <f t="shared" ca="1" si="65"/>
        <v>0</v>
      </c>
      <c r="L123" s="97">
        <f t="shared" ca="1" si="65"/>
        <v>0</v>
      </c>
      <c r="M123" s="97">
        <f t="shared" ca="1" si="65"/>
        <v>0</v>
      </c>
      <c r="N123" s="97">
        <f t="shared" ca="1" si="65"/>
        <v>0</v>
      </c>
      <c r="O123" s="97">
        <f t="shared" ca="1" si="65"/>
        <v>0</v>
      </c>
      <c r="P123" s="97">
        <f t="shared" ca="1" si="65"/>
        <v>0</v>
      </c>
      <c r="Q123" s="97">
        <f t="shared" ca="1" si="65"/>
        <v>0</v>
      </c>
      <c r="R123" s="97">
        <f t="shared" ca="1" si="65"/>
        <v>0</v>
      </c>
      <c r="S123" s="97">
        <f t="shared" ca="1" si="65"/>
        <v>0</v>
      </c>
      <c r="T123" s="97">
        <f t="shared" ca="1" si="65"/>
        <v>0</v>
      </c>
      <c r="U123" s="97">
        <f t="shared" ca="1" si="65"/>
        <v>0</v>
      </c>
      <c r="V123" s="97">
        <f t="shared" ca="1" si="65"/>
        <v>0</v>
      </c>
      <c r="W123" s="97">
        <f t="shared" ca="1" si="65"/>
        <v>0</v>
      </c>
      <c r="X123" s="97">
        <f t="shared" ca="1" si="65"/>
        <v>0</v>
      </c>
    </row>
    <row r="124" spans="2:24">
      <c r="G124" s="108" t="b">
        <f t="shared" ref="G124:X124" si="66">G123=G69</f>
        <v>1</v>
      </c>
      <c r="H124" s="108" t="b">
        <f t="shared" si="66"/>
        <v>1</v>
      </c>
      <c r="I124" s="108" t="b">
        <f t="shared" si="66"/>
        <v>1</v>
      </c>
      <c r="J124" s="108" t="b">
        <f t="shared" si="66"/>
        <v>1</v>
      </c>
      <c r="K124" s="108" t="b">
        <f t="shared" ca="1" si="66"/>
        <v>1</v>
      </c>
      <c r="L124" s="108" t="b">
        <f t="shared" ca="1" si="66"/>
        <v>1</v>
      </c>
      <c r="M124" s="108" t="b">
        <f t="shared" ca="1" si="66"/>
        <v>1</v>
      </c>
      <c r="N124" s="108" t="b">
        <f t="shared" ca="1" si="66"/>
        <v>1</v>
      </c>
      <c r="O124" s="108" t="b">
        <f t="shared" ca="1" si="66"/>
        <v>1</v>
      </c>
      <c r="P124" s="108" t="b">
        <f t="shared" ca="1" si="66"/>
        <v>1</v>
      </c>
      <c r="Q124" s="108" t="b">
        <f t="shared" ca="1" si="66"/>
        <v>1</v>
      </c>
      <c r="R124" s="108" t="b">
        <f t="shared" ca="1" si="66"/>
        <v>1</v>
      </c>
      <c r="S124" s="108" t="b">
        <f t="shared" ca="1" si="66"/>
        <v>1</v>
      </c>
      <c r="T124" s="108" t="b">
        <f t="shared" ca="1" si="66"/>
        <v>1</v>
      </c>
      <c r="U124" s="108" t="b">
        <f t="shared" ca="1" si="66"/>
        <v>1</v>
      </c>
      <c r="V124" s="108" t="b">
        <f t="shared" ca="1" si="66"/>
        <v>1</v>
      </c>
      <c r="W124" s="108" t="b">
        <f t="shared" ca="1" si="66"/>
        <v>1</v>
      </c>
      <c r="X124" s="108" t="b">
        <f t="shared" ca="1" si="66"/>
        <v>1</v>
      </c>
    </row>
    <row r="125" spans="2:24">
      <c r="G125" s="109">
        <f t="shared" ref="G125:X125" si="67">G123-G69</f>
        <v>0</v>
      </c>
      <c r="H125" s="109">
        <f t="shared" si="67"/>
        <v>0</v>
      </c>
      <c r="I125" s="109">
        <f t="shared" si="67"/>
        <v>0</v>
      </c>
      <c r="J125" s="109">
        <f t="shared" si="67"/>
        <v>0</v>
      </c>
      <c r="K125" s="109">
        <f t="shared" ca="1" si="67"/>
        <v>0</v>
      </c>
      <c r="L125" s="109">
        <f t="shared" ca="1" si="67"/>
        <v>0</v>
      </c>
      <c r="M125" s="109">
        <f t="shared" ca="1" si="67"/>
        <v>0</v>
      </c>
      <c r="N125" s="109">
        <f t="shared" ca="1" si="67"/>
        <v>0</v>
      </c>
      <c r="O125" s="109">
        <f t="shared" ca="1" si="67"/>
        <v>0</v>
      </c>
      <c r="P125" s="109">
        <f t="shared" ca="1" si="67"/>
        <v>0</v>
      </c>
      <c r="Q125" s="109">
        <f t="shared" ca="1" si="67"/>
        <v>0</v>
      </c>
      <c r="R125" s="109">
        <f t="shared" ca="1" si="67"/>
        <v>0</v>
      </c>
      <c r="S125" s="109">
        <f t="shared" ca="1" si="67"/>
        <v>0</v>
      </c>
      <c r="T125" s="109">
        <f t="shared" ca="1" si="67"/>
        <v>0</v>
      </c>
      <c r="U125" s="109">
        <f t="shared" ca="1" si="67"/>
        <v>0</v>
      </c>
      <c r="V125" s="109">
        <f t="shared" ca="1" si="67"/>
        <v>0</v>
      </c>
      <c r="W125" s="109">
        <f t="shared" ca="1" si="67"/>
        <v>0</v>
      </c>
      <c r="X125" s="109">
        <f t="shared" ca="1" si="67"/>
        <v>0</v>
      </c>
    </row>
    <row r="126" spans="2:24">
      <c r="G126" s="5"/>
      <c r="H126" s="5"/>
      <c r="I126" s="5"/>
      <c r="J126" s="5"/>
      <c r="K126" s="109"/>
    </row>
    <row r="127" spans="2:24" ht="14.5">
      <c r="B127" s="149" t="s">
        <v>615</v>
      </c>
      <c r="C127" s="216"/>
      <c r="D127" s="216"/>
      <c r="E127" s="216"/>
      <c r="F127" s="216"/>
      <c r="G127" s="214">
        <f t="shared" ref="G127:X127" ca="1" si="68">LataProjekcji</f>
        <v>0</v>
      </c>
      <c r="H127" s="214">
        <f t="shared" ca="1" si="68"/>
        <v>0</v>
      </c>
      <c r="I127" s="214">
        <f t="shared" ca="1" si="68"/>
        <v>0</v>
      </c>
      <c r="J127" s="215" t="str">
        <f t="shared" si="68"/>
        <v/>
      </c>
      <c r="K127" s="214" t="str">
        <f t="shared" si="68"/>
        <v>Uzupełnij dane</v>
      </c>
      <c r="L127" s="214" t="str">
        <f t="shared" si="68"/>
        <v/>
      </c>
      <c r="M127" s="214" t="str">
        <f t="shared" si="68"/>
        <v/>
      </c>
      <c r="N127" s="214" t="str">
        <f t="shared" si="68"/>
        <v/>
      </c>
      <c r="O127" s="214" t="str">
        <f t="shared" si="68"/>
        <v/>
      </c>
      <c r="P127" s="214" t="str">
        <f t="shared" si="68"/>
        <v/>
      </c>
      <c r="Q127" s="214" t="str">
        <f t="shared" si="68"/>
        <v/>
      </c>
      <c r="R127" s="214" t="str">
        <f t="shared" si="68"/>
        <v/>
      </c>
      <c r="S127" s="214" t="str">
        <f t="shared" si="68"/>
        <v/>
      </c>
      <c r="T127" s="214" t="str">
        <f t="shared" si="68"/>
        <v/>
      </c>
      <c r="U127" s="214" t="str">
        <f t="shared" si="68"/>
        <v/>
      </c>
      <c r="V127" s="214" t="str">
        <f t="shared" si="68"/>
        <v/>
      </c>
      <c r="W127" s="214" t="str">
        <f t="shared" si="68"/>
        <v/>
      </c>
      <c r="X127" s="214" t="str">
        <f t="shared" si="68"/>
        <v/>
      </c>
    </row>
    <row r="128" spans="2:24">
      <c r="H128" s="5"/>
      <c r="V128" s="3"/>
      <c r="W128" s="3"/>
      <c r="X128" s="3"/>
    </row>
    <row r="129" spans="2:24">
      <c r="B129" s="29" t="s">
        <v>616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617</v>
      </c>
      <c r="C130" s="19" t="s">
        <v>618</v>
      </c>
      <c r="D130" s="19" t="s">
        <v>619</v>
      </c>
      <c r="E130" s="19"/>
      <c r="F130" s="19"/>
      <c r="G130" s="168" t="str">
        <f t="shared" ref="G130:X130" si="69">IFERROR(ROUND((G29/G15),4),"bd.")</f>
        <v>bd.</v>
      </c>
      <c r="H130" s="168" t="str">
        <f t="shared" si="69"/>
        <v>bd.</v>
      </c>
      <c r="I130" s="168" t="str">
        <f t="shared" si="69"/>
        <v>bd.</v>
      </c>
      <c r="J130" s="168" t="str">
        <f t="shared" si="69"/>
        <v>bd.</v>
      </c>
      <c r="K130" s="168" t="str">
        <f t="shared" si="69"/>
        <v>bd.</v>
      </c>
      <c r="L130" s="168" t="str">
        <f t="shared" ca="1" si="69"/>
        <v>bd.</v>
      </c>
      <c r="M130" s="168" t="str">
        <f t="shared" ca="1" si="69"/>
        <v>bd.</v>
      </c>
      <c r="N130" s="168" t="str">
        <f t="shared" ca="1" si="69"/>
        <v>bd.</v>
      </c>
      <c r="O130" s="168" t="str">
        <f t="shared" ca="1" si="69"/>
        <v>bd.</v>
      </c>
      <c r="P130" s="168" t="str">
        <f t="shared" ca="1" si="69"/>
        <v>bd.</v>
      </c>
      <c r="Q130" s="168" t="str">
        <f t="shared" ca="1" si="69"/>
        <v>bd.</v>
      </c>
      <c r="R130" s="168" t="str">
        <f t="shared" ca="1" si="69"/>
        <v>bd.</v>
      </c>
      <c r="S130" s="168" t="str">
        <f t="shared" ca="1" si="69"/>
        <v>bd.</v>
      </c>
      <c r="T130" s="168" t="str">
        <f t="shared" ca="1" si="69"/>
        <v>bd.</v>
      </c>
      <c r="U130" s="168" t="str">
        <f t="shared" ca="1" si="69"/>
        <v>bd.</v>
      </c>
      <c r="V130" s="168" t="str">
        <f t="shared" ca="1" si="69"/>
        <v>bd.</v>
      </c>
      <c r="W130" s="168" t="str">
        <f t="shared" ca="1" si="69"/>
        <v>bd.</v>
      </c>
      <c r="X130" s="168" t="str">
        <f t="shared" ca="1" si="69"/>
        <v>bd.</v>
      </c>
    </row>
    <row r="131" spans="2:24">
      <c r="B131" s="37" t="s">
        <v>620</v>
      </c>
      <c r="C131" s="52" t="s">
        <v>621</v>
      </c>
      <c r="D131" s="52" t="s">
        <v>619</v>
      </c>
      <c r="E131" s="52"/>
      <c r="F131" s="52"/>
      <c r="G131" s="167" t="str">
        <f t="shared" ref="G131:X131" si="70">IFERROR(ROUND((G42/G15),4),"bd.")</f>
        <v>bd.</v>
      </c>
      <c r="H131" s="167" t="str">
        <f t="shared" si="70"/>
        <v>bd.</v>
      </c>
      <c r="I131" s="167" t="str">
        <f t="shared" si="70"/>
        <v>bd.</v>
      </c>
      <c r="J131" s="167" t="str">
        <f t="shared" si="70"/>
        <v>bd.</v>
      </c>
      <c r="K131" s="167" t="str">
        <f t="shared" si="70"/>
        <v>bd.</v>
      </c>
      <c r="L131" s="167" t="str">
        <f t="shared" ca="1" si="70"/>
        <v>bd.</v>
      </c>
      <c r="M131" s="167" t="str">
        <f t="shared" ca="1" si="70"/>
        <v>bd.</v>
      </c>
      <c r="N131" s="167" t="str">
        <f t="shared" ca="1" si="70"/>
        <v>bd.</v>
      </c>
      <c r="O131" s="167" t="str">
        <f t="shared" ca="1" si="70"/>
        <v>bd.</v>
      </c>
      <c r="P131" s="167" t="str">
        <f t="shared" ca="1" si="70"/>
        <v>bd.</v>
      </c>
      <c r="Q131" s="167" t="str">
        <f t="shared" ca="1" si="70"/>
        <v>bd.</v>
      </c>
      <c r="R131" s="167" t="str">
        <f t="shared" ca="1" si="70"/>
        <v>bd.</v>
      </c>
      <c r="S131" s="167" t="str">
        <f t="shared" ca="1" si="70"/>
        <v>bd.</v>
      </c>
      <c r="T131" s="167" t="str">
        <f t="shared" ca="1" si="70"/>
        <v>bd.</v>
      </c>
      <c r="U131" s="167" t="str">
        <f t="shared" ca="1" si="70"/>
        <v>bd.</v>
      </c>
      <c r="V131" s="167" t="str">
        <f t="shared" ca="1" si="70"/>
        <v>bd.</v>
      </c>
      <c r="W131" s="167" t="str">
        <f t="shared" ca="1" si="70"/>
        <v>bd.</v>
      </c>
      <c r="X131" s="167" t="str">
        <f t="shared" ca="1" si="70"/>
        <v>bd.</v>
      </c>
    </row>
    <row r="132" spans="2:24">
      <c r="B132" s="37" t="s">
        <v>622</v>
      </c>
      <c r="C132" s="52" t="s">
        <v>623</v>
      </c>
      <c r="D132" s="52" t="s">
        <v>624</v>
      </c>
      <c r="E132" s="52"/>
      <c r="F132" s="52"/>
      <c r="G132" s="167" t="str">
        <f t="shared" ref="G132:X132" si="71">IFERROR(ROUND((G42/G73),4),"bd.")</f>
        <v>bd.</v>
      </c>
      <c r="H132" s="167" t="str">
        <f t="shared" si="71"/>
        <v>bd.</v>
      </c>
      <c r="I132" s="167" t="str">
        <f t="shared" si="71"/>
        <v>bd.</v>
      </c>
      <c r="J132" s="167" t="str">
        <f t="shared" si="71"/>
        <v>bd.</v>
      </c>
      <c r="K132" s="167" t="str">
        <f t="shared" ca="1" si="71"/>
        <v>bd.</v>
      </c>
      <c r="L132" s="167" t="str">
        <f t="shared" ca="1" si="71"/>
        <v>bd.</v>
      </c>
      <c r="M132" s="167" t="str">
        <f t="shared" ca="1" si="71"/>
        <v>bd.</v>
      </c>
      <c r="N132" s="167" t="str">
        <f t="shared" ca="1" si="71"/>
        <v>bd.</v>
      </c>
      <c r="O132" s="167" t="str">
        <f t="shared" ca="1" si="71"/>
        <v>bd.</v>
      </c>
      <c r="P132" s="167" t="str">
        <f t="shared" ca="1" si="71"/>
        <v>bd.</v>
      </c>
      <c r="Q132" s="167" t="str">
        <f t="shared" ca="1" si="71"/>
        <v>bd.</v>
      </c>
      <c r="R132" s="167" t="str">
        <f t="shared" ca="1" si="71"/>
        <v>bd.</v>
      </c>
      <c r="S132" s="167" t="str">
        <f t="shared" ca="1" si="71"/>
        <v>bd.</v>
      </c>
      <c r="T132" s="167" t="str">
        <f t="shared" ca="1" si="71"/>
        <v>bd.</v>
      </c>
      <c r="U132" s="167" t="str">
        <f t="shared" ca="1" si="71"/>
        <v>bd.</v>
      </c>
      <c r="V132" s="167" t="str">
        <f t="shared" ca="1" si="71"/>
        <v>bd.</v>
      </c>
      <c r="W132" s="167" t="str">
        <f t="shared" ca="1" si="71"/>
        <v>bd.</v>
      </c>
      <c r="X132" s="167" t="str">
        <f t="shared" ca="1" si="71"/>
        <v>bd.</v>
      </c>
    </row>
    <row r="133" spans="2:24"/>
    <row r="134" spans="2:24">
      <c r="B134" s="29" t="s">
        <v>625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626</v>
      </c>
      <c r="C135" s="19" t="s">
        <v>627</v>
      </c>
      <c r="D135" s="19" t="s">
        <v>628</v>
      </c>
      <c r="E135" s="19"/>
      <c r="F135" s="19"/>
      <c r="G135" s="169" t="str">
        <f t="shared" ref="G135:X135" si="72">IFERROR(ROUND(G76/G94,4),"bd.")</f>
        <v>bd.</v>
      </c>
      <c r="H135" s="169" t="str">
        <f t="shared" si="72"/>
        <v>bd.</v>
      </c>
      <c r="I135" s="169" t="str">
        <f t="shared" si="72"/>
        <v>bd.</v>
      </c>
      <c r="J135" s="169" t="str">
        <f t="shared" si="72"/>
        <v>bd.</v>
      </c>
      <c r="K135" s="169" t="str">
        <f t="shared" ca="1" si="72"/>
        <v>bd.</v>
      </c>
      <c r="L135" s="169" t="str">
        <f t="shared" ca="1" si="72"/>
        <v>bd.</v>
      </c>
      <c r="M135" s="169" t="str">
        <f t="shared" ca="1" si="72"/>
        <v>bd.</v>
      </c>
      <c r="N135" s="169" t="str">
        <f t="shared" ca="1" si="72"/>
        <v>bd.</v>
      </c>
      <c r="O135" s="169" t="str">
        <f t="shared" ca="1" si="72"/>
        <v>bd.</v>
      </c>
      <c r="P135" s="169" t="str">
        <f t="shared" ca="1" si="72"/>
        <v>bd.</v>
      </c>
      <c r="Q135" s="169" t="str">
        <f t="shared" ca="1" si="72"/>
        <v>bd.</v>
      </c>
      <c r="R135" s="169" t="str">
        <f t="shared" ca="1" si="72"/>
        <v>bd.</v>
      </c>
      <c r="S135" s="169" t="str">
        <f t="shared" ca="1" si="72"/>
        <v>bd.</v>
      </c>
      <c r="T135" s="169" t="str">
        <f t="shared" ca="1" si="72"/>
        <v>bd.</v>
      </c>
      <c r="U135" s="169" t="str">
        <f t="shared" ca="1" si="72"/>
        <v>bd.</v>
      </c>
      <c r="V135" s="169" t="str">
        <f t="shared" ca="1" si="72"/>
        <v>bd.</v>
      </c>
      <c r="W135" s="169" t="str">
        <f t="shared" ca="1" si="72"/>
        <v>bd.</v>
      </c>
      <c r="X135" s="169" t="str">
        <f t="shared" ca="1" si="72"/>
        <v>bd.</v>
      </c>
    </row>
    <row r="136" spans="2:24">
      <c r="B136" s="37" t="s">
        <v>629</v>
      </c>
      <c r="C136" s="52" t="s">
        <v>630</v>
      </c>
      <c r="D136" s="52" t="s">
        <v>783</v>
      </c>
      <c r="E136" s="52"/>
      <c r="F136" s="52"/>
      <c r="G136" s="170" t="str">
        <f t="shared" ref="G136:X136" si="73">IFERROR(ROUND((G76+G84+G83+G91)/G47,4),"bd.")</f>
        <v>bd.</v>
      </c>
      <c r="H136" s="170" t="str">
        <f t="shared" si="73"/>
        <v>bd.</v>
      </c>
      <c r="I136" s="170" t="str">
        <f t="shared" si="73"/>
        <v>bd.</v>
      </c>
      <c r="J136" s="170" t="str">
        <f t="shared" si="73"/>
        <v>bd.</v>
      </c>
      <c r="K136" s="170" t="str">
        <f t="shared" ca="1" si="73"/>
        <v>bd.</v>
      </c>
      <c r="L136" s="170" t="str">
        <f t="shared" ca="1" si="73"/>
        <v>bd.</v>
      </c>
      <c r="M136" s="170" t="str">
        <f t="shared" ca="1" si="73"/>
        <v>bd.</v>
      </c>
      <c r="N136" s="170" t="str">
        <f t="shared" ca="1" si="73"/>
        <v>bd.</v>
      </c>
      <c r="O136" s="170" t="str">
        <f t="shared" ca="1" si="73"/>
        <v>bd.</v>
      </c>
      <c r="P136" s="170" t="str">
        <f t="shared" ca="1" si="73"/>
        <v>bd.</v>
      </c>
      <c r="Q136" s="170" t="str">
        <f t="shared" ca="1" si="73"/>
        <v>bd.</v>
      </c>
      <c r="R136" s="170" t="str">
        <f t="shared" ca="1" si="73"/>
        <v>bd.</v>
      </c>
      <c r="S136" s="170" t="str">
        <f t="shared" ca="1" si="73"/>
        <v>bd.</v>
      </c>
      <c r="T136" s="170" t="str">
        <f t="shared" ca="1" si="73"/>
        <v>bd.</v>
      </c>
      <c r="U136" s="170" t="str">
        <f t="shared" ca="1" si="73"/>
        <v>bd.</v>
      </c>
      <c r="V136" s="170" t="str">
        <f t="shared" ca="1" si="73"/>
        <v>bd.</v>
      </c>
      <c r="W136" s="170" t="str">
        <f t="shared" ca="1" si="73"/>
        <v>bd.</v>
      </c>
      <c r="X136" s="170" t="str">
        <f t="shared" ca="1" si="73"/>
        <v>bd.</v>
      </c>
    </row>
    <row r="137" spans="2:24">
      <c r="B137" s="37" t="s">
        <v>632</v>
      </c>
      <c r="C137" s="52" t="s">
        <v>633</v>
      </c>
      <c r="D137" s="52" t="s">
        <v>631</v>
      </c>
      <c r="E137" s="52"/>
      <c r="F137" s="52"/>
      <c r="G137" s="170" t="str">
        <f t="shared" ref="G137:X137" si="74">IFERROR(ROUND(G82/G94,4),"bd.")</f>
        <v>bd.</v>
      </c>
      <c r="H137" s="170" t="str">
        <f t="shared" si="74"/>
        <v>bd.</v>
      </c>
      <c r="I137" s="170" t="str">
        <f t="shared" si="74"/>
        <v>bd.</v>
      </c>
      <c r="J137" s="170" t="str">
        <f t="shared" si="74"/>
        <v>bd.</v>
      </c>
      <c r="K137" s="170" t="str">
        <f t="shared" ca="1" si="74"/>
        <v>bd.</v>
      </c>
      <c r="L137" s="170" t="str">
        <f t="shared" ca="1" si="74"/>
        <v>bd.</v>
      </c>
      <c r="M137" s="170" t="str">
        <f t="shared" ca="1" si="74"/>
        <v>bd.</v>
      </c>
      <c r="N137" s="170" t="str">
        <f t="shared" ca="1" si="74"/>
        <v>bd.</v>
      </c>
      <c r="O137" s="170" t="str">
        <f t="shared" ca="1" si="74"/>
        <v>bd.</v>
      </c>
      <c r="P137" s="170" t="str">
        <f t="shared" ca="1" si="74"/>
        <v>bd.</v>
      </c>
      <c r="Q137" s="170" t="str">
        <f t="shared" ca="1" si="74"/>
        <v>bd.</v>
      </c>
      <c r="R137" s="170" t="str">
        <f t="shared" ca="1" si="74"/>
        <v>bd.</v>
      </c>
      <c r="S137" s="170" t="str">
        <f t="shared" ca="1" si="74"/>
        <v>bd.</v>
      </c>
      <c r="T137" s="170" t="str">
        <f t="shared" ca="1" si="74"/>
        <v>bd.</v>
      </c>
      <c r="U137" s="170" t="str">
        <f t="shared" ca="1" si="74"/>
        <v>bd.</v>
      </c>
      <c r="V137" s="170" t="str">
        <f t="shared" ca="1" si="74"/>
        <v>bd.</v>
      </c>
      <c r="W137" s="170" t="str">
        <f t="shared" ca="1" si="74"/>
        <v>bd.</v>
      </c>
      <c r="X137" s="170" t="str">
        <f t="shared" ca="1" si="74"/>
        <v>bd.</v>
      </c>
    </row>
    <row r="138" spans="2:24">
      <c r="B138" s="37" t="s">
        <v>634</v>
      </c>
      <c r="C138" s="52" t="s">
        <v>635</v>
      </c>
      <c r="D138" s="52" t="s">
        <v>636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637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638</v>
      </c>
      <c r="C141" s="19" t="s">
        <v>639</v>
      </c>
      <c r="D141" s="19" t="s">
        <v>636</v>
      </c>
      <c r="E141" s="19"/>
      <c r="F141" s="19"/>
      <c r="G141" s="172" t="str">
        <f t="shared" ref="G141:X141" si="75">IFERROR(ROUND(G65/G87,4),"bd.")</f>
        <v>bd.</v>
      </c>
      <c r="H141" s="172" t="str">
        <f t="shared" si="75"/>
        <v>bd.</v>
      </c>
      <c r="I141" s="172" t="str">
        <f t="shared" si="75"/>
        <v>bd.</v>
      </c>
      <c r="J141" s="172" t="str">
        <f t="shared" si="75"/>
        <v>bd.</v>
      </c>
      <c r="K141" s="172" t="str">
        <f t="shared" ca="1" si="75"/>
        <v>bd.</v>
      </c>
      <c r="L141" s="172" t="str">
        <f t="shared" ca="1" si="75"/>
        <v>bd.</v>
      </c>
      <c r="M141" s="172" t="str">
        <f t="shared" ca="1" si="75"/>
        <v>bd.</v>
      </c>
      <c r="N141" s="172" t="str">
        <f t="shared" ca="1" si="75"/>
        <v>bd.</v>
      </c>
      <c r="O141" s="172" t="str">
        <f t="shared" ca="1" si="75"/>
        <v>bd.</v>
      </c>
      <c r="P141" s="172" t="str">
        <f t="shared" ca="1" si="75"/>
        <v>bd.</v>
      </c>
      <c r="Q141" s="172" t="str">
        <f t="shared" ca="1" si="75"/>
        <v>bd.</v>
      </c>
      <c r="R141" s="172" t="str">
        <f t="shared" ca="1" si="75"/>
        <v>bd.</v>
      </c>
      <c r="S141" s="172" t="str">
        <f t="shared" ca="1" si="75"/>
        <v>bd.</v>
      </c>
      <c r="T141" s="172" t="str">
        <f t="shared" ca="1" si="75"/>
        <v>bd.</v>
      </c>
      <c r="U141" s="172" t="str">
        <f t="shared" ca="1" si="75"/>
        <v>bd.</v>
      </c>
      <c r="V141" s="172" t="str">
        <f t="shared" ca="1" si="75"/>
        <v>bd.</v>
      </c>
      <c r="W141" s="172" t="str">
        <f t="shared" ca="1" si="75"/>
        <v>bd.</v>
      </c>
      <c r="X141" s="172" t="str">
        <f t="shared" ca="1" si="75"/>
        <v>bd.</v>
      </c>
    </row>
    <row r="142" spans="2:24">
      <c r="B142" s="37" t="s">
        <v>640</v>
      </c>
      <c r="C142" s="52" t="s">
        <v>641</v>
      </c>
      <c r="D142" s="52" t="s">
        <v>642</v>
      </c>
      <c r="E142" s="52"/>
      <c r="F142" s="52"/>
      <c r="G142" s="171" t="str">
        <f t="shared" ref="G142:X142" si="76">IFERROR(ROUND((G65-G66)/G87,4),"bd.")</f>
        <v>bd.</v>
      </c>
      <c r="H142" s="171" t="str">
        <f t="shared" si="76"/>
        <v>bd.</v>
      </c>
      <c r="I142" s="171" t="str">
        <f t="shared" si="76"/>
        <v>bd.</v>
      </c>
      <c r="J142" s="171" t="str">
        <f t="shared" si="76"/>
        <v>bd.</v>
      </c>
      <c r="K142" s="171" t="str">
        <f t="shared" ca="1" si="76"/>
        <v>bd.</v>
      </c>
      <c r="L142" s="171" t="str">
        <f t="shared" ca="1" si="76"/>
        <v>bd.</v>
      </c>
      <c r="M142" s="171" t="str">
        <f t="shared" ca="1" si="76"/>
        <v>bd.</v>
      </c>
      <c r="N142" s="171" t="str">
        <f t="shared" ca="1" si="76"/>
        <v>bd.</v>
      </c>
      <c r="O142" s="171" t="str">
        <f t="shared" ca="1" si="76"/>
        <v>bd.</v>
      </c>
      <c r="P142" s="171" t="str">
        <f t="shared" ca="1" si="76"/>
        <v>bd.</v>
      </c>
      <c r="Q142" s="171" t="str">
        <f t="shared" ca="1" si="76"/>
        <v>bd.</v>
      </c>
      <c r="R142" s="171" t="str">
        <f t="shared" ca="1" si="76"/>
        <v>bd.</v>
      </c>
      <c r="S142" s="171" t="str">
        <f t="shared" ca="1" si="76"/>
        <v>bd.</v>
      </c>
      <c r="T142" s="171" t="str">
        <f t="shared" ca="1" si="76"/>
        <v>bd.</v>
      </c>
      <c r="U142" s="171" t="str">
        <f t="shared" ca="1" si="76"/>
        <v>bd.</v>
      </c>
      <c r="V142" s="171" t="str">
        <f t="shared" ca="1" si="76"/>
        <v>bd.</v>
      </c>
      <c r="W142" s="171" t="str">
        <f t="shared" ca="1" si="76"/>
        <v>bd.</v>
      </c>
      <c r="X142" s="171" t="str">
        <f t="shared" ca="1" si="76"/>
        <v>bd.</v>
      </c>
    </row>
    <row r="143" spans="2:24"/>
    <row r="144" spans="2:24">
      <c r="B144" s="29" t="s">
        <v>643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644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645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646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647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648</v>
      </c>
      <c r="C150" s="19" t="s">
        <v>649</v>
      </c>
      <c r="D150" s="19" t="s">
        <v>650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651</v>
      </c>
      <c r="C151" s="52" t="s">
        <v>652</v>
      </c>
      <c r="D151" s="52" t="s">
        <v>636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5">
      <c r="B156" s="32" t="s">
        <v>294</v>
      </c>
      <c r="C156" s="36"/>
      <c r="D156" s="36"/>
      <c r="E156" s="36"/>
      <c r="F156" s="36"/>
      <c r="G156" s="32">
        <f t="shared" ref="G156:X156" ca="1" si="77">LataProjekcji</f>
        <v>0</v>
      </c>
      <c r="H156" s="32">
        <f t="shared" ca="1" si="77"/>
        <v>0</v>
      </c>
      <c r="I156" s="32">
        <f t="shared" ca="1" si="77"/>
        <v>0</v>
      </c>
      <c r="J156" s="47" t="str">
        <f t="shared" si="77"/>
        <v/>
      </c>
      <c r="K156" s="32" t="str">
        <f t="shared" si="77"/>
        <v>Uzupełnij dane</v>
      </c>
      <c r="L156" s="32" t="str">
        <f t="shared" si="77"/>
        <v/>
      </c>
      <c r="M156" s="32" t="str">
        <f t="shared" si="77"/>
        <v/>
      </c>
      <c r="N156" s="32" t="str">
        <f t="shared" si="77"/>
        <v/>
      </c>
      <c r="O156" s="32" t="str">
        <f t="shared" si="77"/>
        <v/>
      </c>
      <c r="P156" s="32" t="str">
        <f t="shared" si="77"/>
        <v/>
      </c>
      <c r="Q156" s="32" t="str">
        <f t="shared" si="77"/>
        <v/>
      </c>
      <c r="R156" s="32" t="str">
        <f t="shared" si="77"/>
        <v/>
      </c>
      <c r="S156" s="32" t="str">
        <f t="shared" si="77"/>
        <v/>
      </c>
      <c r="T156" s="32" t="str">
        <f t="shared" si="77"/>
        <v/>
      </c>
      <c r="U156" s="32" t="str">
        <f t="shared" si="77"/>
        <v/>
      </c>
      <c r="V156" s="32" t="str">
        <f t="shared" si="77"/>
        <v/>
      </c>
      <c r="W156" s="32" t="str">
        <f t="shared" si="77"/>
        <v/>
      </c>
      <c r="X156" s="32" t="str">
        <f t="shared" si="77"/>
        <v/>
      </c>
    </row>
    <row r="157" spans="2:24"/>
    <row r="158" spans="2:24" ht="14.5">
      <c r="B158" s="150" t="s">
        <v>517</v>
      </c>
    </row>
    <row r="159" spans="2:24">
      <c r="B159" s="95" t="s">
        <v>518</v>
      </c>
      <c r="C159" s="96" t="s">
        <v>519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78">SUM(L160:L163)</f>
        <v>0</v>
      </c>
      <c r="M159" s="97">
        <f t="shared" si="78"/>
        <v>0</v>
      </c>
      <c r="N159" s="97">
        <f t="shared" si="78"/>
        <v>0</v>
      </c>
      <c r="O159" s="97">
        <f t="shared" si="78"/>
        <v>0</v>
      </c>
      <c r="P159" s="97">
        <f t="shared" si="78"/>
        <v>0</v>
      </c>
      <c r="Q159" s="97">
        <f t="shared" si="78"/>
        <v>0</v>
      </c>
      <c r="R159" s="97">
        <f t="shared" si="78"/>
        <v>0</v>
      </c>
      <c r="S159" s="97">
        <f t="shared" si="78"/>
        <v>0</v>
      </c>
      <c r="T159" s="97">
        <f t="shared" si="78"/>
        <v>0</v>
      </c>
      <c r="U159" s="97">
        <f t="shared" si="78"/>
        <v>0</v>
      </c>
      <c r="V159" s="97">
        <f t="shared" si="78"/>
        <v>0</v>
      </c>
      <c r="W159" s="97">
        <f t="shared" si="78"/>
        <v>0</v>
      </c>
      <c r="X159" s="97">
        <f t="shared" si="78"/>
        <v>0</v>
      </c>
    </row>
    <row r="160" spans="2:24">
      <c r="B160" s="93" t="s">
        <v>520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521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522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523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524</v>
      </c>
      <c r="D164" s="96"/>
      <c r="E164" s="96"/>
      <c r="F164" s="96"/>
      <c r="G164" s="97"/>
      <c r="H164" s="97"/>
      <c r="I164" s="97"/>
      <c r="J164" s="97"/>
      <c r="K164" s="97">
        <f t="shared" ref="K164:X164" si="79">SUM(K165:K172)</f>
        <v>0</v>
      </c>
      <c r="L164" s="97">
        <f t="shared" ca="1" si="79"/>
        <v>0</v>
      </c>
      <c r="M164" s="97">
        <f t="shared" ca="1" si="79"/>
        <v>0</v>
      </c>
      <c r="N164" s="97">
        <f t="shared" ca="1" si="79"/>
        <v>0</v>
      </c>
      <c r="O164" s="97">
        <f t="shared" ca="1" si="79"/>
        <v>0</v>
      </c>
      <c r="P164" s="97">
        <f t="shared" ca="1" si="79"/>
        <v>0</v>
      </c>
      <c r="Q164" s="97">
        <f t="shared" ca="1" si="79"/>
        <v>0</v>
      </c>
      <c r="R164" s="97">
        <f t="shared" ca="1" si="79"/>
        <v>0</v>
      </c>
      <c r="S164" s="97">
        <f t="shared" ca="1" si="79"/>
        <v>0</v>
      </c>
      <c r="T164" s="97">
        <f t="shared" ca="1" si="79"/>
        <v>0</v>
      </c>
      <c r="U164" s="97">
        <f t="shared" ca="1" si="79"/>
        <v>0</v>
      </c>
      <c r="V164" s="97">
        <f t="shared" ca="1" si="79"/>
        <v>0</v>
      </c>
      <c r="W164" s="97">
        <f t="shared" ca="1" si="79"/>
        <v>0</v>
      </c>
      <c r="X164" s="97">
        <f t="shared" ca="1" si="79"/>
        <v>0</v>
      </c>
    </row>
    <row r="165" spans="2:24">
      <c r="B165" s="93" t="s">
        <v>525</v>
      </c>
      <c r="C165" s="19" t="s">
        <v>526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527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528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529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530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531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532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533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534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0">K159-K164</f>
        <v>0</v>
      </c>
      <c r="L173" s="97">
        <f t="shared" ca="1" si="80"/>
        <v>0</v>
      </c>
      <c r="M173" s="97">
        <f t="shared" ca="1" si="80"/>
        <v>0</v>
      </c>
      <c r="N173" s="97">
        <f t="shared" ca="1" si="80"/>
        <v>0</v>
      </c>
      <c r="O173" s="97">
        <f t="shared" ca="1" si="80"/>
        <v>0</v>
      </c>
      <c r="P173" s="97">
        <f t="shared" ca="1" si="80"/>
        <v>0</v>
      </c>
      <c r="Q173" s="97">
        <f t="shared" ca="1" si="80"/>
        <v>0</v>
      </c>
      <c r="R173" s="97">
        <f t="shared" ca="1" si="80"/>
        <v>0</v>
      </c>
      <c r="S173" s="97">
        <f t="shared" ca="1" si="80"/>
        <v>0</v>
      </c>
      <c r="T173" s="97">
        <f t="shared" ca="1" si="80"/>
        <v>0</v>
      </c>
      <c r="U173" s="97">
        <f t="shared" ca="1" si="80"/>
        <v>0</v>
      </c>
      <c r="V173" s="97">
        <f t="shared" ca="1" si="80"/>
        <v>0</v>
      </c>
      <c r="W173" s="97">
        <f t="shared" ca="1" si="80"/>
        <v>0</v>
      </c>
      <c r="X173" s="97">
        <f t="shared" ca="1" si="80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535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dotacji'!K252,0)</f>
        <v>0</v>
      </c>
      <c r="L175" s="33">
        <f ca="1">ROUND('Rozliczenie dotacji'!L252,0)</f>
        <v>0</v>
      </c>
      <c r="M175" s="33">
        <f ca="1">ROUND('Rozliczenie dotacji'!M252,0)</f>
        <v>0</v>
      </c>
      <c r="N175" s="33">
        <f ca="1">ROUND('Rozliczenie dotacji'!N252,0)</f>
        <v>0</v>
      </c>
      <c r="O175" s="33">
        <f ca="1">ROUND('Rozliczenie dotacji'!O252,0)</f>
        <v>0</v>
      </c>
      <c r="P175" s="33">
        <f ca="1">ROUND('Rozliczenie dotacji'!P252,0)</f>
        <v>0</v>
      </c>
      <c r="Q175" s="33">
        <f ca="1">ROUND('Rozliczenie dotacji'!Q252,0)</f>
        <v>0</v>
      </c>
      <c r="R175" s="33">
        <f ca="1">ROUND('Rozliczenie dotacji'!R252,0)</f>
        <v>0</v>
      </c>
      <c r="S175" s="33">
        <f ca="1">ROUND('Rozliczenie dotacji'!S252,0)</f>
        <v>0</v>
      </c>
      <c r="T175" s="33">
        <f ca="1">ROUND('Rozliczenie dotacji'!T252,0)</f>
        <v>0</v>
      </c>
      <c r="U175" s="33">
        <f ca="1">ROUND('Rozliczenie dotacji'!U252,0)</f>
        <v>0</v>
      </c>
      <c r="V175" s="33">
        <f ca="1">ROUND('Rozliczenie dotacji'!V252,0)</f>
        <v>0</v>
      </c>
      <c r="W175" s="33">
        <f ca="1">ROUND('Rozliczenie dotacji'!W252,0)</f>
        <v>0</v>
      </c>
      <c r="X175" s="33">
        <f ca="1">ROUND('Rozliczenie dotacji'!X252,0)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536</v>
      </c>
      <c r="C177" s="96" t="s">
        <v>537</v>
      </c>
      <c r="D177" s="96"/>
      <c r="E177" s="96"/>
      <c r="F177" s="96"/>
      <c r="G177" s="97"/>
      <c r="H177" s="97"/>
      <c r="I177" s="97"/>
      <c r="J177" s="97"/>
      <c r="K177" s="97">
        <f t="shared" ref="K177:X177" si="81">K173+K174-K176</f>
        <v>0</v>
      </c>
      <c r="L177" s="97">
        <f t="shared" ca="1" si="81"/>
        <v>0</v>
      </c>
      <c r="M177" s="97">
        <f t="shared" ca="1" si="81"/>
        <v>0</v>
      </c>
      <c r="N177" s="97">
        <f t="shared" ca="1" si="81"/>
        <v>0</v>
      </c>
      <c r="O177" s="97">
        <f t="shared" ca="1" si="81"/>
        <v>0</v>
      </c>
      <c r="P177" s="97">
        <f t="shared" ca="1" si="81"/>
        <v>0</v>
      </c>
      <c r="Q177" s="97">
        <f t="shared" ca="1" si="81"/>
        <v>0</v>
      </c>
      <c r="R177" s="97">
        <f t="shared" ca="1" si="81"/>
        <v>0</v>
      </c>
      <c r="S177" s="97">
        <f t="shared" ca="1" si="81"/>
        <v>0</v>
      </c>
      <c r="T177" s="97">
        <f t="shared" ca="1" si="81"/>
        <v>0</v>
      </c>
      <c r="U177" s="97">
        <f t="shared" ca="1" si="81"/>
        <v>0</v>
      </c>
      <c r="V177" s="97">
        <f t="shared" ca="1" si="81"/>
        <v>0</v>
      </c>
      <c r="W177" s="97">
        <f t="shared" ca="1" si="81"/>
        <v>0</v>
      </c>
      <c r="X177" s="97">
        <f t="shared" ca="1" si="81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538</v>
      </c>
      <c r="C180" s="89" t="s">
        <v>539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540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2">K177+K178-K179</f>
        <v>0</v>
      </c>
      <c r="L181" s="97">
        <f t="shared" ca="1" si="82"/>
        <v>0</v>
      </c>
      <c r="M181" s="97">
        <f t="shared" ca="1" si="82"/>
        <v>0</v>
      </c>
      <c r="N181" s="97">
        <f t="shared" ca="1" si="82"/>
        <v>0</v>
      </c>
      <c r="O181" s="97">
        <f t="shared" ca="1" si="82"/>
        <v>0</v>
      </c>
      <c r="P181" s="97">
        <f t="shared" ca="1" si="82"/>
        <v>0</v>
      </c>
      <c r="Q181" s="97">
        <f t="shared" ca="1" si="82"/>
        <v>0</v>
      </c>
      <c r="R181" s="97">
        <f t="shared" ca="1" si="82"/>
        <v>0</v>
      </c>
      <c r="S181" s="97">
        <f t="shared" ca="1" si="82"/>
        <v>0</v>
      </c>
      <c r="T181" s="97">
        <f t="shared" ca="1" si="82"/>
        <v>0</v>
      </c>
      <c r="U181" s="97">
        <f t="shared" ca="1" si="82"/>
        <v>0</v>
      </c>
      <c r="V181" s="97">
        <f t="shared" ca="1" si="82"/>
        <v>0</v>
      </c>
      <c r="W181" s="97">
        <f t="shared" ca="1" si="82"/>
        <v>0</v>
      </c>
      <c r="X181" s="97">
        <f t="shared" ca="1" si="82"/>
        <v>0</v>
      </c>
    </row>
    <row r="182" spans="2:24">
      <c r="B182" s="7" t="s">
        <v>541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542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3">K181+K182</f>
        <v>0</v>
      </c>
      <c r="L183" s="97">
        <f t="shared" ca="1" si="83"/>
        <v>0</v>
      </c>
      <c r="M183" s="97">
        <f t="shared" ca="1" si="83"/>
        <v>0</v>
      </c>
      <c r="N183" s="97">
        <f t="shared" ca="1" si="83"/>
        <v>0</v>
      </c>
      <c r="O183" s="97">
        <f t="shared" ca="1" si="83"/>
        <v>0</v>
      </c>
      <c r="P183" s="97">
        <f t="shared" ca="1" si="83"/>
        <v>0</v>
      </c>
      <c r="Q183" s="97">
        <f t="shared" ca="1" si="83"/>
        <v>0</v>
      </c>
      <c r="R183" s="97">
        <f t="shared" ca="1" si="83"/>
        <v>0</v>
      </c>
      <c r="S183" s="97">
        <f t="shared" ca="1" si="83"/>
        <v>0</v>
      </c>
      <c r="T183" s="97">
        <f t="shared" ca="1" si="83"/>
        <v>0</v>
      </c>
      <c r="U183" s="97">
        <f t="shared" ca="1" si="83"/>
        <v>0</v>
      </c>
      <c r="V183" s="97">
        <f t="shared" ca="1" si="83"/>
        <v>0</v>
      </c>
      <c r="W183" s="97">
        <f t="shared" ca="1" si="83"/>
        <v>0</v>
      </c>
      <c r="X183" s="97">
        <f t="shared" ca="1" si="83"/>
        <v>0</v>
      </c>
    </row>
    <row r="184" spans="2:24">
      <c r="B184" s="17" t="s">
        <v>262</v>
      </c>
      <c r="C184" s="19"/>
      <c r="D184" s="19" t="s">
        <v>543</v>
      </c>
      <c r="E184" s="19"/>
      <c r="F184" s="19"/>
      <c r="G184" s="18"/>
      <c r="H184" s="18"/>
      <c r="I184" s="18"/>
      <c r="J184" s="18"/>
      <c r="K184" s="18">
        <f t="shared" ref="K184:X184" si="84">IF(K183&lt;=0,0,ROUND(K183*CIT,0))</f>
        <v>0</v>
      </c>
      <c r="L184" s="18">
        <f t="shared" ca="1" si="84"/>
        <v>0</v>
      </c>
      <c r="M184" s="18">
        <f t="shared" ca="1" si="84"/>
        <v>0</v>
      </c>
      <c r="N184" s="18">
        <f t="shared" ca="1" si="84"/>
        <v>0</v>
      </c>
      <c r="O184" s="18">
        <f t="shared" ca="1" si="84"/>
        <v>0</v>
      </c>
      <c r="P184" s="18">
        <f t="shared" ca="1" si="84"/>
        <v>0</v>
      </c>
      <c r="Q184" s="18">
        <f t="shared" ca="1" si="84"/>
        <v>0</v>
      </c>
      <c r="R184" s="18">
        <f t="shared" ca="1" si="84"/>
        <v>0</v>
      </c>
      <c r="S184" s="18">
        <f t="shared" ca="1" si="84"/>
        <v>0</v>
      </c>
      <c r="T184" s="18">
        <f t="shared" ca="1" si="84"/>
        <v>0</v>
      </c>
      <c r="U184" s="18">
        <f t="shared" ca="1" si="84"/>
        <v>0</v>
      </c>
      <c r="V184" s="18">
        <f t="shared" ca="1" si="84"/>
        <v>0</v>
      </c>
      <c r="W184" s="18">
        <f t="shared" ca="1" si="84"/>
        <v>0</v>
      </c>
      <c r="X184" s="18">
        <f t="shared" ca="1" si="84"/>
        <v>0</v>
      </c>
    </row>
    <row r="185" spans="2:24">
      <c r="B185" s="91" t="s">
        <v>544</v>
      </c>
      <c r="C185" s="89"/>
      <c r="D185" s="89" t="s">
        <v>543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545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85">L183-L184-L185</f>
        <v>0</v>
      </c>
      <c r="M186" s="97">
        <f t="shared" ca="1" si="85"/>
        <v>0</v>
      </c>
      <c r="N186" s="97">
        <f t="shared" ca="1" si="85"/>
        <v>0</v>
      </c>
      <c r="O186" s="97">
        <f t="shared" ca="1" si="85"/>
        <v>0</v>
      </c>
      <c r="P186" s="97">
        <f t="shared" ca="1" si="85"/>
        <v>0</v>
      </c>
      <c r="Q186" s="97">
        <f t="shared" ca="1" si="85"/>
        <v>0</v>
      </c>
      <c r="R186" s="97">
        <f t="shared" ca="1" si="85"/>
        <v>0</v>
      </c>
      <c r="S186" s="97">
        <f t="shared" ca="1" si="85"/>
        <v>0</v>
      </c>
      <c r="T186" s="97">
        <f t="shared" ca="1" si="85"/>
        <v>0</v>
      </c>
      <c r="U186" s="97">
        <f t="shared" ca="1" si="85"/>
        <v>0</v>
      </c>
      <c r="V186" s="97">
        <f t="shared" ca="1" si="85"/>
        <v>0</v>
      </c>
      <c r="W186" s="97">
        <f t="shared" ca="1" si="85"/>
        <v>0</v>
      </c>
      <c r="X186" s="97">
        <f t="shared" ca="1" si="85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5">
      <c r="B189" s="150" t="s">
        <v>546</v>
      </c>
    </row>
    <row r="190" spans="2:24" ht="13">
      <c r="B190" s="151" t="s">
        <v>547</v>
      </c>
      <c r="C190" s="217"/>
      <c r="D190" s="217"/>
      <c r="E190" s="217"/>
      <c r="F190" s="217"/>
      <c r="G190" s="220">
        <f t="shared" ref="G190:X190" ca="1" si="86">LataProjekcji</f>
        <v>0</v>
      </c>
      <c r="H190" s="220">
        <f t="shared" ca="1" si="86"/>
        <v>0</v>
      </c>
      <c r="I190" s="220">
        <f t="shared" ca="1" si="86"/>
        <v>0</v>
      </c>
      <c r="J190" s="221" t="str">
        <f t="shared" si="86"/>
        <v/>
      </c>
      <c r="K190" s="220" t="str">
        <f t="shared" si="86"/>
        <v>Uzupełnij dane</v>
      </c>
      <c r="L190" s="220" t="str">
        <f t="shared" si="86"/>
        <v/>
      </c>
      <c r="M190" s="220" t="str">
        <f t="shared" si="86"/>
        <v/>
      </c>
      <c r="N190" s="220" t="str">
        <f t="shared" si="86"/>
        <v/>
      </c>
      <c r="O190" s="220" t="str">
        <f t="shared" si="86"/>
        <v/>
      </c>
      <c r="P190" s="220" t="str">
        <f t="shared" si="86"/>
        <v/>
      </c>
      <c r="Q190" s="220" t="str">
        <f t="shared" si="86"/>
        <v/>
      </c>
      <c r="R190" s="220" t="str">
        <f t="shared" si="86"/>
        <v/>
      </c>
      <c r="S190" s="220" t="str">
        <f t="shared" si="86"/>
        <v/>
      </c>
      <c r="T190" s="220" t="str">
        <f t="shared" si="86"/>
        <v/>
      </c>
      <c r="U190" s="220" t="str">
        <f t="shared" si="86"/>
        <v/>
      </c>
      <c r="V190" s="220" t="str">
        <f t="shared" si="86"/>
        <v/>
      </c>
      <c r="W190" s="220" t="str">
        <f t="shared" si="86"/>
        <v/>
      </c>
      <c r="X190" s="220" t="str">
        <f t="shared" si="86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87">K192+K197+K206+K207+K208</f>
        <v>0</v>
      </c>
      <c r="L191" s="97">
        <f t="shared" ca="1" si="87"/>
        <v>0</v>
      </c>
      <c r="M191" s="97">
        <f t="shared" ca="1" si="87"/>
        <v>0</v>
      </c>
      <c r="N191" s="97">
        <f t="shared" ca="1" si="87"/>
        <v>0</v>
      </c>
      <c r="O191" s="97">
        <f t="shared" ca="1" si="87"/>
        <v>0</v>
      </c>
      <c r="P191" s="97">
        <f t="shared" ca="1" si="87"/>
        <v>0</v>
      </c>
      <c r="Q191" s="97">
        <f t="shared" ca="1" si="87"/>
        <v>0</v>
      </c>
      <c r="R191" s="97">
        <f t="shared" ca="1" si="87"/>
        <v>0</v>
      </c>
      <c r="S191" s="97">
        <f t="shared" ca="1" si="87"/>
        <v>0</v>
      </c>
      <c r="T191" s="97">
        <f t="shared" ca="1" si="87"/>
        <v>0</v>
      </c>
      <c r="U191" s="97">
        <f t="shared" ca="1" si="87"/>
        <v>0</v>
      </c>
      <c r="V191" s="97">
        <f t="shared" ca="1" si="87"/>
        <v>0</v>
      </c>
      <c r="W191" s="97">
        <f t="shared" ca="1" si="87"/>
        <v>0</v>
      </c>
      <c r="X191" s="97">
        <f t="shared" ca="1" si="87"/>
        <v>0</v>
      </c>
    </row>
    <row r="192" spans="2:24">
      <c r="B192" s="103" t="s">
        <v>548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88">SUM(K193:K196)</f>
        <v>0</v>
      </c>
      <c r="L192" s="102">
        <f t="shared" ca="1" si="88"/>
        <v>0</v>
      </c>
      <c r="M192" s="102">
        <f t="shared" ca="1" si="88"/>
        <v>0</v>
      </c>
      <c r="N192" s="102">
        <f t="shared" ca="1" si="88"/>
        <v>0</v>
      </c>
      <c r="O192" s="102">
        <f t="shared" ca="1" si="88"/>
        <v>0</v>
      </c>
      <c r="P192" s="102">
        <f t="shared" ca="1" si="88"/>
        <v>0</v>
      </c>
      <c r="Q192" s="102">
        <f t="shared" ca="1" si="88"/>
        <v>0</v>
      </c>
      <c r="R192" s="102">
        <f t="shared" ca="1" si="88"/>
        <v>0</v>
      </c>
      <c r="S192" s="102">
        <f t="shared" ca="1" si="88"/>
        <v>0</v>
      </c>
      <c r="T192" s="102">
        <f t="shared" ca="1" si="88"/>
        <v>0</v>
      </c>
      <c r="U192" s="102">
        <f t="shared" ca="1" si="88"/>
        <v>0</v>
      </c>
      <c r="V192" s="102">
        <f t="shared" ca="1" si="88"/>
        <v>0</v>
      </c>
      <c r="W192" s="102">
        <f t="shared" ca="1" si="88"/>
        <v>0</v>
      </c>
      <c r="X192" s="102">
        <f t="shared" ca="1" si="88"/>
        <v>0</v>
      </c>
    </row>
    <row r="193" spans="2:24">
      <c r="B193" s="39" t="s">
        <v>549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550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551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552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553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89">SUM(K198+K204+K205)</f>
        <v>0</v>
      </c>
      <c r="L197" s="33">
        <f t="shared" ca="1" si="89"/>
        <v>0</v>
      </c>
      <c r="M197" s="33">
        <f t="shared" ca="1" si="89"/>
        <v>0</v>
      </c>
      <c r="N197" s="33">
        <f t="shared" ca="1" si="89"/>
        <v>0</v>
      </c>
      <c r="O197" s="33">
        <f t="shared" ca="1" si="89"/>
        <v>0</v>
      </c>
      <c r="P197" s="33">
        <f t="shared" ca="1" si="89"/>
        <v>0</v>
      </c>
      <c r="Q197" s="33">
        <f t="shared" ca="1" si="89"/>
        <v>0</v>
      </c>
      <c r="R197" s="33">
        <f t="shared" ca="1" si="89"/>
        <v>0</v>
      </c>
      <c r="S197" s="33">
        <f t="shared" ca="1" si="89"/>
        <v>0</v>
      </c>
      <c r="T197" s="33">
        <f t="shared" ca="1" si="89"/>
        <v>0</v>
      </c>
      <c r="U197" s="33">
        <f t="shared" ca="1" si="89"/>
        <v>0</v>
      </c>
      <c r="V197" s="33">
        <f t="shared" ca="1" si="89"/>
        <v>0</v>
      </c>
      <c r="W197" s="33">
        <f t="shared" ca="1" si="89"/>
        <v>0</v>
      </c>
      <c r="X197" s="33">
        <f t="shared" ca="1" si="89"/>
        <v>0</v>
      </c>
    </row>
    <row r="198" spans="2:24">
      <c r="B198" s="39" t="s">
        <v>554</v>
      </c>
      <c r="C198" s="40"/>
      <c r="D198" s="40"/>
      <c r="E198" s="40"/>
      <c r="F198" s="40"/>
      <c r="G198" s="41"/>
      <c r="H198" s="41"/>
      <c r="I198" s="41"/>
      <c r="K198" s="41">
        <f t="shared" ref="K198:X198" si="90">SUM(K199:K203)</f>
        <v>0</v>
      </c>
      <c r="L198" s="41">
        <f t="shared" ca="1" si="90"/>
        <v>0</v>
      </c>
      <c r="M198" s="41">
        <f t="shared" ca="1" si="90"/>
        <v>0</v>
      </c>
      <c r="N198" s="41">
        <f t="shared" ca="1" si="90"/>
        <v>0</v>
      </c>
      <c r="O198" s="41">
        <f t="shared" ca="1" si="90"/>
        <v>0</v>
      </c>
      <c r="P198" s="41">
        <f t="shared" ca="1" si="90"/>
        <v>0</v>
      </c>
      <c r="Q198" s="41">
        <f t="shared" ca="1" si="90"/>
        <v>0</v>
      </c>
      <c r="R198" s="41">
        <f t="shared" ca="1" si="90"/>
        <v>0</v>
      </c>
      <c r="S198" s="41">
        <f t="shared" ca="1" si="90"/>
        <v>0</v>
      </c>
      <c r="T198" s="41">
        <f t="shared" ca="1" si="90"/>
        <v>0</v>
      </c>
      <c r="U198" s="41">
        <f t="shared" ca="1" si="90"/>
        <v>0</v>
      </c>
      <c r="V198" s="41">
        <f t="shared" ca="1" si="90"/>
        <v>0</v>
      </c>
      <c r="W198" s="41">
        <f t="shared" ca="1" si="90"/>
        <v>0</v>
      </c>
      <c r="X198" s="41">
        <f t="shared" ca="1" si="90"/>
        <v>0</v>
      </c>
    </row>
    <row r="199" spans="2:24">
      <c r="B199" s="8" t="s">
        <v>555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556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557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558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559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560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561</v>
      </c>
      <c r="D209" s="96"/>
      <c r="E209" s="96"/>
      <c r="F209" s="96"/>
      <c r="G209" s="97"/>
      <c r="H209" s="97"/>
      <c r="I209" s="97"/>
      <c r="J209" s="96"/>
      <c r="K209" s="97">
        <f t="shared" ref="K209:X209" si="91">K210+K211+K213+K216</f>
        <v>0</v>
      </c>
      <c r="L209" s="97">
        <f t="shared" ca="1" si="91"/>
        <v>0</v>
      </c>
      <c r="M209" s="97">
        <f t="shared" ca="1" si="91"/>
        <v>0</v>
      </c>
      <c r="N209" s="97">
        <f t="shared" ca="1" si="91"/>
        <v>0</v>
      </c>
      <c r="O209" s="97">
        <f t="shared" ca="1" si="91"/>
        <v>0</v>
      </c>
      <c r="P209" s="97">
        <f t="shared" ca="1" si="91"/>
        <v>0</v>
      </c>
      <c r="Q209" s="97">
        <f t="shared" ca="1" si="91"/>
        <v>0</v>
      </c>
      <c r="R209" s="97">
        <f t="shared" ca="1" si="91"/>
        <v>0</v>
      </c>
      <c r="S209" s="97">
        <f t="shared" ca="1" si="91"/>
        <v>0</v>
      </c>
      <c r="T209" s="97">
        <f t="shared" ca="1" si="91"/>
        <v>0</v>
      </c>
      <c r="U209" s="97">
        <f t="shared" ca="1" si="91"/>
        <v>0</v>
      </c>
      <c r="V209" s="97">
        <f t="shared" ca="1" si="91"/>
        <v>0</v>
      </c>
      <c r="W209" s="97">
        <f t="shared" ca="1" si="91"/>
        <v>0</v>
      </c>
      <c r="X209" s="97">
        <f t="shared" ca="1" si="91"/>
        <v>0</v>
      </c>
    </row>
    <row r="210" spans="2:24">
      <c r="B210" s="103" t="s">
        <v>562</v>
      </c>
      <c r="C210" s="101" t="s">
        <v>563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564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2">L212</f>
        <v>0</v>
      </c>
      <c r="M211" s="33">
        <f t="shared" si="92"/>
        <v>0</v>
      </c>
      <c r="N211" s="33">
        <f t="shared" si="92"/>
        <v>0</v>
      </c>
      <c r="O211" s="33">
        <f t="shared" si="92"/>
        <v>0</v>
      </c>
      <c r="P211" s="33">
        <f t="shared" si="92"/>
        <v>0</v>
      </c>
      <c r="Q211" s="33">
        <f t="shared" si="92"/>
        <v>0</v>
      </c>
      <c r="R211" s="33">
        <f t="shared" si="92"/>
        <v>0</v>
      </c>
      <c r="S211" s="33">
        <f t="shared" si="92"/>
        <v>0</v>
      </c>
      <c r="T211" s="33">
        <f t="shared" si="92"/>
        <v>0</v>
      </c>
      <c r="U211" s="33">
        <f t="shared" si="92"/>
        <v>0</v>
      </c>
      <c r="V211" s="33">
        <f t="shared" si="92"/>
        <v>0</v>
      </c>
      <c r="W211" s="33">
        <f t="shared" si="92"/>
        <v>0</v>
      </c>
      <c r="X211" s="33">
        <f t="shared" si="92"/>
        <v>0</v>
      </c>
    </row>
    <row r="212" spans="2:24">
      <c r="B212" s="39" t="s">
        <v>565</v>
      </c>
      <c r="C212" s="1" t="s">
        <v>566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567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3">K214+K215</f>
        <v>0</v>
      </c>
      <c r="L213" s="33">
        <f t="shared" ca="1" si="93"/>
        <v>0</v>
      </c>
      <c r="M213" s="33">
        <f t="shared" ca="1" si="93"/>
        <v>0</v>
      </c>
      <c r="N213" s="33">
        <f t="shared" ca="1" si="93"/>
        <v>0</v>
      </c>
      <c r="O213" s="33">
        <f t="shared" ca="1" si="93"/>
        <v>0</v>
      </c>
      <c r="P213" s="33">
        <f t="shared" ca="1" si="93"/>
        <v>0</v>
      </c>
      <c r="Q213" s="33">
        <f t="shared" ca="1" si="93"/>
        <v>0</v>
      </c>
      <c r="R213" s="33">
        <f t="shared" ca="1" si="93"/>
        <v>0</v>
      </c>
      <c r="S213" s="33">
        <f t="shared" ca="1" si="93"/>
        <v>0</v>
      </c>
      <c r="T213" s="33">
        <f t="shared" ca="1" si="93"/>
        <v>0</v>
      </c>
      <c r="U213" s="33">
        <f t="shared" ca="1" si="93"/>
        <v>0</v>
      </c>
      <c r="V213" s="33">
        <f t="shared" ca="1" si="93"/>
        <v>0</v>
      </c>
      <c r="W213" s="33">
        <f t="shared" ca="1" si="93"/>
        <v>0</v>
      </c>
      <c r="X213" s="33">
        <f t="shared" ca="1" si="93"/>
        <v>0</v>
      </c>
    </row>
    <row r="214" spans="2:24">
      <c r="B214" s="39" t="s">
        <v>568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4">IF(LataProjekcji&lt;=Koniec,L267-L215,0)</f>
        <v>0</v>
      </c>
      <c r="M214" s="41">
        <f t="shared" ca="1" si="94"/>
        <v>0</v>
      </c>
      <c r="N214" s="41">
        <f t="shared" ca="1" si="94"/>
        <v>0</v>
      </c>
      <c r="O214" s="41">
        <f t="shared" ca="1" si="94"/>
        <v>0</v>
      </c>
      <c r="P214" s="41">
        <f t="shared" ca="1" si="94"/>
        <v>0</v>
      </c>
      <c r="Q214" s="41">
        <f t="shared" ca="1" si="94"/>
        <v>0</v>
      </c>
      <c r="R214" s="41">
        <f t="shared" ca="1" si="94"/>
        <v>0</v>
      </c>
      <c r="S214" s="41">
        <f t="shared" ca="1" si="94"/>
        <v>0</v>
      </c>
      <c r="T214" s="41">
        <f t="shared" ca="1" si="94"/>
        <v>0</v>
      </c>
      <c r="U214" s="41">
        <f t="shared" ca="1" si="94"/>
        <v>0</v>
      </c>
      <c r="V214" s="41">
        <f t="shared" ca="1" si="94"/>
        <v>0</v>
      </c>
      <c r="W214" s="41">
        <f t="shared" ca="1" si="94"/>
        <v>0</v>
      </c>
      <c r="X214" s="41">
        <f t="shared" ca="1" si="94"/>
        <v>0</v>
      </c>
    </row>
    <row r="215" spans="2:24">
      <c r="B215" s="39" t="s">
        <v>569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95">K209+K191</f>
        <v>0</v>
      </c>
      <c r="L217" s="97">
        <f t="shared" ca="1" si="95"/>
        <v>0</v>
      </c>
      <c r="M217" s="97">
        <f t="shared" ca="1" si="95"/>
        <v>0</v>
      </c>
      <c r="N217" s="97">
        <f t="shared" ca="1" si="95"/>
        <v>0</v>
      </c>
      <c r="O217" s="97">
        <f t="shared" ca="1" si="95"/>
        <v>0</v>
      </c>
      <c r="P217" s="97">
        <f t="shared" ca="1" si="95"/>
        <v>0</v>
      </c>
      <c r="Q217" s="97">
        <f t="shared" ca="1" si="95"/>
        <v>0</v>
      </c>
      <c r="R217" s="97">
        <f t="shared" ca="1" si="95"/>
        <v>0</v>
      </c>
      <c r="S217" s="97">
        <f t="shared" ca="1" si="95"/>
        <v>0</v>
      </c>
      <c r="T217" s="97">
        <f t="shared" ca="1" si="95"/>
        <v>0</v>
      </c>
      <c r="U217" s="97">
        <f t="shared" ca="1" si="95"/>
        <v>0</v>
      </c>
      <c r="V217" s="97">
        <f t="shared" ca="1" si="95"/>
        <v>0</v>
      </c>
      <c r="W217" s="97">
        <f t="shared" ca="1" si="95"/>
        <v>0</v>
      </c>
      <c r="X217" s="97">
        <f t="shared" ca="1" si="95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3">
      <c r="B219" s="151" t="s">
        <v>570</v>
      </c>
      <c r="C219" s="217"/>
      <c r="D219" s="217"/>
      <c r="E219" s="217"/>
      <c r="F219" s="217"/>
      <c r="G219" s="220">
        <f t="shared" ref="G219:X219" ca="1" si="96">LataProjekcji</f>
        <v>0</v>
      </c>
      <c r="H219" s="220">
        <f t="shared" ca="1" si="96"/>
        <v>0</v>
      </c>
      <c r="I219" s="220">
        <f t="shared" ca="1" si="96"/>
        <v>0</v>
      </c>
      <c r="J219" s="221" t="str">
        <f t="shared" si="96"/>
        <v/>
      </c>
      <c r="K219" s="220" t="str">
        <f t="shared" si="96"/>
        <v>Uzupełnij dane</v>
      </c>
      <c r="L219" s="220" t="str">
        <f t="shared" si="96"/>
        <v/>
      </c>
      <c r="M219" s="220" t="str">
        <f t="shared" si="96"/>
        <v/>
      </c>
      <c r="N219" s="220" t="str">
        <f t="shared" si="96"/>
        <v/>
      </c>
      <c r="O219" s="220" t="str">
        <f t="shared" si="96"/>
        <v/>
      </c>
      <c r="P219" s="220" t="str">
        <f t="shared" si="96"/>
        <v/>
      </c>
      <c r="Q219" s="220" t="str">
        <f t="shared" si="96"/>
        <v/>
      </c>
      <c r="R219" s="220" t="str">
        <f t="shared" si="96"/>
        <v/>
      </c>
      <c r="S219" s="220" t="str">
        <f t="shared" si="96"/>
        <v/>
      </c>
      <c r="T219" s="220" t="str">
        <f t="shared" si="96"/>
        <v/>
      </c>
      <c r="U219" s="220" t="str">
        <f t="shared" si="96"/>
        <v/>
      </c>
      <c r="V219" s="220" t="str">
        <f t="shared" si="96"/>
        <v/>
      </c>
      <c r="W219" s="220" t="str">
        <f t="shared" si="96"/>
        <v/>
      </c>
      <c r="X219" s="220" t="str">
        <f t="shared" si="96"/>
        <v/>
      </c>
    </row>
    <row r="220" spans="2:24">
      <c r="B220" s="98" t="s">
        <v>571</v>
      </c>
      <c r="C220" s="96" t="s">
        <v>572</v>
      </c>
      <c r="D220" s="96"/>
      <c r="E220" s="96"/>
      <c r="F220" s="96"/>
      <c r="G220" s="97"/>
      <c r="H220" s="97"/>
      <c r="I220" s="97"/>
      <c r="J220" s="96"/>
      <c r="K220" s="97">
        <f t="shared" ref="K220:X220" si="97">SUM(K221:K225)</f>
        <v>0</v>
      </c>
      <c r="L220" s="97">
        <f t="shared" ca="1" si="97"/>
        <v>0</v>
      </c>
      <c r="M220" s="97">
        <f t="shared" ca="1" si="97"/>
        <v>0</v>
      </c>
      <c r="N220" s="97">
        <f t="shared" ca="1" si="97"/>
        <v>0</v>
      </c>
      <c r="O220" s="97">
        <f t="shared" ca="1" si="97"/>
        <v>0</v>
      </c>
      <c r="P220" s="97">
        <f t="shared" ca="1" si="97"/>
        <v>0</v>
      </c>
      <c r="Q220" s="97">
        <f t="shared" ca="1" si="97"/>
        <v>0</v>
      </c>
      <c r="R220" s="97">
        <f t="shared" ca="1" si="97"/>
        <v>0</v>
      </c>
      <c r="S220" s="97">
        <f t="shared" ca="1" si="97"/>
        <v>0</v>
      </c>
      <c r="T220" s="97">
        <f t="shared" ca="1" si="97"/>
        <v>0</v>
      </c>
      <c r="U220" s="97">
        <f t="shared" ca="1" si="97"/>
        <v>0</v>
      </c>
      <c r="V220" s="97">
        <f t="shared" ca="1" si="97"/>
        <v>0</v>
      </c>
      <c r="W220" s="97">
        <f t="shared" ca="1" si="97"/>
        <v>0</v>
      </c>
      <c r="X220" s="97">
        <f t="shared" ca="1" si="97"/>
        <v>0</v>
      </c>
    </row>
    <row r="221" spans="2:24">
      <c r="B221" s="103" t="s">
        <v>573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574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575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576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577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98">K186</f>
        <v>0</v>
      </c>
      <c r="L225" s="106">
        <f t="shared" ca="1" si="98"/>
        <v>0</v>
      </c>
      <c r="M225" s="106">
        <f t="shared" ca="1" si="98"/>
        <v>0</v>
      </c>
      <c r="N225" s="106">
        <f t="shared" ca="1" si="98"/>
        <v>0</v>
      </c>
      <c r="O225" s="106">
        <f t="shared" ca="1" si="98"/>
        <v>0</v>
      </c>
      <c r="P225" s="106">
        <f t="shared" ca="1" si="98"/>
        <v>0</v>
      </c>
      <c r="Q225" s="106">
        <f t="shared" ca="1" si="98"/>
        <v>0</v>
      </c>
      <c r="R225" s="106">
        <f t="shared" ca="1" si="98"/>
        <v>0</v>
      </c>
      <c r="S225" s="106">
        <f t="shared" ca="1" si="98"/>
        <v>0</v>
      </c>
      <c r="T225" s="106">
        <f t="shared" ca="1" si="98"/>
        <v>0</v>
      </c>
      <c r="U225" s="106">
        <f t="shared" ca="1" si="98"/>
        <v>0</v>
      </c>
      <c r="V225" s="106">
        <f t="shared" ca="1" si="98"/>
        <v>0</v>
      </c>
      <c r="W225" s="106">
        <f t="shared" ca="1" si="98"/>
        <v>0</v>
      </c>
      <c r="X225" s="106">
        <f t="shared" ca="1" si="98"/>
        <v>0</v>
      </c>
    </row>
    <row r="226" spans="2:24">
      <c r="B226" s="98" t="s">
        <v>578</v>
      </c>
      <c r="C226" s="96" t="s">
        <v>579</v>
      </c>
      <c r="D226" s="96"/>
      <c r="E226" s="96"/>
      <c r="F226" s="96"/>
      <c r="G226" s="97"/>
      <c r="H226" s="97"/>
      <c r="I226" s="97"/>
      <c r="J226" s="96"/>
      <c r="K226" s="97">
        <f t="shared" ref="K226:X226" si="99">K227+K228+K231+K235</f>
        <v>0</v>
      </c>
      <c r="L226" s="97">
        <f t="shared" ca="1" si="99"/>
        <v>0</v>
      </c>
      <c r="M226" s="97">
        <f t="shared" ca="1" si="99"/>
        <v>0</v>
      </c>
      <c r="N226" s="97">
        <f t="shared" ca="1" si="99"/>
        <v>0</v>
      </c>
      <c r="O226" s="97">
        <f t="shared" ca="1" si="99"/>
        <v>0</v>
      </c>
      <c r="P226" s="97">
        <f t="shared" ca="1" si="99"/>
        <v>0</v>
      </c>
      <c r="Q226" s="97">
        <f t="shared" ca="1" si="99"/>
        <v>0</v>
      </c>
      <c r="R226" s="97">
        <f t="shared" ca="1" si="99"/>
        <v>0</v>
      </c>
      <c r="S226" s="97">
        <f t="shared" ca="1" si="99"/>
        <v>0</v>
      </c>
      <c r="T226" s="97">
        <f t="shared" ca="1" si="99"/>
        <v>0</v>
      </c>
      <c r="U226" s="97">
        <f t="shared" ca="1" si="99"/>
        <v>0</v>
      </c>
      <c r="V226" s="97">
        <f t="shared" ca="1" si="99"/>
        <v>0</v>
      </c>
      <c r="W226" s="97">
        <f t="shared" ca="1" si="99"/>
        <v>0</v>
      </c>
      <c r="X226" s="97">
        <f t="shared" ca="1" si="99"/>
        <v>0</v>
      </c>
    </row>
    <row r="227" spans="2:24">
      <c r="B227" s="8" t="s">
        <v>580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581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0">SUM(L229:L230)</f>
        <v>0</v>
      </c>
      <c r="M228" s="33">
        <f t="shared" si="100"/>
        <v>0</v>
      </c>
      <c r="N228" s="33">
        <f t="shared" si="100"/>
        <v>0</v>
      </c>
      <c r="O228" s="33">
        <f t="shared" si="100"/>
        <v>0</v>
      </c>
      <c r="P228" s="33">
        <f t="shared" si="100"/>
        <v>0</v>
      </c>
      <c r="Q228" s="33">
        <f t="shared" si="100"/>
        <v>0</v>
      </c>
      <c r="R228" s="33">
        <f t="shared" si="100"/>
        <v>0</v>
      </c>
      <c r="S228" s="33">
        <f t="shared" si="100"/>
        <v>0</v>
      </c>
      <c r="T228" s="33">
        <f t="shared" si="100"/>
        <v>0</v>
      </c>
      <c r="U228" s="33">
        <f t="shared" si="100"/>
        <v>0</v>
      </c>
      <c r="V228" s="33">
        <f t="shared" si="100"/>
        <v>0</v>
      </c>
      <c r="W228" s="33">
        <f t="shared" si="100"/>
        <v>0</v>
      </c>
      <c r="X228" s="33">
        <f t="shared" si="100"/>
        <v>0</v>
      </c>
    </row>
    <row r="229" spans="2:24">
      <c r="B229" s="39" t="s">
        <v>582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583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584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1">SUM(L232:L234)</f>
        <v>0</v>
      </c>
      <c r="M231" s="33">
        <f t="shared" ca="1" si="101"/>
        <v>0</v>
      </c>
      <c r="N231" s="33">
        <f t="shared" ca="1" si="101"/>
        <v>0</v>
      </c>
      <c r="O231" s="33">
        <f t="shared" ca="1" si="101"/>
        <v>0</v>
      </c>
      <c r="P231" s="33">
        <f t="shared" ca="1" si="101"/>
        <v>0</v>
      </c>
      <c r="Q231" s="33">
        <f t="shared" ca="1" si="101"/>
        <v>0</v>
      </c>
      <c r="R231" s="33">
        <f t="shared" ca="1" si="101"/>
        <v>0</v>
      </c>
      <c r="S231" s="33">
        <f t="shared" ca="1" si="101"/>
        <v>0</v>
      </c>
      <c r="T231" s="33">
        <f t="shared" ca="1" si="101"/>
        <v>0</v>
      </c>
      <c r="U231" s="33">
        <f t="shared" ca="1" si="101"/>
        <v>0</v>
      </c>
      <c r="V231" s="33">
        <f t="shared" ca="1" si="101"/>
        <v>0</v>
      </c>
      <c r="W231" s="33">
        <f t="shared" ca="1" si="101"/>
        <v>0</v>
      </c>
      <c r="X231" s="33">
        <f t="shared" ca="1" si="101"/>
        <v>0</v>
      </c>
    </row>
    <row r="232" spans="2:24">
      <c r="B232" s="39" t="s">
        <v>585</v>
      </c>
      <c r="C232" s="40" t="s">
        <v>586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587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588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589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2">K236+K237</f>
        <v>0</v>
      </c>
      <c r="L235" s="33">
        <f t="shared" ca="1" si="102"/>
        <v>0</v>
      </c>
      <c r="M235" s="33">
        <f t="shared" ca="1" si="102"/>
        <v>0</v>
      </c>
      <c r="N235" s="33">
        <f t="shared" ca="1" si="102"/>
        <v>0</v>
      </c>
      <c r="O235" s="33">
        <f t="shared" ca="1" si="102"/>
        <v>0</v>
      </c>
      <c r="P235" s="33">
        <f t="shared" ca="1" si="102"/>
        <v>0</v>
      </c>
      <c r="Q235" s="33">
        <f t="shared" ca="1" si="102"/>
        <v>0</v>
      </c>
      <c r="R235" s="33">
        <f t="shared" ca="1" si="102"/>
        <v>0</v>
      </c>
      <c r="S235" s="33">
        <f t="shared" ca="1" si="102"/>
        <v>0</v>
      </c>
      <c r="T235" s="33">
        <f t="shared" ca="1" si="102"/>
        <v>0</v>
      </c>
      <c r="U235" s="33">
        <f t="shared" ca="1" si="102"/>
        <v>0</v>
      </c>
      <c r="V235" s="33">
        <f t="shared" ca="1" si="102"/>
        <v>0</v>
      </c>
      <c r="W235" s="33">
        <f t="shared" ca="1" si="102"/>
        <v>0</v>
      </c>
      <c r="X235" s="33">
        <f t="shared" ca="1" si="102"/>
        <v>0</v>
      </c>
    </row>
    <row r="236" spans="2:24">
      <c r="B236" s="39" t="s">
        <v>590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dotacji'!K258,0)</f>
        <v>0</v>
      </c>
      <c r="L236" s="41">
        <f ca="1">IF(LataProjekcji&lt;=Koniec,'Rozliczenie dotacji'!L258,0)</f>
        <v>0</v>
      </c>
      <c r="M236" s="41">
        <f ca="1">IF(LataProjekcji&lt;=Koniec,'Rozliczenie dotacji'!M258,0)</f>
        <v>0</v>
      </c>
      <c r="N236" s="41">
        <f ca="1">IF(LataProjekcji&lt;=Koniec,'Rozliczenie dotacji'!N258,0)</f>
        <v>0</v>
      </c>
      <c r="O236" s="41">
        <f ca="1">IF(LataProjekcji&lt;=Koniec,'Rozliczenie dotacji'!O258,0)</f>
        <v>0</v>
      </c>
      <c r="P236" s="41">
        <f ca="1">IF(LataProjekcji&lt;=Koniec,'Rozliczenie dotacji'!P258,0)</f>
        <v>0</v>
      </c>
      <c r="Q236" s="41">
        <f ca="1">IF(LataProjekcji&lt;=Koniec,'Rozliczenie dotacji'!Q258,0)</f>
        <v>0</v>
      </c>
      <c r="R236" s="41">
        <f ca="1">IF(LataProjekcji&lt;=Koniec,'Rozliczenie dotacji'!R258,0)</f>
        <v>0</v>
      </c>
      <c r="S236" s="41">
        <f ca="1">IF(LataProjekcji&lt;=Koniec,'Rozliczenie dotacji'!S258,0)</f>
        <v>0</v>
      </c>
      <c r="T236" s="41">
        <f ca="1">IF(LataProjekcji&lt;=Koniec,'Rozliczenie dotacji'!T258,0)</f>
        <v>0</v>
      </c>
      <c r="U236" s="41">
        <f ca="1">IF(LataProjekcji&lt;=Koniec,'Rozliczenie dotacji'!U258,0)</f>
        <v>0</v>
      </c>
      <c r="V236" s="41">
        <f ca="1">IF(LataProjekcji&lt;=Koniec,'Rozliczenie dotacji'!V258,0)</f>
        <v>0</v>
      </c>
      <c r="W236" s="41">
        <f ca="1">IF(LataProjekcji&lt;=Koniec,'Rozliczenie dotacji'!W258,0)</f>
        <v>0</v>
      </c>
      <c r="X236" s="41">
        <f ca="1">IF(LataProjekcji&lt;=Koniec,'Rozliczenie dotacji'!X258,0)</f>
        <v>0</v>
      </c>
    </row>
    <row r="237" spans="2:24">
      <c r="B237" s="39" t="s">
        <v>583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3">K226+K220</f>
        <v>0</v>
      </c>
      <c r="L238" s="97">
        <f t="shared" ca="1" si="103"/>
        <v>0</v>
      </c>
      <c r="M238" s="97">
        <f t="shared" ca="1" si="103"/>
        <v>0</v>
      </c>
      <c r="N238" s="97">
        <f t="shared" ca="1" si="103"/>
        <v>0</v>
      </c>
      <c r="O238" s="97">
        <f t="shared" ca="1" si="103"/>
        <v>0</v>
      </c>
      <c r="P238" s="97">
        <f t="shared" ca="1" si="103"/>
        <v>0</v>
      </c>
      <c r="Q238" s="97">
        <f t="shared" ca="1" si="103"/>
        <v>0</v>
      </c>
      <c r="R238" s="97">
        <f t="shared" ca="1" si="103"/>
        <v>0</v>
      </c>
      <c r="S238" s="97">
        <f t="shared" ca="1" si="103"/>
        <v>0</v>
      </c>
      <c r="T238" s="97">
        <f t="shared" ca="1" si="103"/>
        <v>0</v>
      </c>
      <c r="U238" s="97">
        <f t="shared" ca="1" si="103"/>
        <v>0</v>
      </c>
      <c r="V238" s="97">
        <f t="shared" ca="1" si="103"/>
        <v>0</v>
      </c>
      <c r="W238" s="97">
        <f t="shared" ca="1" si="103"/>
        <v>0</v>
      </c>
      <c r="X238" s="97">
        <f t="shared" ca="1" si="103"/>
        <v>0</v>
      </c>
    </row>
    <row r="239" spans="2:24">
      <c r="B239" s="108" t="s">
        <v>591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4">K238=K217</f>
        <v>1</v>
      </c>
      <c r="L239" s="108" t="b">
        <f t="shared" ca="1" si="104"/>
        <v>1</v>
      </c>
      <c r="M239" s="108" t="b">
        <f t="shared" ca="1" si="104"/>
        <v>1</v>
      </c>
      <c r="N239" s="108" t="b">
        <f t="shared" ca="1" si="104"/>
        <v>1</v>
      </c>
      <c r="O239" s="108" t="b">
        <f t="shared" ca="1" si="104"/>
        <v>1</v>
      </c>
      <c r="P239" s="108" t="b">
        <f t="shared" ca="1" si="104"/>
        <v>1</v>
      </c>
      <c r="Q239" s="108" t="b">
        <f t="shared" ca="1" si="104"/>
        <v>1</v>
      </c>
      <c r="R239" s="108" t="b">
        <f t="shared" ca="1" si="104"/>
        <v>1</v>
      </c>
      <c r="S239" s="108" t="b">
        <f t="shared" ca="1" si="104"/>
        <v>1</v>
      </c>
      <c r="T239" s="108" t="b">
        <f t="shared" ca="1" si="104"/>
        <v>1</v>
      </c>
      <c r="U239" s="108" t="b">
        <f t="shared" ca="1" si="104"/>
        <v>1</v>
      </c>
      <c r="V239" s="108" t="b">
        <f t="shared" ca="1" si="104"/>
        <v>1</v>
      </c>
      <c r="W239" s="108" t="b">
        <f t="shared" ca="1" si="104"/>
        <v>1</v>
      </c>
      <c r="X239" s="108" t="b">
        <f t="shared" ca="1" si="104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05">K217-K238</f>
        <v>0</v>
      </c>
      <c r="L240" s="109">
        <f t="shared" ca="1" si="105"/>
        <v>0</v>
      </c>
      <c r="M240" s="109">
        <f t="shared" ca="1" si="105"/>
        <v>0</v>
      </c>
      <c r="N240" s="109">
        <f t="shared" ca="1" si="105"/>
        <v>0</v>
      </c>
      <c r="O240" s="109">
        <f t="shared" ca="1" si="105"/>
        <v>0</v>
      </c>
      <c r="P240" s="109">
        <f t="shared" ca="1" si="105"/>
        <v>0</v>
      </c>
      <c r="Q240" s="109">
        <f t="shared" ca="1" si="105"/>
        <v>0</v>
      </c>
      <c r="R240" s="109">
        <f t="shared" ca="1" si="105"/>
        <v>0</v>
      </c>
      <c r="S240" s="109">
        <f t="shared" ca="1" si="105"/>
        <v>0</v>
      </c>
      <c r="T240" s="109">
        <f t="shared" ca="1" si="105"/>
        <v>0</v>
      </c>
      <c r="U240" s="109">
        <f t="shared" ca="1" si="105"/>
        <v>0</v>
      </c>
      <c r="V240" s="109">
        <f t="shared" ca="1" si="105"/>
        <v>0</v>
      </c>
      <c r="W240" s="109">
        <f t="shared" ca="1" si="105"/>
        <v>0</v>
      </c>
      <c r="X240" s="109">
        <f t="shared" ca="1" si="105"/>
        <v>0</v>
      </c>
    </row>
    <row r="241" spans="2:24"/>
    <row r="242" spans="2:24" ht="14.5">
      <c r="B242" s="150" t="s">
        <v>592</v>
      </c>
      <c r="C242" s="216"/>
      <c r="D242" s="216"/>
      <c r="E242" s="216"/>
      <c r="F242" s="216"/>
      <c r="G242" s="218">
        <f t="shared" ref="G242:X242" ca="1" si="106">LataProjekcji</f>
        <v>0</v>
      </c>
      <c r="H242" s="218">
        <f t="shared" ca="1" si="106"/>
        <v>0</v>
      </c>
      <c r="I242" s="218">
        <f t="shared" ca="1" si="106"/>
        <v>0</v>
      </c>
      <c r="J242" s="219" t="str">
        <f t="shared" si="106"/>
        <v/>
      </c>
      <c r="K242" s="218" t="str">
        <f t="shared" si="106"/>
        <v>Uzupełnij dane</v>
      </c>
      <c r="L242" s="218" t="str">
        <f t="shared" si="106"/>
        <v/>
      </c>
      <c r="M242" s="218" t="str">
        <f t="shared" si="106"/>
        <v/>
      </c>
      <c r="N242" s="218" t="str">
        <f t="shared" si="106"/>
        <v/>
      </c>
      <c r="O242" s="218" t="str">
        <f t="shared" si="106"/>
        <v/>
      </c>
      <c r="P242" s="218" t="str">
        <f t="shared" si="106"/>
        <v/>
      </c>
      <c r="Q242" s="218" t="str">
        <f t="shared" si="106"/>
        <v/>
      </c>
      <c r="R242" s="218" t="str">
        <f t="shared" si="106"/>
        <v/>
      </c>
      <c r="S242" s="218" t="str">
        <f t="shared" si="106"/>
        <v/>
      </c>
      <c r="T242" s="218" t="str">
        <f t="shared" si="106"/>
        <v/>
      </c>
      <c r="U242" s="218" t="str">
        <f t="shared" si="106"/>
        <v/>
      </c>
      <c r="V242" s="218" t="str">
        <f t="shared" si="106"/>
        <v/>
      </c>
      <c r="W242" s="218" t="str">
        <f t="shared" si="106"/>
        <v/>
      </c>
      <c r="X242" s="218" t="str">
        <f t="shared" si="106"/>
        <v/>
      </c>
    </row>
    <row r="243" spans="2:24">
      <c r="B243" s="95" t="s">
        <v>593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07">ROUND(SUM(L244:L250),0)</f>
        <v>0</v>
      </c>
      <c r="M243" s="97">
        <f t="shared" ca="1" si="107"/>
        <v>0</v>
      </c>
      <c r="N243" s="97">
        <f t="shared" ca="1" si="107"/>
        <v>0</v>
      </c>
      <c r="O243" s="97">
        <f t="shared" ca="1" si="107"/>
        <v>0</v>
      </c>
      <c r="P243" s="97">
        <f t="shared" ca="1" si="107"/>
        <v>0</v>
      </c>
      <c r="Q243" s="97">
        <f t="shared" ca="1" si="107"/>
        <v>0</v>
      </c>
      <c r="R243" s="97">
        <f t="shared" ca="1" si="107"/>
        <v>0</v>
      </c>
      <c r="S243" s="97">
        <f t="shared" ca="1" si="107"/>
        <v>0</v>
      </c>
      <c r="T243" s="97">
        <f t="shared" ca="1" si="107"/>
        <v>0</v>
      </c>
      <c r="U243" s="97">
        <f t="shared" ca="1" si="107"/>
        <v>0</v>
      </c>
      <c r="V243" s="97">
        <f t="shared" ca="1" si="107"/>
        <v>0</v>
      </c>
      <c r="W243" s="97">
        <f t="shared" ca="1" si="107"/>
        <v>0</v>
      </c>
      <c r="X243" s="97">
        <f t="shared" ca="1" si="107"/>
        <v>0</v>
      </c>
    </row>
    <row r="244" spans="2:24">
      <c r="B244" s="93" t="s">
        <v>594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08">IF(LataProjekcji&lt;=Koniec,K186,0)</f>
        <v>0</v>
      </c>
      <c r="L244" s="94">
        <f t="shared" ca="1" si="108"/>
        <v>0</v>
      </c>
      <c r="M244" s="94">
        <f t="shared" ca="1" si="108"/>
        <v>0</v>
      </c>
      <c r="N244" s="94">
        <f t="shared" ca="1" si="108"/>
        <v>0</v>
      </c>
      <c r="O244" s="94">
        <f t="shared" ca="1" si="108"/>
        <v>0</v>
      </c>
      <c r="P244" s="94">
        <f t="shared" ca="1" si="108"/>
        <v>0</v>
      </c>
      <c r="Q244" s="94">
        <f t="shared" ca="1" si="108"/>
        <v>0</v>
      </c>
      <c r="R244" s="94">
        <f t="shared" ca="1" si="108"/>
        <v>0</v>
      </c>
      <c r="S244" s="94">
        <f t="shared" ca="1" si="108"/>
        <v>0</v>
      </c>
      <c r="T244" s="94">
        <f t="shared" ca="1" si="108"/>
        <v>0</v>
      </c>
      <c r="U244" s="94">
        <f t="shared" ca="1" si="108"/>
        <v>0</v>
      </c>
      <c r="V244" s="94">
        <f t="shared" ca="1" si="108"/>
        <v>0</v>
      </c>
      <c r="W244" s="94">
        <f t="shared" ca="1" si="108"/>
        <v>0</v>
      </c>
      <c r="X244" s="94">
        <f t="shared" ca="1" si="108"/>
        <v>0</v>
      </c>
    </row>
    <row r="245" spans="2:24">
      <c r="B245" s="37" t="s">
        <v>595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09">IF(LataProjekcji&lt;=Koniec,K165,0)</f>
        <v>0</v>
      </c>
      <c r="L245" s="33">
        <f t="shared" ca="1" si="109"/>
        <v>0</v>
      </c>
      <c r="M245" s="33">
        <f t="shared" ca="1" si="109"/>
        <v>0</v>
      </c>
      <c r="N245" s="33">
        <f t="shared" ca="1" si="109"/>
        <v>0</v>
      </c>
      <c r="O245" s="33">
        <f t="shared" ca="1" si="109"/>
        <v>0</v>
      </c>
      <c r="P245" s="33">
        <f t="shared" ca="1" si="109"/>
        <v>0</v>
      </c>
      <c r="Q245" s="33">
        <f t="shared" ca="1" si="109"/>
        <v>0</v>
      </c>
      <c r="R245" s="33">
        <f t="shared" ca="1" si="109"/>
        <v>0</v>
      </c>
      <c r="S245" s="33">
        <f t="shared" ca="1" si="109"/>
        <v>0</v>
      </c>
      <c r="T245" s="33">
        <f t="shared" ca="1" si="109"/>
        <v>0</v>
      </c>
      <c r="U245" s="33">
        <f t="shared" ca="1" si="109"/>
        <v>0</v>
      </c>
      <c r="V245" s="33">
        <f t="shared" ca="1" si="109"/>
        <v>0</v>
      </c>
      <c r="W245" s="33">
        <f t="shared" ca="1" si="109"/>
        <v>0</v>
      </c>
      <c r="X245" s="33">
        <f t="shared" ca="1" si="109"/>
        <v>0</v>
      </c>
    </row>
    <row r="246" spans="2:24">
      <c r="B246" s="37" t="s">
        <v>596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0">IF(LataProjekcji&lt;=Koniec,J210-K210,0)</f>
        <v>0</v>
      </c>
      <c r="L246" s="33">
        <f t="shared" ca="1" si="110"/>
        <v>0</v>
      </c>
      <c r="M246" s="33">
        <f t="shared" ca="1" si="110"/>
        <v>0</v>
      </c>
      <c r="N246" s="33">
        <f t="shared" ca="1" si="110"/>
        <v>0</v>
      </c>
      <c r="O246" s="33">
        <f t="shared" ca="1" si="110"/>
        <v>0</v>
      </c>
      <c r="P246" s="33">
        <f t="shared" ca="1" si="110"/>
        <v>0</v>
      </c>
      <c r="Q246" s="33">
        <f t="shared" ca="1" si="110"/>
        <v>0</v>
      </c>
      <c r="R246" s="33">
        <f t="shared" ca="1" si="110"/>
        <v>0</v>
      </c>
      <c r="S246" s="33">
        <f t="shared" ca="1" si="110"/>
        <v>0</v>
      </c>
      <c r="T246" s="33">
        <f t="shared" ca="1" si="110"/>
        <v>0</v>
      </c>
      <c r="U246" s="33">
        <f t="shared" ca="1" si="110"/>
        <v>0</v>
      </c>
      <c r="V246" s="33">
        <f t="shared" ca="1" si="110"/>
        <v>0</v>
      </c>
      <c r="W246" s="33">
        <f t="shared" ca="1" si="110"/>
        <v>0</v>
      </c>
      <c r="X246" s="33">
        <f t="shared" ca="1" si="110"/>
        <v>0</v>
      </c>
    </row>
    <row r="247" spans="2:24">
      <c r="B247" s="37" t="s">
        <v>597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1">IF(LataProjekcji&lt;=Koniec,J211-K211,0)</f>
        <v>0</v>
      </c>
      <c r="L247" s="33">
        <f t="shared" si="111"/>
        <v>0</v>
      </c>
      <c r="M247" s="33">
        <f t="shared" si="111"/>
        <v>0</v>
      </c>
      <c r="N247" s="33">
        <f t="shared" si="111"/>
        <v>0</v>
      </c>
      <c r="O247" s="33">
        <f t="shared" si="111"/>
        <v>0</v>
      </c>
      <c r="P247" s="33">
        <f t="shared" si="111"/>
        <v>0</v>
      </c>
      <c r="Q247" s="33">
        <f t="shared" si="111"/>
        <v>0</v>
      </c>
      <c r="R247" s="33">
        <f t="shared" si="111"/>
        <v>0</v>
      </c>
      <c r="S247" s="33">
        <f t="shared" si="111"/>
        <v>0</v>
      </c>
      <c r="T247" s="33">
        <f t="shared" si="111"/>
        <v>0</v>
      </c>
      <c r="U247" s="33">
        <f t="shared" si="111"/>
        <v>0</v>
      </c>
      <c r="V247" s="33">
        <f t="shared" si="111"/>
        <v>0</v>
      </c>
      <c r="W247" s="33">
        <f t="shared" si="111"/>
        <v>0</v>
      </c>
      <c r="X247" s="33">
        <f t="shared" si="111"/>
        <v>0</v>
      </c>
    </row>
    <row r="248" spans="2:24">
      <c r="B248" s="37" t="s">
        <v>598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2">IF(LataProjekcji&lt;=Koniec,(K231-J231)-(K233-J233)-(K234-J234),0)</f>
        <v>0</v>
      </c>
      <c r="L248" s="33">
        <f t="shared" ca="1" si="112"/>
        <v>0</v>
      </c>
      <c r="M248" s="33">
        <f t="shared" ca="1" si="112"/>
        <v>0</v>
      </c>
      <c r="N248" s="33">
        <f t="shared" ca="1" si="112"/>
        <v>0</v>
      </c>
      <c r="O248" s="33">
        <f t="shared" ca="1" si="112"/>
        <v>0</v>
      </c>
      <c r="P248" s="33">
        <f t="shared" ca="1" si="112"/>
        <v>0</v>
      </c>
      <c r="Q248" s="33">
        <f t="shared" ca="1" si="112"/>
        <v>0</v>
      </c>
      <c r="R248" s="33">
        <f t="shared" ca="1" si="112"/>
        <v>0</v>
      </c>
      <c r="S248" s="33">
        <f t="shared" ca="1" si="112"/>
        <v>0</v>
      </c>
      <c r="T248" s="33">
        <f t="shared" ca="1" si="112"/>
        <v>0</v>
      </c>
      <c r="U248" s="33">
        <f t="shared" ca="1" si="112"/>
        <v>0</v>
      </c>
      <c r="V248" s="33">
        <f t="shared" ca="1" si="112"/>
        <v>0</v>
      </c>
      <c r="W248" s="33">
        <f t="shared" ca="1" si="112"/>
        <v>0</v>
      </c>
      <c r="X248" s="33">
        <f t="shared" ca="1" si="112"/>
        <v>0</v>
      </c>
    </row>
    <row r="249" spans="2:24">
      <c r="B249" s="37" t="s">
        <v>599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3">IF(LataProjekcji&lt;=Koniec,(L235-K235)-L261,0)</f>
        <v>0</v>
      </c>
      <c r="M249" s="33">
        <f t="shared" ca="1" si="113"/>
        <v>0</v>
      </c>
      <c r="N249" s="33">
        <f t="shared" ca="1" si="113"/>
        <v>0</v>
      </c>
      <c r="O249" s="33">
        <f t="shared" ca="1" si="113"/>
        <v>0</v>
      </c>
      <c r="P249" s="33">
        <f t="shared" ca="1" si="113"/>
        <v>0</v>
      </c>
      <c r="Q249" s="33">
        <f t="shared" ca="1" si="113"/>
        <v>0</v>
      </c>
      <c r="R249" s="33">
        <f t="shared" ca="1" si="113"/>
        <v>0</v>
      </c>
      <c r="S249" s="33">
        <f t="shared" ca="1" si="113"/>
        <v>0</v>
      </c>
      <c r="T249" s="33">
        <f t="shared" ca="1" si="113"/>
        <v>0</v>
      </c>
      <c r="U249" s="33">
        <f t="shared" ca="1" si="113"/>
        <v>0</v>
      </c>
      <c r="V249" s="33">
        <f t="shared" ca="1" si="113"/>
        <v>0</v>
      </c>
      <c r="W249" s="33">
        <f t="shared" ca="1" si="113"/>
        <v>0</v>
      </c>
      <c r="X249" s="33">
        <f t="shared" ca="1" si="113"/>
        <v>0</v>
      </c>
    </row>
    <row r="250" spans="2:24">
      <c r="B250" s="37" t="s">
        <v>600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601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4">ROUND(SUM(L253:L254),0)</f>
        <v>0</v>
      </c>
      <c r="M252" s="97">
        <f t="shared" si="114"/>
        <v>0</v>
      </c>
      <c r="N252" s="97">
        <f t="shared" si="114"/>
        <v>0</v>
      </c>
      <c r="O252" s="97">
        <f t="shared" si="114"/>
        <v>0</v>
      </c>
      <c r="P252" s="97">
        <f t="shared" si="114"/>
        <v>0</v>
      </c>
      <c r="Q252" s="97">
        <f t="shared" si="114"/>
        <v>0</v>
      </c>
      <c r="R252" s="97">
        <f t="shared" si="114"/>
        <v>0</v>
      </c>
      <c r="S252" s="97">
        <f t="shared" si="114"/>
        <v>0</v>
      </c>
      <c r="T252" s="97">
        <f t="shared" si="114"/>
        <v>0</v>
      </c>
      <c r="U252" s="97">
        <f t="shared" si="114"/>
        <v>0</v>
      </c>
      <c r="V252" s="97">
        <f t="shared" si="114"/>
        <v>0</v>
      </c>
      <c r="W252" s="97">
        <f t="shared" si="114"/>
        <v>0</v>
      </c>
      <c r="X252" s="97">
        <f t="shared" si="114"/>
        <v>0</v>
      </c>
    </row>
    <row r="253" spans="2:24">
      <c r="B253" s="93" t="s">
        <v>602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603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604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15">SUM(L257:L263)</f>
        <v>0</v>
      </c>
      <c r="M256" s="97">
        <f t="shared" ca="1" si="115"/>
        <v>0</v>
      </c>
      <c r="N256" s="97">
        <f t="shared" ca="1" si="115"/>
        <v>0</v>
      </c>
      <c r="O256" s="97">
        <f t="shared" ca="1" si="115"/>
        <v>0</v>
      </c>
      <c r="P256" s="97">
        <f t="shared" ca="1" si="115"/>
        <v>0</v>
      </c>
      <c r="Q256" s="97">
        <f t="shared" ca="1" si="115"/>
        <v>0</v>
      </c>
      <c r="R256" s="97">
        <f t="shared" ca="1" si="115"/>
        <v>0</v>
      </c>
      <c r="S256" s="97">
        <f t="shared" ca="1" si="115"/>
        <v>0</v>
      </c>
      <c r="T256" s="97">
        <f t="shared" ca="1" si="115"/>
        <v>0</v>
      </c>
      <c r="U256" s="97">
        <f t="shared" ca="1" si="115"/>
        <v>0</v>
      </c>
      <c r="V256" s="97">
        <f t="shared" ca="1" si="115"/>
        <v>0</v>
      </c>
      <c r="W256" s="97">
        <f t="shared" ca="1" si="115"/>
        <v>0</v>
      </c>
      <c r="X256" s="97">
        <f t="shared" ca="1" si="115"/>
        <v>0</v>
      </c>
    </row>
    <row r="257" spans="2:24">
      <c r="B257" s="93" t="s">
        <v>605</v>
      </c>
      <c r="C257" s="19"/>
      <c r="D257" s="19"/>
      <c r="E257" s="19"/>
      <c r="F257" s="19"/>
      <c r="G257" s="94"/>
      <c r="H257" s="94"/>
      <c r="I257" s="94"/>
      <c r="J257" s="19"/>
      <c r="K257" s="94">
        <f>(K233-I233)</f>
        <v>0</v>
      </c>
      <c r="L257" s="94">
        <f>(L233-K233)</f>
        <v>0</v>
      </c>
      <c r="M257" s="94">
        <f t="shared" ref="M257:X257" si="116">(M233-L233)</f>
        <v>0</v>
      </c>
      <c r="N257" s="94">
        <f t="shared" si="116"/>
        <v>0</v>
      </c>
      <c r="O257" s="94">
        <f t="shared" si="116"/>
        <v>0</v>
      </c>
      <c r="P257" s="94">
        <f t="shared" si="116"/>
        <v>0</v>
      </c>
      <c r="Q257" s="94">
        <f t="shared" si="116"/>
        <v>0</v>
      </c>
      <c r="R257" s="94">
        <f t="shared" si="116"/>
        <v>0</v>
      </c>
      <c r="S257" s="94">
        <f t="shared" si="116"/>
        <v>0</v>
      </c>
      <c r="T257" s="94">
        <f t="shared" si="116"/>
        <v>0</v>
      </c>
      <c r="U257" s="94">
        <f t="shared" si="116"/>
        <v>0</v>
      </c>
      <c r="V257" s="94">
        <f t="shared" si="116"/>
        <v>0</v>
      </c>
      <c r="W257" s="94">
        <f t="shared" si="116"/>
        <v>0</v>
      </c>
      <c r="X257" s="94">
        <f t="shared" si="116"/>
        <v>0</v>
      </c>
    </row>
    <row r="258" spans="2:24">
      <c r="B258" s="37" t="s">
        <v>606</v>
      </c>
      <c r="C258" s="52"/>
      <c r="D258" s="52"/>
      <c r="E258" s="52"/>
      <c r="F258" s="52"/>
      <c r="G258" s="33"/>
      <c r="H258" s="33"/>
      <c r="I258" s="33"/>
      <c r="J258" s="52"/>
      <c r="K258" s="94">
        <f>K229-I229</f>
        <v>0</v>
      </c>
      <c r="L258" s="94">
        <f>L229-K229</f>
        <v>0</v>
      </c>
      <c r="M258" s="94">
        <f t="shared" ref="M258:X258" si="117">M229-L229</f>
        <v>0</v>
      </c>
      <c r="N258" s="94">
        <f t="shared" si="117"/>
        <v>0</v>
      </c>
      <c r="O258" s="94">
        <f t="shared" si="117"/>
        <v>0</v>
      </c>
      <c r="P258" s="94">
        <f t="shared" si="117"/>
        <v>0</v>
      </c>
      <c r="Q258" s="94">
        <f t="shared" si="117"/>
        <v>0</v>
      </c>
      <c r="R258" s="94">
        <f t="shared" si="117"/>
        <v>0</v>
      </c>
      <c r="S258" s="94">
        <f t="shared" si="117"/>
        <v>0</v>
      </c>
      <c r="T258" s="94">
        <f t="shared" si="117"/>
        <v>0</v>
      </c>
      <c r="U258" s="94">
        <f t="shared" si="117"/>
        <v>0</v>
      </c>
      <c r="V258" s="94">
        <f t="shared" si="117"/>
        <v>0</v>
      </c>
      <c r="W258" s="94">
        <f t="shared" si="117"/>
        <v>0</v>
      </c>
      <c r="X258" s="94">
        <f t="shared" si="117"/>
        <v>0</v>
      </c>
    </row>
    <row r="259" spans="2:24">
      <c r="B259" s="37" t="s">
        <v>607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608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609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IF(AND(LataProjekcji&gt;=Poczatek,LataProjekcji&lt;=Koniec),Moduły!C74,0)</f>
        <v>0</v>
      </c>
      <c r="L261" s="33">
        <f ca="1">IF(AND(LataProjekcji&gt;=Poczatek,LataProjekcji&lt;=Koniec),Moduły!D74,0)</f>
        <v>0</v>
      </c>
      <c r="M261" s="33">
        <f ca="1">IF(AND(LataProjekcji&gt;=Poczatek,LataProjekcji&lt;=Koniec),Moduły!E74,0)</f>
        <v>0</v>
      </c>
      <c r="N261" s="33">
        <f ca="1">IF(AND(LataProjekcji&gt;=Poczatek,LataProjekcji&lt;=Koniec),Moduły!F74,0)</f>
        <v>0</v>
      </c>
      <c r="O261" s="33">
        <f ca="1">IF(AND(LataProjekcji&gt;=Poczatek,LataProjekcji&lt;=Koniec),Moduły!G74,0)</f>
        <v>0</v>
      </c>
      <c r="P261" s="33">
        <f ca="1">IF(AND(LataProjekcji&gt;=Poczatek,LataProjekcji&lt;=Koniec),Moduły!H74,0)</f>
        <v>0</v>
      </c>
      <c r="Q261" s="33">
        <f ca="1">IF(AND(LataProjekcji&gt;=Poczatek,LataProjekcji&lt;=Koniec),Moduły!I74,0)</f>
        <v>0</v>
      </c>
      <c r="R261" s="33">
        <f ca="1">IF(AND(LataProjekcji&gt;=Poczatek,LataProjekcji&lt;=Koniec),Moduły!J74,0)</f>
        <v>0</v>
      </c>
      <c r="S261" s="33">
        <f ca="1">IF(AND(LataProjekcji&gt;=Poczatek,LataProjekcji&lt;=Koniec),Moduły!K74,0)</f>
        <v>0</v>
      </c>
      <c r="T261" s="33">
        <f ca="1">IF(AND(LataProjekcji&gt;=Poczatek,LataProjekcji&lt;=Koniec),Moduły!L74,0)</f>
        <v>0</v>
      </c>
      <c r="U261" s="33">
        <f ca="1">IF(AND(LataProjekcji&gt;=Poczatek,LataProjekcji&lt;=Koniec),Moduły!M74,0)</f>
        <v>0</v>
      </c>
      <c r="V261" s="33">
        <f ca="1">IF(AND(LataProjekcji&gt;=Poczatek,LataProjekcji&lt;=Koniec),Moduły!N74,0)</f>
        <v>0</v>
      </c>
      <c r="W261" s="33">
        <f ca="1">IF(AND(LataProjekcji&gt;=Poczatek,LataProjekcji&lt;=Koniec),Moduły!O74,0)</f>
        <v>0</v>
      </c>
      <c r="X261" s="33">
        <f ca="1">IF(AND(LataProjekcji&gt;=Poczatek,LataProjekcji&lt;=Koniec),Moduły!P74,0)</f>
        <v>0</v>
      </c>
    </row>
    <row r="262" spans="2:24">
      <c r="B262" s="37" t="s">
        <v>610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611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612</v>
      </c>
      <c r="C265" s="98"/>
      <c r="D265" s="98"/>
      <c r="E265" s="98"/>
      <c r="F265" s="98"/>
      <c r="G265" s="97"/>
      <c r="H265" s="97"/>
      <c r="I265" s="97"/>
      <c r="J265" s="96"/>
      <c r="K265" s="97">
        <f>IF(LataProjekcji&lt;=Koniec,K243+K252+K256,0)</f>
        <v>0</v>
      </c>
      <c r="L265" s="97">
        <f t="shared" ref="L265:X265" ca="1" si="118">L243+L252+L256</f>
        <v>0</v>
      </c>
      <c r="M265" s="97">
        <f t="shared" ca="1" si="118"/>
        <v>0</v>
      </c>
      <c r="N265" s="97">
        <f t="shared" ca="1" si="118"/>
        <v>0</v>
      </c>
      <c r="O265" s="97">
        <f t="shared" ca="1" si="118"/>
        <v>0</v>
      </c>
      <c r="P265" s="97">
        <f t="shared" ca="1" si="118"/>
        <v>0</v>
      </c>
      <c r="Q265" s="97">
        <f t="shared" ca="1" si="118"/>
        <v>0</v>
      </c>
      <c r="R265" s="97">
        <f t="shared" ca="1" si="118"/>
        <v>0</v>
      </c>
      <c r="S265" s="97">
        <f t="shared" ca="1" si="118"/>
        <v>0</v>
      </c>
      <c r="T265" s="97">
        <f t="shared" ca="1" si="118"/>
        <v>0</v>
      </c>
      <c r="U265" s="97">
        <f t="shared" ca="1" si="118"/>
        <v>0</v>
      </c>
      <c r="V265" s="97">
        <f t="shared" ca="1" si="118"/>
        <v>0</v>
      </c>
      <c r="W265" s="97">
        <f t="shared" ca="1" si="118"/>
        <v>0</v>
      </c>
      <c r="X265" s="97">
        <f t="shared" ca="1" si="118"/>
        <v>0</v>
      </c>
    </row>
    <row r="266" spans="2:24">
      <c r="B266" s="7" t="s">
        <v>613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19">IF(LataProjekcji&lt;=Koniec,K267,0)</f>
        <v>0</v>
      </c>
      <c r="M266" s="13">
        <f t="shared" ca="1" si="119"/>
        <v>0</v>
      </c>
      <c r="N266" s="13">
        <f t="shared" ca="1" si="119"/>
        <v>0</v>
      </c>
      <c r="O266" s="13">
        <f t="shared" ca="1" si="119"/>
        <v>0</v>
      </c>
      <c r="P266" s="13">
        <f t="shared" ca="1" si="119"/>
        <v>0</v>
      </c>
      <c r="Q266" s="13">
        <f t="shared" ca="1" si="119"/>
        <v>0</v>
      </c>
      <c r="R266" s="13">
        <f t="shared" ca="1" si="119"/>
        <v>0</v>
      </c>
      <c r="S266" s="13">
        <f t="shared" ca="1" si="119"/>
        <v>0</v>
      </c>
      <c r="T266" s="13">
        <f t="shared" ca="1" si="119"/>
        <v>0</v>
      </c>
      <c r="U266" s="13">
        <f t="shared" ca="1" si="119"/>
        <v>0</v>
      </c>
      <c r="V266" s="13">
        <f t="shared" ca="1" si="119"/>
        <v>0</v>
      </c>
      <c r="W266" s="13">
        <f t="shared" ca="1" si="119"/>
        <v>0</v>
      </c>
      <c r="X266" s="13">
        <f t="shared" ca="1" si="119"/>
        <v>0</v>
      </c>
    </row>
    <row r="267" spans="2:24">
      <c r="B267" s="98" t="s">
        <v>614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0">IF(LataProjekcji&lt;=Koniec,K265+K266,)</f>
        <v>0</v>
      </c>
      <c r="L267" s="97">
        <f t="shared" ca="1" si="120"/>
        <v>0</v>
      </c>
      <c r="M267" s="97">
        <f t="shared" ca="1" si="120"/>
        <v>0</v>
      </c>
      <c r="N267" s="97">
        <f t="shared" ca="1" si="120"/>
        <v>0</v>
      </c>
      <c r="O267" s="97">
        <f t="shared" ca="1" si="120"/>
        <v>0</v>
      </c>
      <c r="P267" s="97">
        <f t="shared" ca="1" si="120"/>
        <v>0</v>
      </c>
      <c r="Q267" s="97">
        <f t="shared" ca="1" si="120"/>
        <v>0</v>
      </c>
      <c r="R267" s="97">
        <f t="shared" ca="1" si="120"/>
        <v>0</v>
      </c>
      <c r="S267" s="97">
        <f t="shared" ca="1" si="120"/>
        <v>0</v>
      </c>
      <c r="T267" s="97">
        <f t="shared" ca="1" si="120"/>
        <v>0</v>
      </c>
      <c r="U267" s="97">
        <f t="shared" ca="1" si="120"/>
        <v>0</v>
      </c>
      <c r="V267" s="97">
        <f t="shared" ca="1" si="120"/>
        <v>0</v>
      </c>
      <c r="W267" s="97">
        <f t="shared" ca="1" si="120"/>
        <v>0</v>
      </c>
      <c r="X267" s="97">
        <f t="shared" ca="1" si="120"/>
        <v>0</v>
      </c>
    </row>
    <row r="268" spans="2:24">
      <c r="K268" s="108" t="b">
        <f>K267=K213</f>
        <v>1</v>
      </c>
      <c r="L268" s="108" t="b">
        <f t="shared" ref="L268:X268" ca="1" si="121">L267=L213</f>
        <v>1</v>
      </c>
      <c r="M268" s="108" t="b">
        <f t="shared" ca="1" si="121"/>
        <v>1</v>
      </c>
      <c r="N268" s="108" t="b">
        <f t="shared" ca="1" si="121"/>
        <v>1</v>
      </c>
      <c r="O268" s="108" t="b">
        <f t="shared" ca="1" si="121"/>
        <v>1</v>
      </c>
      <c r="P268" s="108" t="b">
        <f t="shared" ca="1" si="121"/>
        <v>1</v>
      </c>
      <c r="Q268" s="108" t="b">
        <f t="shared" ca="1" si="121"/>
        <v>1</v>
      </c>
      <c r="R268" s="108" t="b">
        <f t="shared" ca="1" si="121"/>
        <v>1</v>
      </c>
      <c r="S268" s="108" t="b">
        <f t="shared" ca="1" si="121"/>
        <v>1</v>
      </c>
      <c r="T268" s="108" t="b">
        <f t="shared" ca="1" si="121"/>
        <v>1</v>
      </c>
      <c r="U268" s="108" t="b">
        <f t="shared" ca="1" si="121"/>
        <v>1</v>
      </c>
      <c r="V268" s="108" t="b">
        <f t="shared" ca="1" si="121"/>
        <v>1</v>
      </c>
      <c r="W268" s="108" t="b">
        <f t="shared" ca="1" si="121"/>
        <v>1</v>
      </c>
      <c r="X268" s="108" t="b">
        <f t="shared" ca="1" si="121"/>
        <v>1</v>
      </c>
    </row>
    <row r="269" spans="2:24">
      <c r="K269" s="109">
        <f>K267-K213</f>
        <v>0</v>
      </c>
      <c r="L269" s="109">
        <f t="shared" ref="L269:X269" ca="1" si="122">L267-L213</f>
        <v>0</v>
      </c>
      <c r="M269" s="109">
        <f t="shared" ca="1" si="122"/>
        <v>0</v>
      </c>
      <c r="N269" s="109">
        <f t="shared" ca="1" si="122"/>
        <v>0</v>
      </c>
      <c r="O269" s="109">
        <f t="shared" ca="1" si="122"/>
        <v>0</v>
      </c>
      <c r="P269" s="109">
        <f t="shared" ca="1" si="122"/>
        <v>0</v>
      </c>
      <c r="Q269" s="109">
        <f t="shared" ca="1" si="122"/>
        <v>0</v>
      </c>
      <c r="R269" s="109">
        <f t="shared" ca="1" si="122"/>
        <v>0</v>
      </c>
      <c r="S269" s="109">
        <f t="shared" ca="1" si="122"/>
        <v>0</v>
      </c>
      <c r="T269" s="109">
        <f t="shared" ca="1" si="122"/>
        <v>0</v>
      </c>
      <c r="U269" s="109">
        <f t="shared" ca="1" si="122"/>
        <v>0</v>
      </c>
      <c r="V269" s="109">
        <f t="shared" ca="1" si="122"/>
        <v>0</v>
      </c>
      <c r="W269" s="109">
        <f t="shared" ca="1" si="122"/>
        <v>0</v>
      </c>
      <c r="X269" s="109">
        <f t="shared" ca="1" si="122"/>
        <v>0</v>
      </c>
    </row>
    <row r="270" spans="2:24">
      <c r="K270" s="109"/>
    </row>
    <row r="271" spans="2:24" ht="14.5">
      <c r="B271" s="150" t="s">
        <v>653</v>
      </c>
      <c r="C271" s="216"/>
      <c r="D271" s="216"/>
      <c r="E271" s="216"/>
      <c r="F271" s="216"/>
      <c r="G271" s="218">
        <f t="shared" ref="G271:X271" ca="1" si="123">LataProjekcji</f>
        <v>0</v>
      </c>
      <c r="H271" s="218">
        <f t="shared" ca="1" si="123"/>
        <v>0</v>
      </c>
      <c r="I271" s="218">
        <f t="shared" ca="1" si="123"/>
        <v>0</v>
      </c>
      <c r="J271" s="219" t="str">
        <f t="shared" si="123"/>
        <v/>
      </c>
      <c r="K271" s="218" t="str">
        <f t="shared" si="123"/>
        <v>Uzupełnij dane</v>
      </c>
      <c r="L271" s="218" t="str">
        <f t="shared" si="123"/>
        <v/>
      </c>
      <c r="M271" s="218" t="str">
        <f t="shared" si="123"/>
        <v/>
      </c>
      <c r="N271" s="218" t="str">
        <f t="shared" si="123"/>
        <v/>
      </c>
      <c r="O271" s="218" t="str">
        <f t="shared" si="123"/>
        <v/>
      </c>
      <c r="P271" s="218" t="str">
        <f t="shared" si="123"/>
        <v/>
      </c>
      <c r="Q271" s="218" t="str">
        <f t="shared" si="123"/>
        <v/>
      </c>
      <c r="R271" s="218" t="str">
        <f t="shared" si="123"/>
        <v/>
      </c>
      <c r="S271" s="218" t="str">
        <f t="shared" si="123"/>
        <v/>
      </c>
      <c r="T271" s="218" t="str">
        <f t="shared" si="123"/>
        <v/>
      </c>
      <c r="U271" s="218" t="str">
        <f t="shared" si="123"/>
        <v/>
      </c>
      <c r="V271" s="218" t="str">
        <f t="shared" si="123"/>
        <v/>
      </c>
      <c r="W271" s="218" t="str">
        <f t="shared" si="123"/>
        <v/>
      </c>
      <c r="X271" s="218" t="str">
        <f t="shared" si="123"/>
        <v/>
      </c>
    </row>
    <row r="272" spans="2:24">
      <c r="V272" s="3"/>
      <c r="W272" s="3"/>
      <c r="X272" s="3"/>
    </row>
    <row r="273" spans="2:24">
      <c r="B273" s="29" t="s">
        <v>616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617</v>
      </c>
      <c r="C274" s="19" t="s">
        <v>618</v>
      </c>
      <c r="D274" s="19" t="s">
        <v>619</v>
      </c>
      <c r="E274" s="19"/>
      <c r="F274" s="19"/>
      <c r="G274" s="19"/>
      <c r="H274" s="19"/>
      <c r="I274" s="19"/>
      <c r="J274" s="19"/>
      <c r="K274" s="168" t="str">
        <f t="shared" ref="K274:X274" si="124">IFERROR(ROUND((K173/K159),4),"bd.")</f>
        <v>bd.</v>
      </c>
      <c r="L274" s="168" t="str">
        <f t="shared" ca="1" si="124"/>
        <v>bd.</v>
      </c>
      <c r="M274" s="168" t="str">
        <f t="shared" ca="1" si="124"/>
        <v>bd.</v>
      </c>
      <c r="N274" s="168" t="str">
        <f t="shared" ca="1" si="124"/>
        <v>bd.</v>
      </c>
      <c r="O274" s="168" t="str">
        <f t="shared" ca="1" si="124"/>
        <v>bd.</v>
      </c>
      <c r="P274" s="168" t="str">
        <f t="shared" ca="1" si="124"/>
        <v>bd.</v>
      </c>
      <c r="Q274" s="168" t="str">
        <f t="shared" ca="1" si="124"/>
        <v>bd.</v>
      </c>
      <c r="R274" s="168" t="str">
        <f t="shared" ca="1" si="124"/>
        <v>bd.</v>
      </c>
      <c r="S274" s="168" t="str">
        <f t="shared" ca="1" si="124"/>
        <v>bd.</v>
      </c>
      <c r="T274" s="168" t="str">
        <f t="shared" ca="1" si="124"/>
        <v>bd.</v>
      </c>
      <c r="U274" s="168" t="str">
        <f t="shared" ca="1" si="124"/>
        <v>bd.</v>
      </c>
      <c r="V274" s="168" t="str">
        <f t="shared" ca="1" si="124"/>
        <v>bd.</v>
      </c>
      <c r="W274" s="168" t="str">
        <f t="shared" ca="1" si="124"/>
        <v>bd.</v>
      </c>
      <c r="X274" s="168" t="str">
        <f t="shared" ca="1" si="124"/>
        <v>bd.</v>
      </c>
    </row>
    <row r="275" spans="2:24">
      <c r="B275" s="37" t="s">
        <v>620</v>
      </c>
      <c r="C275" s="52" t="s">
        <v>621</v>
      </c>
      <c r="D275" s="52" t="s">
        <v>619</v>
      </c>
      <c r="E275" s="52"/>
      <c r="F275" s="52"/>
      <c r="G275" s="52"/>
      <c r="H275" s="52"/>
      <c r="I275" s="52"/>
      <c r="J275" s="52"/>
      <c r="K275" s="167" t="str">
        <f t="shared" ref="K275:X275" si="125">IFERROR(ROUND((K186/K159),4),"bd.")</f>
        <v>bd.</v>
      </c>
      <c r="L275" s="167" t="str">
        <f t="shared" ca="1" si="125"/>
        <v>bd.</v>
      </c>
      <c r="M275" s="167" t="str">
        <f t="shared" ca="1" si="125"/>
        <v>bd.</v>
      </c>
      <c r="N275" s="167" t="str">
        <f t="shared" ca="1" si="125"/>
        <v>bd.</v>
      </c>
      <c r="O275" s="167" t="str">
        <f t="shared" ca="1" si="125"/>
        <v>bd.</v>
      </c>
      <c r="P275" s="167" t="str">
        <f t="shared" ca="1" si="125"/>
        <v>bd.</v>
      </c>
      <c r="Q275" s="167" t="str">
        <f t="shared" ca="1" si="125"/>
        <v>bd.</v>
      </c>
      <c r="R275" s="167" t="str">
        <f t="shared" ca="1" si="125"/>
        <v>bd.</v>
      </c>
      <c r="S275" s="167" t="str">
        <f t="shared" ca="1" si="125"/>
        <v>bd.</v>
      </c>
      <c r="T275" s="167" t="str">
        <f t="shared" ca="1" si="125"/>
        <v>bd.</v>
      </c>
      <c r="U275" s="167" t="str">
        <f t="shared" ca="1" si="125"/>
        <v>bd.</v>
      </c>
      <c r="V275" s="167" t="str">
        <f t="shared" ca="1" si="125"/>
        <v>bd.</v>
      </c>
      <c r="W275" s="167" t="str">
        <f t="shared" ca="1" si="125"/>
        <v>bd.</v>
      </c>
      <c r="X275" s="167" t="str">
        <f t="shared" ca="1" si="125"/>
        <v>bd.</v>
      </c>
    </row>
    <row r="276" spans="2:24">
      <c r="B276" s="37" t="s">
        <v>622</v>
      </c>
      <c r="C276" s="52" t="s">
        <v>623</v>
      </c>
      <c r="D276" s="52" t="s">
        <v>624</v>
      </c>
      <c r="E276" s="52"/>
      <c r="F276" s="52"/>
      <c r="G276" s="52"/>
      <c r="H276" s="52"/>
      <c r="I276" s="52"/>
      <c r="J276" s="52"/>
      <c r="K276" s="167" t="str">
        <f t="shared" ref="K276:X276" si="126">IFERROR(ROUND((K186/K217),4),"bd.")</f>
        <v>bd.</v>
      </c>
      <c r="L276" s="167" t="str">
        <f t="shared" ca="1" si="126"/>
        <v>bd.</v>
      </c>
      <c r="M276" s="167" t="str">
        <f t="shared" ca="1" si="126"/>
        <v>bd.</v>
      </c>
      <c r="N276" s="167" t="str">
        <f t="shared" ca="1" si="126"/>
        <v>bd.</v>
      </c>
      <c r="O276" s="167" t="str">
        <f t="shared" ca="1" si="126"/>
        <v>bd.</v>
      </c>
      <c r="P276" s="167" t="str">
        <f t="shared" ca="1" si="126"/>
        <v>bd.</v>
      </c>
      <c r="Q276" s="167" t="str">
        <f t="shared" ca="1" si="126"/>
        <v>bd.</v>
      </c>
      <c r="R276" s="167" t="str">
        <f t="shared" ca="1" si="126"/>
        <v>bd.</v>
      </c>
      <c r="S276" s="167" t="str">
        <f t="shared" ca="1" si="126"/>
        <v>bd.</v>
      </c>
      <c r="T276" s="167" t="str">
        <f t="shared" ca="1" si="126"/>
        <v>bd.</v>
      </c>
      <c r="U276" s="167" t="str">
        <f t="shared" ca="1" si="126"/>
        <v>bd.</v>
      </c>
      <c r="V276" s="167" t="str">
        <f t="shared" ca="1" si="126"/>
        <v>bd.</v>
      </c>
      <c r="W276" s="167" t="str">
        <f t="shared" ca="1" si="126"/>
        <v>bd.</v>
      </c>
      <c r="X276" s="167" t="str">
        <f t="shared" ca="1" si="126"/>
        <v>bd.</v>
      </c>
    </row>
    <row r="277" spans="2:24"/>
    <row r="278" spans="2:24">
      <c r="B278" s="29" t="s">
        <v>625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626</v>
      </c>
      <c r="C279" s="101" t="s">
        <v>627</v>
      </c>
      <c r="D279" s="101" t="s">
        <v>628</v>
      </c>
      <c r="E279" s="101"/>
      <c r="F279" s="101"/>
      <c r="G279" s="101"/>
      <c r="H279" s="101"/>
      <c r="I279" s="101"/>
      <c r="J279" s="101"/>
      <c r="K279" s="169" t="str">
        <f t="shared" ref="K279:X279" si="127">IFERROR(ROUND(K220/K238,4),"bd.")</f>
        <v>bd.</v>
      </c>
      <c r="L279" s="169" t="str">
        <f t="shared" ca="1" si="127"/>
        <v>bd.</v>
      </c>
      <c r="M279" s="169" t="str">
        <f t="shared" ca="1" si="127"/>
        <v>bd.</v>
      </c>
      <c r="N279" s="169" t="str">
        <f t="shared" ca="1" si="127"/>
        <v>bd.</v>
      </c>
      <c r="O279" s="169" t="str">
        <f t="shared" ca="1" si="127"/>
        <v>bd.</v>
      </c>
      <c r="P279" s="169" t="str">
        <f t="shared" ca="1" si="127"/>
        <v>bd.</v>
      </c>
      <c r="Q279" s="169" t="str">
        <f t="shared" ca="1" si="127"/>
        <v>bd.</v>
      </c>
      <c r="R279" s="169" t="str">
        <f t="shared" ca="1" si="127"/>
        <v>bd.</v>
      </c>
      <c r="S279" s="169" t="str">
        <f t="shared" ca="1" si="127"/>
        <v>bd.</v>
      </c>
      <c r="T279" s="169" t="str">
        <f t="shared" ca="1" si="127"/>
        <v>bd.</v>
      </c>
      <c r="U279" s="169" t="str">
        <f t="shared" ca="1" si="127"/>
        <v>bd.</v>
      </c>
      <c r="V279" s="169" t="str">
        <f t="shared" ca="1" si="127"/>
        <v>bd.</v>
      </c>
      <c r="W279" s="169" t="str">
        <f t="shared" ca="1" si="127"/>
        <v>bd.</v>
      </c>
      <c r="X279" s="169" t="str">
        <f t="shared" ca="1" si="127"/>
        <v>bd.</v>
      </c>
    </row>
    <row r="280" spans="2:24">
      <c r="B280" s="37" t="s">
        <v>629</v>
      </c>
      <c r="C280" s="52" t="s">
        <v>630</v>
      </c>
      <c r="D280" s="52" t="s">
        <v>783</v>
      </c>
      <c r="E280" s="52"/>
      <c r="F280" s="52"/>
      <c r="G280" s="52"/>
      <c r="H280" s="52"/>
      <c r="I280" s="52"/>
      <c r="J280" s="52"/>
      <c r="K280" s="170" t="str">
        <f t="shared" ref="K280:X280" si="128">IFERROR(ROUND((K220+K228+K227+K235)/K191,4),"bd.")</f>
        <v>bd.</v>
      </c>
      <c r="L280" s="170" t="str">
        <f t="shared" ca="1" si="128"/>
        <v>bd.</v>
      </c>
      <c r="M280" s="170" t="str">
        <f t="shared" ca="1" si="128"/>
        <v>bd.</v>
      </c>
      <c r="N280" s="170" t="str">
        <f t="shared" ca="1" si="128"/>
        <v>bd.</v>
      </c>
      <c r="O280" s="170" t="str">
        <f t="shared" ca="1" si="128"/>
        <v>bd.</v>
      </c>
      <c r="P280" s="170" t="str">
        <f t="shared" ca="1" si="128"/>
        <v>bd.</v>
      </c>
      <c r="Q280" s="170" t="str">
        <f t="shared" ca="1" si="128"/>
        <v>bd.</v>
      </c>
      <c r="R280" s="170" t="str">
        <f t="shared" ca="1" si="128"/>
        <v>bd.</v>
      </c>
      <c r="S280" s="170" t="str">
        <f t="shared" ca="1" si="128"/>
        <v>bd.</v>
      </c>
      <c r="T280" s="170" t="str">
        <f t="shared" ca="1" si="128"/>
        <v>bd.</v>
      </c>
      <c r="U280" s="170" t="str">
        <f t="shared" ca="1" si="128"/>
        <v>bd.</v>
      </c>
      <c r="V280" s="170" t="str">
        <f t="shared" ca="1" si="128"/>
        <v>bd.</v>
      </c>
      <c r="W280" s="170" t="str">
        <f t="shared" ca="1" si="128"/>
        <v>bd.</v>
      </c>
      <c r="X280" s="170" t="str">
        <f t="shared" ca="1" si="128"/>
        <v>bd.</v>
      </c>
    </row>
    <row r="281" spans="2:24">
      <c r="B281" s="37" t="s">
        <v>632</v>
      </c>
      <c r="C281" s="52" t="s">
        <v>633</v>
      </c>
      <c r="D281" s="52" t="s">
        <v>631</v>
      </c>
      <c r="E281" s="52"/>
      <c r="F281" s="52"/>
      <c r="G281" s="52"/>
      <c r="H281" s="52"/>
      <c r="I281" s="52"/>
      <c r="J281" s="52"/>
      <c r="K281" s="170" t="str">
        <f t="shared" ref="K281:X281" si="129">IFERROR(ROUND(K226/K238,4),"bd.")</f>
        <v>bd.</v>
      </c>
      <c r="L281" s="170" t="str">
        <f t="shared" ca="1" si="129"/>
        <v>bd.</v>
      </c>
      <c r="M281" s="170" t="str">
        <f t="shared" ca="1" si="129"/>
        <v>bd.</v>
      </c>
      <c r="N281" s="170" t="str">
        <f t="shared" ca="1" si="129"/>
        <v>bd.</v>
      </c>
      <c r="O281" s="170" t="str">
        <f t="shared" ca="1" si="129"/>
        <v>bd.</v>
      </c>
      <c r="P281" s="170" t="str">
        <f t="shared" ca="1" si="129"/>
        <v>bd.</v>
      </c>
      <c r="Q281" s="170" t="str">
        <f t="shared" ca="1" si="129"/>
        <v>bd.</v>
      </c>
      <c r="R281" s="170" t="str">
        <f t="shared" ca="1" si="129"/>
        <v>bd.</v>
      </c>
      <c r="S281" s="170" t="str">
        <f t="shared" ca="1" si="129"/>
        <v>bd.</v>
      </c>
      <c r="T281" s="170" t="str">
        <f t="shared" ca="1" si="129"/>
        <v>bd.</v>
      </c>
      <c r="U281" s="170" t="str">
        <f t="shared" ca="1" si="129"/>
        <v>bd.</v>
      </c>
      <c r="V281" s="170" t="str">
        <f t="shared" ca="1" si="129"/>
        <v>bd.</v>
      </c>
      <c r="W281" s="170" t="str">
        <f t="shared" ca="1" si="129"/>
        <v>bd.</v>
      </c>
      <c r="X281" s="170" t="str">
        <f t="shared" ca="1" si="129"/>
        <v>bd.</v>
      </c>
    </row>
    <row r="282" spans="2:24">
      <c r="B282" s="37" t="s">
        <v>634</v>
      </c>
      <c r="C282" s="52" t="s">
        <v>635</v>
      </c>
      <c r="D282" s="52" t="s">
        <v>636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637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638</v>
      </c>
      <c r="C285" s="101" t="s">
        <v>639</v>
      </c>
      <c r="D285" s="101" t="s">
        <v>636</v>
      </c>
      <c r="E285" s="101"/>
      <c r="F285" s="101"/>
      <c r="G285" s="101"/>
      <c r="H285" s="101"/>
      <c r="I285" s="101"/>
      <c r="J285" s="101"/>
      <c r="K285" s="172" t="str">
        <f t="shared" ref="K285:X285" si="130">IFERROR(ROUND(K209/K231,4),"bd.")</f>
        <v>bd.</v>
      </c>
      <c r="L285" s="172" t="str">
        <f t="shared" ca="1" si="130"/>
        <v>bd.</v>
      </c>
      <c r="M285" s="172" t="str">
        <f t="shared" ca="1" si="130"/>
        <v>bd.</v>
      </c>
      <c r="N285" s="172" t="str">
        <f t="shared" ca="1" si="130"/>
        <v>bd.</v>
      </c>
      <c r="O285" s="172" t="str">
        <f t="shared" ca="1" si="130"/>
        <v>bd.</v>
      </c>
      <c r="P285" s="172" t="str">
        <f t="shared" ca="1" si="130"/>
        <v>bd.</v>
      </c>
      <c r="Q285" s="172" t="str">
        <f t="shared" ca="1" si="130"/>
        <v>bd.</v>
      </c>
      <c r="R285" s="172" t="str">
        <f t="shared" ca="1" si="130"/>
        <v>bd.</v>
      </c>
      <c r="S285" s="172" t="str">
        <f t="shared" ca="1" si="130"/>
        <v>bd.</v>
      </c>
      <c r="T285" s="172" t="str">
        <f t="shared" ca="1" si="130"/>
        <v>bd.</v>
      </c>
      <c r="U285" s="172" t="str">
        <f t="shared" ca="1" si="130"/>
        <v>bd.</v>
      </c>
      <c r="V285" s="172" t="str">
        <f t="shared" ca="1" si="130"/>
        <v>bd.</v>
      </c>
      <c r="W285" s="172" t="str">
        <f t="shared" ca="1" si="130"/>
        <v>bd.</v>
      </c>
      <c r="X285" s="172" t="str">
        <f t="shared" ca="1" si="130"/>
        <v>bd.</v>
      </c>
    </row>
    <row r="286" spans="2:24">
      <c r="B286" s="37" t="s">
        <v>640</v>
      </c>
      <c r="C286" s="52" t="s">
        <v>641</v>
      </c>
      <c r="D286" s="52" t="s">
        <v>642</v>
      </c>
      <c r="E286" s="52"/>
      <c r="F286" s="52"/>
      <c r="G286" s="52"/>
      <c r="H286" s="52"/>
      <c r="I286" s="52"/>
      <c r="J286" s="52"/>
      <c r="K286" s="171" t="str">
        <f t="shared" ref="K286:X286" si="131">IFERROR(ROUND((K209-K210)/K231,4),"bd.")</f>
        <v>bd.</v>
      </c>
      <c r="L286" s="171" t="str">
        <f t="shared" ca="1" si="131"/>
        <v>bd.</v>
      </c>
      <c r="M286" s="171" t="str">
        <f t="shared" ca="1" si="131"/>
        <v>bd.</v>
      </c>
      <c r="N286" s="171" t="str">
        <f t="shared" ca="1" si="131"/>
        <v>bd.</v>
      </c>
      <c r="O286" s="171" t="str">
        <f t="shared" ca="1" si="131"/>
        <v>bd.</v>
      </c>
      <c r="P286" s="171" t="str">
        <f t="shared" ca="1" si="131"/>
        <v>bd.</v>
      </c>
      <c r="Q286" s="171" t="str">
        <f t="shared" ca="1" si="131"/>
        <v>bd.</v>
      </c>
      <c r="R286" s="171" t="str">
        <f t="shared" ca="1" si="131"/>
        <v>bd.</v>
      </c>
      <c r="S286" s="171" t="str">
        <f t="shared" ca="1" si="131"/>
        <v>bd.</v>
      </c>
      <c r="T286" s="171" t="str">
        <f t="shared" ca="1" si="131"/>
        <v>bd.</v>
      </c>
      <c r="U286" s="171" t="str">
        <f t="shared" ca="1" si="131"/>
        <v>bd.</v>
      </c>
      <c r="V286" s="171" t="str">
        <f t="shared" ca="1" si="131"/>
        <v>bd.</v>
      </c>
      <c r="W286" s="171" t="str">
        <f t="shared" ca="1" si="131"/>
        <v>bd.</v>
      </c>
      <c r="X286" s="171" t="str">
        <f t="shared" ca="1" si="131"/>
        <v>bd.</v>
      </c>
    </row>
    <row r="287" spans="2:24"/>
    <row r="288" spans="2:24">
      <c r="B288" s="29" t="s">
        <v>643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644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2">IFERROR(ROUND((K210/K164)*dni,0),"bd.")</f>
        <v>bd.</v>
      </c>
      <c r="L289" s="173" t="str">
        <f t="shared" ca="1" si="132"/>
        <v>bd.</v>
      </c>
      <c r="M289" s="173" t="str">
        <f t="shared" ca="1" si="132"/>
        <v>bd.</v>
      </c>
      <c r="N289" s="173" t="str">
        <f t="shared" ca="1" si="132"/>
        <v>bd.</v>
      </c>
      <c r="O289" s="173" t="str">
        <f t="shared" ca="1" si="132"/>
        <v>bd.</v>
      </c>
      <c r="P289" s="173" t="str">
        <f t="shared" ca="1" si="132"/>
        <v>bd.</v>
      </c>
      <c r="Q289" s="173" t="str">
        <f t="shared" ca="1" si="132"/>
        <v>bd.</v>
      </c>
      <c r="R289" s="173" t="str">
        <f t="shared" ca="1" si="132"/>
        <v>bd.</v>
      </c>
      <c r="S289" s="173" t="str">
        <f t="shared" ca="1" si="132"/>
        <v>bd.</v>
      </c>
      <c r="T289" s="173" t="str">
        <f t="shared" ca="1" si="132"/>
        <v>bd.</v>
      </c>
      <c r="U289" s="173" t="str">
        <f t="shared" ca="1" si="132"/>
        <v>bd.</v>
      </c>
      <c r="V289" s="173" t="str">
        <f t="shared" ca="1" si="132"/>
        <v>bd.</v>
      </c>
      <c r="W289" s="173" t="str">
        <f t="shared" ca="1" si="132"/>
        <v>bd.</v>
      </c>
      <c r="X289" s="173" t="str">
        <f t="shared" ca="1" si="132"/>
        <v>bd.</v>
      </c>
    </row>
    <row r="290" spans="2:24">
      <c r="B290" s="37" t="s">
        <v>645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3">IFERROR(ROUND((K212/K159)*dni,0),"bd.")</f>
        <v>bd.</v>
      </c>
      <c r="L290" s="10" t="str">
        <f t="shared" si="133"/>
        <v>bd.</v>
      </c>
      <c r="M290" s="10" t="str">
        <f t="shared" si="133"/>
        <v>bd.</v>
      </c>
      <c r="N290" s="10" t="str">
        <f t="shared" si="133"/>
        <v>bd.</v>
      </c>
      <c r="O290" s="10" t="str">
        <f t="shared" si="133"/>
        <v>bd.</v>
      </c>
      <c r="P290" s="10" t="str">
        <f t="shared" si="133"/>
        <v>bd.</v>
      </c>
      <c r="Q290" s="10" t="str">
        <f t="shared" si="133"/>
        <v>bd.</v>
      </c>
      <c r="R290" s="10" t="str">
        <f t="shared" si="133"/>
        <v>bd.</v>
      </c>
      <c r="S290" s="10" t="str">
        <f t="shared" si="133"/>
        <v>bd.</v>
      </c>
      <c r="T290" s="10" t="str">
        <f t="shared" si="133"/>
        <v>bd.</v>
      </c>
      <c r="U290" s="10" t="str">
        <f t="shared" si="133"/>
        <v>bd.</v>
      </c>
      <c r="V290" s="10" t="str">
        <f t="shared" si="133"/>
        <v>bd.</v>
      </c>
      <c r="W290" s="10" t="str">
        <f t="shared" si="133"/>
        <v>bd.</v>
      </c>
      <c r="X290" s="10" t="str">
        <f t="shared" si="133"/>
        <v>bd.</v>
      </c>
    </row>
    <row r="291" spans="2:24">
      <c r="B291" s="37" t="s">
        <v>646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4">IFERROR(ROUND((K232/K164)*dni,0),"bd.")</f>
        <v>bd.</v>
      </c>
      <c r="L291" s="10" t="str">
        <f t="shared" ca="1" si="134"/>
        <v>bd.</v>
      </c>
      <c r="M291" s="10" t="str">
        <f t="shared" ca="1" si="134"/>
        <v>bd.</v>
      </c>
      <c r="N291" s="10" t="str">
        <f t="shared" ca="1" si="134"/>
        <v>bd.</v>
      </c>
      <c r="O291" s="10" t="str">
        <f t="shared" ca="1" si="134"/>
        <v>bd.</v>
      </c>
      <c r="P291" s="10" t="str">
        <f t="shared" ca="1" si="134"/>
        <v>bd.</v>
      </c>
      <c r="Q291" s="10" t="str">
        <f t="shared" ca="1" si="134"/>
        <v>bd.</v>
      </c>
      <c r="R291" s="10" t="str">
        <f t="shared" ca="1" si="134"/>
        <v>bd.</v>
      </c>
      <c r="S291" s="10" t="str">
        <f t="shared" ca="1" si="134"/>
        <v>bd.</v>
      </c>
      <c r="T291" s="10" t="str">
        <f t="shared" ca="1" si="134"/>
        <v>bd.</v>
      </c>
      <c r="U291" s="10" t="str">
        <f t="shared" ca="1" si="134"/>
        <v>bd.</v>
      </c>
      <c r="V291" s="10" t="str">
        <f t="shared" ca="1" si="134"/>
        <v>bd.</v>
      </c>
      <c r="W291" s="10" t="str">
        <f t="shared" ca="1" si="134"/>
        <v>bd.</v>
      </c>
      <c r="X291" s="10" t="str">
        <f t="shared" ca="1" si="134"/>
        <v>bd.</v>
      </c>
    </row>
    <row r="292" spans="2:24"/>
    <row r="293" spans="2:24">
      <c r="B293" s="29" t="s">
        <v>647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648</v>
      </c>
      <c r="C294" s="19" t="s">
        <v>649</v>
      </c>
      <c r="D294" s="19" t="s">
        <v>650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651</v>
      </c>
      <c r="C295" s="52" t="s">
        <v>652</v>
      </c>
      <c r="D295" s="52" t="s">
        <v>636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5">
      <c r="B300" s="34" t="s">
        <v>486</v>
      </c>
      <c r="C300" s="43"/>
      <c r="D300" s="43"/>
      <c r="E300" s="43"/>
      <c r="F300" s="43"/>
      <c r="G300" s="34">
        <f t="shared" ref="G300:X300" ca="1" si="135">LataProjekcji</f>
        <v>0</v>
      </c>
      <c r="H300" s="34">
        <f t="shared" ca="1" si="135"/>
        <v>0</v>
      </c>
      <c r="I300" s="34">
        <f t="shared" ca="1" si="135"/>
        <v>0</v>
      </c>
      <c r="J300" s="45" t="str">
        <f t="shared" si="135"/>
        <v/>
      </c>
      <c r="K300" s="34" t="str">
        <f t="shared" si="135"/>
        <v>Uzupełnij dane</v>
      </c>
      <c r="L300" s="34" t="str">
        <f t="shared" si="135"/>
        <v/>
      </c>
      <c r="M300" s="34" t="str">
        <f t="shared" si="135"/>
        <v/>
      </c>
      <c r="N300" s="34" t="str">
        <f t="shared" si="135"/>
        <v/>
      </c>
      <c r="O300" s="34" t="str">
        <f t="shared" si="135"/>
        <v/>
      </c>
      <c r="P300" s="34" t="str">
        <f t="shared" si="135"/>
        <v/>
      </c>
      <c r="Q300" s="34" t="str">
        <f t="shared" si="135"/>
        <v/>
      </c>
      <c r="R300" s="34" t="str">
        <f t="shared" si="135"/>
        <v/>
      </c>
      <c r="S300" s="34" t="str">
        <f t="shared" si="135"/>
        <v/>
      </c>
      <c r="T300" s="34" t="str">
        <f t="shared" si="135"/>
        <v/>
      </c>
      <c r="U300" s="34" t="str">
        <f t="shared" si="135"/>
        <v/>
      </c>
      <c r="V300" s="34" t="str">
        <f t="shared" si="135"/>
        <v/>
      </c>
      <c r="W300" s="34" t="str">
        <f t="shared" si="135"/>
        <v/>
      </c>
      <c r="X300" s="34" t="str">
        <f t="shared" si="135"/>
        <v/>
      </c>
    </row>
    <row r="301" spans="2:24"/>
    <row r="302" spans="2:24" ht="14.5">
      <c r="B302" s="152" t="s">
        <v>517</v>
      </c>
    </row>
    <row r="303" spans="2:24">
      <c r="B303" s="95" t="s">
        <v>518</v>
      </c>
      <c r="C303" s="96" t="s">
        <v>519</v>
      </c>
      <c r="D303" s="96"/>
      <c r="E303" s="96"/>
      <c r="F303" s="96"/>
      <c r="G303" s="97">
        <f>SUM(G304:G307)</f>
        <v>0</v>
      </c>
      <c r="H303" s="97">
        <f t="shared" ref="H303:X303" si="136">SUM(H304:H307)</f>
        <v>0</v>
      </c>
      <c r="I303" s="97">
        <f t="shared" si="136"/>
        <v>0</v>
      </c>
      <c r="J303" s="97">
        <f t="shared" si="136"/>
        <v>0</v>
      </c>
      <c r="K303" s="97">
        <f t="shared" si="136"/>
        <v>0</v>
      </c>
      <c r="L303" s="97">
        <f t="shared" si="136"/>
        <v>0</v>
      </c>
      <c r="M303" s="97">
        <f t="shared" si="136"/>
        <v>0</v>
      </c>
      <c r="N303" s="97">
        <f t="shared" si="136"/>
        <v>0</v>
      </c>
      <c r="O303" s="97">
        <f t="shared" si="136"/>
        <v>0</v>
      </c>
      <c r="P303" s="97">
        <f t="shared" si="136"/>
        <v>0</v>
      </c>
      <c r="Q303" s="97">
        <f t="shared" si="136"/>
        <v>0</v>
      </c>
      <c r="R303" s="97">
        <f t="shared" si="136"/>
        <v>0</v>
      </c>
      <c r="S303" s="97">
        <f t="shared" si="136"/>
        <v>0</v>
      </c>
      <c r="T303" s="97">
        <f t="shared" si="136"/>
        <v>0</v>
      </c>
      <c r="U303" s="97">
        <f t="shared" si="136"/>
        <v>0</v>
      </c>
      <c r="V303" s="97">
        <f t="shared" si="136"/>
        <v>0</v>
      </c>
      <c r="W303" s="97">
        <f t="shared" si="136"/>
        <v>0</v>
      </c>
      <c r="X303" s="97">
        <f t="shared" si="136"/>
        <v>0</v>
      </c>
    </row>
    <row r="304" spans="2:24">
      <c r="B304" s="93" t="s">
        <v>520</v>
      </c>
      <c r="C304" s="19"/>
      <c r="D304" s="19"/>
      <c r="E304" s="19"/>
      <c r="F304" s="19"/>
      <c r="G304" s="94">
        <f t="shared" ref="G304:X304" si="137">G16+G160</f>
        <v>0</v>
      </c>
      <c r="H304" s="94">
        <f t="shared" si="137"/>
        <v>0</v>
      </c>
      <c r="I304" s="94">
        <f t="shared" si="137"/>
        <v>0</v>
      </c>
      <c r="J304" s="94">
        <f t="shared" si="137"/>
        <v>0</v>
      </c>
      <c r="K304" s="94">
        <f t="shared" si="137"/>
        <v>0</v>
      </c>
      <c r="L304" s="94">
        <f t="shared" si="137"/>
        <v>0</v>
      </c>
      <c r="M304" s="94">
        <f t="shared" si="137"/>
        <v>0</v>
      </c>
      <c r="N304" s="94">
        <f t="shared" si="137"/>
        <v>0</v>
      </c>
      <c r="O304" s="94">
        <f t="shared" si="137"/>
        <v>0</v>
      </c>
      <c r="P304" s="94">
        <f t="shared" si="137"/>
        <v>0</v>
      </c>
      <c r="Q304" s="94">
        <f t="shared" si="137"/>
        <v>0</v>
      </c>
      <c r="R304" s="94">
        <f t="shared" si="137"/>
        <v>0</v>
      </c>
      <c r="S304" s="94">
        <f t="shared" si="137"/>
        <v>0</v>
      </c>
      <c r="T304" s="94">
        <f t="shared" si="137"/>
        <v>0</v>
      </c>
      <c r="U304" s="94">
        <f t="shared" si="137"/>
        <v>0</v>
      </c>
      <c r="V304" s="94">
        <f t="shared" si="137"/>
        <v>0</v>
      </c>
      <c r="W304" s="94">
        <f t="shared" si="137"/>
        <v>0</v>
      </c>
      <c r="X304" s="94">
        <f t="shared" si="137"/>
        <v>0</v>
      </c>
    </row>
    <row r="305" spans="2:24">
      <c r="B305" s="37" t="s">
        <v>521</v>
      </c>
      <c r="C305" s="52"/>
      <c r="D305" s="52"/>
      <c r="E305" s="52"/>
      <c r="F305" s="52"/>
      <c r="G305" s="33">
        <f t="shared" ref="G305:X305" si="138">G17+G161</f>
        <v>0</v>
      </c>
      <c r="H305" s="33">
        <f t="shared" si="138"/>
        <v>0</v>
      </c>
      <c r="I305" s="33">
        <f t="shared" si="138"/>
        <v>0</v>
      </c>
      <c r="J305" s="33">
        <f t="shared" si="138"/>
        <v>0</v>
      </c>
      <c r="K305" s="33">
        <f t="shared" si="138"/>
        <v>0</v>
      </c>
      <c r="L305" s="33">
        <f t="shared" si="138"/>
        <v>0</v>
      </c>
      <c r="M305" s="33">
        <f t="shared" si="138"/>
        <v>0</v>
      </c>
      <c r="N305" s="33">
        <f t="shared" si="138"/>
        <v>0</v>
      </c>
      <c r="O305" s="33">
        <f t="shared" si="138"/>
        <v>0</v>
      </c>
      <c r="P305" s="33">
        <f t="shared" si="138"/>
        <v>0</v>
      </c>
      <c r="Q305" s="33">
        <f t="shared" si="138"/>
        <v>0</v>
      </c>
      <c r="R305" s="33">
        <f t="shared" si="138"/>
        <v>0</v>
      </c>
      <c r="S305" s="33">
        <f t="shared" si="138"/>
        <v>0</v>
      </c>
      <c r="T305" s="33">
        <f t="shared" si="138"/>
        <v>0</v>
      </c>
      <c r="U305" s="33">
        <f t="shared" si="138"/>
        <v>0</v>
      </c>
      <c r="V305" s="33">
        <f t="shared" si="138"/>
        <v>0</v>
      </c>
      <c r="W305" s="5">
        <f t="shared" si="138"/>
        <v>0</v>
      </c>
      <c r="X305" s="5">
        <f t="shared" si="138"/>
        <v>0</v>
      </c>
    </row>
    <row r="306" spans="2:24">
      <c r="B306" s="8" t="s">
        <v>522</v>
      </c>
      <c r="G306" s="5">
        <f t="shared" ref="G306:X306" si="139">G18+G162</f>
        <v>0</v>
      </c>
      <c r="H306" s="5">
        <f t="shared" si="139"/>
        <v>0</v>
      </c>
      <c r="I306" s="5">
        <f t="shared" si="139"/>
        <v>0</v>
      </c>
      <c r="J306" s="5">
        <f t="shared" si="139"/>
        <v>0</v>
      </c>
      <c r="K306" s="5">
        <f t="shared" si="139"/>
        <v>0</v>
      </c>
      <c r="L306" s="5">
        <f t="shared" si="139"/>
        <v>0</v>
      </c>
      <c r="M306" s="5">
        <f t="shared" si="139"/>
        <v>0</v>
      </c>
      <c r="N306" s="5">
        <f t="shared" si="139"/>
        <v>0</v>
      </c>
      <c r="O306" s="5">
        <f t="shared" si="139"/>
        <v>0</v>
      </c>
      <c r="P306" s="5">
        <f t="shared" si="139"/>
        <v>0</v>
      </c>
      <c r="Q306" s="5">
        <f t="shared" si="139"/>
        <v>0</v>
      </c>
      <c r="R306" s="5">
        <f t="shared" si="139"/>
        <v>0</v>
      </c>
      <c r="S306" s="5">
        <f t="shared" si="139"/>
        <v>0</v>
      </c>
      <c r="T306" s="5">
        <f t="shared" si="139"/>
        <v>0</v>
      </c>
      <c r="U306" s="5">
        <f t="shared" si="139"/>
        <v>0</v>
      </c>
      <c r="V306" s="5">
        <f t="shared" si="139"/>
        <v>0</v>
      </c>
      <c r="W306" s="5">
        <f t="shared" si="139"/>
        <v>0</v>
      </c>
      <c r="X306" s="5">
        <f t="shared" si="139"/>
        <v>0</v>
      </c>
    </row>
    <row r="307" spans="2:24">
      <c r="B307" s="88" t="s">
        <v>523</v>
      </c>
      <c r="C307" s="89"/>
      <c r="D307" s="89"/>
      <c r="E307" s="89"/>
      <c r="F307" s="89"/>
      <c r="G307" s="90">
        <f t="shared" ref="G307:X307" si="140">G19+G163</f>
        <v>0</v>
      </c>
      <c r="H307" s="90">
        <f t="shared" si="140"/>
        <v>0</v>
      </c>
      <c r="I307" s="90">
        <f t="shared" si="140"/>
        <v>0</v>
      </c>
      <c r="J307" s="90">
        <f t="shared" si="140"/>
        <v>0</v>
      </c>
      <c r="K307" s="90">
        <f t="shared" si="140"/>
        <v>0</v>
      </c>
      <c r="L307" s="90">
        <f t="shared" si="140"/>
        <v>0</v>
      </c>
      <c r="M307" s="90">
        <f t="shared" si="140"/>
        <v>0</v>
      </c>
      <c r="N307" s="90">
        <f t="shared" si="140"/>
        <v>0</v>
      </c>
      <c r="O307" s="90">
        <f t="shared" si="140"/>
        <v>0</v>
      </c>
      <c r="P307" s="90">
        <f t="shared" si="140"/>
        <v>0</v>
      </c>
      <c r="Q307" s="90">
        <f t="shared" si="140"/>
        <v>0</v>
      </c>
      <c r="R307" s="90">
        <f t="shared" si="140"/>
        <v>0</v>
      </c>
      <c r="S307" s="90">
        <f t="shared" si="140"/>
        <v>0</v>
      </c>
      <c r="T307" s="90">
        <f t="shared" si="140"/>
        <v>0</v>
      </c>
      <c r="U307" s="90">
        <f t="shared" si="140"/>
        <v>0</v>
      </c>
      <c r="V307" s="90">
        <f t="shared" si="140"/>
        <v>0</v>
      </c>
      <c r="W307" s="90">
        <f t="shared" si="140"/>
        <v>0</v>
      </c>
      <c r="X307" s="90">
        <f t="shared" si="140"/>
        <v>0</v>
      </c>
    </row>
    <row r="308" spans="2:24">
      <c r="B308" s="98" t="s">
        <v>226</v>
      </c>
      <c r="C308" s="96" t="s">
        <v>524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1">SUM(L309:L316)</f>
        <v>0</v>
      </c>
      <c r="M308" s="97">
        <f t="shared" ca="1" si="141"/>
        <v>0</v>
      </c>
      <c r="N308" s="97">
        <f t="shared" ca="1" si="141"/>
        <v>0</v>
      </c>
      <c r="O308" s="97">
        <f t="shared" ca="1" si="141"/>
        <v>0</v>
      </c>
      <c r="P308" s="97">
        <f t="shared" ca="1" si="141"/>
        <v>0</v>
      </c>
      <c r="Q308" s="97">
        <f t="shared" ca="1" si="141"/>
        <v>0</v>
      </c>
      <c r="R308" s="97">
        <f t="shared" ca="1" si="141"/>
        <v>0</v>
      </c>
      <c r="S308" s="97">
        <f t="shared" ca="1" si="141"/>
        <v>0</v>
      </c>
      <c r="T308" s="97">
        <f t="shared" ca="1" si="141"/>
        <v>0</v>
      </c>
      <c r="U308" s="97">
        <f t="shared" ca="1" si="141"/>
        <v>0</v>
      </c>
      <c r="V308" s="97">
        <f t="shared" ca="1" si="141"/>
        <v>0</v>
      </c>
      <c r="W308" s="97">
        <f t="shared" ca="1" si="141"/>
        <v>0</v>
      </c>
      <c r="X308" s="97">
        <f t="shared" ca="1" si="141"/>
        <v>0</v>
      </c>
    </row>
    <row r="309" spans="2:24">
      <c r="B309" s="93" t="s">
        <v>525</v>
      </c>
      <c r="C309" s="19" t="s">
        <v>526</v>
      </c>
      <c r="D309" s="19"/>
      <c r="E309" s="19"/>
      <c r="F309" s="19"/>
      <c r="G309" s="94">
        <f t="shared" ref="G309:X309" si="142">G21+G165</f>
        <v>0</v>
      </c>
      <c r="H309" s="94">
        <f t="shared" si="142"/>
        <v>0</v>
      </c>
      <c r="I309" s="94">
        <f t="shared" si="142"/>
        <v>0</v>
      </c>
      <c r="J309" s="94">
        <f t="shared" si="142"/>
        <v>0</v>
      </c>
      <c r="K309" s="94">
        <f t="shared" si="142"/>
        <v>0</v>
      </c>
      <c r="L309" s="94">
        <f t="shared" ca="1" si="142"/>
        <v>0</v>
      </c>
      <c r="M309" s="94">
        <f t="shared" ca="1" si="142"/>
        <v>0</v>
      </c>
      <c r="N309" s="94">
        <f t="shared" ca="1" si="142"/>
        <v>0</v>
      </c>
      <c r="O309" s="94">
        <f t="shared" ca="1" si="142"/>
        <v>0</v>
      </c>
      <c r="P309" s="94">
        <f t="shared" ca="1" si="142"/>
        <v>0</v>
      </c>
      <c r="Q309" s="94">
        <f t="shared" ca="1" si="142"/>
        <v>0</v>
      </c>
      <c r="R309" s="94">
        <f t="shared" ca="1" si="142"/>
        <v>0</v>
      </c>
      <c r="S309" s="94">
        <f t="shared" ca="1" si="142"/>
        <v>0</v>
      </c>
      <c r="T309" s="94">
        <f t="shared" ca="1" si="142"/>
        <v>0</v>
      </c>
      <c r="U309" s="94">
        <f t="shared" ca="1" si="142"/>
        <v>0</v>
      </c>
      <c r="V309" s="94">
        <f t="shared" ca="1" si="142"/>
        <v>0</v>
      </c>
      <c r="W309" s="94">
        <f t="shared" ca="1" si="142"/>
        <v>0</v>
      </c>
      <c r="X309" s="94">
        <f t="shared" ca="1" si="142"/>
        <v>0</v>
      </c>
    </row>
    <row r="310" spans="2:24">
      <c r="B310" s="52" t="s">
        <v>527</v>
      </c>
      <c r="C310" s="52"/>
      <c r="D310" s="52"/>
      <c r="E310" s="52"/>
      <c r="F310" s="52"/>
      <c r="G310" s="33">
        <f t="shared" ref="G310:X310" si="143">G22+G166</f>
        <v>0</v>
      </c>
      <c r="H310" s="33">
        <f t="shared" si="143"/>
        <v>0</v>
      </c>
      <c r="I310" s="33">
        <f t="shared" si="143"/>
        <v>0</v>
      </c>
      <c r="J310" s="33">
        <f t="shared" si="143"/>
        <v>0</v>
      </c>
      <c r="K310" s="33">
        <f t="shared" si="143"/>
        <v>0</v>
      </c>
      <c r="L310" s="33">
        <f t="shared" si="143"/>
        <v>0</v>
      </c>
      <c r="M310" s="33">
        <f t="shared" si="143"/>
        <v>0</v>
      </c>
      <c r="N310" s="33">
        <f t="shared" si="143"/>
        <v>0</v>
      </c>
      <c r="O310" s="33">
        <f t="shared" si="143"/>
        <v>0</v>
      </c>
      <c r="P310" s="33">
        <f t="shared" si="143"/>
        <v>0</v>
      </c>
      <c r="Q310" s="33">
        <f t="shared" si="143"/>
        <v>0</v>
      </c>
      <c r="R310" s="33">
        <f t="shared" si="143"/>
        <v>0</v>
      </c>
      <c r="S310" s="33">
        <f t="shared" si="143"/>
        <v>0</v>
      </c>
      <c r="T310" s="33">
        <f t="shared" si="143"/>
        <v>0</v>
      </c>
      <c r="U310" s="33">
        <f t="shared" si="143"/>
        <v>0</v>
      </c>
      <c r="V310" s="33">
        <f t="shared" si="143"/>
        <v>0</v>
      </c>
      <c r="W310" s="33">
        <f t="shared" si="143"/>
        <v>0</v>
      </c>
      <c r="X310" s="33">
        <f t="shared" si="143"/>
        <v>0</v>
      </c>
    </row>
    <row r="311" spans="2:24">
      <c r="B311" s="37" t="s">
        <v>528</v>
      </c>
      <c r="C311" s="52"/>
      <c r="D311" s="52"/>
      <c r="E311" s="52"/>
      <c r="F311" s="52"/>
      <c r="G311" s="33">
        <f t="shared" ref="G311:X311" si="144">G23+G167</f>
        <v>0</v>
      </c>
      <c r="H311" s="33">
        <f t="shared" si="144"/>
        <v>0</v>
      </c>
      <c r="I311" s="33">
        <f t="shared" si="144"/>
        <v>0</v>
      </c>
      <c r="J311" s="33">
        <f t="shared" si="144"/>
        <v>0</v>
      </c>
      <c r="K311" s="33">
        <f t="shared" si="144"/>
        <v>0</v>
      </c>
      <c r="L311" s="33">
        <f t="shared" si="144"/>
        <v>0</v>
      </c>
      <c r="M311" s="33">
        <f t="shared" si="144"/>
        <v>0</v>
      </c>
      <c r="N311" s="33">
        <f t="shared" si="144"/>
        <v>0</v>
      </c>
      <c r="O311" s="33">
        <f t="shared" si="144"/>
        <v>0</v>
      </c>
      <c r="P311" s="33">
        <f t="shared" si="144"/>
        <v>0</v>
      </c>
      <c r="Q311" s="33">
        <f t="shared" si="144"/>
        <v>0</v>
      </c>
      <c r="R311" s="33">
        <f t="shared" si="144"/>
        <v>0</v>
      </c>
      <c r="S311" s="33">
        <f t="shared" si="144"/>
        <v>0</v>
      </c>
      <c r="T311" s="33">
        <f t="shared" si="144"/>
        <v>0</v>
      </c>
      <c r="U311" s="33">
        <f t="shared" si="144"/>
        <v>0</v>
      </c>
      <c r="V311" s="33">
        <f t="shared" si="144"/>
        <v>0</v>
      </c>
      <c r="W311" s="33">
        <f t="shared" si="144"/>
        <v>0</v>
      </c>
      <c r="X311" s="33">
        <f t="shared" si="144"/>
        <v>0</v>
      </c>
    </row>
    <row r="312" spans="2:24">
      <c r="B312" s="37" t="s">
        <v>529</v>
      </c>
      <c r="C312" s="52"/>
      <c r="D312" s="52"/>
      <c r="E312" s="52"/>
      <c r="F312" s="52"/>
      <c r="G312" s="33">
        <f t="shared" ref="G312:X312" si="145">G24+G168</f>
        <v>0</v>
      </c>
      <c r="H312" s="33">
        <f t="shared" si="145"/>
        <v>0</v>
      </c>
      <c r="I312" s="33">
        <f t="shared" si="145"/>
        <v>0</v>
      </c>
      <c r="J312" s="33">
        <f t="shared" si="145"/>
        <v>0</v>
      </c>
      <c r="K312" s="33">
        <f t="shared" si="145"/>
        <v>0</v>
      </c>
      <c r="L312" s="33">
        <f t="shared" si="145"/>
        <v>0</v>
      </c>
      <c r="M312" s="33">
        <f t="shared" si="145"/>
        <v>0</v>
      </c>
      <c r="N312" s="33">
        <f t="shared" si="145"/>
        <v>0</v>
      </c>
      <c r="O312" s="33">
        <f t="shared" si="145"/>
        <v>0</v>
      </c>
      <c r="P312" s="33">
        <f t="shared" si="145"/>
        <v>0</v>
      </c>
      <c r="Q312" s="33">
        <f t="shared" si="145"/>
        <v>0</v>
      </c>
      <c r="R312" s="33">
        <f t="shared" si="145"/>
        <v>0</v>
      </c>
      <c r="S312" s="33">
        <f t="shared" si="145"/>
        <v>0</v>
      </c>
      <c r="T312" s="33">
        <f t="shared" si="145"/>
        <v>0</v>
      </c>
      <c r="U312" s="33">
        <f t="shared" si="145"/>
        <v>0</v>
      </c>
      <c r="V312" s="33">
        <f t="shared" si="145"/>
        <v>0</v>
      </c>
      <c r="W312" s="33">
        <f t="shared" si="145"/>
        <v>0</v>
      </c>
      <c r="X312" s="33">
        <f t="shared" si="145"/>
        <v>0</v>
      </c>
    </row>
    <row r="313" spans="2:24">
      <c r="B313" s="37" t="s">
        <v>530</v>
      </c>
      <c r="C313" s="52"/>
      <c r="D313" s="52"/>
      <c r="E313" s="52"/>
      <c r="F313" s="52"/>
      <c r="G313" s="33">
        <f t="shared" ref="G313:X313" si="146">G25+G169</f>
        <v>0</v>
      </c>
      <c r="H313" s="33">
        <f t="shared" si="146"/>
        <v>0</v>
      </c>
      <c r="I313" s="33">
        <f t="shared" si="146"/>
        <v>0</v>
      </c>
      <c r="J313" s="33">
        <f t="shared" si="146"/>
        <v>0</v>
      </c>
      <c r="K313" s="33">
        <f t="shared" si="146"/>
        <v>0</v>
      </c>
      <c r="L313" s="33">
        <f t="shared" si="146"/>
        <v>0</v>
      </c>
      <c r="M313" s="33">
        <f t="shared" si="146"/>
        <v>0</v>
      </c>
      <c r="N313" s="33">
        <f t="shared" si="146"/>
        <v>0</v>
      </c>
      <c r="O313" s="33">
        <f t="shared" si="146"/>
        <v>0</v>
      </c>
      <c r="P313" s="33">
        <f t="shared" si="146"/>
        <v>0</v>
      </c>
      <c r="Q313" s="33">
        <f t="shared" si="146"/>
        <v>0</v>
      </c>
      <c r="R313" s="33">
        <f t="shared" si="146"/>
        <v>0</v>
      </c>
      <c r="S313" s="33">
        <f t="shared" si="146"/>
        <v>0</v>
      </c>
      <c r="T313" s="33">
        <f t="shared" si="146"/>
        <v>0</v>
      </c>
      <c r="U313" s="33">
        <f t="shared" si="146"/>
        <v>0</v>
      </c>
      <c r="V313" s="33">
        <f t="shared" si="146"/>
        <v>0</v>
      </c>
      <c r="W313" s="33">
        <f t="shared" si="146"/>
        <v>0</v>
      </c>
      <c r="X313" s="33">
        <f t="shared" si="146"/>
        <v>0</v>
      </c>
    </row>
    <row r="314" spans="2:24">
      <c r="B314" s="37" t="s">
        <v>531</v>
      </c>
      <c r="C314" s="52"/>
      <c r="D314" s="52"/>
      <c r="E314" s="52"/>
      <c r="F314" s="52"/>
      <c r="G314" s="33">
        <f t="shared" ref="G314:X314" si="147">G26+G170</f>
        <v>0</v>
      </c>
      <c r="H314" s="33">
        <f t="shared" si="147"/>
        <v>0</v>
      </c>
      <c r="I314" s="33">
        <f t="shared" si="147"/>
        <v>0</v>
      </c>
      <c r="J314" s="33">
        <f t="shared" si="147"/>
        <v>0</v>
      </c>
      <c r="K314" s="33">
        <f t="shared" si="147"/>
        <v>0</v>
      </c>
      <c r="L314" s="33">
        <f t="shared" si="147"/>
        <v>0</v>
      </c>
      <c r="M314" s="33">
        <f t="shared" si="147"/>
        <v>0</v>
      </c>
      <c r="N314" s="33">
        <f t="shared" si="147"/>
        <v>0</v>
      </c>
      <c r="O314" s="33">
        <f t="shared" si="147"/>
        <v>0</v>
      </c>
      <c r="P314" s="33">
        <f t="shared" si="147"/>
        <v>0</v>
      </c>
      <c r="Q314" s="33">
        <f t="shared" si="147"/>
        <v>0</v>
      </c>
      <c r="R314" s="33">
        <f t="shared" si="147"/>
        <v>0</v>
      </c>
      <c r="S314" s="33">
        <f t="shared" si="147"/>
        <v>0</v>
      </c>
      <c r="T314" s="33">
        <f t="shared" si="147"/>
        <v>0</v>
      </c>
      <c r="U314" s="33">
        <f t="shared" si="147"/>
        <v>0</v>
      </c>
      <c r="V314" s="33">
        <f t="shared" si="147"/>
        <v>0</v>
      </c>
      <c r="W314" s="33">
        <f t="shared" si="147"/>
        <v>0</v>
      </c>
      <c r="X314" s="33">
        <f t="shared" si="147"/>
        <v>0</v>
      </c>
    </row>
    <row r="315" spans="2:24">
      <c r="B315" s="37" t="s">
        <v>532</v>
      </c>
      <c r="C315" s="52"/>
      <c r="D315" s="52"/>
      <c r="E315" s="52"/>
      <c r="F315" s="52"/>
      <c r="G315" s="33">
        <f t="shared" ref="G315:X315" si="148">G27+G171</f>
        <v>0</v>
      </c>
      <c r="H315" s="33">
        <f t="shared" si="148"/>
        <v>0</v>
      </c>
      <c r="I315" s="33">
        <f t="shared" si="148"/>
        <v>0</v>
      </c>
      <c r="J315" s="33">
        <f t="shared" si="148"/>
        <v>0</v>
      </c>
      <c r="K315" s="33">
        <f t="shared" si="148"/>
        <v>0</v>
      </c>
      <c r="L315" s="33">
        <f t="shared" si="148"/>
        <v>0</v>
      </c>
      <c r="M315" s="33">
        <f t="shared" si="148"/>
        <v>0</v>
      </c>
      <c r="N315" s="33">
        <f t="shared" si="148"/>
        <v>0</v>
      </c>
      <c r="O315" s="33">
        <f t="shared" si="148"/>
        <v>0</v>
      </c>
      <c r="P315" s="33">
        <f t="shared" si="148"/>
        <v>0</v>
      </c>
      <c r="Q315" s="33">
        <f t="shared" si="148"/>
        <v>0</v>
      </c>
      <c r="R315" s="33">
        <f t="shared" si="148"/>
        <v>0</v>
      </c>
      <c r="S315" s="33">
        <f t="shared" si="148"/>
        <v>0</v>
      </c>
      <c r="T315" s="33">
        <f t="shared" si="148"/>
        <v>0</v>
      </c>
      <c r="U315" s="33">
        <f t="shared" si="148"/>
        <v>0</v>
      </c>
      <c r="V315" s="33">
        <f t="shared" si="148"/>
        <v>0</v>
      </c>
      <c r="W315" s="33">
        <f t="shared" si="148"/>
        <v>0</v>
      </c>
      <c r="X315" s="33">
        <f t="shared" si="148"/>
        <v>0</v>
      </c>
    </row>
    <row r="316" spans="2:24">
      <c r="B316" s="88" t="s">
        <v>533</v>
      </c>
      <c r="C316" s="89"/>
      <c r="D316" s="89"/>
      <c r="E316" s="89"/>
      <c r="F316" s="89"/>
      <c r="G316" s="90">
        <f t="shared" ref="G316:X316" si="149">G28+G172</f>
        <v>0</v>
      </c>
      <c r="H316" s="90">
        <f t="shared" si="149"/>
        <v>0</v>
      </c>
      <c r="I316" s="90">
        <f t="shared" si="149"/>
        <v>0</v>
      </c>
      <c r="J316" s="90">
        <f t="shared" si="149"/>
        <v>0</v>
      </c>
      <c r="K316" s="90">
        <f t="shared" si="149"/>
        <v>0</v>
      </c>
      <c r="L316" s="90">
        <f t="shared" si="149"/>
        <v>0</v>
      </c>
      <c r="M316" s="90">
        <f t="shared" si="149"/>
        <v>0</v>
      </c>
      <c r="N316" s="90">
        <f t="shared" si="149"/>
        <v>0</v>
      </c>
      <c r="O316" s="90">
        <f t="shared" si="149"/>
        <v>0</v>
      </c>
      <c r="P316" s="90">
        <f t="shared" si="149"/>
        <v>0</v>
      </c>
      <c r="Q316" s="90">
        <f t="shared" si="149"/>
        <v>0</v>
      </c>
      <c r="R316" s="90">
        <f t="shared" si="149"/>
        <v>0</v>
      </c>
      <c r="S316" s="90">
        <f t="shared" si="149"/>
        <v>0</v>
      </c>
      <c r="T316" s="90">
        <f t="shared" si="149"/>
        <v>0</v>
      </c>
      <c r="U316" s="90">
        <f t="shared" si="149"/>
        <v>0</v>
      </c>
      <c r="V316" s="90">
        <f t="shared" si="149"/>
        <v>0</v>
      </c>
      <c r="W316" s="90">
        <f t="shared" si="149"/>
        <v>0</v>
      </c>
      <c r="X316" s="90">
        <f t="shared" si="149"/>
        <v>0</v>
      </c>
    </row>
    <row r="317" spans="2:24">
      <c r="B317" s="98" t="s">
        <v>534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0">L303-L308</f>
        <v>0</v>
      </c>
      <c r="M317" s="97">
        <f t="shared" ca="1" si="150"/>
        <v>0</v>
      </c>
      <c r="N317" s="97">
        <f t="shared" ca="1" si="150"/>
        <v>0</v>
      </c>
      <c r="O317" s="97">
        <f t="shared" ca="1" si="150"/>
        <v>0</v>
      </c>
      <c r="P317" s="97">
        <f t="shared" ca="1" si="150"/>
        <v>0</v>
      </c>
      <c r="Q317" s="97">
        <f t="shared" ca="1" si="150"/>
        <v>0</v>
      </c>
      <c r="R317" s="97">
        <f t="shared" ca="1" si="150"/>
        <v>0</v>
      </c>
      <c r="S317" s="97">
        <f t="shared" ca="1" si="150"/>
        <v>0</v>
      </c>
      <c r="T317" s="97">
        <f t="shared" ca="1" si="150"/>
        <v>0</v>
      </c>
      <c r="U317" s="97">
        <f t="shared" ca="1" si="150"/>
        <v>0</v>
      </c>
      <c r="V317" s="97">
        <f t="shared" ca="1" si="150"/>
        <v>0</v>
      </c>
      <c r="W317" s="97">
        <f t="shared" ca="1" si="150"/>
        <v>0</v>
      </c>
      <c r="X317" s="97">
        <f t="shared" ca="1" si="150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1">G30+G174</f>
        <v>0</v>
      </c>
      <c r="H318" s="18">
        <f t="shared" si="151"/>
        <v>0</v>
      </c>
      <c r="I318" s="18">
        <f t="shared" si="151"/>
        <v>0</v>
      </c>
      <c r="J318" s="18">
        <f t="shared" si="151"/>
        <v>0</v>
      </c>
      <c r="K318" s="18">
        <f t="shared" si="151"/>
        <v>0</v>
      </c>
      <c r="L318" s="18">
        <f t="shared" ca="1" si="151"/>
        <v>0</v>
      </c>
      <c r="M318" s="18">
        <f t="shared" ca="1" si="151"/>
        <v>0</v>
      </c>
      <c r="N318" s="18">
        <f t="shared" ca="1" si="151"/>
        <v>0</v>
      </c>
      <c r="O318" s="18">
        <f t="shared" ca="1" si="151"/>
        <v>0</v>
      </c>
      <c r="P318" s="18">
        <f t="shared" ca="1" si="151"/>
        <v>0</v>
      </c>
      <c r="Q318" s="18">
        <f t="shared" ca="1" si="151"/>
        <v>0</v>
      </c>
      <c r="R318" s="18">
        <f t="shared" ca="1" si="151"/>
        <v>0</v>
      </c>
      <c r="S318" s="18">
        <f t="shared" ca="1" si="151"/>
        <v>0</v>
      </c>
      <c r="T318" s="18">
        <f t="shared" ca="1" si="151"/>
        <v>0</v>
      </c>
      <c r="U318" s="18">
        <f t="shared" ca="1" si="151"/>
        <v>0</v>
      </c>
      <c r="V318" s="18">
        <f t="shared" ca="1" si="151"/>
        <v>0</v>
      </c>
      <c r="W318" s="18">
        <f t="shared" ca="1" si="151"/>
        <v>0</v>
      </c>
      <c r="X318" s="18">
        <f t="shared" ca="1" si="151"/>
        <v>0</v>
      </c>
    </row>
    <row r="319" spans="2:24">
      <c r="B319" s="37" t="s">
        <v>535</v>
      </c>
      <c r="C319" s="52"/>
      <c r="D319" s="52"/>
      <c r="E319" s="52"/>
      <c r="F319" s="52"/>
      <c r="G319" s="33">
        <f t="shared" ref="G319:X319" si="152">G31+G175</f>
        <v>0</v>
      </c>
      <c r="H319" s="33">
        <f t="shared" si="152"/>
        <v>0</v>
      </c>
      <c r="I319" s="33">
        <f t="shared" si="152"/>
        <v>0</v>
      </c>
      <c r="J319" s="33">
        <f t="shared" si="152"/>
        <v>0</v>
      </c>
      <c r="K319" s="33">
        <f t="shared" si="152"/>
        <v>0</v>
      </c>
      <c r="L319" s="33">
        <f t="shared" ca="1" si="152"/>
        <v>0</v>
      </c>
      <c r="M319" s="33">
        <f t="shared" ca="1" si="152"/>
        <v>0</v>
      </c>
      <c r="N319" s="33">
        <f t="shared" ca="1" si="152"/>
        <v>0</v>
      </c>
      <c r="O319" s="33">
        <f t="shared" ca="1" si="152"/>
        <v>0</v>
      </c>
      <c r="P319" s="33">
        <f t="shared" ca="1" si="152"/>
        <v>0</v>
      </c>
      <c r="Q319" s="33">
        <f t="shared" ca="1" si="152"/>
        <v>0</v>
      </c>
      <c r="R319" s="33">
        <f t="shared" ca="1" si="152"/>
        <v>0</v>
      </c>
      <c r="S319" s="33">
        <f t="shared" ca="1" si="152"/>
        <v>0</v>
      </c>
      <c r="T319" s="33">
        <f t="shared" ca="1" si="152"/>
        <v>0</v>
      </c>
      <c r="U319" s="33">
        <f t="shared" ca="1" si="152"/>
        <v>0</v>
      </c>
      <c r="V319" s="33">
        <f t="shared" ca="1" si="152"/>
        <v>0</v>
      </c>
      <c r="W319" s="33">
        <f t="shared" ca="1" si="152"/>
        <v>0</v>
      </c>
      <c r="X319" s="33">
        <f t="shared" ca="1" si="152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3">G32+G176</f>
        <v>0</v>
      </c>
      <c r="H320" s="92">
        <f t="shared" si="153"/>
        <v>0</v>
      </c>
      <c r="I320" s="92">
        <f t="shared" si="153"/>
        <v>0</v>
      </c>
      <c r="J320" s="92">
        <f t="shared" si="153"/>
        <v>0</v>
      </c>
      <c r="K320" s="92">
        <f t="shared" si="153"/>
        <v>0</v>
      </c>
      <c r="L320" s="92">
        <f t="shared" si="153"/>
        <v>0</v>
      </c>
      <c r="M320" s="92">
        <f t="shared" si="153"/>
        <v>0</v>
      </c>
      <c r="N320" s="92">
        <f t="shared" si="153"/>
        <v>0</v>
      </c>
      <c r="O320" s="92">
        <f t="shared" si="153"/>
        <v>0</v>
      </c>
      <c r="P320" s="92">
        <f t="shared" si="153"/>
        <v>0</v>
      </c>
      <c r="Q320" s="92">
        <f t="shared" si="153"/>
        <v>0</v>
      </c>
      <c r="R320" s="92">
        <f t="shared" si="153"/>
        <v>0</v>
      </c>
      <c r="S320" s="92">
        <f t="shared" si="153"/>
        <v>0</v>
      </c>
      <c r="T320" s="92">
        <f t="shared" si="153"/>
        <v>0</v>
      </c>
      <c r="U320" s="92">
        <f t="shared" si="153"/>
        <v>0</v>
      </c>
      <c r="V320" s="92">
        <f t="shared" si="153"/>
        <v>0</v>
      </c>
      <c r="W320" s="92">
        <f t="shared" si="153"/>
        <v>0</v>
      </c>
      <c r="X320" s="92">
        <f t="shared" si="153"/>
        <v>0</v>
      </c>
    </row>
    <row r="321" spans="2:24">
      <c r="B321" s="98" t="s">
        <v>536</v>
      </c>
      <c r="C321" s="96" t="s">
        <v>537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4">L317+L318-L320</f>
        <v>0</v>
      </c>
      <c r="M321" s="97">
        <f t="shared" ca="1" si="154"/>
        <v>0</v>
      </c>
      <c r="N321" s="97">
        <f t="shared" ca="1" si="154"/>
        <v>0</v>
      </c>
      <c r="O321" s="97">
        <f t="shared" ca="1" si="154"/>
        <v>0</v>
      </c>
      <c r="P321" s="97">
        <f t="shared" ca="1" si="154"/>
        <v>0</v>
      </c>
      <c r="Q321" s="97">
        <f t="shared" ca="1" si="154"/>
        <v>0</v>
      </c>
      <c r="R321" s="97">
        <f t="shared" ca="1" si="154"/>
        <v>0</v>
      </c>
      <c r="S321" s="97">
        <f t="shared" ca="1" si="154"/>
        <v>0</v>
      </c>
      <c r="T321" s="97">
        <f t="shared" ca="1" si="154"/>
        <v>0</v>
      </c>
      <c r="U321" s="97">
        <f t="shared" ca="1" si="154"/>
        <v>0</v>
      </c>
      <c r="V321" s="97">
        <f t="shared" ca="1" si="154"/>
        <v>0</v>
      </c>
      <c r="W321" s="97">
        <f t="shared" ca="1" si="154"/>
        <v>0</v>
      </c>
      <c r="X321" s="97">
        <f t="shared" ca="1" si="154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55">G34+G178</f>
        <v>0</v>
      </c>
      <c r="H322" s="18">
        <f t="shared" si="155"/>
        <v>0</v>
      </c>
      <c r="I322" s="18">
        <f t="shared" si="155"/>
        <v>0</v>
      </c>
      <c r="J322" s="18">
        <f t="shared" si="155"/>
        <v>0</v>
      </c>
      <c r="K322" s="18">
        <f t="shared" si="155"/>
        <v>0</v>
      </c>
      <c r="L322" s="18">
        <f t="shared" ca="1" si="155"/>
        <v>0</v>
      </c>
      <c r="M322" s="18">
        <f t="shared" ca="1" si="155"/>
        <v>0</v>
      </c>
      <c r="N322" s="18">
        <f t="shared" ca="1" si="155"/>
        <v>0</v>
      </c>
      <c r="O322" s="18">
        <f t="shared" ca="1" si="155"/>
        <v>0</v>
      </c>
      <c r="P322" s="18">
        <f t="shared" ca="1" si="155"/>
        <v>0</v>
      </c>
      <c r="Q322" s="18">
        <f t="shared" ca="1" si="155"/>
        <v>0</v>
      </c>
      <c r="R322" s="18">
        <f t="shared" ca="1" si="155"/>
        <v>0</v>
      </c>
      <c r="S322" s="18">
        <f t="shared" ca="1" si="155"/>
        <v>0</v>
      </c>
      <c r="T322" s="18">
        <f t="shared" ca="1" si="155"/>
        <v>0</v>
      </c>
      <c r="U322" s="18">
        <f t="shared" ca="1" si="155"/>
        <v>0</v>
      </c>
      <c r="V322" s="18">
        <f t="shared" ca="1" si="155"/>
        <v>0</v>
      </c>
      <c r="W322" s="18">
        <f t="shared" ca="1" si="155"/>
        <v>0</v>
      </c>
      <c r="X322" s="18">
        <f t="shared" ca="1" si="155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56">G35+G179</f>
        <v>0</v>
      </c>
      <c r="H323" s="86">
        <f t="shared" si="156"/>
        <v>0</v>
      </c>
      <c r="I323" s="86">
        <f t="shared" si="156"/>
        <v>0</v>
      </c>
      <c r="J323" s="86">
        <f t="shared" si="156"/>
        <v>0</v>
      </c>
      <c r="K323" s="86">
        <f t="shared" si="156"/>
        <v>0</v>
      </c>
      <c r="L323" s="86">
        <f t="shared" si="156"/>
        <v>0</v>
      </c>
      <c r="M323" s="86">
        <f t="shared" si="156"/>
        <v>0</v>
      </c>
      <c r="N323" s="86">
        <f t="shared" si="156"/>
        <v>0</v>
      </c>
      <c r="O323" s="86">
        <f t="shared" si="156"/>
        <v>0</v>
      </c>
      <c r="P323" s="86">
        <f t="shared" si="156"/>
        <v>0</v>
      </c>
      <c r="Q323" s="86">
        <f t="shared" si="156"/>
        <v>0</v>
      </c>
      <c r="R323" s="86">
        <f t="shared" si="156"/>
        <v>0</v>
      </c>
      <c r="S323" s="86">
        <f t="shared" si="156"/>
        <v>0</v>
      </c>
      <c r="T323" s="86">
        <f t="shared" si="156"/>
        <v>0</v>
      </c>
      <c r="U323" s="86">
        <f t="shared" si="156"/>
        <v>0</v>
      </c>
      <c r="V323" s="86">
        <f t="shared" si="156"/>
        <v>0</v>
      </c>
      <c r="W323" s="86">
        <f t="shared" si="156"/>
        <v>0</v>
      </c>
      <c r="X323" s="86">
        <f t="shared" si="156"/>
        <v>0</v>
      </c>
    </row>
    <row r="324" spans="2:24">
      <c r="B324" s="88" t="s">
        <v>538</v>
      </c>
      <c r="C324" s="89" t="s">
        <v>539</v>
      </c>
      <c r="D324" s="89"/>
      <c r="E324" s="89"/>
      <c r="F324" s="89"/>
      <c r="G324" s="90">
        <f t="shared" ref="G324:X324" si="157">G36+G180</f>
        <v>0</v>
      </c>
      <c r="H324" s="90">
        <f t="shared" si="157"/>
        <v>0</v>
      </c>
      <c r="I324" s="90">
        <f t="shared" si="157"/>
        <v>0</v>
      </c>
      <c r="J324" s="90">
        <f t="shared" si="157"/>
        <v>0</v>
      </c>
      <c r="K324" s="90">
        <f t="shared" si="157"/>
        <v>0</v>
      </c>
      <c r="L324" s="90">
        <f t="shared" si="157"/>
        <v>0</v>
      </c>
      <c r="M324" s="90">
        <f t="shared" si="157"/>
        <v>0</v>
      </c>
      <c r="N324" s="90">
        <f t="shared" si="157"/>
        <v>0</v>
      </c>
      <c r="O324" s="90">
        <f t="shared" si="157"/>
        <v>0</v>
      </c>
      <c r="P324" s="90">
        <f t="shared" si="157"/>
        <v>0</v>
      </c>
      <c r="Q324" s="90">
        <f t="shared" si="157"/>
        <v>0</v>
      </c>
      <c r="R324" s="90">
        <f t="shared" si="157"/>
        <v>0</v>
      </c>
      <c r="S324" s="90">
        <f t="shared" si="157"/>
        <v>0</v>
      </c>
      <c r="T324" s="90">
        <f t="shared" si="157"/>
        <v>0</v>
      </c>
      <c r="U324" s="90">
        <f t="shared" si="157"/>
        <v>0</v>
      </c>
      <c r="V324" s="90">
        <f t="shared" si="157"/>
        <v>0</v>
      </c>
      <c r="W324" s="90">
        <f t="shared" si="157"/>
        <v>0</v>
      </c>
      <c r="X324" s="90">
        <f t="shared" si="157"/>
        <v>0</v>
      </c>
    </row>
    <row r="325" spans="2:24">
      <c r="B325" s="98" t="s">
        <v>540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58">L321+L322-L323</f>
        <v>0</v>
      </c>
      <c r="M325" s="97">
        <f t="shared" ca="1" si="158"/>
        <v>0</v>
      </c>
      <c r="N325" s="97">
        <f t="shared" ca="1" si="158"/>
        <v>0</v>
      </c>
      <c r="O325" s="97">
        <f t="shared" ca="1" si="158"/>
        <v>0</v>
      </c>
      <c r="P325" s="97">
        <f t="shared" ca="1" si="158"/>
        <v>0</v>
      </c>
      <c r="Q325" s="97">
        <f t="shared" ca="1" si="158"/>
        <v>0</v>
      </c>
      <c r="R325" s="97">
        <f t="shared" ca="1" si="158"/>
        <v>0</v>
      </c>
      <c r="S325" s="97">
        <f t="shared" ca="1" si="158"/>
        <v>0</v>
      </c>
      <c r="T325" s="97">
        <f t="shared" ca="1" si="158"/>
        <v>0</v>
      </c>
      <c r="U325" s="97">
        <f t="shared" ca="1" si="158"/>
        <v>0</v>
      </c>
      <c r="V325" s="97">
        <f t="shared" ca="1" si="158"/>
        <v>0</v>
      </c>
      <c r="W325" s="97">
        <f t="shared" ca="1" si="158"/>
        <v>0</v>
      </c>
      <c r="X325" s="97">
        <f t="shared" ca="1" si="158"/>
        <v>0</v>
      </c>
    </row>
    <row r="326" spans="2:24">
      <c r="B326" s="7" t="s">
        <v>541</v>
      </c>
      <c r="G326" s="13">
        <f t="shared" ref="G326:X326" si="159">G38+G182</f>
        <v>0</v>
      </c>
      <c r="H326" s="13">
        <f t="shared" si="159"/>
        <v>0</v>
      </c>
      <c r="I326" s="13">
        <f t="shared" si="159"/>
        <v>0</v>
      </c>
      <c r="J326" s="13">
        <f t="shared" si="159"/>
        <v>0</v>
      </c>
      <c r="K326" s="13">
        <f t="shared" si="159"/>
        <v>0</v>
      </c>
      <c r="L326" s="13">
        <f t="shared" si="159"/>
        <v>0</v>
      </c>
      <c r="M326" s="13">
        <f t="shared" si="159"/>
        <v>0</v>
      </c>
      <c r="N326" s="13">
        <f t="shared" si="159"/>
        <v>0</v>
      </c>
      <c r="O326" s="13">
        <f t="shared" si="159"/>
        <v>0</v>
      </c>
      <c r="P326" s="13">
        <f t="shared" si="159"/>
        <v>0</v>
      </c>
      <c r="Q326" s="13">
        <f t="shared" si="159"/>
        <v>0</v>
      </c>
      <c r="R326" s="13">
        <f t="shared" si="159"/>
        <v>0</v>
      </c>
      <c r="S326" s="13">
        <f t="shared" si="159"/>
        <v>0</v>
      </c>
      <c r="T326" s="13">
        <f t="shared" si="159"/>
        <v>0</v>
      </c>
      <c r="U326" s="13">
        <f t="shared" si="159"/>
        <v>0</v>
      </c>
      <c r="V326" s="13">
        <f t="shared" si="159"/>
        <v>0</v>
      </c>
      <c r="W326" s="13">
        <f t="shared" si="159"/>
        <v>0</v>
      </c>
      <c r="X326" s="13">
        <f t="shared" si="159"/>
        <v>0</v>
      </c>
    </row>
    <row r="327" spans="2:24">
      <c r="B327" s="98" t="s">
        <v>542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0">L325+L326</f>
        <v>0</v>
      </c>
      <c r="M327" s="97">
        <f t="shared" ca="1" si="160"/>
        <v>0</v>
      </c>
      <c r="N327" s="97">
        <f t="shared" ca="1" si="160"/>
        <v>0</v>
      </c>
      <c r="O327" s="97">
        <f t="shared" ca="1" si="160"/>
        <v>0</v>
      </c>
      <c r="P327" s="97">
        <f t="shared" ca="1" si="160"/>
        <v>0</v>
      </c>
      <c r="Q327" s="97">
        <f t="shared" ca="1" si="160"/>
        <v>0</v>
      </c>
      <c r="R327" s="97">
        <f t="shared" ca="1" si="160"/>
        <v>0</v>
      </c>
      <c r="S327" s="97">
        <f t="shared" ca="1" si="160"/>
        <v>0</v>
      </c>
      <c r="T327" s="97">
        <f t="shared" ca="1" si="160"/>
        <v>0</v>
      </c>
      <c r="U327" s="97">
        <f t="shared" ca="1" si="160"/>
        <v>0</v>
      </c>
      <c r="V327" s="97">
        <f t="shared" ca="1" si="160"/>
        <v>0</v>
      </c>
      <c r="W327" s="97">
        <f t="shared" ca="1" si="160"/>
        <v>0</v>
      </c>
      <c r="X327" s="97">
        <f t="shared" ca="1" si="160"/>
        <v>0</v>
      </c>
    </row>
    <row r="328" spans="2:24">
      <c r="B328" s="17" t="s">
        <v>262</v>
      </c>
      <c r="C328" s="19"/>
      <c r="D328" s="19" t="s">
        <v>543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1">IF(K327&lt;=0,0,ROUND(K327*CIT,0))</f>
        <v>0</v>
      </c>
      <c r="L328" s="18">
        <f t="shared" ca="1" si="161"/>
        <v>0</v>
      </c>
      <c r="M328" s="18">
        <f t="shared" ca="1" si="161"/>
        <v>0</v>
      </c>
      <c r="N328" s="18">
        <f t="shared" ca="1" si="161"/>
        <v>0</v>
      </c>
      <c r="O328" s="18">
        <f t="shared" ca="1" si="161"/>
        <v>0</v>
      </c>
      <c r="P328" s="18">
        <f t="shared" ca="1" si="161"/>
        <v>0</v>
      </c>
      <c r="Q328" s="18">
        <f t="shared" ca="1" si="161"/>
        <v>0</v>
      </c>
      <c r="R328" s="18">
        <f t="shared" ca="1" si="161"/>
        <v>0</v>
      </c>
      <c r="S328" s="18">
        <f t="shared" ca="1" si="161"/>
        <v>0</v>
      </c>
      <c r="T328" s="18">
        <f t="shared" ca="1" si="161"/>
        <v>0</v>
      </c>
      <c r="U328" s="18">
        <f t="shared" ca="1" si="161"/>
        <v>0</v>
      </c>
      <c r="V328" s="18">
        <f t="shared" ca="1" si="161"/>
        <v>0</v>
      </c>
      <c r="W328" s="18">
        <f t="shared" ca="1" si="161"/>
        <v>0</v>
      </c>
      <c r="X328" s="18">
        <f t="shared" ca="1" si="161"/>
        <v>0</v>
      </c>
    </row>
    <row r="329" spans="2:24">
      <c r="B329" s="91" t="s">
        <v>544</v>
      </c>
      <c r="C329" s="89"/>
      <c r="D329" s="89" t="s">
        <v>543</v>
      </c>
      <c r="E329" s="89"/>
      <c r="F329" s="89"/>
      <c r="G329" s="92">
        <f t="shared" ref="G329:X329" si="162">G41+G185</f>
        <v>0</v>
      </c>
      <c r="H329" s="92">
        <f t="shared" si="162"/>
        <v>0</v>
      </c>
      <c r="I329" s="92">
        <f t="shared" si="162"/>
        <v>0</v>
      </c>
      <c r="J329" s="92">
        <f t="shared" si="162"/>
        <v>0</v>
      </c>
      <c r="K329" s="92">
        <f t="shared" si="162"/>
        <v>0</v>
      </c>
      <c r="L329" s="92">
        <f t="shared" si="162"/>
        <v>0</v>
      </c>
      <c r="M329" s="92">
        <f t="shared" si="162"/>
        <v>0</v>
      </c>
      <c r="N329" s="92">
        <f t="shared" si="162"/>
        <v>0</v>
      </c>
      <c r="O329" s="92">
        <f t="shared" si="162"/>
        <v>0</v>
      </c>
      <c r="P329" s="92">
        <f t="shared" si="162"/>
        <v>0</v>
      </c>
      <c r="Q329" s="92">
        <f t="shared" si="162"/>
        <v>0</v>
      </c>
      <c r="R329" s="92">
        <f t="shared" si="162"/>
        <v>0</v>
      </c>
      <c r="S329" s="92">
        <f t="shared" si="162"/>
        <v>0</v>
      </c>
      <c r="T329" s="92">
        <f t="shared" si="162"/>
        <v>0</v>
      </c>
      <c r="U329" s="92">
        <f t="shared" si="162"/>
        <v>0</v>
      </c>
      <c r="V329" s="92">
        <f t="shared" si="162"/>
        <v>0</v>
      </c>
      <c r="W329" s="92">
        <f t="shared" si="162"/>
        <v>0</v>
      </c>
      <c r="X329" s="92">
        <f t="shared" si="162"/>
        <v>0</v>
      </c>
    </row>
    <row r="330" spans="2:24">
      <c r="B330" s="98" t="s">
        <v>545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3">L327-L328-L329</f>
        <v>0</v>
      </c>
      <c r="M330" s="97">
        <f t="shared" ca="1" si="163"/>
        <v>0</v>
      </c>
      <c r="N330" s="97">
        <f t="shared" ca="1" si="163"/>
        <v>0</v>
      </c>
      <c r="O330" s="97">
        <f t="shared" ca="1" si="163"/>
        <v>0</v>
      </c>
      <c r="P330" s="97">
        <f t="shared" ca="1" si="163"/>
        <v>0</v>
      </c>
      <c r="Q330" s="97">
        <f t="shared" ca="1" si="163"/>
        <v>0</v>
      </c>
      <c r="R330" s="97">
        <f t="shared" ca="1" si="163"/>
        <v>0</v>
      </c>
      <c r="S330" s="97">
        <f t="shared" ca="1" si="163"/>
        <v>0</v>
      </c>
      <c r="T330" s="97">
        <f t="shared" ca="1" si="163"/>
        <v>0</v>
      </c>
      <c r="U330" s="97">
        <f t="shared" ca="1" si="163"/>
        <v>0</v>
      </c>
      <c r="V330" s="97">
        <f t="shared" ca="1" si="163"/>
        <v>0</v>
      </c>
      <c r="W330" s="97">
        <f t="shared" ca="1" si="163"/>
        <v>0</v>
      </c>
      <c r="X330" s="97">
        <f t="shared" ca="1" si="163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5">
      <c r="B333" s="152" t="s">
        <v>546</v>
      </c>
    </row>
    <row r="334" spans="2:24" ht="13">
      <c r="B334" s="153" t="s">
        <v>547</v>
      </c>
      <c r="G334" s="222">
        <f t="shared" ref="G334:X334" ca="1" si="164">LataProjekcji</f>
        <v>0</v>
      </c>
      <c r="H334" s="222">
        <f t="shared" ca="1" si="164"/>
        <v>0</v>
      </c>
      <c r="I334" s="222">
        <f t="shared" ca="1" si="164"/>
        <v>0</v>
      </c>
      <c r="J334" s="223" t="str">
        <f t="shared" si="164"/>
        <v/>
      </c>
      <c r="K334" s="222" t="str">
        <f t="shared" si="164"/>
        <v>Uzupełnij dane</v>
      </c>
      <c r="L334" s="222" t="str">
        <f t="shared" si="164"/>
        <v/>
      </c>
      <c r="M334" s="222" t="str">
        <f t="shared" si="164"/>
        <v/>
      </c>
      <c r="N334" s="222" t="str">
        <f t="shared" si="164"/>
        <v/>
      </c>
      <c r="O334" s="222" t="str">
        <f t="shared" si="164"/>
        <v/>
      </c>
      <c r="P334" s="222" t="str">
        <f t="shared" si="164"/>
        <v/>
      </c>
      <c r="Q334" s="222" t="str">
        <f t="shared" si="164"/>
        <v/>
      </c>
      <c r="R334" s="222" t="str">
        <f t="shared" si="164"/>
        <v/>
      </c>
      <c r="S334" s="222" t="str">
        <f t="shared" si="164"/>
        <v/>
      </c>
      <c r="T334" s="222" t="str">
        <f t="shared" si="164"/>
        <v/>
      </c>
      <c r="U334" s="222" t="str">
        <f t="shared" si="164"/>
        <v/>
      </c>
      <c r="V334" s="222" t="str">
        <f t="shared" si="164"/>
        <v/>
      </c>
      <c r="W334" s="222" t="str">
        <f t="shared" si="164"/>
        <v/>
      </c>
      <c r="X334" s="222" t="str">
        <f t="shared" si="164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65">K336+K341+K350+K351+K352</f>
        <v>0</v>
      </c>
      <c r="L335" s="97">
        <f t="shared" ca="1" si="165"/>
        <v>0</v>
      </c>
      <c r="M335" s="97">
        <f t="shared" ca="1" si="165"/>
        <v>0</v>
      </c>
      <c r="N335" s="97">
        <f t="shared" ca="1" si="165"/>
        <v>0</v>
      </c>
      <c r="O335" s="97">
        <f t="shared" ca="1" si="165"/>
        <v>0</v>
      </c>
      <c r="P335" s="97">
        <f t="shared" ca="1" si="165"/>
        <v>0</v>
      </c>
      <c r="Q335" s="97">
        <f t="shared" ca="1" si="165"/>
        <v>0</v>
      </c>
      <c r="R335" s="97">
        <f t="shared" ca="1" si="165"/>
        <v>0</v>
      </c>
      <c r="S335" s="97">
        <f t="shared" ca="1" si="165"/>
        <v>0</v>
      </c>
      <c r="T335" s="97">
        <f t="shared" ca="1" si="165"/>
        <v>0</v>
      </c>
      <c r="U335" s="97">
        <f t="shared" ca="1" si="165"/>
        <v>0</v>
      </c>
      <c r="V335" s="97">
        <f t="shared" ca="1" si="165"/>
        <v>0</v>
      </c>
      <c r="W335" s="97">
        <f t="shared" ca="1" si="165"/>
        <v>0</v>
      </c>
      <c r="X335" s="97">
        <f t="shared" ca="1" si="165"/>
        <v>0</v>
      </c>
    </row>
    <row r="336" spans="2:24">
      <c r="B336" s="103" t="s">
        <v>548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66">SUM(K337:K340)</f>
        <v>0</v>
      </c>
      <c r="L336" s="102">
        <f t="shared" ca="1" si="166"/>
        <v>0</v>
      </c>
      <c r="M336" s="102">
        <f t="shared" ca="1" si="166"/>
        <v>0</v>
      </c>
      <c r="N336" s="102">
        <f t="shared" ca="1" si="166"/>
        <v>0</v>
      </c>
      <c r="O336" s="102">
        <f t="shared" ca="1" si="166"/>
        <v>0</v>
      </c>
      <c r="P336" s="102">
        <f t="shared" ca="1" si="166"/>
        <v>0</v>
      </c>
      <c r="Q336" s="102">
        <f t="shared" ca="1" si="166"/>
        <v>0</v>
      </c>
      <c r="R336" s="102">
        <f t="shared" ca="1" si="166"/>
        <v>0</v>
      </c>
      <c r="S336" s="102">
        <f t="shared" ca="1" si="166"/>
        <v>0</v>
      </c>
      <c r="T336" s="102">
        <f t="shared" ca="1" si="166"/>
        <v>0</v>
      </c>
      <c r="U336" s="102">
        <f t="shared" ca="1" si="166"/>
        <v>0</v>
      </c>
      <c r="V336" s="102">
        <f t="shared" ca="1" si="166"/>
        <v>0</v>
      </c>
      <c r="W336" s="102">
        <f t="shared" ca="1" si="166"/>
        <v>0</v>
      </c>
      <c r="X336" s="102">
        <f t="shared" ca="1" si="166"/>
        <v>0</v>
      </c>
    </row>
    <row r="337" spans="2:24">
      <c r="B337" s="39" t="s">
        <v>549</v>
      </c>
      <c r="C337" s="40"/>
      <c r="D337" s="40"/>
      <c r="E337" s="40"/>
      <c r="F337" s="40"/>
      <c r="G337" s="41">
        <f t="shared" ref="G337:X337" si="167">G49+G193</f>
        <v>0</v>
      </c>
      <c r="H337" s="41">
        <f t="shared" si="167"/>
        <v>0</v>
      </c>
      <c r="I337" s="41">
        <f t="shared" si="167"/>
        <v>0</v>
      </c>
      <c r="J337" s="41">
        <f t="shared" si="167"/>
        <v>0</v>
      </c>
      <c r="K337" s="41">
        <f t="shared" ca="1" si="167"/>
        <v>0</v>
      </c>
      <c r="L337" s="41">
        <f t="shared" ca="1" si="167"/>
        <v>0</v>
      </c>
      <c r="M337" s="41">
        <f t="shared" ca="1" si="167"/>
        <v>0</v>
      </c>
      <c r="N337" s="41">
        <f t="shared" ca="1" si="167"/>
        <v>0</v>
      </c>
      <c r="O337" s="41">
        <f t="shared" ca="1" si="167"/>
        <v>0</v>
      </c>
      <c r="P337" s="41">
        <f t="shared" ca="1" si="167"/>
        <v>0</v>
      </c>
      <c r="Q337" s="41">
        <f t="shared" ca="1" si="167"/>
        <v>0</v>
      </c>
      <c r="R337" s="41">
        <f t="shared" ca="1" si="167"/>
        <v>0</v>
      </c>
      <c r="S337" s="41">
        <f t="shared" ca="1" si="167"/>
        <v>0</v>
      </c>
      <c r="T337" s="41">
        <f t="shared" ca="1" si="167"/>
        <v>0</v>
      </c>
      <c r="U337" s="41">
        <f t="shared" ca="1" si="167"/>
        <v>0</v>
      </c>
      <c r="V337" s="41">
        <f t="shared" ca="1" si="167"/>
        <v>0</v>
      </c>
      <c r="W337" s="41">
        <f t="shared" ca="1" si="167"/>
        <v>0</v>
      </c>
      <c r="X337" s="41">
        <f t="shared" ca="1" si="167"/>
        <v>0</v>
      </c>
    </row>
    <row r="338" spans="2:24">
      <c r="B338" s="39" t="s">
        <v>550</v>
      </c>
      <c r="C338" s="40"/>
      <c r="D338" s="40"/>
      <c r="E338" s="40"/>
      <c r="F338" s="40"/>
      <c r="G338" s="41">
        <f t="shared" ref="G338:X338" si="168">G50+G194</f>
        <v>0</v>
      </c>
      <c r="H338" s="41">
        <f t="shared" si="168"/>
        <v>0</v>
      </c>
      <c r="I338" s="41">
        <f t="shared" si="168"/>
        <v>0</v>
      </c>
      <c r="J338" s="41">
        <f t="shared" si="168"/>
        <v>0</v>
      </c>
      <c r="K338" s="41">
        <f t="shared" ca="1" si="168"/>
        <v>0</v>
      </c>
      <c r="L338" s="41">
        <f t="shared" ca="1" si="168"/>
        <v>0</v>
      </c>
      <c r="M338" s="41">
        <f t="shared" ca="1" si="168"/>
        <v>0</v>
      </c>
      <c r="N338" s="41">
        <f t="shared" ca="1" si="168"/>
        <v>0</v>
      </c>
      <c r="O338" s="41">
        <f t="shared" ca="1" si="168"/>
        <v>0</v>
      </c>
      <c r="P338" s="41">
        <f t="shared" ca="1" si="168"/>
        <v>0</v>
      </c>
      <c r="Q338" s="41">
        <f t="shared" ca="1" si="168"/>
        <v>0</v>
      </c>
      <c r="R338" s="41">
        <f t="shared" ca="1" si="168"/>
        <v>0</v>
      </c>
      <c r="S338" s="41">
        <f t="shared" ca="1" si="168"/>
        <v>0</v>
      </c>
      <c r="T338" s="41">
        <f t="shared" ca="1" si="168"/>
        <v>0</v>
      </c>
      <c r="U338" s="41">
        <f t="shared" ca="1" si="168"/>
        <v>0</v>
      </c>
      <c r="V338" s="41">
        <f t="shared" ca="1" si="168"/>
        <v>0</v>
      </c>
      <c r="W338" s="41">
        <f t="shared" ca="1" si="168"/>
        <v>0</v>
      </c>
      <c r="X338" s="41">
        <f t="shared" ca="1" si="168"/>
        <v>0</v>
      </c>
    </row>
    <row r="339" spans="2:24">
      <c r="B339" s="39" t="s">
        <v>551</v>
      </c>
      <c r="C339" s="40"/>
      <c r="D339" s="40"/>
      <c r="E339" s="40"/>
      <c r="F339" s="40"/>
      <c r="G339" s="41">
        <f t="shared" ref="G339:X339" si="169">G51+G195</f>
        <v>0</v>
      </c>
      <c r="H339" s="41">
        <f t="shared" si="169"/>
        <v>0</v>
      </c>
      <c r="I339" s="41">
        <f t="shared" si="169"/>
        <v>0</v>
      </c>
      <c r="J339" s="41">
        <f t="shared" si="169"/>
        <v>0</v>
      </c>
      <c r="K339" s="41">
        <f t="shared" ca="1" si="169"/>
        <v>0</v>
      </c>
      <c r="L339" s="41">
        <f t="shared" ca="1" si="169"/>
        <v>0</v>
      </c>
      <c r="M339" s="41">
        <f t="shared" ca="1" si="169"/>
        <v>0</v>
      </c>
      <c r="N339" s="41">
        <f t="shared" ca="1" si="169"/>
        <v>0</v>
      </c>
      <c r="O339" s="41">
        <f t="shared" ca="1" si="169"/>
        <v>0</v>
      </c>
      <c r="P339" s="41">
        <f t="shared" ca="1" si="169"/>
        <v>0</v>
      </c>
      <c r="Q339" s="41">
        <f t="shared" ca="1" si="169"/>
        <v>0</v>
      </c>
      <c r="R339" s="41">
        <f t="shared" ca="1" si="169"/>
        <v>0</v>
      </c>
      <c r="S339" s="41">
        <f t="shared" ca="1" si="169"/>
        <v>0</v>
      </c>
      <c r="T339" s="41">
        <f t="shared" ca="1" si="169"/>
        <v>0</v>
      </c>
      <c r="U339" s="41">
        <f t="shared" ca="1" si="169"/>
        <v>0</v>
      </c>
      <c r="V339" s="41">
        <f t="shared" ca="1" si="169"/>
        <v>0</v>
      </c>
      <c r="W339" s="41">
        <f t="shared" ca="1" si="169"/>
        <v>0</v>
      </c>
      <c r="X339" s="41">
        <f t="shared" ca="1" si="169"/>
        <v>0</v>
      </c>
    </row>
    <row r="340" spans="2:24">
      <c r="B340" s="39" t="s">
        <v>552</v>
      </c>
      <c r="C340" s="40"/>
      <c r="D340" s="40"/>
      <c r="E340" s="40"/>
      <c r="F340" s="40"/>
      <c r="G340" s="41">
        <f t="shared" ref="G340:X340" si="170">G52+G196</f>
        <v>0</v>
      </c>
      <c r="H340" s="41">
        <f t="shared" si="170"/>
        <v>0</v>
      </c>
      <c r="I340" s="41">
        <f t="shared" si="170"/>
        <v>0</v>
      </c>
      <c r="J340" s="41">
        <f t="shared" si="170"/>
        <v>0</v>
      </c>
      <c r="K340" s="41">
        <f t="shared" si="170"/>
        <v>0</v>
      </c>
      <c r="L340" s="41">
        <f t="shared" si="170"/>
        <v>0</v>
      </c>
      <c r="M340" s="41">
        <f t="shared" si="170"/>
        <v>0</v>
      </c>
      <c r="N340" s="41">
        <f t="shared" si="170"/>
        <v>0</v>
      </c>
      <c r="O340" s="41">
        <f t="shared" si="170"/>
        <v>0</v>
      </c>
      <c r="P340" s="41">
        <f t="shared" si="170"/>
        <v>0</v>
      </c>
      <c r="Q340" s="41">
        <f t="shared" si="170"/>
        <v>0</v>
      </c>
      <c r="R340" s="41">
        <f t="shared" si="170"/>
        <v>0</v>
      </c>
      <c r="S340" s="41">
        <f t="shared" si="170"/>
        <v>0</v>
      </c>
      <c r="T340" s="41">
        <f t="shared" si="170"/>
        <v>0</v>
      </c>
      <c r="U340" s="41">
        <f t="shared" si="170"/>
        <v>0</v>
      </c>
      <c r="V340" s="41">
        <f t="shared" si="170"/>
        <v>0</v>
      </c>
      <c r="W340" s="41">
        <f t="shared" si="170"/>
        <v>0</v>
      </c>
      <c r="X340" s="41">
        <f t="shared" si="170"/>
        <v>0</v>
      </c>
    </row>
    <row r="341" spans="2:24">
      <c r="B341" s="37" t="s">
        <v>553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1">SUM(K342+K348+K349)</f>
        <v>0</v>
      </c>
      <c r="L341" s="33">
        <f t="shared" ca="1" si="171"/>
        <v>0</v>
      </c>
      <c r="M341" s="33">
        <f t="shared" ca="1" si="171"/>
        <v>0</v>
      </c>
      <c r="N341" s="33">
        <f t="shared" ca="1" si="171"/>
        <v>0</v>
      </c>
      <c r="O341" s="33">
        <f t="shared" ca="1" si="171"/>
        <v>0</v>
      </c>
      <c r="P341" s="33">
        <f t="shared" ca="1" si="171"/>
        <v>0</v>
      </c>
      <c r="Q341" s="33">
        <f t="shared" ca="1" si="171"/>
        <v>0</v>
      </c>
      <c r="R341" s="33">
        <f t="shared" ca="1" si="171"/>
        <v>0</v>
      </c>
      <c r="S341" s="33">
        <f t="shared" ca="1" si="171"/>
        <v>0</v>
      </c>
      <c r="T341" s="33">
        <f t="shared" ca="1" si="171"/>
        <v>0</v>
      </c>
      <c r="U341" s="33">
        <f t="shared" ca="1" si="171"/>
        <v>0</v>
      </c>
      <c r="V341" s="33">
        <f t="shared" ca="1" si="171"/>
        <v>0</v>
      </c>
      <c r="W341" s="33">
        <f t="shared" ca="1" si="171"/>
        <v>0</v>
      </c>
      <c r="X341" s="33">
        <f t="shared" ca="1" si="171"/>
        <v>0</v>
      </c>
    </row>
    <row r="342" spans="2:24">
      <c r="B342" s="39" t="s">
        <v>554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2">SUM(K343:K347)</f>
        <v>0</v>
      </c>
      <c r="L342" s="41">
        <f t="shared" ca="1" si="172"/>
        <v>0</v>
      </c>
      <c r="M342" s="41">
        <f t="shared" ca="1" si="172"/>
        <v>0</v>
      </c>
      <c r="N342" s="41">
        <f t="shared" ca="1" si="172"/>
        <v>0</v>
      </c>
      <c r="O342" s="41">
        <f t="shared" ca="1" si="172"/>
        <v>0</v>
      </c>
      <c r="P342" s="41">
        <f t="shared" ca="1" si="172"/>
        <v>0</v>
      </c>
      <c r="Q342" s="41">
        <f t="shared" ca="1" si="172"/>
        <v>0</v>
      </c>
      <c r="R342" s="41">
        <f t="shared" ca="1" si="172"/>
        <v>0</v>
      </c>
      <c r="S342" s="41">
        <f t="shared" ca="1" si="172"/>
        <v>0</v>
      </c>
      <c r="T342" s="41">
        <f t="shared" ca="1" si="172"/>
        <v>0</v>
      </c>
      <c r="U342" s="41">
        <f t="shared" ca="1" si="172"/>
        <v>0</v>
      </c>
      <c r="V342" s="41">
        <f t="shared" ca="1" si="172"/>
        <v>0</v>
      </c>
      <c r="W342" s="41">
        <f t="shared" ca="1" si="172"/>
        <v>0</v>
      </c>
      <c r="X342" s="41">
        <f t="shared" ca="1" si="172"/>
        <v>0</v>
      </c>
    </row>
    <row r="343" spans="2:24">
      <c r="B343" s="8" t="s">
        <v>555</v>
      </c>
      <c r="G343" s="5">
        <f t="shared" ref="G343:X343" si="173">G55+G199</f>
        <v>0</v>
      </c>
      <c r="H343" s="5">
        <f t="shared" si="173"/>
        <v>0</v>
      </c>
      <c r="I343" s="5">
        <f t="shared" si="173"/>
        <v>0</v>
      </c>
      <c r="J343" s="5">
        <f t="shared" si="173"/>
        <v>0</v>
      </c>
      <c r="K343" s="5">
        <f t="shared" ca="1" si="173"/>
        <v>0</v>
      </c>
      <c r="L343" s="5">
        <f t="shared" ca="1" si="173"/>
        <v>0</v>
      </c>
      <c r="M343" s="5">
        <f t="shared" ca="1" si="173"/>
        <v>0</v>
      </c>
      <c r="N343" s="5">
        <f t="shared" ca="1" si="173"/>
        <v>0</v>
      </c>
      <c r="O343" s="5">
        <f t="shared" ca="1" si="173"/>
        <v>0</v>
      </c>
      <c r="P343" s="5">
        <f t="shared" ca="1" si="173"/>
        <v>0</v>
      </c>
      <c r="Q343" s="5">
        <f t="shared" ca="1" si="173"/>
        <v>0</v>
      </c>
      <c r="R343" s="5">
        <f t="shared" ca="1" si="173"/>
        <v>0</v>
      </c>
      <c r="S343" s="5">
        <f t="shared" ca="1" si="173"/>
        <v>0</v>
      </c>
      <c r="T343" s="5">
        <f t="shared" ca="1" si="173"/>
        <v>0</v>
      </c>
      <c r="U343" s="5">
        <f t="shared" ca="1" si="173"/>
        <v>0</v>
      </c>
      <c r="V343" s="5">
        <f t="shared" ca="1" si="173"/>
        <v>0</v>
      </c>
      <c r="W343" s="5">
        <f t="shared" ca="1" si="173"/>
        <v>0</v>
      </c>
      <c r="X343" s="5">
        <f t="shared" ca="1" si="173"/>
        <v>0</v>
      </c>
    </row>
    <row r="344" spans="2:24">
      <c r="B344" s="8" t="s">
        <v>401</v>
      </c>
      <c r="G344" s="5">
        <f t="shared" ref="G344:X344" si="174">G56+G200</f>
        <v>0</v>
      </c>
      <c r="H344" s="5">
        <f t="shared" si="174"/>
        <v>0</v>
      </c>
      <c r="I344" s="5">
        <f t="shared" si="174"/>
        <v>0</v>
      </c>
      <c r="J344" s="5">
        <f t="shared" si="174"/>
        <v>0</v>
      </c>
      <c r="K344" s="5">
        <f t="shared" ca="1" si="174"/>
        <v>0</v>
      </c>
      <c r="L344" s="5">
        <f t="shared" ca="1" si="174"/>
        <v>0</v>
      </c>
      <c r="M344" s="5">
        <f t="shared" ca="1" si="174"/>
        <v>0</v>
      </c>
      <c r="N344" s="5">
        <f t="shared" ca="1" si="174"/>
        <v>0</v>
      </c>
      <c r="O344" s="5">
        <f t="shared" ca="1" si="174"/>
        <v>0</v>
      </c>
      <c r="P344" s="5">
        <f t="shared" ca="1" si="174"/>
        <v>0</v>
      </c>
      <c r="Q344" s="5">
        <f t="shared" ca="1" si="174"/>
        <v>0</v>
      </c>
      <c r="R344" s="5">
        <f t="shared" ca="1" si="174"/>
        <v>0</v>
      </c>
      <c r="S344" s="5">
        <f t="shared" ca="1" si="174"/>
        <v>0</v>
      </c>
      <c r="T344" s="5">
        <f t="shared" ca="1" si="174"/>
        <v>0</v>
      </c>
      <c r="U344" s="5">
        <f t="shared" ca="1" si="174"/>
        <v>0</v>
      </c>
      <c r="V344" s="5">
        <f t="shared" ca="1" si="174"/>
        <v>0</v>
      </c>
      <c r="W344" s="5">
        <f t="shared" ca="1" si="174"/>
        <v>0</v>
      </c>
      <c r="X344" s="5">
        <f t="shared" ca="1" si="174"/>
        <v>0</v>
      </c>
    </row>
    <row r="345" spans="2:24">
      <c r="B345" s="8" t="s">
        <v>402</v>
      </c>
      <c r="G345" s="5">
        <f t="shared" ref="G345:X345" si="175">G57+G201</f>
        <v>0</v>
      </c>
      <c r="H345" s="5">
        <f t="shared" si="175"/>
        <v>0</v>
      </c>
      <c r="I345" s="5">
        <f t="shared" si="175"/>
        <v>0</v>
      </c>
      <c r="J345" s="5">
        <f t="shared" si="175"/>
        <v>0</v>
      </c>
      <c r="K345" s="5">
        <f t="shared" ca="1" si="175"/>
        <v>0</v>
      </c>
      <c r="L345" s="5">
        <f t="shared" ca="1" si="175"/>
        <v>0</v>
      </c>
      <c r="M345" s="5">
        <f t="shared" ca="1" si="175"/>
        <v>0</v>
      </c>
      <c r="N345" s="5">
        <f t="shared" ca="1" si="175"/>
        <v>0</v>
      </c>
      <c r="O345" s="5">
        <f t="shared" ca="1" si="175"/>
        <v>0</v>
      </c>
      <c r="P345" s="5">
        <f t="shared" ca="1" si="175"/>
        <v>0</v>
      </c>
      <c r="Q345" s="5">
        <f t="shared" ca="1" si="175"/>
        <v>0</v>
      </c>
      <c r="R345" s="5">
        <f t="shared" ca="1" si="175"/>
        <v>0</v>
      </c>
      <c r="S345" s="5">
        <f t="shared" ca="1" si="175"/>
        <v>0</v>
      </c>
      <c r="T345" s="5">
        <f t="shared" ca="1" si="175"/>
        <v>0</v>
      </c>
      <c r="U345" s="5">
        <f t="shared" ca="1" si="175"/>
        <v>0</v>
      </c>
      <c r="V345" s="5">
        <f t="shared" ca="1" si="175"/>
        <v>0</v>
      </c>
      <c r="W345" s="5">
        <f t="shared" ca="1" si="175"/>
        <v>0</v>
      </c>
      <c r="X345" s="5">
        <f t="shared" ca="1" si="175"/>
        <v>0</v>
      </c>
    </row>
    <row r="346" spans="2:24">
      <c r="B346" s="8" t="s">
        <v>403</v>
      </c>
      <c r="G346" s="5">
        <f t="shared" ref="G346:X346" si="176">G58+G202</f>
        <v>0</v>
      </c>
      <c r="H346" s="5">
        <f t="shared" si="176"/>
        <v>0</v>
      </c>
      <c r="I346" s="5">
        <f t="shared" si="176"/>
        <v>0</v>
      </c>
      <c r="J346" s="5">
        <f t="shared" si="176"/>
        <v>0</v>
      </c>
      <c r="K346" s="5">
        <f t="shared" ca="1" si="176"/>
        <v>0</v>
      </c>
      <c r="L346" s="5">
        <f t="shared" ca="1" si="176"/>
        <v>0</v>
      </c>
      <c r="M346" s="5">
        <f t="shared" ca="1" si="176"/>
        <v>0</v>
      </c>
      <c r="N346" s="5">
        <f t="shared" ca="1" si="176"/>
        <v>0</v>
      </c>
      <c r="O346" s="5">
        <f t="shared" ca="1" si="176"/>
        <v>0</v>
      </c>
      <c r="P346" s="5">
        <f t="shared" ca="1" si="176"/>
        <v>0</v>
      </c>
      <c r="Q346" s="5">
        <f t="shared" ca="1" si="176"/>
        <v>0</v>
      </c>
      <c r="R346" s="5">
        <f t="shared" ca="1" si="176"/>
        <v>0</v>
      </c>
      <c r="S346" s="5">
        <f t="shared" ca="1" si="176"/>
        <v>0</v>
      </c>
      <c r="T346" s="5">
        <f t="shared" ca="1" si="176"/>
        <v>0</v>
      </c>
      <c r="U346" s="5">
        <f t="shared" ca="1" si="176"/>
        <v>0</v>
      </c>
      <c r="V346" s="5">
        <f t="shared" ca="1" si="176"/>
        <v>0</v>
      </c>
      <c r="W346" s="5">
        <f t="shared" ca="1" si="176"/>
        <v>0</v>
      </c>
      <c r="X346" s="5">
        <f t="shared" ca="1" si="176"/>
        <v>0</v>
      </c>
    </row>
    <row r="347" spans="2:24">
      <c r="B347" s="8" t="s">
        <v>404</v>
      </c>
      <c r="G347" s="5">
        <f t="shared" ref="G347:X347" si="177">G59+G203</f>
        <v>0</v>
      </c>
      <c r="H347" s="5">
        <f t="shared" si="177"/>
        <v>0</v>
      </c>
      <c r="I347" s="5">
        <f t="shared" si="177"/>
        <v>0</v>
      </c>
      <c r="J347" s="5">
        <f t="shared" si="177"/>
        <v>0</v>
      </c>
      <c r="K347" s="5">
        <f t="shared" ca="1" si="177"/>
        <v>0</v>
      </c>
      <c r="L347" s="5">
        <f t="shared" ca="1" si="177"/>
        <v>0</v>
      </c>
      <c r="M347" s="5">
        <f t="shared" ca="1" si="177"/>
        <v>0</v>
      </c>
      <c r="N347" s="5">
        <f t="shared" ca="1" si="177"/>
        <v>0</v>
      </c>
      <c r="O347" s="5">
        <f t="shared" ca="1" si="177"/>
        <v>0</v>
      </c>
      <c r="P347" s="5">
        <f t="shared" ca="1" si="177"/>
        <v>0</v>
      </c>
      <c r="Q347" s="5">
        <f t="shared" ca="1" si="177"/>
        <v>0</v>
      </c>
      <c r="R347" s="5">
        <f t="shared" ca="1" si="177"/>
        <v>0</v>
      </c>
      <c r="S347" s="5">
        <f t="shared" ca="1" si="177"/>
        <v>0</v>
      </c>
      <c r="T347" s="5">
        <f t="shared" ca="1" si="177"/>
        <v>0</v>
      </c>
      <c r="U347" s="5">
        <f t="shared" ca="1" si="177"/>
        <v>0</v>
      </c>
      <c r="V347" s="5">
        <f t="shared" ca="1" si="177"/>
        <v>0</v>
      </c>
      <c r="W347" s="5">
        <f t="shared" ca="1" si="177"/>
        <v>0</v>
      </c>
      <c r="X347" s="5">
        <f t="shared" ca="1" si="177"/>
        <v>0</v>
      </c>
    </row>
    <row r="348" spans="2:24">
      <c r="B348" s="39" t="s">
        <v>556</v>
      </c>
      <c r="C348" s="40"/>
      <c r="D348" s="40"/>
      <c r="E348" s="40"/>
      <c r="F348" s="40"/>
      <c r="G348" s="41">
        <f t="shared" ref="G348:X348" si="178">G60+G204</f>
        <v>0</v>
      </c>
      <c r="H348" s="41">
        <f t="shared" si="178"/>
        <v>0</v>
      </c>
      <c r="I348" s="41">
        <f t="shared" si="178"/>
        <v>0</v>
      </c>
      <c r="J348" s="41">
        <f t="shared" si="178"/>
        <v>0</v>
      </c>
      <c r="K348" s="41">
        <f t="shared" si="178"/>
        <v>0</v>
      </c>
      <c r="L348" s="41">
        <f t="shared" si="178"/>
        <v>0</v>
      </c>
      <c r="M348" s="41">
        <f t="shared" si="178"/>
        <v>0</v>
      </c>
      <c r="N348" s="41">
        <f t="shared" si="178"/>
        <v>0</v>
      </c>
      <c r="O348" s="41">
        <f t="shared" si="178"/>
        <v>0</v>
      </c>
      <c r="P348" s="41">
        <f t="shared" si="178"/>
        <v>0</v>
      </c>
      <c r="Q348" s="41">
        <f t="shared" si="178"/>
        <v>0</v>
      </c>
      <c r="R348" s="41">
        <f t="shared" si="178"/>
        <v>0</v>
      </c>
      <c r="S348" s="41">
        <f t="shared" si="178"/>
        <v>0</v>
      </c>
      <c r="T348" s="41">
        <f t="shared" si="178"/>
        <v>0</v>
      </c>
      <c r="U348" s="41">
        <f t="shared" si="178"/>
        <v>0</v>
      </c>
      <c r="V348" s="41">
        <f t="shared" si="178"/>
        <v>0</v>
      </c>
      <c r="W348" s="41">
        <f t="shared" si="178"/>
        <v>0</v>
      </c>
      <c r="X348" s="41">
        <f t="shared" si="178"/>
        <v>0</v>
      </c>
    </row>
    <row r="349" spans="2:24">
      <c r="B349" s="39" t="s">
        <v>557</v>
      </c>
      <c r="C349" s="40"/>
      <c r="D349" s="40"/>
      <c r="E349" s="40"/>
      <c r="F349" s="40"/>
      <c r="G349" s="41">
        <f t="shared" ref="G349:X349" si="179">G61+G205</f>
        <v>0</v>
      </c>
      <c r="H349" s="41">
        <f t="shared" si="179"/>
        <v>0</v>
      </c>
      <c r="I349" s="41">
        <f t="shared" si="179"/>
        <v>0</v>
      </c>
      <c r="J349" s="41">
        <f t="shared" si="179"/>
        <v>0</v>
      </c>
      <c r="K349" s="41">
        <f t="shared" si="179"/>
        <v>0</v>
      </c>
      <c r="L349" s="41">
        <f t="shared" si="179"/>
        <v>0</v>
      </c>
      <c r="M349" s="41">
        <f t="shared" si="179"/>
        <v>0</v>
      </c>
      <c r="N349" s="41">
        <f t="shared" si="179"/>
        <v>0</v>
      </c>
      <c r="O349" s="41">
        <f t="shared" si="179"/>
        <v>0</v>
      </c>
      <c r="P349" s="41">
        <f t="shared" si="179"/>
        <v>0</v>
      </c>
      <c r="Q349" s="41">
        <f t="shared" si="179"/>
        <v>0</v>
      </c>
      <c r="R349" s="41">
        <f t="shared" si="179"/>
        <v>0</v>
      </c>
      <c r="S349" s="41">
        <f t="shared" si="179"/>
        <v>0</v>
      </c>
      <c r="T349" s="41">
        <f t="shared" si="179"/>
        <v>0</v>
      </c>
      <c r="U349" s="41">
        <f t="shared" si="179"/>
        <v>0</v>
      </c>
      <c r="V349" s="41">
        <f t="shared" si="179"/>
        <v>0</v>
      </c>
      <c r="W349" s="41">
        <f t="shared" si="179"/>
        <v>0</v>
      </c>
      <c r="X349" s="41">
        <f t="shared" si="179"/>
        <v>0</v>
      </c>
    </row>
    <row r="350" spans="2:24">
      <c r="B350" s="37" t="s">
        <v>558</v>
      </c>
      <c r="C350" s="52"/>
      <c r="D350" s="52"/>
      <c r="E350" s="52"/>
      <c r="F350" s="52"/>
      <c r="G350" s="33">
        <f t="shared" ref="G350:X350" si="180">G62+G206</f>
        <v>0</v>
      </c>
      <c r="H350" s="33">
        <f t="shared" si="180"/>
        <v>0</v>
      </c>
      <c r="I350" s="33">
        <f t="shared" si="180"/>
        <v>0</v>
      </c>
      <c r="J350" s="33">
        <f t="shared" si="180"/>
        <v>0</v>
      </c>
      <c r="K350" s="33">
        <f t="shared" si="180"/>
        <v>0</v>
      </c>
      <c r="L350" s="33">
        <f t="shared" si="180"/>
        <v>0</v>
      </c>
      <c r="M350" s="33">
        <f t="shared" si="180"/>
        <v>0</v>
      </c>
      <c r="N350" s="33">
        <f t="shared" si="180"/>
        <v>0</v>
      </c>
      <c r="O350" s="33">
        <f t="shared" si="180"/>
        <v>0</v>
      </c>
      <c r="P350" s="33">
        <f t="shared" si="180"/>
        <v>0</v>
      </c>
      <c r="Q350" s="33">
        <f t="shared" si="180"/>
        <v>0</v>
      </c>
      <c r="R350" s="33">
        <f t="shared" si="180"/>
        <v>0</v>
      </c>
      <c r="S350" s="33">
        <f t="shared" si="180"/>
        <v>0</v>
      </c>
      <c r="T350" s="33">
        <f t="shared" si="180"/>
        <v>0</v>
      </c>
      <c r="U350" s="33">
        <f t="shared" si="180"/>
        <v>0</v>
      </c>
      <c r="V350" s="33">
        <f t="shared" si="180"/>
        <v>0</v>
      </c>
      <c r="W350" s="33">
        <f t="shared" si="180"/>
        <v>0</v>
      </c>
      <c r="X350" s="33">
        <f t="shared" si="180"/>
        <v>0</v>
      </c>
    </row>
    <row r="351" spans="2:24">
      <c r="B351" s="37" t="s">
        <v>559</v>
      </c>
      <c r="C351" s="52"/>
      <c r="D351" s="52"/>
      <c r="E351" s="52"/>
      <c r="F351" s="52"/>
      <c r="G351" s="33">
        <f t="shared" ref="G351:X351" si="181">G63+G207</f>
        <v>0</v>
      </c>
      <c r="H351" s="33">
        <f t="shared" si="181"/>
        <v>0</v>
      </c>
      <c r="I351" s="33">
        <f t="shared" si="181"/>
        <v>0</v>
      </c>
      <c r="J351" s="33">
        <f t="shared" si="181"/>
        <v>0</v>
      </c>
      <c r="K351" s="33">
        <f t="shared" si="181"/>
        <v>0</v>
      </c>
      <c r="L351" s="33">
        <f t="shared" si="181"/>
        <v>0</v>
      </c>
      <c r="M351" s="33">
        <f t="shared" si="181"/>
        <v>0</v>
      </c>
      <c r="N351" s="33">
        <f t="shared" si="181"/>
        <v>0</v>
      </c>
      <c r="O351" s="33">
        <f t="shared" si="181"/>
        <v>0</v>
      </c>
      <c r="P351" s="33">
        <f t="shared" si="181"/>
        <v>0</v>
      </c>
      <c r="Q351" s="33">
        <f t="shared" si="181"/>
        <v>0</v>
      </c>
      <c r="R351" s="33">
        <f t="shared" si="181"/>
        <v>0</v>
      </c>
      <c r="S351" s="33">
        <f t="shared" si="181"/>
        <v>0</v>
      </c>
      <c r="T351" s="33">
        <f t="shared" si="181"/>
        <v>0</v>
      </c>
      <c r="U351" s="33">
        <f t="shared" si="181"/>
        <v>0</v>
      </c>
      <c r="V351" s="33">
        <f t="shared" si="181"/>
        <v>0</v>
      </c>
      <c r="W351" s="33">
        <f t="shared" si="181"/>
        <v>0</v>
      </c>
      <c r="X351" s="33">
        <f t="shared" si="181"/>
        <v>0</v>
      </c>
    </row>
    <row r="352" spans="2:24">
      <c r="B352" s="104" t="s">
        <v>560</v>
      </c>
      <c r="C352" s="105"/>
      <c r="D352" s="105"/>
      <c r="E352" s="105"/>
      <c r="F352" s="105"/>
      <c r="G352" s="106">
        <f t="shared" ref="G352:X352" si="182">G64+G208</f>
        <v>0</v>
      </c>
      <c r="H352" s="106">
        <f t="shared" si="182"/>
        <v>0</v>
      </c>
      <c r="I352" s="106">
        <f t="shared" si="182"/>
        <v>0</v>
      </c>
      <c r="J352" s="106">
        <f t="shared" si="182"/>
        <v>0</v>
      </c>
      <c r="K352" s="106">
        <f>K64+K208</f>
        <v>0</v>
      </c>
      <c r="L352" s="106">
        <f t="shared" si="182"/>
        <v>0</v>
      </c>
      <c r="M352" s="106">
        <f t="shared" si="182"/>
        <v>0</v>
      </c>
      <c r="N352" s="106">
        <f t="shared" si="182"/>
        <v>0</v>
      </c>
      <c r="O352" s="106">
        <f t="shared" si="182"/>
        <v>0</v>
      </c>
      <c r="P352" s="106">
        <f t="shared" si="182"/>
        <v>0</v>
      </c>
      <c r="Q352" s="106">
        <f t="shared" si="182"/>
        <v>0</v>
      </c>
      <c r="R352" s="106">
        <f t="shared" si="182"/>
        <v>0</v>
      </c>
      <c r="S352" s="106">
        <f t="shared" si="182"/>
        <v>0</v>
      </c>
      <c r="T352" s="106">
        <f t="shared" si="182"/>
        <v>0</v>
      </c>
      <c r="U352" s="106">
        <f t="shared" si="182"/>
        <v>0</v>
      </c>
      <c r="V352" s="106">
        <f t="shared" si="182"/>
        <v>0</v>
      </c>
      <c r="W352" s="106">
        <f t="shared" si="182"/>
        <v>0</v>
      </c>
      <c r="X352" s="106">
        <f t="shared" si="182"/>
        <v>0</v>
      </c>
    </row>
    <row r="353" spans="2:24">
      <c r="B353" s="98" t="s">
        <v>153</v>
      </c>
      <c r="C353" s="96" t="s">
        <v>561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3">K354+K355+K357+K360</f>
        <v>0</v>
      </c>
      <c r="L353" s="97">
        <f t="shared" ca="1" si="183"/>
        <v>0</v>
      </c>
      <c r="M353" s="97">
        <f t="shared" ca="1" si="183"/>
        <v>0</v>
      </c>
      <c r="N353" s="97">
        <f t="shared" ca="1" si="183"/>
        <v>0</v>
      </c>
      <c r="O353" s="97">
        <f t="shared" ca="1" si="183"/>
        <v>0</v>
      </c>
      <c r="P353" s="97">
        <f t="shared" ca="1" si="183"/>
        <v>0</v>
      </c>
      <c r="Q353" s="97">
        <f t="shared" ca="1" si="183"/>
        <v>0</v>
      </c>
      <c r="R353" s="97">
        <f t="shared" ca="1" si="183"/>
        <v>0</v>
      </c>
      <c r="S353" s="97">
        <f t="shared" ca="1" si="183"/>
        <v>0</v>
      </c>
      <c r="T353" s="97">
        <f t="shared" ca="1" si="183"/>
        <v>0</v>
      </c>
      <c r="U353" s="97">
        <f t="shared" ca="1" si="183"/>
        <v>0</v>
      </c>
      <c r="V353" s="97">
        <f t="shared" ca="1" si="183"/>
        <v>0</v>
      </c>
      <c r="W353" s="97">
        <f t="shared" ca="1" si="183"/>
        <v>0</v>
      </c>
      <c r="X353" s="97">
        <f t="shared" ca="1" si="183"/>
        <v>0</v>
      </c>
    </row>
    <row r="354" spans="2:24">
      <c r="B354" s="103" t="s">
        <v>562</v>
      </c>
      <c r="C354" s="101" t="s">
        <v>563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564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4">L356</f>
        <v>0</v>
      </c>
      <c r="M355" s="33">
        <f t="shared" ca="1" si="184"/>
        <v>0</v>
      </c>
      <c r="N355" s="33">
        <f t="shared" ca="1" si="184"/>
        <v>0</v>
      </c>
      <c r="O355" s="33">
        <f t="shared" ca="1" si="184"/>
        <v>0</v>
      </c>
      <c r="P355" s="33">
        <f t="shared" ca="1" si="184"/>
        <v>0</v>
      </c>
      <c r="Q355" s="33">
        <f t="shared" ca="1" si="184"/>
        <v>0</v>
      </c>
      <c r="R355" s="33">
        <f t="shared" ca="1" si="184"/>
        <v>0</v>
      </c>
      <c r="S355" s="33">
        <f t="shared" ca="1" si="184"/>
        <v>0</v>
      </c>
      <c r="T355" s="33">
        <f t="shared" ca="1" si="184"/>
        <v>0</v>
      </c>
      <c r="U355" s="33">
        <f t="shared" ca="1" si="184"/>
        <v>0</v>
      </c>
      <c r="V355" s="33">
        <f t="shared" ca="1" si="184"/>
        <v>0</v>
      </c>
      <c r="W355" s="33">
        <f t="shared" ca="1" si="184"/>
        <v>0</v>
      </c>
      <c r="X355" s="33">
        <f t="shared" ca="1" si="184"/>
        <v>0</v>
      </c>
    </row>
    <row r="356" spans="2:24">
      <c r="B356" s="39" t="s">
        <v>565</v>
      </c>
      <c r="C356" s="1" t="s">
        <v>566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567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85">K358+K359</f>
        <v>0</v>
      </c>
      <c r="L357" s="33">
        <f t="shared" ca="1" si="185"/>
        <v>0</v>
      </c>
      <c r="M357" s="33">
        <f t="shared" ca="1" si="185"/>
        <v>0</v>
      </c>
      <c r="N357" s="33">
        <f t="shared" ca="1" si="185"/>
        <v>0</v>
      </c>
      <c r="O357" s="33">
        <f t="shared" ca="1" si="185"/>
        <v>0</v>
      </c>
      <c r="P357" s="33">
        <f t="shared" ca="1" si="185"/>
        <v>0</v>
      </c>
      <c r="Q357" s="33">
        <f t="shared" ca="1" si="185"/>
        <v>0</v>
      </c>
      <c r="R357" s="33">
        <f t="shared" ca="1" si="185"/>
        <v>0</v>
      </c>
      <c r="S357" s="33">
        <f t="shared" ca="1" si="185"/>
        <v>0</v>
      </c>
      <c r="T357" s="33">
        <f t="shared" ca="1" si="185"/>
        <v>0</v>
      </c>
      <c r="U357" s="33">
        <f t="shared" ca="1" si="185"/>
        <v>0</v>
      </c>
      <c r="V357" s="33">
        <f t="shared" ca="1" si="185"/>
        <v>0</v>
      </c>
      <c r="W357" s="33">
        <f t="shared" ca="1" si="185"/>
        <v>0</v>
      </c>
      <c r="X357" s="33">
        <f t="shared" ca="1" si="185"/>
        <v>0</v>
      </c>
    </row>
    <row r="358" spans="2:24">
      <c r="B358" s="39" t="s">
        <v>568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86">IF(LataProjekcji&lt;=Koniec,K409-K359,0)</f>
        <v>0</v>
      </c>
      <c r="L358" s="41">
        <f t="shared" ca="1" si="186"/>
        <v>0</v>
      </c>
      <c r="M358" s="41">
        <f t="shared" ca="1" si="186"/>
        <v>0</v>
      </c>
      <c r="N358" s="41">
        <f t="shared" ca="1" si="186"/>
        <v>0</v>
      </c>
      <c r="O358" s="41">
        <f t="shared" ca="1" si="186"/>
        <v>0</v>
      </c>
      <c r="P358" s="41">
        <f t="shared" ca="1" si="186"/>
        <v>0</v>
      </c>
      <c r="Q358" s="41">
        <f t="shared" ca="1" si="186"/>
        <v>0</v>
      </c>
      <c r="R358" s="41">
        <f t="shared" ca="1" si="186"/>
        <v>0</v>
      </c>
      <c r="S358" s="41">
        <f t="shared" ca="1" si="186"/>
        <v>0</v>
      </c>
      <c r="T358" s="41">
        <f t="shared" ca="1" si="186"/>
        <v>0</v>
      </c>
      <c r="U358" s="41">
        <f t="shared" ca="1" si="186"/>
        <v>0</v>
      </c>
      <c r="V358" s="41">
        <f t="shared" ca="1" si="186"/>
        <v>0</v>
      </c>
      <c r="W358" s="41">
        <f t="shared" ca="1" si="186"/>
        <v>0</v>
      </c>
      <c r="X358" s="41">
        <f t="shared" ca="1" si="186"/>
        <v>0</v>
      </c>
    </row>
    <row r="359" spans="2:24">
      <c r="B359" s="39" t="s">
        <v>569</v>
      </c>
      <c r="C359" s="40"/>
      <c r="D359" s="40"/>
      <c r="E359" s="40"/>
      <c r="F359" s="40"/>
      <c r="G359" s="41">
        <f t="shared" ref="G359:X359" si="187">G71+G215</f>
        <v>0</v>
      </c>
      <c r="H359" s="41">
        <f t="shared" si="187"/>
        <v>0</v>
      </c>
      <c r="I359" s="41">
        <f t="shared" si="187"/>
        <v>0</v>
      </c>
      <c r="J359" s="41">
        <f t="shared" si="187"/>
        <v>0</v>
      </c>
      <c r="K359" s="41">
        <f t="shared" si="187"/>
        <v>0</v>
      </c>
      <c r="L359" s="41">
        <f t="shared" si="187"/>
        <v>0</v>
      </c>
      <c r="M359" s="41">
        <f t="shared" si="187"/>
        <v>0</v>
      </c>
      <c r="N359" s="41">
        <f t="shared" si="187"/>
        <v>0</v>
      </c>
      <c r="O359" s="41">
        <f t="shared" si="187"/>
        <v>0</v>
      </c>
      <c r="P359" s="41">
        <f t="shared" si="187"/>
        <v>0</v>
      </c>
      <c r="Q359" s="41">
        <f t="shared" si="187"/>
        <v>0</v>
      </c>
      <c r="R359" s="41">
        <f t="shared" si="187"/>
        <v>0</v>
      </c>
      <c r="S359" s="41">
        <f t="shared" si="187"/>
        <v>0</v>
      </c>
      <c r="T359" s="41">
        <f t="shared" si="187"/>
        <v>0</v>
      </c>
      <c r="U359" s="41">
        <f t="shared" si="187"/>
        <v>0</v>
      </c>
      <c r="V359" s="41">
        <f t="shared" si="187"/>
        <v>0</v>
      </c>
      <c r="W359" s="41">
        <f t="shared" si="187"/>
        <v>0</v>
      </c>
      <c r="X359" s="41">
        <f t="shared" si="187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88">G72+G216</f>
        <v>0</v>
      </c>
      <c r="H360" s="106">
        <f t="shared" si="188"/>
        <v>0</v>
      </c>
      <c r="I360" s="106">
        <f t="shared" si="188"/>
        <v>0</v>
      </c>
      <c r="J360" s="106">
        <f t="shared" si="188"/>
        <v>0</v>
      </c>
      <c r="K360" s="106">
        <f t="shared" si="188"/>
        <v>0</v>
      </c>
      <c r="L360" s="106">
        <f t="shared" si="188"/>
        <v>0</v>
      </c>
      <c r="M360" s="106">
        <f t="shared" si="188"/>
        <v>0</v>
      </c>
      <c r="N360" s="106">
        <f t="shared" si="188"/>
        <v>0</v>
      </c>
      <c r="O360" s="106">
        <f t="shared" si="188"/>
        <v>0</v>
      </c>
      <c r="P360" s="106">
        <f t="shared" si="188"/>
        <v>0</v>
      </c>
      <c r="Q360" s="106">
        <f t="shared" si="188"/>
        <v>0</v>
      </c>
      <c r="R360" s="106">
        <f t="shared" si="188"/>
        <v>0</v>
      </c>
      <c r="S360" s="106">
        <f t="shared" si="188"/>
        <v>0</v>
      </c>
      <c r="T360" s="106">
        <f t="shared" si="188"/>
        <v>0</v>
      </c>
      <c r="U360" s="106">
        <f t="shared" si="188"/>
        <v>0</v>
      </c>
      <c r="V360" s="106">
        <f t="shared" si="188"/>
        <v>0</v>
      </c>
      <c r="W360" s="106">
        <f t="shared" si="188"/>
        <v>0</v>
      </c>
      <c r="X360" s="106">
        <f t="shared" si="188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89">K353+K335</f>
        <v>0</v>
      </c>
      <c r="L361" s="97">
        <f t="shared" ca="1" si="189"/>
        <v>0</v>
      </c>
      <c r="M361" s="97">
        <f t="shared" ca="1" si="189"/>
        <v>0</v>
      </c>
      <c r="N361" s="97">
        <f t="shared" ca="1" si="189"/>
        <v>0</v>
      </c>
      <c r="O361" s="97">
        <f t="shared" ca="1" si="189"/>
        <v>0</v>
      </c>
      <c r="P361" s="97">
        <f t="shared" ca="1" si="189"/>
        <v>0</v>
      </c>
      <c r="Q361" s="97">
        <f t="shared" ca="1" si="189"/>
        <v>0</v>
      </c>
      <c r="R361" s="97">
        <f t="shared" ca="1" si="189"/>
        <v>0</v>
      </c>
      <c r="S361" s="97">
        <f t="shared" ca="1" si="189"/>
        <v>0</v>
      </c>
      <c r="T361" s="97">
        <f t="shared" ca="1" si="189"/>
        <v>0</v>
      </c>
      <c r="U361" s="97">
        <f t="shared" ca="1" si="189"/>
        <v>0</v>
      </c>
      <c r="V361" s="97">
        <f t="shared" ca="1" si="189"/>
        <v>0</v>
      </c>
      <c r="W361" s="97">
        <f t="shared" ca="1" si="189"/>
        <v>0</v>
      </c>
      <c r="X361" s="97">
        <f t="shared" ca="1" si="189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3">
      <c r="B363" s="153" t="s">
        <v>570</v>
      </c>
      <c r="C363" s="217"/>
      <c r="D363" s="217"/>
      <c r="E363" s="217"/>
      <c r="F363" s="217"/>
      <c r="G363" s="222">
        <f t="shared" ref="G363:X363" ca="1" si="190">LataProjekcji</f>
        <v>0</v>
      </c>
      <c r="H363" s="222">
        <f t="shared" ca="1" si="190"/>
        <v>0</v>
      </c>
      <c r="I363" s="222">
        <f t="shared" ca="1" si="190"/>
        <v>0</v>
      </c>
      <c r="J363" s="223" t="str">
        <f t="shared" si="190"/>
        <v/>
      </c>
      <c r="K363" s="222" t="str">
        <f t="shared" si="190"/>
        <v>Uzupełnij dane</v>
      </c>
      <c r="L363" s="222" t="str">
        <f t="shared" si="190"/>
        <v/>
      </c>
      <c r="M363" s="222" t="str">
        <f t="shared" si="190"/>
        <v/>
      </c>
      <c r="N363" s="222" t="str">
        <f t="shared" si="190"/>
        <v/>
      </c>
      <c r="O363" s="222" t="str">
        <f t="shared" si="190"/>
        <v/>
      </c>
      <c r="P363" s="222" t="str">
        <f t="shared" si="190"/>
        <v/>
      </c>
      <c r="Q363" s="222" t="str">
        <f t="shared" si="190"/>
        <v/>
      </c>
      <c r="R363" s="222" t="str">
        <f t="shared" si="190"/>
        <v/>
      </c>
      <c r="S363" s="222" t="str">
        <f t="shared" si="190"/>
        <v/>
      </c>
      <c r="T363" s="222" t="str">
        <f t="shared" si="190"/>
        <v/>
      </c>
      <c r="U363" s="222" t="str">
        <f t="shared" si="190"/>
        <v/>
      </c>
      <c r="V363" s="222" t="str">
        <f t="shared" si="190"/>
        <v/>
      </c>
      <c r="W363" s="222" t="str">
        <f t="shared" si="190"/>
        <v/>
      </c>
      <c r="X363" s="222" t="str">
        <f t="shared" si="190"/>
        <v/>
      </c>
    </row>
    <row r="364" spans="2:24">
      <c r="B364" s="98" t="s">
        <v>571</v>
      </c>
      <c r="C364" s="96" t="s">
        <v>572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1">SUM(K365:K368)</f>
        <v>0</v>
      </c>
      <c r="L364" s="97">
        <f t="shared" ca="1" si="191"/>
        <v>0</v>
      </c>
      <c r="M364" s="97">
        <f t="shared" ca="1" si="191"/>
        <v>0</v>
      </c>
      <c r="N364" s="97">
        <f t="shared" ca="1" si="191"/>
        <v>0</v>
      </c>
      <c r="O364" s="97">
        <f t="shared" ca="1" si="191"/>
        <v>0</v>
      </c>
      <c r="P364" s="97">
        <f t="shared" ca="1" si="191"/>
        <v>0</v>
      </c>
      <c r="Q364" s="97">
        <f t="shared" ca="1" si="191"/>
        <v>0</v>
      </c>
      <c r="R364" s="97">
        <f t="shared" ca="1" si="191"/>
        <v>0</v>
      </c>
      <c r="S364" s="97">
        <f t="shared" ca="1" si="191"/>
        <v>0</v>
      </c>
      <c r="T364" s="97">
        <f t="shared" ca="1" si="191"/>
        <v>0</v>
      </c>
      <c r="U364" s="97">
        <f t="shared" ca="1" si="191"/>
        <v>0</v>
      </c>
      <c r="V364" s="97">
        <f t="shared" ca="1" si="191"/>
        <v>0</v>
      </c>
      <c r="W364" s="97">
        <f t="shared" ca="1" si="191"/>
        <v>0</v>
      </c>
      <c r="X364" s="97">
        <f t="shared" ca="1" si="191"/>
        <v>0</v>
      </c>
    </row>
    <row r="365" spans="2:24">
      <c r="B365" s="103" t="s">
        <v>573</v>
      </c>
      <c r="C365" s="101"/>
      <c r="D365" s="101"/>
      <c r="E365" s="101"/>
      <c r="F365" s="101"/>
      <c r="G365" s="102">
        <f t="shared" ref="G365:X365" si="192">G77+G221</f>
        <v>0</v>
      </c>
      <c r="H365" s="102">
        <f t="shared" si="192"/>
        <v>0</v>
      </c>
      <c r="I365" s="102">
        <f t="shared" si="192"/>
        <v>0</v>
      </c>
      <c r="J365" s="102">
        <f t="shared" si="192"/>
        <v>0</v>
      </c>
      <c r="K365" s="102">
        <f t="shared" si="192"/>
        <v>0</v>
      </c>
      <c r="L365" s="102">
        <f t="shared" si="192"/>
        <v>0</v>
      </c>
      <c r="M365" s="102">
        <f t="shared" si="192"/>
        <v>0</v>
      </c>
      <c r="N365" s="102">
        <f t="shared" si="192"/>
        <v>0</v>
      </c>
      <c r="O365" s="102">
        <f t="shared" si="192"/>
        <v>0</v>
      </c>
      <c r="P365" s="102">
        <f t="shared" si="192"/>
        <v>0</v>
      </c>
      <c r="Q365" s="102">
        <f t="shared" si="192"/>
        <v>0</v>
      </c>
      <c r="R365" s="102">
        <f t="shared" si="192"/>
        <v>0</v>
      </c>
      <c r="S365" s="102">
        <f t="shared" si="192"/>
        <v>0</v>
      </c>
      <c r="T365" s="102">
        <f t="shared" si="192"/>
        <v>0</v>
      </c>
      <c r="U365" s="102">
        <f t="shared" si="192"/>
        <v>0</v>
      </c>
      <c r="V365" s="102">
        <f t="shared" si="192"/>
        <v>0</v>
      </c>
      <c r="W365" s="102">
        <f t="shared" si="192"/>
        <v>0</v>
      </c>
      <c r="X365" s="102">
        <f t="shared" si="192"/>
        <v>0</v>
      </c>
    </row>
    <row r="366" spans="2:24">
      <c r="B366" s="37" t="s">
        <v>575</v>
      </c>
      <c r="C366" s="52"/>
      <c r="D366" s="52"/>
      <c r="E366" s="52"/>
      <c r="F366" s="52"/>
      <c r="G366" s="33">
        <f t="shared" ref="G366:X366" si="193">G79+G223</f>
        <v>0</v>
      </c>
      <c r="H366" s="33">
        <f t="shared" si="193"/>
        <v>0</v>
      </c>
      <c r="I366" s="33">
        <f t="shared" si="193"/>
        <v>0</v>
      </c>
      <c r="J366" s="33">
        <f t="shared" si="193"/>
        <v>0</v>
      </c>
      <c r="K366" s="33">
        <f t="shared" si="193"/>
        <v>0</v>
      </c>
      <c r="L366" s="33">
        <f t="shared" si="193"/>
        <v>0</v>
      </c>
      <c r="M366" s="33">
        <f t="shared" si="193"/>
        <v>0</v>
      </c>
      <c r="N366" s="33">
        <f t="shared" si="193"/>
        <v>0</v>
      </c>
      <c r="O366" s="33">
        <f t="shared" si="193"/>
        <v>0</v>
      </c>
      <c r="P366" s="33">
        <f t="shared" si="193"/>
        <v>0</v>
      </c>
      <c r="Q366" s="33">
        <f t="shared" si="193"/>
        <v>0</v>
      </c>
      <c r="R366" s="33">
        <f t="shared" si="193"/>
        <v>0</v>
      </c>
      <c r="S366" s="33">
        <f t="shared" si="193"/>
        <v>0</v>
      </c>
      <c r="T366" s="33">
        <f t="shared" si="193"/>
        <v>0</v>
      </c>
      <c r="U366" s="33">
        <f t="shared" si="193"/>
        <v>0</v>
      </c>
      <c r="V366" s="33">
        <f t="shared" si="193"/>
        <v>0</v>
      </c>
      <c r="W366" s="33">
        <f t="shared" si="193"/>
        <v>0</v>
      </c>
      <c r="X366" s="33">
        <f t="shared" si="193"/>
        <v>0</v>
      </c>
    </row>
    <row r="367" spans="2:24">
      <c r="B367" s="37" t="s">
        <v>576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4">IF(LataProjekcji&lt;=Koniec,K494,0)</f>
        <v>0</v>
      </c>
      <c r="L367" s="33">
        <f t="shared" si="194"/>
        <v>0</v>
      </c>
      <c r="M367" s="33">
        <f t="shared" ca="1" si="194"/>
        <v>0</v>
      </c>
      <c r="N367" s="33">
        <f t="shared" ca="1" si="194"/>
        <v>0</v>
      </c>
      <c r="O367" s="33">
        <f t="shared" ca="1" si="194"/>
        <v>0</v>
      </c>
      <c r="P367" s="33">
        <f t="shared" ca="1" si="194"/>
        <v>0</v>
      </c>
      <c r="Q367" s="33">
        <f t="shared" ca="1" si="194"/>
        <v>0</v>
      </c>
      <c r="R367" s="33">
        <f t="shared" ca="1" si="194"/>
        <v>0</v>
      </c>
      <c r="S367" s="33">
        <f t="shared" ca="1" si="194"/>
        <v>0</v>
      </c>
      <c r="T367" s="33">
        <f t="shared" ca="1" si="194"/>
        <v>0</v>
      </c>
      <c r="U367" s="33">
        <f t="shared" ca="1" si="194"/>
        <v>0</v>
      </c>
      <c r="V367" s="33">
        <f t="shared" ca="1" si="194"/>
        <v>0</v>
      </c>
      <c r="W367" s="33">
        <f t="shared" ca="1" si="194"/>
        <v>0</v>
      </c>
      <c r="X367" s="33">
        <f t="shared" ca="1" si="194"/>
        <v>0</v>
      </c>
    </row>
    <row r="368" spans="2:24">
      <c r="B368" s="104" t="s">
        <v>577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195">K330</f>
        <v>0</v>
      </c>
      <c r="L368" s="106">
        <f t="shared" ca="1" si="195"/>
        <v>0</v>
      </c>
      <c r="M368" s="106">
        <f t="shared" ca="1" si="195"/>
        <v>0</v>
      </c>
      <c r="N368" s="106">
        <f t="shared" ca="1" si="195"/>
        <v>0</v>
      </c>
      <c r="O368" s="106">
        <f t="shared" ca="1" si="195"/>
        <v>0</v>
      </c>
      <c r="P368" s="106">
        <f t="shared" ca="1" si="195"/>
        <v>0</v>
      </c>
      <c r="Q368" s="106">
        <f t="shared" ca="1" si="195"/>
        <v>0</v>
      </c>
      <c r="R368" s="106">
        <f t="shared" ca="1" si="195"/>
        <v>0</v>
      </c>
      <c r="S368" s="106">
        <f t="shared" ca="1" si="195"/>
        <v>0</v>
      </c>
      <c r="T368" s="106">
        <f t="shared" ca="1" si="195"/>
        <v>0</v>
      </c>
      <c r="U368" s="106">
        <f t="shared" ca="1" si="195"/>
        <v>0</v>
      </c>
      <c r="V368" s="106">
        <f t="shared" ca="1" si="195"/>
        <v>0</v>
      </c>
      <c r="W368" s="106">
        <f t="shared" ca="1" si="195"/>
        <v>0</v>
      </c>
      <c r="X368" s="106">
        <f t="shared" ca="1" si="195"/>
        <v>0</v>
      </c>
    </row>
    <row r="369" spans="2:24">
      <c r="B369" s="98" t="s">
        <v>578</v>
      </c>
      <c r="C369" s="96" t="s">
        <v>579</v>
      </c>
      <c r="D369" s="96"/>
      <c r="E369" s="96"/>
      <c r="F369" s="96"/>
      <c r="G369" s="97">
        <f t="shared" ref="G369:X369" si="196">G370+G371+G374+G378</f>
        <v>0</v>
      </c>
      <c r="H369" s="97">
        <f t="shared" si="196"/>
        <v>0</v>
      </c>
      <c r="I369" s="97">
        <f t="shared" si="196"/>
        <v>0</v>
      </c>
      <c r="J369" s="97">
        <f t="shared" si="196"/>
        <v>0</v>
      </c>
      <c r="K369" s="97">
        <f t="shared" ca="1" si="196"/>
        <v>0</v>
      </c>
      <c r="L369" s="97">
        <f t="shared" ca="1" si="196"/>
        <v>0</v>
      </c>
      <c r="M369" s="97">
        <f t="shared" ca="1" si="196"/>
        <v>0</v>
      </c>
      <c r="N369" s="97">
        <f t="shared" ca="1" si="196"/>
        <v>0</v>
      </c>
      <c r="O369" s="97">
        <f t="shared" ca="1" si="196"/>
        <v>0</v>
      </c>
      <c r="P369" s="97">
        <f t="shared" ca="1" si="196"/>
        <v>0</v>
      </c>
      <c r="Q369" s="97">
        <f t="shared" ca="1" si="196"/>
        <v>0</v>
      </c>
      <c r="R369" s="97">
        <f t="shared" ca="1" si="196"/>
        <v>0</v>
      </c>
      <c r="S369" s="97">
        <f t="shared" ca="1" si="196"/>
        <v>0</v>
      </c>
      <c r="T369" s="97">
        <f t="shared" ca="1" si="196"/>
        <v>0</v>
      </c>
      <c r="U369" s="97">
        <f t="shared" ca="1" si="196"/>
        <v>0</v>
      </c>
      <c r="V369" s="97">
        <f t="shared" ca="1" si="196"/>
        <v>0</v>
      </c>
      <c r="W369" s="97">
        <f t="shared" ca="1" si="196"/>
        <v>0</v>
      </c>
      <c r="X369" s="97">
        <f t="shared" ca="1" si="196"/>
        <v>0</v>
      </c>
    </row>
    <row r="370" spans="2:24">
      <c r="B370" s="8" t="s">
        <v>580</v>
      </c>
      <c r="G370" s="33">
        <f t="shared" ref="G370:X370" si="197">G227+G83</f>
        <v>0</v>
      </c>
      <c r="H370" s="33">
        <f t="shared" si="197"/>
        <v>0</v>
      </c>
      <c r="I370" s="33">
        <f t="shared" si="197"/>
        <v>0</v>
      </c>
      <c r="J370" s="33">
        <f t="shared" si="197"/>
        <v>0</v>
      </c>
      <c r="K370" s="33">
        <f t="shared" si="197"/>
        <v>0</v>
      </c>
      <c r="L370" s="33">
        <f t="shared" si="197"/>
        <v>0</v>
      </c>
      <c r="M370" s="33">
        <f t="shared" si="197"/>
        <v>0</v>
      </c>
      <c r="N370" s="33">
        <f t="shared" si="197"/>
        <v>0</v>
      </c>
      <c r="O370" s="33">
        <f t="shared" si="197"/>
        <v>0</v>
      </c>
      <c r="P370" s="33">
        <f t="shared" si="197"/>
        <v>0</v>
      </c>
      <c r="Q370" s="33">
        <f t="shared" si="197"/>
        <v>0</v>
      </c>
      <c r="R370" s="33">
        <f t="shared" si="197"/>
        <v>0</v>
      </c>
      <c r="S370" s="33">
        <f t="shared" si="197"/>
        <v>0</v>
      </c>
      <c r="T370" s="33">
        <f t="shared" si="197"/>
        <v>0</v>
      </c>
      <c r="U370" s="33">
        <f t="shared" si="197"/>
        <v>0</v>
      </c>
      <c r="V370" s="33">
        <f t="shared" si="197"/>
        <v>0</v>
      </c>
      <c r="W370" s="33">
        <f t="shared" si="197"/>
        <v>0</v>
      </c>
      <c r="X370" s="33">
        <f t="shared" si="197"/>
        <v>0</v>
      </c>
    </row>
    <row r="371" spans="2:24">
      <c r="B371" s="37" t="s">
        <v>581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198">SUM(K372:K373)</f>
        <v>0</v>
      </c>
      <c r="L371" s="33">
        <f t="shared" si="198"/>
        <v>0</v>
      </c>
      <c r="M371" s="33">
        <f t="shared" si="198"/>
        <v>0</v>
      </c>
      <c r="N371" s="33">
        <f t="shared" si="198"/>
        <v>0</v>
      </c>
      <c r="O371" s="33">
        <f t="shared" si="198"/>
        <v>0</v>
      </c>
      <c r="P371" s="33">
        <f t="shared" si="198"/>
        <v>0</v>
      </c>
      <c r="Q371" s="33">
        <f t="shared" si="198"/>
        <v>0</v>
      </c>
      <c r="R371" s="33">
        <f t="shared" si="198"/>
        <v>0</v>
      </c>
      <c r="S371" s="33">
        <f t="shared" si="198"/>
        <v>0</v>
      </c>
      <c r="T371" s="33">
        <f t="shared" si="198"/>
        <v>0</v>
      </c>
      <c r="U371" s="33">
        <f t="shared" si="198"/>
        <v>0</v>
      </c>
      <c r="V371" s="33">
        <f t="shared" si="198"/>
        <v>0</v>
      </c>
      <c r="W371" s="33">
        <f t="shared" si="198"/>
        <v>0</v>
      </c>
      <c r="X371" s="33">
        <f t="shared" si="198"/>
        <v>0</v>
      </c>
    </row>
    <row r="372" spans="2:24">
      <c r="B372" s="39" t="s">
        <v>582</v>
      </c>
      <c r="C372" s="40"/>
      <c r="D372" s="40"/>
      <c r="E372" s="40"/>
      <c r="F372" s="40"/>
      <c r="G372" s="41">
        <f t="shared" ref="G372:X372" si="199">G229+G85</f>
        <v>0</v>
      </c>
      <c r="H372" s="41">
        <f t="shared" si="199"/>
        <v>0</v>
      </c>
      <c r="I372" s="41">
        <f t="shared" si="199"/>
        <v>0</v>
      </c>
      <c r="J372" s="41">
        <f t="shared" si="199"/>
        <v>0</v>
      </c>
      <c r="K372" s="41">
        <f t="shared" si="199"/>
        <v>0</v>
      </c>
      <c r="L372" s="41">
        <f t="shared" si="199"/>
        <v>0</v>
      </c>
      <c r="M372" s="41">
        <f t="shared" si="199"/>
        <v>0</v>
      </c>
      <c r="N372" s="41">
        <f t="shared" si="199"/>
        <v>0</v>
      </c>
      <c r="O372" s="41">
        <f t="shared" si="199"/>
        <v>0</v>
      </c>
      <c r="P372" s="41">
        <f t="shared" si="199"/>
        <v>0</v>
      </c>
      <c r="Q372" s="41">
        <f t="shared" si="199"/>
        <v>0</v>
      </c>
      <c r="R372" s="41">
        <f t="shared" si="199"/>
        <v>0</v>
      </c>
      <c r="S372" s="41">
        <f t="shared" si="199"/>
        <v>0</v>
      </c>
      <c r="T372" s="41">
        <f t="shared" si="199"/>
        <v>0</v>
      </c>
      <c r="U372" s="41">
        <f t="shared" si="199"/>
        <v>0</v>
      </c>
      <c r="V372" s="41">
        <f t="shared" si="199"/>
        <v>0</v>
      </c>
      <c r="W372" s="41">
        <f t="shared" si="199"/>
        <v>0</v>
      </c>
      <c r="X372" s="41">
        <f t="shared" si="199"/>
        <v>0</v>
      </c>
    </row>
    <row r="373" spans="2:24">
      <c r="B373" s="39" t="s">
        <v>583</v>
      </c>
      <c r="C373" s="40"/>
      <c r="D373" s="40"/>
      <c r="E373" s="40"/>
      <c r="F373" s="40"/>
      <c r="G373" s="41">
        <f t="shared" ref="G373:X373" si="200">G230+G86</f>
        <v>0</v>
      </c>
      <c r="H373" s="41">
        <f t="shared" si="200"/>
        <v>0</v>
      </c>
      <c r="I373" s="41">
        <f t="shared" si="200"/>
        <v>0</v>
      </c>
      <c r="J373" s="41">
        <f t="shared" si="200"/>
        <v>0</v>
      </c>
      <c r="K373" s="41">
        <f t="shared" si="200"/>
        <v>0</v>
      </c>
      <c r="L373" s="41">
        <f t="shared" si="200"/>
        <v>0</v>
      </c>
      <c r="M373" s="41">
        <f t="shared" si="200"/>
        <v>0</v>
      </c>
      <c r="N373" s="41">
        <f t="shared" si="200"/>
        <v>0</v>
      </c>
      <c r="O373" s="41">
        <f t="shared" si="200"/>
        <v>0</v>
      </c>
      <c r="P373" s="41">
        <f t="shared" si="200"/>
        <v>0</v>
      </c>
      <c r="Q373" s="41">
        <f t="shared" si="200"/>
        <v>0</v>
      </c>
      <c r="R373" s="41">
        <f t="shared" si="200"/>
        <v>0</v>
      </c>
      <c r="S373" s="41">
        <f t="shared" si="200"/>
        <v>0</v>
      </c>
      <c r="T373" s="41">
        <f t="shared" si="200"/>
        <v>0</v>
      </c>
      <c r="U373" s="41">
        <f t="shared" si="200"/>
        <v>0</v>
      </c>
      <c r="V373" s="41">
        <f t="shared" si="200"/>
        <v>0</v>
      </c>
      <c r="W373" s="41">
        <f t="shared" si="200"/>
        <v>0</v>
      </c>
      <c r="X373" s="41">
        <f t="shared" si="200"/>
        <v>0</v>
      </c>
    </row>
    <row r="374" spans="2:24">
      <c r="B374" s="37" t="s">
        <v>584</v>
      </c>
      <c r="C374" s="52"/>
      <c r="D374" s="52"/>
      <c r="E374" s="52"/>
      <c r="F374" s="52"/>
      <c r="G374" s="33">
        <f t="shared" ref="G374:X374" si="201">SUM(G375:G377)</f>
        <v>0</v>
      </c>
      <c r="H374" s="33">
        <f t="shared" si="201"/>
        <v>0</v>
      </c>
      <c r="I374" s="33">
        <f t="shared" si="201"/>
        <v>0</v>
      </c>
      <c r="J374" s="33">
        <f t="shared" si="201"/>
        <v>0</v>
      </c>
      <c r="K374" s="33">
        <f t="shared" ca="1" si="201"/>
        <v>0</v>
      </c>
      <c r="L374" s="33">
        <f t="shared" ca="1" si="201"/>
        <v>0</v>
      </c>
      <c r="M374" s="33">
        <f t="shared" ca="1" si="201"/>
        <v>0</v>
      </c>
      <c r="N374" s="33">
        <f t="shared" ca="1" si="201"/>
        <v>0</v>
      </c>
      <c r="O374" s="33">
        <f t="shared" ca="1" si="201"/>
        <v>0</v>
      </c>
      <c r="P374" s="33">
        <f t="shared" ca="1" si="201"/>
        <v>0</v>
      </c>
      <c r="Q374" s="33">
        <f t="shared" ca="1" si="201"/>
        <v>0</v>
      </c>
      <c r="R374" s="33">
        <f t="shared" ca="1" si="201"/>
        <v>0</v>
      </c>
      <c r="S374" s="33">
        <f t="shared" ca="1" si="201"/>
        <v>0</v>
      </c>
      <c r="T374" s="33">
        <f t="shared" ca="1" si="201"/>
        <v>0</v>
      </c>
      <c r="U374" s="33">
        <f t="shared" ca="1" si="201"/>
        <v>0</v>
      </c>
      <c r="V374" s="33">
        <f t="shared" ca="1" si="201"/>
        <v>0</v>
      </c>
      <c r="W374" s="33">
        <f t="shared" ca="1" si="201"/>
        <v>0</v>
      </c>
      <c r="X374" s="33">
        <f t="shared" ca="1" si="201"/>
        <v>0</v>
      </c>
    </row>
    <row r="375" spans="2:24">
      <c r="B375" s="39" t="s">
        <v>585</v>
      </c>
      <c r="C375" s="40" t="s">
        <v>586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587</v>
      </c>
      <c r="C376" s="40"/>
      <c r="D376" s="40"/>
      <c r="E376" s="40"/>
      <c r="F376" s="40"/>
      <c r="G376" s="41">
        <f t="shared" ref="G376:X376" si="202">G233+G89</f>
        <v>0</v>
      </c>
      <c r="H376" s="41">
        <f t="shared" si="202"/>
        <v>0</v>
      </c>
      <c r="I376" s="41">
        <f t="shared" si="202"/>
        <v>0</v>
      </c>
      <c r="J376" s="41">
        <f t="shared" si="202"/>
        <v>0</v>
      </c>
      <c r="K376" s="41">
        <f t="shared" si="202"/>
        <v>0</v>
      </c>
      <c r="L376" s="41">
        <f t="shared" si="202"/>
        <v>0</v>
      </c>
      <c r="M376" s="41">
        <f t="shared" si="202"/>
        <v>0</v>
      </c>
      <c r="N376" s="41">
        <f t="shared" si="202"/>
        <v>0</v>
      </c>
      <c r="O376" s="41">
        <f t="shared" si="202"/>
        <v>0</v>
      </c>
      <c r="P376" s="41">
        <f t="shared" si="202"/>
        <v>0</v>
      </c>
      <c r="Q376" s="41">
        <f t="shared" si="202"/>
        <v>0</v>
      </c>
      <c r="R376" s="41">
        <f t="shared" si="202"/>
        <v>0</v>
      </c>
      <c r="S376" s="41">
        <f t="shared" si="202"/>
        <v>0</v>
      </c>
      <c r="T376" s="41">
        <f t="shared" si="202"/>
        <v>0</v>
      </c>
      <c r="U376" s="41">
        <f t="shared" si="202"/>
        <v>0</v>
      </c>
      <c r="V376" s="41">
        <f t="shared" si="202"/>
        <v>0</v>
      </c>
      <c r="W376" s="41">
        <f t="shared" si="202"/>
        <v>0</v>
      </c>
      <c r="X376" s="41">
        <f t="shared" si="202"/>
        <v>0</v>
      </c>
    </row>
    <row r="377" spans="2:24">
      <c r="B377" s="39" t="s">
        <v>588</v>
      </c>
      <c r="C377" s="40"/>
      <c r="D377" s="40"/>
      <c r="E377" s="40"/>
      <c r="F377" s="40"/>
      <c r="G377" s="41">
        <f t="shared" ref="G377:X377" si="203">G234+G90</f>
        <v>0</v>
      </c>
      <c r="H377" s="41">
        <f t="shared" si="203"/>
        <v>0</v>
      </c>
      <c r="I377" s="41">
        <f t="shared" si="203"/>
        <v>0</v>
      </c>
      <c r="J377" s="41">
        <f t="shared" si="203"/>
        <v>0</v>
      </c>
      <c r="K377" s="41">
        <f t="shared" si="203"/>
        <v>0</v>
      </c>
      <c r="L377" s="41">
        <f t="shared" si="203"/>
        <v>0</v>
      </c>
      <c r="M377" s="41">
        <f t="shared" si="203"/>
        <v>0</v>
      </c>
      <c r="N377" s="41">
        <f t="shared" si="203"/>
        <v>0</v>
      </c>
      <c r="O377" s="41">
        <f t="shared" si="203"/>
        <v>0</v>
      </c>
      <c r="P377" s="41">
        <f t="shared" si="203"/>
        <v>0</v>
      </c>
      <c r="Q377" s="41">
        <f t="shared" si="203"/>
        <v>0</v>
      </c>
      <c r="R377" s="41">
        <f t="shared" si="203"/>
        <v>0</v>
      </c>
      <c r="S377" s="41">
        <f t="shared" si="203"/>
        <v>0</v>
      </c>
      <c r="T377" s="41">
        <f t="shared" si="203"/>
        <v>0</v>
      </c>
      <c r="U377" s="41">
        <f t="shared" si="203"/>
        <v>0</v>
      </c>
      <c r="V377" s="41">
        <f t="shared" si="203"/>
        <v>0</v>
      </c>
      <c r="W377" s="41">
        <f t="shared" si="203"/>
        <v>0</v>
      </c>
      <c r="X377" s="41">
        <f t="shared" si="203"/>
        <v>0</v>
      </c>
    </row>
    <row r="378" spans="2:24">
      <c r="B378" s="37" t="s">
        <v>589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4">K379+K380</f>
        <v>0</v>
      </c>
      <c r="L378" s="33">
        <f t="shared" ca="1" si="204"/>
        <v>0</v>
      </c>
      <c r="M378" s="33">
        <f t="shared" ca="1" si="204"/>
        <v>0</v>
      </c>
      <c r="N378" s="33">
        <f t="shared" ca="1" si="204"/>
        <v>0</v>
      </c>
      <c r="O378" s="33">
        <f t="shared" ca="1" si="204"/>
        <v>0</v>
      </c>
      <c r="P378" s="33">
        <f t="shared" ca="1" si="204"/>
        <v>0</v>
      </c>
      <c r="Q378" s="33">
        <f t="shared" ca="1" si="204"/>
        <v>0</v>
      </c>
      <c r="R378" s="33">
        <f t="shared" ca="1" si="204"/>
        <v>0</v>
      </c>
      <c r="S378" s="33">
        <f t="shared" ca="1" si="204"/>
        <v>0</v>
      </c>
      <c r="T378" s="33">
        <f t="shared" ca="1" si="204"/>
        <v>0</v>
      </c>
      <c r="U378" s="33">
        <f t="shared" ca="1" si="204"/>
        <v>0</v>
      </c>
      <c r="V378" s="33">
        <f t="shared" ca="1" si="204"/>
        <v>0</v>
      </c>
      <c r="W378" s="33">
        <f t="shared" ca="1" si="204"/>
        <v>0</v>
      </c>
      <c r="X378" s="33">
        <f t="shared" ca="1" si="204"/>
        <v>0</v>
      </c>
    </row>
    <row r="379" spans="2:24">
      <c r="B379" s="39" t="s">
        <v>590</v>
      </c>
      <c r="C379" s="40"/>
      <c r="D379" s="40"/>
      <c r="E379" s="40"/>
      <c r="F379" s="40"/>
      <c r="G379" s="41">
        <f t="shared" ref="G379:X379" si="205">G92+G236</f>
        <v>0</v>
      </c>
      <c r="H379" s="41">
        <f t="shared" si="205"/>
        <v>0</v>
      </c>
      <c r="I379" s="41">
        <f t="shared" si="205"/>
        <v>0</v>
      </c>
      <c r="J379" s="41">
        <f t="shared" si="205"/>
        <v>0</v>
      </c>
      <c r="K379" s="41">
        <f t="shared" si="205"/>
        <v>0</v>
      </c>
      <c r="L379" s="41">
        <f t="shared" ca="1" si="205"/>
        <v>0</v>
      </c>
      <c r="M379" s="41">
        <f t="shared" ca="1" si="205"/>
        <v>0</v>
      </c>
      <c r="N379" s="41">
        <f t="shared" ca="1" si="205"/>
        <v>0</v>
      </c>
      <c r="O379" s="41">
        <f t="shared" ca="1" si="205"/>
        <v>0</v>
      </c>
      <c r="P379" s="41">
        <f t="shared" ca="1" si="205"/>
        <v>0</v>
      </c>
      <c r="Q379" s="41">
        <f t="shared" ca="1" si="205"/>
        <v>0</v>
      </c>
      <c r="R379" s="41">
        <f t="shared" ca="1" si="205"/>
        <v>0</v>
      </c>
      <c r="S379" s="41">
        <f t="shared" ca="1" si="205"/>
        <v>0</v>
      </c>
      <c r="T379" s="41">
        <f t="shared" ca="1" si="205"/>
        <v>0</v>
      </c>
      <c r="U379" s="41">
        <f t="shared" ca="1" si="205"/>
        <v>0</v>
      </c>
      <c r="V379" s="41">
        <f t="shared" ca="1" si="205"/>
        <v>0</v>
      </c>
      <c r="W379" s="41">
        <f t="shared" ca="1" si="205"/>
        <v>0</v>
      </c>
      <c r="X379" s="41">
        <f t="shared" ca="1" si="205"/>
        <v>0</v>
      </c>
    </row>
    <row r="380" spans="2:24">
      <c r="B380" s="39" t="s">
        <v>583</v>
      </c>
      <c r="C380" s="40"/>
      <c r="D380" s="40"/>
      <c r="E380" s="40"/>
      <c r="F380" s="40"/>
      <c r="G380" s="41">
        <f t="shared" ref="G380:X380" si="206">G93+G237</f>
        <v>0</v>
      </c>
      <c r="H380" s="41">
        <f t="shared" si="206"/>
        <v>0</v>
      </c>
      <c r="I380" s="41">
        <f t="shared" si="206"/>
        <v>0</v>
      </c>
      <c r="J380" s="41">
        <f t="shared" si="206"/>
        <v>0</v>
      </c>
      <c r="K380" s="41">
        <f t="shared" si="206"/>
        <v>0</v>
      </c>
      <c r="L380" s="41">
        <f t="shared" si="206"/>
        <v>0</v>
      </c>
      <c r="M380" s="41">
        <f t="shared" si="206"/>
        <v>0</v>
      </c>
      <c r="N380" s="41">
        <f t="shared" si="206"/>
        <v>0</v>
      </c>
      <c r="O380" s="41">
        <f t="shared" si="206"/>
        <v>0</v>
      </c>
      <c r="P380" s="41">
        <f t="shared" si="206"/>
        <v>0</v>
      </c>
      <c r="Q380" s="41">
        <f t="shared" si="206"/>
        <v>0</v>
      </c>
      <c r="R380" s="41">
        <f t="shared" si="206"/>
        <v>0</v>
      </c>
      <c r="S380" s="41">
        <f t="shared" si="206"/>
        <v>0</v>
      </c>
      <c r="T380" s="41">
        <f t="shared" si="206"/>
        <v>0</v>
      </c>
      <c r="U380" s="41">
        <f t="shared" si="206"/>
        <v>0</v>
      </c>
      <c r="V380" s="41">
        <f t="shared" si="206"/>
        <v>0</v>
      </c>
      <c r="W380" s="41">
        <f t="shared" si="206"/>
        <v>0</v>
      </c>
      <c r="X380" s="41">
        <f t="shared" si="206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07">G369+G364</f>
        <v>0</v>
      </c>
      <c r="H381" s="97">
        <f t="shared" si="207"/>
        <v>0</v>
      </c>
      <c r="I381" s="97">
        <f t="shared" si="207"/>
        <v>0</v>
      </c>
      <c r="J381" s="97">
        <f t="shared" si="207"/>
        <v>0</v>
      </c>
      <c r="K381" s="97">
        <f t="shared" ca="1" si="207"/>
        <v>0</v>
      </c>
      <c r="L381" s="97">
        <f t="shared" ca="1" si="207"/>
        <v>0</v>
      </c>
      <c r="M381" s="97">
        <f t="shared" ca="1" si="207"/>
        <v>0</v>
      </c>
      <c r="N381" s="97">
        <f t="shared" ca="1" si="207"/>
        <v>0</v>
      </c>
      <c r="O381" s="97">
        <f t="shared" ca="1" si="207"/>
        <v>0</v>
      </c>
      <c r="P381" s="97">
        <f t="shared" ca="1" si="207"/>
        <v>0</v>
      </c>
      <c r="Q381" s="97">
        <f t="shared" ca="1" si="207"/>
        <v>0</v>
      </c>
      <c r="R381" s="97">
        <f t="shared" ca="1" si="207"/>
        <v>0</v>
      </c>
      <c r="S381" s="97">
        <f t="shared" ca="1" si="207"/>
        <v>0</v>
      </c>
      <c r="T381" s="97">
        <f t="shared" ca="1" si="207"/>
        <v>0</v>
      </c>
      <c r="U381" s="97">
        <f t="shared" ca="1" si="207"/>
        <v>0</v>
      </c>
      <c r="V381" s="97">
        <f t="shared" ca="1" si="207"/>
        <v>0</v>
      </c>
      <c r="W381" s="97">
        <f t="shared" ca="1" si="207"/>
        <v>0</v>
      </c>
      <c r="X381" s="97">
        <f t="shared" ca="1" si="207"/>
        <v>0</v>
      </c>
    </row>
    <row r="382" spans="2:24">
      <c r="B382" s="108" t="s">
        <v>591</v>
      </c>
      <c r="C382" s="108"/>
      <c r="D382" s="108"/>
      <c r="E382" s="108"/>
      <c r="F382" s="108"/>
      <c r="G382" s="108" t="b">
        <f t="shared" ref="G382:X382" si="208">G381=G361</f>
        <v>1</v>
      </c>
      <c r="H382" s="108" t="b">
        <f t="shared" si="208"/>
        <v>1</v>
      </c>
      <c r="I382" s="108" t="b">
        <f t="shared" si="208"/>
        <v>1</v>
      </c>
      <c r="J382" s="53" t="b">
        <f t="shared" si="208"/>
        <v>1</v>
      </c>
      <c r="K382" s="108" t="b">
        <f t="shared" ca="1" si="208"/>
        <v>1</v>
      </c>
      <c r="L382" s="108" t="b">
        <f t="shared" ca="1" si="208"/>
        <v>1</v>
      </c>
      <c r="M382" s="108" t="b">
        <f t="shared" ca="1" si="208"/>
        <v>1</v>
      </c>
      <c r="N382" s="108" t="b">
        <f t="shared" ca="1" si="208"/>
        <v>1</v>
      </c>
      <c r="O382" s="108" t="b">
        <f t="shared" ca="1" si="208"/>
        <v>1</v>
      </c>
      <c r="P382" s="108" t="b">
        <f t="shared" ca="1" si="208"/>
        <v>1</v>
      </c>
      <c r="Q382" s="108" t="b">
        <f t="shared" ca="1" si="208"/>
        <v>1</v>
      </c>
      <c r="R382" s="108" t="b">
        <f t="shared" ca="1" si="208"/>
        <v>1</v>
      </c>
      <c r="S382" s="108" t="b">
        <f t="shared" ca="1" si="208"/>
        <v>1</v>
      </c>
      <c r="T382" s="108" t="b">
        <f t="shared" ca="1" si="208"/>
        <v>1</v>
      </c>
      <c r="U382" s="108" t="b">
        <f t="shared" ca="1" si="208"/>
        <v>1</v>
      </c>
      <c r="V382" s="108" t="b">
        <f t="shared" ca="1" si="208"/>
        <v>1</v>
      </c>
      <c r="W382" s="108" t="b">
        <f t="shared" ca="1" si="208"/>
        <v>1</v>
      </c>
      <c r="X382" s="108" t="b">
        <f t="shared" ca="1" si="208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09">K361-K381</f>
        <v>0</v>
      </c>
      <c r="L383" s="109">
        <f t="shared" ca="1" si="209"/>
        <v>0</v>
      </c>
      <c r="M383" s="109">
        <f t="shared" ca="1" si="209"/>
        <v>0</v>
      </c>
      <c r="N383" s="109">
        <f t="shared" ca="1" si="209"/>
        <v>0</v>
      </c>
      <c r="O383" s="109">
        <f t="shared" ca="1" si="209"/>
        <v>0</v>
      </c>
      <c r="P383" s="109">
        <f t="shared" ca="1" si="209"/>
        <v>0</v>
      </c>
      <c r="Q383" s="109">
        <f t="shared" ca="1" si="209"/>
        <v>0</v>
      </c>
      <c r="R383" s="109">
        <f t="shared" ca="1" si="209"/>
        <v>0</v>
      </c>
      <c r="S383" s="109">
        <f t="shared" ca="1" si="209"/>
        <v>0</v>
      </c>
      <c r="T383" s="109">
        <f t="shared" ca="1" si="209"/>
        <v>0</v>
      </c>
      <c r="U383" s="109">
        <f t="shared" ca="1" si="209"/>
        <v>0</v>
      </c>
      <c r="V383" s="109">
        <f t="shared" ca="1" si="209"/>
        <v>0</v>
      </c>
      <c r="W383" s="109">
        <f t="shared" ca="1" si="209"/>
        <v>0</v>
      </c>
      <c r="X383" s="109">
        <f t="shared" ca="1" si="209"/>
        <v>0</v>
      </c>
    </row>
    <row r="384" spans="2:24">
      <c r="L384" s="5"/>
    </row>
    <row r="385" spans="2:24" ht="14.5">
      <c r="B385" s="152" t="s">
        <v>592</v>
      </c>
      <c r="C385" s="154"/>
      <c r="D385" s="154"/>
      <c r="E385" s="154"/>
      <c r="F385" s="154"/>
      <c r="G385" s="224">
        <f t="shared" ref="G385:X385" ca="1" si="210">LataProjekcji</f>
        <v>0</v>
      </c>
      <c r="H385" s="224">
        <f t="shared" ca="1" si="210"/>
        <v>0</v>
      </c>
      <c r="I385" s="224">
        <f t="shared" ca="1" si="210"/>
        <v>0</v>
      </c>
      <c r="J385" s="225" t="str">
        <f t="shared" si="210"/>
        <v/>
      </c>
      <c r="K385" s="224" t="str">
        <f t="shared" si="210"/>
        <v>Uzupełnij dane</v>
      </c>
      <c r="L385" s="224" t="str">
        <f t="shared" si="210"/>
        <v/>
      </c>
      <c r="M385" s="224" t="str">
        <f t="shared" si="210"/>
        <v/>
      </c>
      <c r="N385" s="224" t="str">
        <f t="shared" si="210"/>
        <v/>
      </c>
      <c r="O385" s="224" t="str">
        <f t="shared" si="210"/>
        <v/>
      </c>
      <c r="P385" s="224" t="str">
        <f t="shared" si="210"/>
        <v/>
      </c>
      <c r="Q385" s="224" t="str">
        <f t="shared" si="210"/>
        <v/>
      </c>
      <c r="R385" s="224" t="str">
        <f t="shared" si="210"/>
        <v/>
      </c>
      <c r="S385" s="224" t="str">
        <f t="shared" si="210"/>
        <v/>
      </c>
      <c r="T385" s="224" t="str">
        <f t="shared" si="210"/>
        <v/>
      </c>
      <c r="U385" s="224" t="str">
        <f t="shared" si="210"/>
        <v/>
      </c>
      <c r="V385" s="224" t="str">
        <f t="shared" si="210"/>
        <v/>
      </c>
      <c r="W385" s="224" t="str">
        <f t="shared" si="210"/>
        <v/>
      </c>
      <c r="X385" s="224" t="str">
        <f t="shared" si="210"/>
        <v/>
      </c>
    </row>
    <row r="386" spans="2:24">
      <c r="B386" s="95" t="s">
        <v>593</v>
      </c>
      <c r="C386" s="96"/>
      <c r="D386" s="96"/>
      <c r="E386" s="96"/>
      <c r="F386" s="96"/>
      <c r="G386" s="97">
        <f>SUM(G387:G393)</f>
        <v>0</v>
      </c>
      <c r="H386" s="97">
        <f t="shared" ref="H386:X386" si="211">SUM(H387:H393)</f>
        <v>0</v>
      </c>
      <c r="I386" s="97">
        <f t="shared" si="211"/>
        <v>0</v>
      </c>
      <c r="J386" s="97">
        <f t="shared" si="211"/>
        <v>0</v>
      </c>
      <c r="K386" s="97">
        <f t="shared" si="211"/>
        <v>0</v>
      </c>
      <c r="L386" s="97">
        <f t="shared" ca="1" si="211"/>
        <v>0</v>
      </c>
      <c r="M386" s="97">
        <f t="shared" ca="1" si="211"/>
        <v>0</v>
      </c>
      <c r="N386" s="97">
        <f t="shared" ca="1" si="211"/>
        <v>0</v>
      </c>
      <c r="O386" s="97">
        <f t="shared" ca="1" si="211"/>
        <v>0</v>
      </c>
      <c r="P386" s="97">
        <f t="shared" ca="1" si="211"/>
        <v>0</v>
      </c>
      <c r="Q386" s="97">
        <f t="shared" ca="1" si="211"/>
        <v>0</v>
      </c>
      <c r="R386" s="97">
        <f t="shared" ca="1" si="211"/>
        <v>0</v>
      </c>
      <c r="S386" s="97">
        <f t="shared" ca="1" si="211"/>
        <v>0</v>
      </c>
      <c r="T386" s="97">
        <f t="shared" ca="1" si="211"/>
        <v>0</v>
      </c>
      <c r="U386" s="97">
        <f t="shared" ca="1" si="211"/>
        <v>0</v>
      </c>
      <c r="V386" s="97">
        <f t="shared" ca="1" si="211"/>
        <v>0</v>
      </c>
      <c r="W386" s="97">
        <f t="shared" ca="1" si="211"/>
        <v>0</v>
      </c>
      <c r="X386" s="97">
        <f t="shared" ca="1" si="211"/>
        <v>0</v>
      </c>
    </row>
    <row r="387" spans="2:24">
      <c r="B387" s="93" t="s">
        <v>594</v>
      </c>
      <c r="C387" s="19"/>
      <c r="D387" s="19"/>
      <c r="E387" s="19"/>
      <c r="F387" s="19"/>
      <c r="G387" s="94">
        <f t="shared" ref="G387:X387" si="212">G330</f>
        <v>0</v>
      </c>
      <c r="H387" s="94">
        <f t="shared" si="212"/>
        <v>0</v>
      </c>
      <c r="I387" s="94">
        <f t="shared" si="212"/>
        <v>0</v>
      </c>
      <c r="J387" s="94">
        <f>IF(Rok_n="",0,J330)</f>
        <v>0</v>
      </c>
      <c r="K387" s="94">
        <f t="shared" si="212"/>
        <v>0</v>
      </c>
      <c r="L387" s="94">
        <f t="shared" ca="1" si="212"/>
        <v>0</v>
      </c>
      <c r="M387" s="94">
        <f t="shared" ca="1" si="212"/>
        <v>0</v>
      </c>
      <c r="N387" s="94">
        <f t="shared" ca="1" si="212"/>
        <v>0</v>
      </c>
      <c r="O387" s="94">
        <f t="shared" ca="1" si="212"/>
        <v>0</v>
      </c>
      <c r="P387" s="94">
        <f t="shared" ca="1" si="212"/>
        <v>0</v>
      </c>
      <c r="Q387" s="94">
        <f t="shared" ca="1" si="212"/>
        <v>0</v>
      </c>
      <c r="R387" s="94">
        <f t="shared" ca="1" si="212"/>
        <v>0</v>
      </c>
      <c r="S387" s="94">
        <f t="shared" ca="1" si="212"/>
        <v>0</v>
      </c>
      <c r="T387" s="94">
        <f t="shared" ca="1" si="212"/>
        <v>0</v>
      </c>
      <c r="U387" s="94">
        <f t="shared" ca="1" si="212"/>
        <v>0</v>
      </c>
      <c r="V387" s="94">
        <f t="shared" ca="1" si="212"/>
        <v>0</v>
      </c>
      <c r="W387" s="94">
        <f t="shared" ca="1" si="212"/>
        <v>0</v>
      </c>
      <c r="X387" s="94">
        <f t="shared" ca="1" si="212"/>
        <v>0</v>
      </c>
    </row>
    <row r="388" spans="2:24">
      <c r="B388" s="37" t="s">
        <v>595</v>
      </c>
      <c r="C388" s="52"/>
      <c r="D388" s="52"/>
      <c r="E388" s="52"/>
      <c r="F388" s="52"/>
      <c r="G388" s="33">
        <f t="shared" ref="G388:X388" si="213">G309</f>
        <v>0</v>
      </c>
      <c r="H388" s="33">
        <f t="shared" si="213"/>
        <v>0</v>
      </c>
      <c r="I388" s="33">
        <f t="shared" si="213"/>
        <v>0</v>
      </c>
      <c r="J388" s="33">
        <f>IF(Rok_n="",0,J309)</f>
        <v>0</v>
      </c>
      <c r="K388" s="33">
        <f t="shared" si="213"/>
        <v>0</v>
      </c>
      <c r="L388" s="33">
        <f t="shared" ca="1" si="213"/>
        <v>0</v>
      </c>
      <c r="M388" s="33">
        <f t="shared" ca="1" si="213"/>
        <v>0</v>
      </c>
      <c r="N388" s="33">
        <f t="shared" ca="1" si="213"/>
        <v>0</v>
      </c>
      <c r="O388" s="33">
        <f t="shared" ca="1" si="213"/>
        <v>0</v>
      </c>
      <c r="P388" s="33">
        <f t="shared" ca="1" si="213"/>
        <v>0</v>
      </c>
      <c r="Q388" s="33">
        <f t="shared" ca="1" si="213"/>
        <v>0</v>
      </c>
      <c r="R388" s="33">
        <f t="shared" ca="1" si="213"/>
        <v>0</v>
      </c>
      <c r="S388" s="33">
        <f t="shared" ca="1" si="213"/>
        <v>0</v>
      </c>
      <c r="T388" s="33">
        <f t="shared" ca="1" si="213"/>
        <v>0</v>
      </c>
      <c r="U388" s="33">
        <f t="shared" ca="1" si="213"/>
        <v>0</v>
      </c>
      <c r="V388" s="33">
        <f t="shared" ca="1" si="213"/>
        <v>0</v>
      </c>
      <c r="W388" s="33">
        <f t="shared" ca="1" si="213"/>
        <v>0</v>
      </c>
      <c r="X388" s="33">
        <f t="shared" ca="1" si="213"/>
        <v>0</v>
      </c>
    </row>
    <row r="389" spans="2:24">
      <c r="B389" s="37" t="s">
        <v>596</v>
      </c>
      <c r="C389" s="52"/>
      <c r="D389" s="52"/>
      <c r="E389" s="52"/>
      <c r="F389" s="52"/>
      <c r="G389" s="33">
        <f>E354-G354</f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14">IF(LataProjekcji&lt;=Koniec,K354-L354,0)</f>
        <v>0</v>
      </c>
      <c r="M389" s="33">
        <f t="shared" ca="1" si="214"/>
        <v>0</v>
      </c>
      <c r="N389" s="33">
        <f t="shared" ca="1" si="214"/>
        <v>0</v>
      </c>
      <c r="O389" s="33">
        <f t="shared" ca="1" si="214"/>
        <v>0</v>
      </c>
      <c r="P389" s="33">
        <f t="shared" ca="1" si="214"/>
        <v>0</v>
      </c>
      <c r="Q389" s="33">
        <f t="shared" ca="1" si="214"/>
        <v>0</v>
      </c>
      <c r="R389" s="33">
        <f t="shared" ca="1" si="214"/>
        <v>0</v>
      </c>
      <c r="S389" s="33">
        <f t="shared" ca="1" si="214"/>
        <v>0</v>
      </c>
      <c r="T389" s="33">
        <f t="shared" ca="1" si="214"/>
        <v>0</v>
      </c>
      <c r="U389" s="33">
        <f t="shared" ca="1" si="214"/>
        <v>0</v>
      </c>
      <c r="V389" s="33">
        <f t="shared" ca="1" si="214"/>
        <v>0</v>
      </c>
      <c r="W389" s="33">
        <f t="shared" ca="1" si="214"/>
        <v>0</v>
      </c>
      <c r="X389" s="33">
        <f t="shared" ca="1" si="214"/>
        <v>0</v>
      </c>
    </row>
    <row r="390" spans="2:24">
      <c r="B390" s="37" t="s">
        <v>597</v>
      </c>
      <c r="C390" s="52"/>
      <c r="D390" s="52"/>
      <c r="E390" s="52"/>
      <c r="F390" s="52"/>
      <c r="G390" s="33">
        <f>E355-G355</f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15">IF(LataProjekcji&lt;=Koniec,K355-L355,0)</f>
        <v>0</v>
      </c>
      <c r="M390" s="33">
        <f t="shared" ca="1" si="215"/>
        <v>0</v>
      </c>
      <c r="N390" s="33">
        <f t="shared" ca="1" si="215"/>
        <v>0</v>
      </c>
      <c r="O390" s="33">
        <f t="shared" ca="1" si="215"/>
        <v>0</v>
      </c>
      <c r="P390" s="33">
        <f t="shared" ca="1" si="215"/>
        <v>0</v>
      </c>
      <c r="Q390" s="33">
        <f t="shared" ca="1" si="215"/>
        <v>0</v>
      </c>
      <c r="R390" s="33">
        <f t="shared" ca="1" si="215"/>
        <v>0</v>
      </c>
      <c r="S390" s="33">
        <f t="shared" ca="1" si="215"/>
        <v>0</v>
      </c>
      <c r="T390" s="33">
        <f t="shared" ca="1" si="215"/>
        <v>0</v>
      </c>
      <c r="U390" s="33">
        <f t="shared" ca="1" si="215"/>
        <v>0</v>
      </c>
      <c r="V390" s="33">
        <f t="shared" ca="1" si="215"/>
        <v>0</v>
      </c>
      <c r="W390" s="33">
        <f t="shared" ca="1" si="215"/>
        <v>0</v>
      </c>
      <c r="X390" s="33">
        <f t="shared" ca="1" si="215"/>
        <v>0</v>
      </c>
    </row>
    <row r="391" spans="2:24">
      <c r="B391" s="37" t="s">
        <v>598</v>
      </c>
      <c r="C391" s="52"/>
      <c r="D391" s="52"/>
      <c r="E391" s="52"/>
      <c r="F391" s="52"/>
      <c r="G391" s="33">
        <f>(G374-E374)-(G376-E376)</f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IF(LataProjekcji&lt;=Koniec,IF(Założenia!$J$32=12,(K374-J374)-(K376-J376),(K374-I374)-(K376-I376)),0)</f>
        <v>0</v>
      </c>
      <c r="L391" s="33">
        <f t="shared" ref="L391:X391" ca="1" si="216">IF(LataProjekcji&lt;=Koniec,(L374-K374)-(L376-K376),0)</f>
        <v>0</v>
      </c>
      <c r="M391" s="33">
        <f t="shared" ca="1" si="216"/>
        <v>0</v>
      </c>
      <c r="N391" s="33">
        <f t="shared" ca="1" si="216"/>
        <v>0</v>
      </c>
      <c r="O391" s="33">
        <f t="shared" ca="1" si="216"/>
        <v>0</v>
      </c>
      <c r="P391" s="33">
        <f t="shared" ca="1" si="216"/>
        <v>0</v>
      </c>
      <c r="Q391" s="33">
        <f t="shared" ca="1" si="216"/>
        <v>0</v>
      </c>
      <c r="R391" s="33">
        <f t="shared" ca="1" si="216"/>
        <v>0</v>
      </c>
      <c r="S391" s="33">
        <f t="shared" ca="1" si="216"/>
        <v>0</v>
      </c>
      <c r="T391" s="33">
        <f t="shared" ca="1" si="216"/>
        <v>0</v>
      </c>
      <c r="U391" s="33">
        <f t="shared" ca="1" si="216"/>
        <v>0</v>
      </c>
      <c r="V391" s="33">
        <f t="shared" ca="1" si="216"/>
        <v>0</v>
      </c>
      <c r="W391" s="33">
        <f t="shared" ca="1" si="216"/>
        <v>0</v>
      </c>
      <c r="X391" s="33">
        <f t="shared" ca="1" si="216"/>
        <v>0</v>
      </c>
    </row>
    <row r="392" spans="2:24">
      <c r="B392" s="37" t="s">
        <v>599</v>
      </c>
      <c r="C392" s="52"/>
      <c r="D392" s="52"/>
      <c r="E392" s="52"/>
      <c r="F392" s="52"/>
      <c r="G392" s="33">
        <f>(E352-G352)+(E360-G360)+(G378-E378)-G404</f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17">IF(LataProjekcji&lt;=Koniec,(K249+K105),0)</f>
        <v>0</v>
      </c>
      <c r="L392" s="33">
        <f t="shared" ca="1" si="217"/>
        <v>0</v>
      </c>
      <c r="M392" s="33">
        <f t="shared" ca="1" si="217"/>
        <v>0</v>
      </c>
      <c r="N392" s="33">
        <f t="shared" ca="1" si="217"/>
        <v>0</v>
      </c>
      <c r="O392" s="33">
        <f t="shared" ca="1" si="217"/>
        <v>0</v>
      </c>
      <c r="P392" s="33">
        <f t="shared" ca="1" si="217"/>
        <v>0</v>
      </c>
      <c r="Q392" s="33">
        <f t="shared" ca="1" si="217"/>
        <v>0</v>
      </c>
      <c r="R392" s="33">
        <f t="shared" ca="1" si="217"/>
        <v>0</v>
      </c>
      <c r="S392" s="33">
        <f t="shared" ca="1" si="217"/>
        <v>0</v>
      </c>
      <c r="T392" s="33">
        <f t="shared" ca="1" si="217"/>
        <v>0</v>
      </c>
      <c r="U392" s="33">
        <f t="shared" ca="1" si="217"/>
        <v>0</v>
      </c>
      <c r="V392" s="33">
        <f t="shared" ca="1" si="217"/>
        <v>0</v>
      </c>
      <c r="W392" s="33">
        <f t="shared" ca="1" si="217"/>
        <v>0</v>
      </c>
      <c r="X392" s="33">
        <f t="shared" ca="1" si="217"/>
        <v>0</v>
      </c>
    </row>
    <row r="393" spans="2:24">
      <c r="B393" s="37" t="s">
        <v>600</v>
      </c>
      <c r="C393" s="52"/>
      <c r="D393" s="52"/>
      <c r="E393" s="52"/>
      <c r="F393" s="19"/>
      <c r="G393" s="94">
        <f t="shared" ref="G393:X393" si="218">G250+G106</f>
        <v>0</v>
      </c>
      <c r="H393" s="94">
        <f t="shared" si="218"/>
        <v>0</v>
      </c>
      <c r="I393" s="94">
        <f t="shared" si="218"/>
        <v>0</v>
      </c>
      <c r="J393" s="94">
        <f>IF(Rok_n="",0,J250+J106)</f>
        <v>0</v>
      </c>
      <c r="K393" s="33">
        <f t="shared" si="218"/>
        <v>0</v>
      </c>
      <c r="L393" s="33">
        <f t="shared" si="218"/>
        <v>0</v>
      </c>
      <c r="M393" s="33">
        <f t="shared" si="218"/>
        <v>0</v>
      </c>
      <c r="N393" s="33">
        <f t="shared" si="218"/>
        <v>0</v>
      </c>
      <c r="O393" s="33">
        <f t="shared" si="218"/>
        <v>0</v>
      </c>
      <c r="P393" s="33">
        <f t="shared" si="218"/>
        <v>0</v>
      </c>
      <c r="Q393" s="33">
        <f t="shared" si="218"/>
        <v>0</v>
      </c>
      <c r="R393" s="33">
        <f t="shared" si="218"/>
        <v>0</v>
      </c>
      <c r="S393" s="33">
        <f t="shared" si="218"/>
        <v>0</v>
      </c>
      <c r="T393" s="33">
        <f t="shared" si="218"/>
        <v>0</v>
      </c>
      <c r="U393" s="33">
        <f t="shared" si="218"/>
        <v>0</v>
      </c>
      <c r="V393" s="33">
        <f t="shared" si="218"/>
        <v>0</v>
      </c>
      <c r="W393" s="33">
        <f t="shared" si="218"/>
        <v>0</v>
      </c>
      <c r="X393" s="33">
        <f t="shared" si="218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601</v>
      </c>
      <c r="C395" s="96"/>
      <c r="D395" s="96"/>
      <c r="E395" s="96"/>
      <c r="F395" s="96"/>
      <c r="G395" s="97">
        <f>SUM(G396:G397)</f>
        <v>0</v>
      </c>
      <c r="H395" s="97">
        <f t="shared" ref="H395:X395" si="219">SUM(H396:H397)</f>
        <v>0</v>
      </c>
      <c r="I395" s="97">
        <f t="shared" si="219"/>
        <v>0</v>
      </c>
      <c r="J395" s="97">
        <f t="shared" si="219"/>
        <v>0</v>
      </c>
      <c r="K395" s="97">
        <f t="shared" ca="1" si="219"/>
        <v>0</v>
      </c>
      <c r="L395" s="97">
        <f t="shared" ca="1" si="219"/>
        <v>0</v>
      </c>
      <c r="M395" s="97">
        <f t="shared" ca="1" si="219"/>
        <v>0</v>
      </c>
      <c r="N395" s="97">
        <f t="shared" ca="1" si="219"/>
        <v>0</v>
      </c>
      <c r="O395" s="97">
        <f t="shared" ca="1" si="219"/>
        <v>0</v>
      </c>
      <c r="P395" s="97">
        <f t="shared" ca="1" si="219"/>
        <v>0</v>
      </c>
      <c r="Q395" s="97">
        <f t="shared" ca="1" si="219"/>
        <v>0</v>
      </c>
      <c r="R395" s="97">
        <f t="shared" ca="1" si="219"/>
        <v>0</v>
      </c>
      <c r="S395" s="97">
        <f t="shared" ca="1" si="219"/>
        <v>0</v>
      </c>
      <c r="T395" s="97">
        <f t="shared" ca="1" si="219"/>
        <v>0</v>
      </c>
      <c r="U395" s="97">
        <f t="shared" ca="1" si="219"/>
        <v>0</v>
      </c>
      <c r="V395" s="97">
        <f t="shared" ca="1" si="219"/>
        <v>0</v>
      </c>
      <c r="W395" s="97">
        <f t="shared" ca="1" si="219"/>
        <v>0</v>
      </c>
      <c r="X395" s="97">
        <f t="shared" ca="1" si="219"/>
        <v>0</v>
      </c>
    </row>
    <row r="396" spans="2:24">
      <c r="B396" s="93" t="s">
        <v>602</v>
      </c>
      <c r="C396" s="19"/>
      <c r="D396" s="19"/>
      <c r="E396" s="19"/>
      <c r="F396" s="19"/>
      <c r="G396" s="94">
        <f>(E336+E341)-(G336+G341)-G309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0">L253+L109</f>
        <v>0</v>
      </c>
      <c r="M396" s="94">
        <f t="shared" ca="1" si="220"/>
        <v>0</v>
      </c>
      <c r="N396" s="94">
        <f t="shared" ca="1" si="220"/>
        <v>0</v>
      </c>
      <c r="O396" s="94">
        <f t="shared" ca="1" si="220"/>
        <v>0</v>
      </c>
      <c r="P396" s="94">
        <f t="shared" ca="1" si="220"/>
        <v>0</v>
      </c>
      <c r="Q396" s="94">
        <f t="shared" ca="1" si="220"/>
        <v>0</v>
      </c>
      <c r="R396" s="94">
        <f t="shared" ca="1" si="220"/>
        <v>0</v>
      </c>
      <c r="S396" s="94">
        <f t="shared" ca="1" si="220"/>
        <v>0</v>
      </c>
      <c r="T396" s="94">
        <f t="shared" ca="1" si="220"/>
        <v>0</v>
      </c>
      <c r="U396" s="94">
        <f t="shared" ca="1" si="220"/>
        <v>0</v>
      </c>
      <c r="V396" s="94">
        <f t="shared" ca="1" si="220"/>
        <v>0</v>
      </c>
      <c r="W396" s="94">
        <f t="shared" ca="1" si="220"/>
        <v>0</v>
      </c>
      <c r="X396" s="94">
        <f t="shared" ca="1" si="220"/>
        <v>0</v>
      </c>
    </row>
    <row r="397" spans="2:24">
      <c r="B397" s="37" t="s">
        <v>603</v>
      </c>
      <c r="C397" s="52"/>
      <c r="D397" s="52"/>
      <c r="E397" s="52"/>
      <c r="F397" s="52"/>
      <c r="G397" s="33">
        <f>(E350+E351)-(G350+G351)</f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1">K254+K110</f>
        <v>0</v>
      </c>
      <c r="L397" s="94">
        <f t="shared" si="221"/>
        <v>0</v>
      </c>
      <c r="M397" s="94">
        <f t="shared" si="221"/>
        <v>0</v>
      </c>
      <c r="N397" s="94">
        <f t="shared" si="221"/>
        <v>0</v>
      </c>
      <c r="O397" s="94">
        <f t="shared" si="221"/>
        <v>0</v>
      </c>
      <c r="P397" s="94">
        <f t="shared" si="221"/>
        <v>0</v>
      </c>
      <c r="Q397" s="94">
        <f t="shared" si="221"/>
        <v>0</v>
      </c>
      <c r="R397" s="94">
        <f t="shared" si="221"/>
        <v>0</v>
      </c>
      <c r="S397" s="94">
        <f t="shared" si="221"/>
        <v>0</v>
      </c>
      <c r="T397" s="94">
        <f t="shared" si="221"/>
        <v>0</v>
      </c>
      <c r="U397" s="94">
        <f t="shared" si="221"/>
        <v>0</v>
      </c>
      <c r="V397" s="94">
        <f t="shared" si="221"/>
        <v>0</v>
      </c>
      <c r="W397" s="94">
        <f t="shared" si="221"/>
        <v>0</v>
      </c>
      <c r="X397" s="94">
        <f t="shared" si="221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604</v>
      </c>
      <c r="C399" s="96"/>
      <c r="D399" s="96"/>
      <c r="E399" s="96"/>
      <c r="F399" s="96"/>
      <c r="G399" s="97">
        <f>SUM(G400:G405)</f>
        <v>0</v>
      </c>
      <c r="H399" s="97">
        <f t="shared" ref="H399:X399" si="222">SUM(H400:H405)</f>
        <v>0</v>
      </c>
      <c r="I399" s="97">
        <f t="shared" si="222"/>
        <v>0</v>
      </c>
      <c r="J399" s="97">
        <f t="shared" si="222"/>
        <v>0</v>
      </c>
      <c r="K399" s="97">
        <f t="shared" si="222"/>
        <v>0</v>
      </c>
      <c r="L399" s="97">
        <f t="shared" ca="1" si="222"/>
        <v>0</v>
      </c>
      <c r="M399" s="97">
        <f t="shared" ca="1" si="222"/>
        <v>0</v>
      </c>
      <c r="N399" s="97">
        <f t="shared" ca="1" si="222"/>
        <v>0</v>
      </c>
      <c r="O399" s="97">
        <f t="shared" ca="1" si="222"/>
        <v>0</v>
      </c>
      <c r="P399" s="97">
        <f t="shared" ca="1" si="222"/>
        <v>0</v>
      </c>
      <c r="Q399" s="97">
        <f t="shared" ca="1" si="222"/>
        <v>0</v>
      </c>
      <c r="R399" s="97">
        <f t="shared" ca="1" si="222"/>
        <v>0</v>
      </c>
      <c r="S399" s="97">
        <f t="shared" ca="1" si="222"/>
        <v>0</v>
      </c>
      <c r="T399" s="97">
        <f t="shared" ca="1" si="222"/>
        <v>0</v>
      </c>
      <c r="U399" s="97">
        <f t="shared" ca="1" si="222"/>
        <v>0</v>
      </c>
      <c r="V399" s="97">
        <f t="shared" ca="1" si="222"/>
        <v>0</v>
      </c>
      <c r="W399" s="97">
        <f t="shared" ca="1" si="222"/>
        <v>0</v>
      </c>
      <c r="X399" s="97">
        <f t="shared" ca="1" si="222"/>
        <v>0</v>
      </c>
    </row>
    <row r="400" spans="2:24">
      <c r="B400" s="93" t="s">
        <v>605</v>
      </c>
      <c r="C400" s="19"/>
      <c r="D400" s="19"/>
      <c r="E400" s="19"/>
      <c r="F400" s="19"/>
      <c r="G400" s="94">
        <f>(G376-E376)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23">K257+K113</f>
        <v>0</v>
      </c>
      <c r="L400" s="94">
        <f t="shared" si="223"/>
        <v>0</v>
      </c>
      <c r="M400" s="94">
        <f t="shared" si="223"/>
        <v>0</v>
      </c>
      <c r="N400" s="94">
        <f t="shared" si="223"/>
        <v>0</v>
      </c>
      <c r="O400" s="94">
        <f t="shared" si="223"/>
        <v>0</v>
      </c>
      <c r="P400" s="94">
        <f t="shared" si="223"/>
        <v>0</v>
      </c>
      <c r="Q400" s="94">
        <f t="shared" si="223"/>
        <v>0</v>
      </c>
      <c r="R400" s="94">
        <f t="shared" si="223"/>
        <v>0</v>
      </c>
      <c r="S400" s="94">
        <f t="shared" si="223"/>
        <v>0</v>
      </c>
      <c r="T400" s="94">
        <f t="shared" si="223"/>
        <v>0</v>
      </c>
      <c r="U400" s="94">
        <f t="shared" si="223"/>
        <v>0</v>
      </c>
      <c r="V400" s="94">
        <f t="shared" si="223"/>
        <v>0</v>
      </c>
      <c r="W400" s="94">
        <f t="shared" si="223"/>
        <v>0</v>
      </c>
      <c r="X400" s="94">
        <f t="shared" si="223"/>
        <v>0</v>
      </c>
    </row>
    <row r="401" spans="2:24">
      <c r="B401" s="37" t="s">
        <v>606</v>
      </c>
      <c r="C401" s="52"/>
      <c r="D401" s="52"/>
      <c r="E401" s="52"/>
      <c r="F401" s="52"/>
      <c r="G401" s="33">
        <f>G372</f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24">K258+K114</f>
        <v>0</v>
      </c>
      <c r="L401" s="33">
        <f t="shared" si="224"/>
        <v>0</v>
      </c>
      <c r="M401" s="33">
        <f t="shared" si="224"/>
        <v>0</v>
      </c>
      <c r="N401" s="33">
        <f t="shared" si="224"/>
        <v>0</v>
      </c>
      <c r="O401" s="33">
        <f t="shared" si="224"/>
        <v>0</v>
      </c>
      <c r="P401" s="33">
        <f t="shared" si="224"/>
        <v>0</v>
      </c>
      <c r="Q401" s="33">
        <f t="shared" si="224"/>
        <v>0</v>
      </c>
      <c r="R401" s="33">
        <f t="shared" si="224"/>
        <v>0</v>
      </c>
      <c r="S401" s="33">
        <f t="shared" si="224"/>
        <v>0</v>
      </c>
      <c r="T401" s="33">
        <f t="shared" si="224"/>
        <v>0</v>
      </c>
      <c r="U401" s="33">
        <f t="shared" si="224"/>
        <v>0</v>
      </c>
      <c r="V401" s="33">
        <f t="shared" si="224"/>
        <v>0</v>
      </c>
      <c r="W401" s="33">
        <f t="shared" si="224"/>
        <v>0</v>
      </c>
      <c r="X401" s="33">
        <f t="shared" si="224"/>
        <v>0</v>
      </c>
    </row>
    <row r="402" spans="2:24">
      <c r="B402" s="37" t="s">
        <v>607</v>
      </c>
      <c r="C402" s="52"/>
      <c r="D402" s="52"/>
      <c r="E402" s="52"/>
      <c r="F402" s="52"/>
      <c r="G402" s="33">
        <f t="shared" ref="G402:V402" si="225">G259+G115</f>
        <v>0</v>
      </c>
      <c r="H402" s="33">
        <f t="shared" si="225"/>
        <v>0</v>
      </c>
      <c r="I402" s="33">
        <f t="shared" si="225"/>
        <v>0</v>
      </c>
      <c r="J402" s="33">
        <f>IF(Rok_n="",0,J259+J115)</f>
        <v>0</v>
      </c>
      <c r="K402" s="33">
        <f t="shared" si="225"/>
        <v>0</v>
      </c>
      <c r="L402" s="33">
        <f t="shared" si="225"/>
        <v>0</v>
      </c>
      <c r="M402" s="33">
        <f t="shared" si="225"/>
        <v>0</v>
      </c>
      <c r="N402" s="33">
        <f t="shared" si="225"/>
        <v>0</v>
      </c>
      <c r="O402" s="33">
        <f t="shared" si="225"/>
        <v>0</v>
      </c>
      <c r="P402" s="33">
        <f t="shared" si="225"/>
        <v>0</v>
      </c>
      <c r="Q402" s="33">
        <f t="shared" si="225"/>
        <v>0</v>
      </c>
      <c r="R402" s="33">
        <f t="shared" si="225"/>
        <v>0</v>
      </c>
      <c r="S402" s="33">
        <f t="shared" si="225"/>
        <v>0</v>
      </c>
      <c r="T402" s="33">
        <f t="shared" si="225"/>
        <v>0</v>
      </c>
      <c r="U402" s="33">
        <f t="shared" si="225"/>
        <v>0</v>
      </c>
      <c r="V402" s="33">
        <f t="shared" si="225"/>
        <v>0</v>
      </c>
      <c r="W402" s="33">
        <f t="shared" ref="W402:X404" si="226">W259+W115</f>
        <v>0</v>
      </c>
      <c r="X402" s="33">
        <f t="shared" si="226"/>
        <v>0</v>
      </c>
    </row>
    <row r="403" spans="2:24">
      <c r="B403" s="37" t="s">
        <v>608</v>
      </c>
      <c r="C403" s="52"/>
      <c r="D403" s="52"/>
      <c r="E403" s="52"/>
      <c r="F403" s="52"/>
      <c r="G403" s="33">
        <f t="shared" ref="G403:V403" si="227">G260+G116</f>
        <v>0</v>
      </c>
      <c r="H403" s="33">
        <f t="shared" si="227"/>
        <v>0</v>
      </c>
      <c r="I403" s="33">
        <f t="shared" si="227"/>
        <v>0</v>
      </c>
      <c r="J403" s="33">
        <f>IF(Rok_n="",0,J260+J116)</f>
        <v>0</v>
      </c>
      <c r="K403" s="33">
        <f t="shared" si="227"/>
        <v>0</v>
      </c>
      <c r="L403" s="33">
        <f t="shared" si="227"/>
        <v>0</v>
      </c>
      <c r="M403" s="33">
        <f t="shared" si="227"/>
        <v>0</v>
      </c>
      <c r="N403" s="33">
        <f t="shared" si="227"/>
        <v>0</v>
      </c>
      <c r="O403" s="33">
        <f t="shared" si="227"/>
        <v>0</v>
      </c>
      <c r="P403" s="33">
        <f t="shared" si="227"/>
        <v>0</v>
      </c>
      <c r="Q403" s="33">
        <f t="shared" si="227"/>
        <v>0</v>
      </c>
      <c r="R403" s="33">
        <f t="shared" si="227"/>
        <v>0</v>
      </c>
      <c r="S403" s="33">
        <f t="shared" si="227"/>
        <v>0</v>
      </c>
      <c r="T403" s="33">
        <f t="shared" si="227"/>
        <v>0</v>
      </c>
      <c r="U403" s="33">
        <f t="shared" si="227"/>
        <v>0</v>
      </c>
      <c r="V403" s="33">
        <f t="shared" si="227"/>
        <v>0</v>
      </c>
      <c r="W403" s="33">
        <f t="shared" si="226"/>
        <v>0</v>
      </c>
      <c r="X403" s="33">
        <f t="shared" si="226"/>
        <v>0</v>
      </c>
    </row>
    <row r="404" spans="2:24">
      <c r="B404" s="37" t="s">
        <v>609</v>
      </c>
      <c r="C404" s="52"/>
      <c r="D404" s="52"/>
      <c r="E404" s="52"/>
      <c r="F404" s="52"/>
      <c r="G404" s="33">
        <f t="shared" ref="G404:V404" si="228">G261+G117</f>
        <v>0</v>
      </c>
      <c r="H404" s="33">
        <f t="shared" si="228"/>
        <v>0</v>
      </c>
      <c r="I404" s="33">
        <f t="shared" si="228"/>
        <v>0</v>
      </c>
      <c r="J404" s="33">
        <f>IF(Rok_n="",0,J261+J117)</f>
        <v>0</v>
      </c>
      <c r="K404" s="33">
        <f t="shared" si="228"/>
        <v>0</v>
      </c>
      <c r="L404" s="33">
        <f t="shared" ca="1" si="228"/>
        <v>0</v>
      </c>
      <c r="M404" s="33">
        <f t="shared" ca="1" si="228"/>
        <v>0</v>
      </c>
      <c r="N404" s="33">
        <f t="shared" ca="1" si="228"/>
        <v>0</v>
      </c>
      <c r="O404" s="33">
        <f t="shared" ca="1" si="228"/>
        <v>0</v>
      </c>
      <c r="P404" s="33">
        <f t="shared" ca="1" si="228"/>
        <v>0</v>
      </c>
      <c r="Q404" s="33">
        <f t="shared" ca="1" si="228"/>
        <v>0</v>
      </c>
      <c r="R404" s="33">
        <f t="shared" ca="1" si="228"/>
        <v>0</v>
      </c>
      <c r="S404" s="33">
        <f t="shared" ca="1" si="228"/>
        <v>0</v>
      </c>
      <c r="T404" s="33">
        <f t="shared" ca="1" si="228"/>
        <v>0</v>
      </c>
      <c r="U404" s="33">
        <f t="shared" ca="1" si="228"/>
        <v>0</v>
      </c>
      <c r="V404" s="33">
        <f t="shared" ca="1" si="228"/>
        <v>0</v>
      </c>
      <c r="W404" s="33">
        <f t="shared" ca="1" si="226"/>
        <v>0</v>
      </c>
      <c r="X404" s="33">
        <f t="shared" ca="1" si="226"/>
        <v>0</v>
      </c>
    </row>
    <row r="405" spans="2:24">
      <c r="B405" s="37" t="s">
        <v>610</v>
      </c>
      <c r="C405" s="52"/>
      <c r="D405" s="52"/>
      <c r="E405" s="52"/>
      <c r="F405" s="52"/>
      <c r="G405" s="33">
        <f>(G370-E370)+(G371-E371)-(G372-E372)</f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29">K262+K118</f>
        <v>0</v>
      </c>
      <c r="L405" s="33">
        <f t="shared" si="229"/>
        <v>0</v>
      </c>
      <c r="M405" s="33">
        <f t="shared" si="229"/>
        <v>0</v>
      </c>
      <c r="N405" s="33">
        <f t="shared" si="229"/>
        <v>0</v>
      </c>
      <c r="O405" s="33">
        <f t="shared" si="229"/>
        <v>0</v>
      </c>
      <c r="P405" s="33">
        <f t="shared" si="229"/>
        <v>0</v>
      </c>
      <c r="Q405" s="33">
        <f t="shared" si="229"/>
        <v>0</v>
      </c>
      <c r="R405" s="33">
        <f t="shared" si="229"/>
        <v>0</v>
      </c>
      <c r="S405" s="33">
        <f t="shared" si="229"/>
        <v>0</v>
      </c>
      <c r="T405" s="33">
        <f t="shared" si="229"/>
        <v>0</v>
      </c>
      <c r="U405" s="33">
        <f t="shared" si="229"/>
        <v>0</v>
      </c>
      <c r="V405" s="33">
        <f t="shared" si="229"/>
        <v>0</v>
      </c>
      <c r="W405" s="33">
        <f t="shared" si="229"/>
        <v>0</v>
      </c>
      <c r="X405" s="33">
        <f t="shared" si="229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612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0">IF(LataProjekcji&lt;=Koniec,L386+L395+L399,0)</f>
        <v>0</v>
      </c>
      <c r="M407" s="97">
        <f t="shared" ca="1" si="230"/>
        <v>0</v>
      </c>
      <c r="N407" s="97">
        <f t="shared" ca="1" si="230"/>
        <v>0</v>
      </c>
      <c r="O407" s="97">
        <f t="shared" ca="1" si="230"/>
        <v>0</v>
      </c>
      <c r="P407" s="97">
        <f t="shared" ca="1" si="230"/>
        <v>0</v>
      </c>
      <c r="Q407" s="97">
        <f t="shared" ca="1" si="230"/>
        <v>0</v>
      </c>
      <c r="R407" s="97">
        <f t="shared" ca="1" si="230"/>
        <v>0</v>
      </c>
      <c r="S407" s="97">
        <f t="shared" ca="1" si="230"/>
        <v>0</v>
      </c>
      <c r="T407" s="97">
        <f t="shared" ca="1" si="230"/>
        <v>0</v>
      </c>
      <c r="U407" s="97">
        <f t="shared" ca="1" si="230"/>
        <v>0</v>
      </c>
      <c r="V407" s="97">
        <f t="shared" ca="1" si="230"/>
        <v>0</v>
      </c>
      <c r="W407" s="97">
        <f t="shared" ca="1" si="230"/>
        <v>0</v>
      </c>
      <c r="X407" s="97">
        <f t="shared" ca="1" si="230"/>
        <v>0</v>
      </c>
    </row>
    <row r="408" spans="2:24">
      <c r="B408" s="7" t="s">
        <v>613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1">IF(LataProjekcji&lt;=Koniec,K409,0)</f>
        <v>0</v>
      </c>
      <c r="M408" s="13">
        <f t="shared" ca="1" si="231"/>
        <v>0</v>
      </c>
      <c r="N408" s="13">
        <f t="shared" ca="1" si="231"/>
        <v>0</v>
      </c>
      <c r="O408" s="13">
        <f t="shared" ca="1" si="231"/>
        <v>0</v>
      </c>
      <c r="P408" s="13">
        <f t="shared" ca="1" si="231"/>
        <v>0</v>
      </c>
      <c r="Q408" s="13">
        <f t="shared" ca="1" si="231"/>
        <v>0</v>
      </c>
      <c r="R408" s="13">
        <f t="shared" ca="1" si="231"/>
        <v>0</v>
      </c>
      <c r="S408" s="13">
        <f t="shared" ca="1" si="231"/>
        <v>0</v>
      </c>
      <c r="T408" s="13">
        <f t="shared" ca="1" si="231"/>
        <v>0</v>
      </c>
      <c r="U408" s="13">
        <f t="shared" ca="1" si="231"/>
        <v>0</v>
      </c>
      <c r="V408" s="13">
        <f t="shared" ca="1" si="231"/>
        <v>0</v>
      </c>
      <c r="W408" s="13">
        <f t="shared" ca="1" si="231"/>
        <v>0</v>
      </c>
      <c r="X408" s="13">
        <f t="shared" ca="1" si="231"/>
        <v>0</v>
      </c>
    </row>
    <row r="409" spans="2:24">
      <c r="B409" s="98" t="s">
        <v>614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32">IF(LataProjekcji&lt;=Koniec,L407+L408,0)</f>
        <v>0</v>
      </c>
      <c r="M409" s="97">
        <f t="shared" ca="1" si="232"/>
        <v>0</v>
      </c>
      <c r="N409" s="97">
        <f t="shared" ca="1" si="232"/>
        <v>0</v>
      </c>
      <c r="O409" s="97">
        <f t="shared" ca="1" si="232"/>
        <v>0</v>
      </c>
      <c r="P409" s="97">
        <f t="shared" ca="1" si="232"/>
        <v>0</v>
      </c>
      <c r="Q409" s="97">
        <f t="shared" ca="1" si="232"/>
        <v>0</v>
      </c>
      <c r="R409" s="97">
        <f t="shared" ca="1" si="232"/>
        <v>0</v>
      </c>
      <c r="S409" s="97">
        <f t="shared" ca="1" si="232"/>
        <v>0</v>
      </c>
      <c r="T409" s="97">
        <f t="shared" ca="1" si="232"/>
        <v>0</v>
      </c>
      <c r="U409" s="97">
        <f t="shared" ca="1" si="232"/>
        <v>0</v>
      </c>
      <c r="V409" s="97">
        <f t="shared" ca="1" si="232"/>
        <v>0</v>
      </c>
      <c r="W409" s="97">
        <f t="shared" ca="1" si="232"/>
        <v>0</v>
      </c>
      <c r="X409" s="97">
        <f t="shared" ca="1" si="232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33">L409=L357</f>
        <v>1</v>
      </c>
      <c r="M410" s="108" t="b">
        <f t="shared" ca="1" si="233"/>
        <v>1</v>
      </c>
      <c r="N410" s="108" t="b">
        <f t="shared" ca="1" si="233"/>
        <v>1</v>
      </c>
      <c r="O410" s="108" t="b">
        <f t="shared" ca="1" si="233"/>
        <v>1</v>
      </c>
      <c r="P410" s="108" t="b">
        <f t="shared" ca="1" si="233"/>
        <v>1</v>
      </c>
      <c r="Q410" s="108" t="b">
        <f t="shared" ca="1" si="233"/>
        <v>1</v>
      </c>
      <c r="R410" s="108" t="b">
        <f t="shared" ca="1" si="233"/>
        <v>1</v>
      </c>
      <c r="S410" s="108" t="b">
        <f t="shared" ca="1" si="233"/>
        <v>1</v>
      </c>
      <c r="T410" s="108" t="b">
        <f t="shared" ca="1" si="233"/>
        <v>1</v>
      </c>
      <c r="U410" s="108" t="b">
        <f t="shared" ca="1" si="233"/>
        <v>1</v>
      </c>
      <c r="V410" s="108" t="b">
        <f t="shared" ca="1" si="233"/>
        <v>1</v>
      </c>
      <c r="W410" s="108" t="b">
        <f t="shared" ca="1" si="233"/>
        <v>1</v>
      </c>
      <c r="X410" s="108" t="b">
        <f t="shared" ca="1" si="233"/>
        <v>1</v>
      </c>
    </row>
    <row r="411" spans="2:24">
      <c r="K411" s="109">
        <f ca="1">K409-K357</f>
        <v>0</v>
      </c>
      <c r="L411" s="109">
        <f t="shared" ref="L411:X411" ca="1" si="234">L409-L357</f>
        <v>0</v>
      </c>
      <c r="M411" s="109">
        <f t="shared" ca="1" si="234"/>
        <v>0</v>
      </c>
      <c r="N411" s="109">
        <f t="shared" ca="1" si="234"/>
        <v>0</v>
      </c>
      <c r="O411" s="109">
        <f t="shared" ca="1" si="234"/>
        <v>0</v>
      </c>
      <c r="P411" s="109">
        <f t="shared" ca="1" si="234"/>
        <v>0</v>
      </c>
      <c r="Q411" s="109">
        <f t="shared" ca="1" si="234"/>
        <v>0</v>
      </c>
      <c r="R411" s="109">
        <f t="shared" ca="1" si="234"/>
        <v>0</v>
      </c>
      <c r="S411" s="109">
        <f t="shared" ca="1" si="234"/>
        <v>0</v>
      </c>
      <c r="T411" s="109">
        <f t="shared" ca="1" si="234"/>
        <v>0</v>
      </c>
      <c r="U411" s="109">
        <f t="shared" ca="1" si="234"/>
        <v>0</v>
      </c>
      <c r="V411" s="109">
        <f t="shared" ca="1" si="234"/>
        <v>0</v>
      </c>
      <c r="W411" s="109">
        <f t="shared" ca="1" si="234"/>
        <v>0</v>
      </c>
      <c r="X411" s="109">
        <f t="shared" ca="1" si="234"/>
        <v>0</v>
      </c>
    </row>
    <row r="412" spans="2:24">
      <c r="G412" s="5"/>
      <c r="K412" s="109"/>
    </row>
    <row r="413" spans="2:24" ht="14.5">
      <c r="B413" s="152" t="s">
        <v>654</v>
      </c>
      <c r="G413" s="224">
        <f t="shared" ref="G413:X413" ca="1" si="235">LataProjekcji</f>
        <v>0</v>
      </c>
      <c r="H413" s="224">
        <f t="shared" ca="1" si="235"/>
        <v>0</v>
      </c>
      <c r="I413" s="224">
        <f t="shared" ca="1" si="235"/>
        <v>0</v>
      </c>
      <c r="J413" s="225" t="str">
        <f t="shared" si="235"/>
        <v/>
      </c>
      <c r="K413" s="224" t="str">
        <f t="shared" si="235"/>
        <v>Uzupełnij dane</v>
      </c>
      <c r="L413" s="224" t="str">
        <f t="shared" si="235"/>
        <v/>
      </c>
      <c r="M413" s="224" t="str">
        <f t="shared" si="235"/>
        <v/>
      </c>
      <c r="N413" s="224" t="str">
        <f t="shared" si="235"/>
        <v/>
      </c>
      <c r="O413" s="224" t="str">
        <f t="shared" si="235"/>
        <v/>
      </c>
      <c r="P413" s="224" t="str">
        <f t="shared" si="235"/>
        <v/>
      </c>
      <c r="Q413" s="224" t="str">
        <f t="shared" si="235"/>
        <v/>
      </c>
      <c r="R413" s="224" t="str">
        <f t="shared" si="235"/>
        <v/>
      </c>
      <c r="S413" s="224" t="str">
        <f t="shared" si="235"/>
        <v/>
      </c>
      <c r="T413" s="224" t="str">
        <f t="shared" si="235"/>
        <v/>
      </c>
      <c r="U413" s="224" t="str">
        <f t="shared" si="235"/>
        <v/>
      </c>
      <c r="V413" s="224" t="str">
        <f t="shared" si="235"/>
        <v/>
      </c>
      <c r="W413" s="224" t="str">
        <f t="shared" si="235"/>
        <v/>
      </c>
      <c r="X413" s="224" t="str">
        <f t="shared" si="235"/>
        <v/>
      </c>
    </row>
    <row r="414" spans="2:24">
      <c r="V414" s="3"/>
      <c r="W414" s="3"/>
      <c r="X414" s="3"/>
    </row>
    <row r="415" spans="2:24">
      <c r="B415" s="29" t="s">
        <v>616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617</v>
      </c>
      <c r="C416" s="19" t="s">
        <v>618</v>
      </c>
      <c r="D416" s="19" t="s">
        <v>619</v>
      </c>
      <c r="E416" s="19"/>
      <c r="F416" s="19"/>
      <c r="G416" s="168" t="str">
        <f t="shared" ref="G416:X416" si="236">IFERROR(ROUND((G317/G303),4),"bd.")</f>
        <v>bd.</v>
      </c>
      <c r="H416" s="168" t="str">
        <f t="shared" si="236"/>
        <v>bd.</v>
      </c>
      <c r="I416" s="168" t="str">
        <f t="shared" si="236"/>
        <v>bd.</v>
      </c>
      <c r="J416" s="168" t="str">
        <f t="shared" si="236"/>
        <v>bd.</v>
      </c>
      <c r="K416" s="168" t="str">
        <f t="shared" si="236"/>
        <v>bd.</v>
      </c>
      <c r="L416" s="168" t="str">
        <f t="shared" ca="1" si="236"/>
        <v>bd.</v>
      </c>
      <c r="M416" s="168" t="str">
        <f t="shared" ca="1" si="236"/>
        <v>bd.</v>
      </c>
      <c r="N416" s="168" t="str">
        <f t="shared" ca="1" si="236"/>
        <v>bd.</v>
      </c>
      <c r="O416" s="168" t="str">
        <f t="shared" ca="1" si="236"/>
        <v>bd.</v>
      </c>
      <c r="P416" s="168" t="str">
        <f t="shared" ca="1" si="236"/>
        <v>bd.</v>
      </c>
      <c r="Q416" s="168" t="str">
        <f t="shared" ca="1" si="236"/>
        <v>bd.</v>
      </c>
      <c r="R416" s="168" t="str">
        <f t="shared" ca="1" si="236"/>
        <v>bd.</v>
      </c>
      <c r="S416" s="168" t="str">
        <f t="shared" ca="1" si="236"/>
        <v>bd.</v>
      </c>
      <c r="T416" s="168" t="str">
        <f t="shared" ca="1" si="236"/>
        <v>bd.</v>
      </c>
      <c r="U416" s="168" t="str">
        <f t="shared" ca="1" si="236"/>
        <v>bd.</v>
      </c>
      <c r="V416" s="168" t="str">
        <f t="shared" ca="1" si="236"/>
        <v>bd.</v>
      </c>
      <c r="W416" s="168" t="str">
        <f t="shared" ca="1" si="236"/>
        <v>bd.</v>
      </c>
      <c r="X416" s="168" t="str">
        <f t="shared" ca="1" si="236"/>
        <v>bd.</v>
      </c>
    </row>
    <row r="417" spans="2:24">
      <c r="B417" s="37" t="s">
        <v>620</v>
      </c>
      <c r="C417" s="52" t="s">
        <v>621</v>
      </c>
      <c r="D417" s="52" t="s">
        <v>619</v>
      </c>
      <c r="E417" s="52"/>
      <c r="F417" s="52"/>
      <c r="G417" s="167" t="str">
        <f t="shared" ref="G417:X417" si="237">IFERROR(ROUND((G330/G303),4),"bd.")</f>
        <v>bd.</v>
      </c>
      <c r="H417" s="167" t="str">
        <f t="shared" si="237"/>
        <v>bd.</v>
      </c>
      <c r="I417" s="167" t="str">
        <f t="shared" si="237"/>
        <v>bd.</v>
      </c>
      <c r="J417" s="167" t="str">
        <f t="shared" si="237"/>
        <v>bd.</v>
      </c>
      <c r="K417" s="167" t="str">
        <f t="shared" si="237"/>
        <v>bd.</v>
      </c>
      <c r="L417" s="167" t="str">
        <f t="shared" ca="1" si="237"/>
        <v>bd.</v>
      </c>
      <c r="M417" s="167" t="str">
        <f t="shared" ca="1" si="237"/>
        <v>bd.</v>
      </c>
      <c r="N417" s="167" t="str">
        <f t="shared" ca="1" si="237"/>
        <v>bd.</v>
      </c>
      <c r="O417" s="167" t="str">
        <f t="shared" ca="1" si="237"/>
        <v>bd.</v>
      </c>
      <c r="P417" s="167" t="str">
        <f t="shared" ca="1" si="237"/>
        <v>bd.</v>
      </c>
      <c r="Q417" s="167" t="str">
        <f t="shared" ca="1" si="237"/>
        <v>bd.</v>
      </c>
      <c r="R417" s="167" t="str">
        <f t="shared" ca="1" si="237"/>
        <v>bd.</v>
      </c>
      <c r="S417" s="167" t="str">
        <f t="shared" ca="1" si="237"/>
        <v>bd.</v>
      </c>
      <c r="T417" s="167" t="str">
        <f t="shared" ca="1" si="237"/>
        <v>bd.</v>
      </c>
      <c r="U417" s="167" t="str">
        <f t="shared" ca="1" si="237"/>
        <v>bd.</v>
      </c>
      <c r="V417" s="167" t="str">
        <f t="shared" ca="1" si="237"/>
        <v>bd.</v>
      </c>
      <c r="W417" s="167" t="str">
        <f t="shared" ca="1" si="237"/>
        <v>bd.</v>
      </c>
      <c r="X417" s="167" t="str">
        <f t="shared" ca="1" si="237"/>
        <v>bd.</v>
      </c>
    </row>
    <row r="418" spans="2:24">
      <c r="B418" s="37" t="s">
        <v>622</v>
      </c>
      <c r="C418" s="52" t="s">
        <v>623</v>
      </c>
      <c r="D418" s="52" t="s">
        <v>624</v>
      </c>
      <c r="E418" s="52"/>
      <c r="F418" s="52"/>
      <c r="G418" s="167" t="str">
        <f t="shared" ref="G418:X418" si="238">IFERROR(ROUND((G330/G361),4),"bd.")</f>
        <v>bd.</v>
      </c>
      <c r="H418" s="167" t="str">
        <f t="shared" si="238"/>
        <v>bd.</v>
      </c>
      <c r="I418" s="167" t="str">
        <f t="shared" si="238"/>
        <v>bd.</v>
      </c>
      <c r="J418" s="167" t="str">
        <f t="shared" si="238"/>
        <v>bd.</v>
      </c>
      <c r="K418" s="167" t="str">
        <f t="shared" ca="1" si="238"/>
        <v>bd.</v>
      </c>
      <c r="L418" s="167" t="str">
        <f t="shared" ca="1" si="238"/>
        <v>bd.</v>
      </c>
      <c r="M418" s="167" t="str">
        <f t="shared" ca="1" si="238"/>
        <v>bd.</v>
      </c>
      <c r="N418" s="167" t="str">
        <f t="shared" ca="1" si="238"/>
        <v>bd.</v>
      </c>
      <c r="O418" s="167" t="str">
        <f t="shared" ca="1" si="238"/>
        <v>bd.</v>
      </c>
      <c r="P418" s="167" t="str">
        <f t="shared" ca="1" si="238"/>
        <v>bd.</v>
      </c>
      <c r="Q418" s="167" t="str">
        <f t="shared" ca="1" si="238"/>
        <v>bd.</v>
      </c>
      <c r="R418" s="167" t="str">
        <f t="shared" ca="1" si="238"/>
        <v>bd.</v>
      </c>
      <c r="S418" s="167" t="str">
        <f t="shared" ca="1" si="238"/>
        <v>bd.</v>
      </c>
      <c r="T418" s="167" t="str">
        <f t="shared" ca="1" si="238"/>
        <v>bd.</v>
      </c>
      <c r="U418" s="167" t="str">
        <f t="shared" ca="1" si="238"/>
        <v>bd.</v>
      </c>
      <c r="V418" s="167" t="str">
        <f t="shared" ca="1" si="238"/>
        <v>bd.</v>
      </c>
      <c r="W418" s="167" t="str">
        <f t="shared" ca="1" si="238"/>
        <v>bd.</v>
      </c>
      <c r="X418" s="167" t="str">
        <f t="shared" ca="1" si="238"/>
        <v>bd.</v>
      </c>
    </row>
    <row r="419" spans="2:24"/>
    <row r="420" spans="2:24">
      <c r="B420" s="29" t="s">
        <v>625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626</v>
      </c>
      <c r="C421" s="19" t="s">
        <v>627</v>
      </c>
      <c r="D421" s="19" t="s">
        <v>628</v>
      </c>
      <c r="E421" s="19"/>
      <c r="F421" s="19"/>
      <c r="G421" s="169" t="str">
        <f t="shared" ref="G421:X421" si="239">IFERROR(ROUND(G364/G381,4),"bd.")</f>
        <v>bd.</v>
      </c>
      <c r="H421" s="169" t="str">
        <f t="shared" si="239"/>
        <v>bd.</v>
      </c>
      <c r="I421" s="169" t="str">
        <f t="shared" si="239"/>
        <v>bd.</v>
      </c>
      <c r="J421" s="169" t="str">
        <f t="shared" si="239"/>
        <v>bd.</v>
      </c>
      <c r="K421" s="169" t="str">
        <f t="shared" ca="1" si="239"/>
        <v>bd.</v>
      </c>
      <c r="L421" s="169" t="str">
        <f t="shared" ca="1" si="239"/>
        <v>bd.</v>
      </c>
      <c r="M421" s="169" t="str">
        <f t="shared" ca="1" si="239"/>
        <v>bd.</v>
      </c>
      <c r="N421" s="169" t="str">
        <f t="shared" ca="1" si="239"/>
        <v>bd.</v>
      </c>
      <c r="O421" s="169" t="str">
        <f t="shared" ca="1" si="239"/>
        <v>bd.</v>
      </c>
      <c r="P421" s="169" t="str">
        <f t="shared" ca="1" si="239"/>
        <v>bd.</v>
      </c>
      <c r="Q421" s="169" t="str">
        <f t="shared" ca="1" si="239"/>
        <v>bd.</v>
      </c>
      <c r="R421" s="169" t="str">
        <f t="shared" ca="1" si="239"/>
        <v>bd.</v>
      </c>
      <c r="S421" s="169" t="str">
        <f t="shared" ca="1" si="239"/>
        <v>bd.</v>
      </c>
      <c r="T421" s="169" t="str">
        <f t="shared" ca="1" si="239"/>
        <v>bd.</v>
      </c>
      <c r="U421" s="169" t="str">
        <f t="shared" ca="1" si="239"/>
        <v>bd.</v>
      </c>
      <c r="V421" s="169" t="str">
        <f t="shared" ca="1" si="239"/>
        <v>bd.</v>
      </c>
      <c r="W421" s="169" t="str">
        <f t="shared" ca="1" si="239"/>
        <v>bd.</v>
      </c>
      <c r="X421" s="169" t="str">
        <f t="shared" ca="1" si="239"/>
        <v>bd.</v>
      </c>
    </row>
    <row r="422" spans="2:24">
      <c r="B422" s="37" t="s">
        <v>629</v>
      </c>
      <c r="C422" s="52" t="s">
        <v>630</v>
      </c>
      <c r="D422" s="52" t="s">
        <v>783</v>
      </c>
      <c r="E422" s="52"/>
      <c r="F422" s="52"/>
      <c r="G422" s="170" t="str">
        <f t="shared" ref="G422:X422" si="240">IFERROR(ROUND((G364+G371+G370+G378)/G335,4),"bd.")</f>
        <v>bd.</v>
      </c>
      <c r="H422" s="170" t="str">
        <f t="shared" si="240"/>
        <v>bd.</v>
      </c>
      <c r="I422" s="170" t="str">
        <f t="shared" si="240"/>
        <v>bd.</v>
      </c>
      <c r="J422" s="170" t="str">
        <f t="shared" si="240"/>
        <v>bd.</v>
      </c>
      <c r="K422" s="170" t="str">
        <f t="shared" ca="1" si="240"/>
        <v>bd.</v>
      </c>
      <c r="L422" s="170" t="str">
        <f t="shared" ca="1" si="240"/>
        <v>bd.</v>
      </c>
      <c r="M422" s="170" t="str">
        <f t="shared" ca="1" si="240"/>
        <v>bd.</v>
      </c>
      <c r="N422" s="170" t="str">
        <f t="shared" ca="1" si="240"/>
        <v>bd.</v>
      </c>
      <c r="O422" s="170" t="str">
        <f t="shared" ca="1" si="240"/>
        <v>bd.</v>
      </c>
      <c r="P422" s="170" t="str">
        <f t="shared" ca="1" si="240"/>
        <v>bd.</v>
      </c>
      <c r="Q422" s="170" t="str">
        <f t="shared" ca="1" si="240"/>
        <v>bd.</v>
      </c>
      <c r="R422" s="170" t="str">
        <f t="shared" ca="1" si="240"/>
        <v>bd.</v>
      </c>
      <c r="S422" s="170" t="str">
        <f t="shared" ca="1" si="240"/>
        <v>bd.</v>
      </c>
      <c r="T422" s="170" t="str">
        <f t="shared" ca="1" si="240"/>
        <v>bd.</v>
      </c>
      <c r="U422" s="170" t="str">
        <f t="shared" ca="1" si="240"/>
        <v>bd.</v>
      </c>
      <c r="V422" s="170" t="str">
        <f t="shared" ca="1" si="240"/>
        <v>bd.</v>
      </c>
      <c r="W422" s="170" t="str">
        <f t="shared" ca="1" si="240"/>
        <v>bd.</v>
      </c>
      <c r="X422" s="170" t="str">
        <f t="shared" ca="1" si="240"/>
        <v>bd.</v>
      </c>
    </row>
    <row r="423" spans="2:24">
      <c r="B423" s="37" t="s">
        <v>632</v>
      </c>
      <c r="C423" s="52" t="s">
        <v>633</v>
      </c>
      <c r="D423" s="52" t="s">
        <v>631</v>
      </c>
      <c r="E423" s="52"/>
      <c r="F423" s="52"/>
      <c r="G423" s="170" t="str">
        <f t="shared" ref="G423:X423" si="241">IFERROR(ROUND(G369/G381,4),"bd.")</f>
        <v>bd.</v>
      </c>
      <c r="H423" s="170" t="str">
        <f t="shared" si="241"/>
        <v>bd.</v>
      </c>
      <c r="I423" s="170" t="str">
        <f t="shared" si="241"/>
        <v>bd.</v>
      </c>
      <c r="J423" s="170" t="str">
        <f t="shared" si="241"/>
        <v>bd.</v>
      </c>
      <c r="K423" s="170" t="str">
        <f t="shared" ca="1" si="241"/>
        <v>bd.</v>
      </c>
      <c r="L423" s="170" t="str">
        <f t="shared" ca="1" si="241"/>
        <v>bd.</v>
      </c>
      <c r="M423" s="170" t="str">
        <f t="shared" ca="1" si="241"/>
        <v>bd.</v>
      </c>
      <c r="N423" s="170" t="str">
        <f t="shared" ca="1" si="241"/>
        <v>bd.</v>
      </c>
      <c r="O423" s="170" t="str">
        <f t="shared" ca="1" si="241"/>
        <v>bd.</v>
      </c>
      <c r="P423" s="170" t="str">
        <f t="shared" ca="1" si="241"/>
        <v>bd.</v>
      </c>
      <c r="Q423" s="170" t="str">
        <f t="shared" ca="1" si="241"/>
        <v>bd.</v>
      </c>
      <c r="R423" s="170" t="str">
        <f t="shared" ca="1" si="241"/>
        <v>bd.</v>
      </c>
      <c r="S423" s="170" t="str">
        <f t="shared" ca="1" si="241"/>
        <v>bd.</v>
      </c>
      <c r="T423" s="170" t="str">
        <f t="shared" ca="1" si="241"/>
        <v>bd.</v>
      </c>
      <c r="U423" s="170" t="str">
        <f t="shared" ca="1" si="241"/>
        <v>bd.</v>
      </c>
      <c r="V423" s="170" t="str">
        <f t="shared" ca="1" si="241"/>
        <v>bd.</v>
      </c>
      <c r="W423" s="170" t="str">
        <f t="shared" ca="1" si="241"/>
        <v>bd.</v>
      </c>
      <c r="X423" s="170" t="str">
        <f t="shared" ca="1" si="241"/>
        <v>bd.</v>
      </c>
    </row>
    <row r="424" spans="2:24">
      <c r="B424" s="37" t="s">
        <v>634</v>
      </c>
      <c r="C424" s="52" t="s">
        <v>635</v>
      </c>
      <c r="D424" s="52" t="s">
        <v>636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637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638</v>
      </c>
      <c r="C427" s="19" t="s">
        <v>639</v>
      </c>
      <c r="D427" s="19" t="s">
        <v>636</v>
      </c>
      <c r="E427" s="19"/>
      <c r="F427" s="19"/>
      <c r="G427" s="172" t="str">
        <f t="shared" ref="G427:X427" si="242">IFERROR(ROUND(G353/G374,4),"bd.")</f>
        <v>bd.</v>
      </c>
      <c r="H427" s="172" t="str">
        <f t="shared" si="242"/>
        <v>bd.</v>
      </c>
      <c r="I427" s="172" t="str">
        <f t="shared" si="242"/>
        <v>bd.</v>
      </c>
      <c r="J427" s="172" t="str">
        <f t="shared" si="242"/>
        <v>bd.</v>
      </c>
      <c r="K427" s="172" t="str">
        <f t="shared" ca="1" si="242"/>
        <v>bd.</v>
      </c>
      <c r="L427" s="172" t="str">
        <f t="shared" ca="1" si="242"/>
        <v>bd.</v>
      </c>
      <c r="M427" s="172" t="str">
        <f t="shared" ca="1" si="242"/>
        <v>bd.</v>
      </c>
      <c r="N427" s="172" t="str">
        <f t="shared" ca="1" si="242"/>
        <v>bd.</v>
      </c>
      <c r="O427" s="172" t="str">
        <f t="shared" ca="1" si="242"/>
        <v>bd.</v>
      </c>
      <c r="P427" s="172" t="str">
        <f t="shared" ca="1" si="242"/>
        <v>bd.</v>
      </c>
      <c r="Q427" s="172" t="str">
        <f t="shared" ca="1" si="242"/>
        <v>bd.</v>
      </c>
      <c r="R427" s="172" t="str">
        <f t="shared" ca="1" si="242"/>
        <v>bd.</v>
      </c>
      <c r="S427" s="172" t="str">
        <f t="shared" ca="1" si="242"/>
        <v>bd.</v>
      </c>
      <c r="T427" s="172" t="str">
        <f t="shared" ca="1" si="242"/>
        <v>bd.</v>
      </c>
      <c r="U427" s="172" t="str">
        <f t="shared" ca="1" si="242"/>
        <v>bd.</v>
      </c>
      <c r="V427" s="172" t="str">
        <f t="shared" ca="1" si="242"/>
        <v>bd.</v>
      </c>
      <c r="W427" s="172" t="str">
        <f t="shared" ca="1" si="242"/>
        <v>bd.</v>
      </c>
      <c r="X427" s="172" t="str">
        <f t="shared" ca="1" si="242"/>
        <v>bd.</v>
      </c>
    </row>
    <row r="428" spans="2:24">
      <c r="B428" s="37" t="s">
        <v>640</v>
      </c>
      <c r="C428" s="52" t="s">
        <v>641</v>
      </c>
      <c r="D428" s="52" t="s">
        <v>642</v>
      </c>
      <c r="E428" s="52"/>
      <c r="F428" s="52"/>
      <c r="G428" s="171" t="str">
        <f t="shared" ref="G428:X428" si="243">IFERROR(ROUND((G353-G354)/G374,4),"bd.")</f>
        <v>bd.</v>
      </c>
      <c r="H428" s="171" t="str">
        <f t="shared" si="243"/>
        <v>bd.</v>
      </c>
      <c r="I428" s="171" t="str">
        <f t="shared" si="243"/>
        <v>bd.</v>
      </c>
      <c r="J428" s="171" t="str">
        <f t="shared" si="243"/>
        <v>bd.</v>
      </c>
      <c r="K428" s="171" t="str">
        <f t="shared" ca="1" si="243"/>
        <v>bd.</v>
      </c>
      <c r="L428" s="171" t="str">
        <f t="shared" ca="1" si="243"/>
        <v>bd.</v>
      </c>
      <c r="M428" s="171" t="str">
        <f t="shared" ca="1" si="243"/>
        <v>bd.</v>
      </c>
      <c r="N428" s="171" t="str">
        <f t="shared" ca="1" si="243"/>
        <v>bd.</v>
      </c>
      <c r="O428" s="171" t="str">
        <f t="shared" ca="1" si="243"/>
        <v>bd.</v>
      </c>
      <c r="P428" s="171" t="str">
        <f t="shared" ca="1" si="243"/>
        <v>bd.</v>
      </c>
      <c r="Q428" s="171" t="str">
        <f t="shared" ca="1" si="243"/>
        <v>bd.</v>
      </c>
      <c r="R428" s="171" t="str">
        <f t="shared" ca="1" si="243"/>
        <v>bd.</v>
      </c>
      <c r="S428" s="171" t="str">
        <f t="shared" ca="1" si="243"/>
        <v>bd.</v>
      </c>
      <c r="T428" s="171" t="str">
        <f t="shared" ca="1" si="243"/>
        <v>bd.</v>
      </c>
      <c r="U428" s="171" t="str">
        <f t="shared" ca="1" si="243"/>
        <v>bd.</v>
      </c>
      <c r="V428" s="171" t="str">
        <f t="shared" ca="1" si="243"/>
        <v>bd.</v>
      </c>
      <c r="W428" s="171" t="str">
        <f t="shared" ca="1" si="243"/>
        <v>bd.</v>
      </c>
      <c r="X428" s="171" t="str">
        <f t="shared" ca="1" si="243"/>
        <v>bd.</v>
      </c>
    </row>
    <row r="429" spans="2:24"/>
    <row r="430" spans="2:24">
      <c r="B430" s="29" t="s">
        <v>643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644</v>
      </c>
      <c r="C431" s="19"/>
      <c r="D431" s="19"/>
      <c r="E431" s="19"/>
      <c r="F431" s="19"/>
      <c r="G431" s="173" t="str">
        <f t="shared" ref="G431:X431" ca="1" si="244">IFERROR(ROUND((G354/G308)*dni,0),"bd.")</f>
        <v>bd.</v>
      </c>
      <c r="H431" s="173" t="str">
        <f t="shared" ca="1" si="244"/>
        <v>bd.</v>
      </c>
      <c r="I431" s="173" t="str">
        <f t="shared" ca="1" si="244"/>
        <v>bd.</v>
      </c>
      <c r="J431" s="173" t="str">
        <f t="shared" si="244"/>
        <v>bd.</v>
      </c>
      <c r="K431" s="173" t="str">
        <f t="shared" ca="1" si="244"/>
        <v>bd.</v>
      </c>
      <c r="L431" s="173" t="str">
        <f t="shared" ca="1" si="244"/>
        <v>bd.</v>
      </c>
      <c r="M431" s="173" t="str">
        <f t="shared" ca="1" si="244"/>
        <v>bd.</v>
      </c>
      <c r="N431" s="173" t="str">
        <f t="shared" ca="1" si="244"/>
        <v>bd.</v>
      </c>
      <c r="O431" s="173" t="str">
        <f t="shared" ca="1" si="244"/>
        <v>bd.</v>
      </c>
      <c r="P431" s="173" t="str">
        <f t="shared" ca="1" si="244"/>
        <v>bd.</v>
      </c>
      <c r="Q431" s="173" t="str">
        <f t="shared" ca="1" si="244"/>
        <v>bd.</v>
      </c>
      <c r="R431" s="173" t="str">
        <f t="shared" ca="1" si="244"/>
        <v>bd.</v>
      </c>
      <c r="S431" s="173" t="str">
        <f t="shared" ca="1" si="244"/>
        <v>bd.</v>
      </c>
      <c r="T431" s="173" t="str">
        <f t="shared" ca="1" si="244"/>
        <v>bd.</v>
      </c>
      <c r="U431" s="173" t="str">
        <f t="shared" ca="1" si="244"/>
        <v>bd.</v>
      </c>
      <c r="V431" s="173" t="str">
        <f t="shared" ca="1" si="244"/>
        <v>bd.</v>
      </c>
      <c r="W431" s="173" t="str">
        <f t="shared" ca="1" si="244"/>
        <v>bd.</v>
      </c>
      <c r="X431" s="173" t="str">
        <f t="shared" ca="1" si="244"/>
        <v>bd.</v>
      </c>
    </row>
    <row r="432" spans="2:24">
      <c r="B432" s="37" t="s">
        <v>645</v>
      </c>
      <c r="C432" s="52"/>
      <c r="D432" s="52"/>
      <c r="E432" s="52"/>
      <c r="F432" s="52"/>
      <c r="G432" s="10" t="str">
        <f t="shared" ref="G432:X432" ca="1" si="245">IFERROR(ROUND((G356/G303)*dni,0),"bd.")</f>
        <v>bd.</v>
      </c>
      <c r="H432" s="10" t="str">
        <f t="shared" ca="1" si="245"/>
        <v>bd.</v>
      </c>
      <c r="I432" s="10" t="str">
        <f t="shared" ca="1" si="245"/>
        <v>bd.</v>
      </c>
      <c r="J432" s="10" t="str">
        <f t="shared" si="245"/>
        <v>bd.</v>
      </c>
      <c r="K432" s="10" t="str">
        <f t="shared" ca="1" si="245"/>
        <v>bd.</v>
      </c>
      <c r="L432" s="10" t="str">
        <f t="shared" ca="1" si="245"/>
        <v>bd.</v>
      </c>
      <c r="M432" s="10" t="str">
        <f t="shared" ca="1" si="245"/>
        <v>bd.</v>
      </c>
      <c r="N432" s="10" t="str">
        <f t="shared" ca="1" si="245"/>
        <v>bd.</v>
      </c>
      <c r="O432" s="10" t="str">
        <f t="shared" ca="1" si="245"/>
        <v>bd.</v>
      </c>
      <c r="P432" s="10" t="str">
        <f t="shared" ca="1" si="245"/>
        <v>bd.</v>
      </c>
      <c r="Q432" s="10" t="str">
        <f t="shared" ca="1" si="245"/>
        <v>bd.</v>
      </c>
      <c r="R432" s="10" t="str">
        <f t="shared" ca="1" si="245"/>
        <v>bd.</v>
      </c>
      <c r="S432" s="10" t="str">
        <f t="shared" ca="1" si="245"/>
        <v>bd.</v>
      </c>
      <c r="T432" s="10" t="str">
        <f t="shared" ca="1" si="245"/>
        <v>bd.</v>
      </c>
      <c r="U432" s="10" t="str">
        <f t="shared" ca="1" si="245"/>
        <v>bd.</v>
      </c>
      <c r="V432" s="10" t="str">
        <f t="shared" ca="1" si="245"/>
        <v>bd.</v>
      </c>
      <c r="W432" s="10" t="str">
        <f t="shared" ca="1" si="245"/>
        <v>bd.</v>
      </c>
      <c r="X432" s="10" t="str">
        <f t="shared" ca="1" si="245"/>
        <v>bd.</v>
      </c>
    </row>
    <row r="433" spans="2:24">
      <c r="B433" s="37" t="s">
        <v>646</v>
      </c>
      <c r="C433" s="52"/>
      <c r="D433" s="52"/>
      <c r="E433" s="52"/>
      <c r="F433" s="52"/>
      <c r="G433" s="10" t="str">
        <f t="shared" ref="G433:X433" ca="1" si="246">IFERROR(ROUND((G375/G308)*dni,0),"bd.")</f>
        <v>bd.</v>
      </c>
      <c r="H433" s="10" t="str">
        <f t="shared" ca="1" si="246"/>
        <v>bd.</v>
      </c>
      <c r="I433" s="10" t="str">
        <f t="shared" ca="1" si="246"/>
        <v>bd.</v>
      </c>
      <c r="J433" s="10" t="str">
        <f t="shared" si="246"/>
        <v>bd.</v>
      </c>
      <c r="K433" s="10" t="str">
        <f t="shared" ca="1" si="246"/>
        <v>bd.</v>
      </c>
      <c r="L433" s="10" t="str">
        <f t="shared" ca="1" si="246"/>
        <v>bd.</v>
      </c>
      <c r="M433" s="10" t="str">
        <f t="shared" ca="1" si="246"/>
        <v>bd.</v>
      </c>
      <c r="N433" s="10" t="str">
        <f t="shared" ca="1" si="246"/>
        <v>bd.</v>
      </c>
      <c r="O433" s="10" t="str">
        <f t="shared" ca="1" si="246"/>
        <v>bd.</v>
      </c>
      <c r="P433" s="10" t="str">
        <f t="shared" ca="1" si="246"/>
        <v>bd.</v>
      </c>
      <c r="Q433" s="10" t="str">
        <f t="shared" ca="1" si="246"/>
        <v>bd.</v>
      </c>
      <c r="R433" s="10" t="str">
        <f t="shared" ca="1" si="246"/>
        <v>bd.</v>
      </c>
      <c r="S433" s="10" t="str">
        <f t="shared" ca="1" si="246"/>
        <v>bd.</v>
      </c>
      <c r="T433" s="10" t="str">
        <f t="shared" ca="1" si="246"/>
        <v>bd.</v>
      </c>
      <c r="U433" s="10" t="str">
        <f t="shared" ca="1" si="246"/>
        <v>bd.</v>
      </c>
      <c r="V433" s="10" t="str">
        <f t="shared" ca="1" si="246"/>
        <v>bd.</v>
      </c>
      <c r="W433" s="10" t="str">
        <f t="shared" ca="1" si="246"/>
        <v>bd.</v>
      </c>
      <c r="X433" s="10" t="str">
        <f t="shared" ca="1" si="246"/>
        <v>bd.</v>
      </c>
    </row>
    <row r="434" spans="2:24"/>
    <row r="435" spans="2:24">
      <c r="B435" s="29" t="s">
        <v>647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648</v>
      </c>
      <c r="C436" s="19" t="s">
        <v>649</v>
      </c>
      <c r="D436" s="19" t="s">
        <v>650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651</v>
      </c>
      <c r="C437" s="52" t="s">
        <v>652</v>
      </c>
      <c r="D437" s="52" t="s">
        <v>636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5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655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47">L$385</f>
        <v/>
      </c>
      <c r="M489" s="226" t="str">
        <f t="shared" si="247"/>
        <v/>
      </c>
      <c r="N489" s="226" t="str">
        <f t="shared" si="247"/>
        <v/>
      </c>
      <c r="O489" s="226" t="str">
        <f t="shared" si="247"/>
        <v/>
      </c>
      <c r="P489" s="226" t="str">
        <f t="shared" si="247"/>
        <v/>
      </c>
      <c r="Q489" s="226" t="str">
        <f t="shared" si="247"/>
        <v/>
      </c>
      <c r="R489" s="226" t="str">
        <f t="shared" si="247"/>
        <v/>
      </c>
      <c r="S489" s="226" t="str">
        <f t="shared" si="247"/>
        <v/>
      </c>
      <c r="T489" s="226" t="str">
        <f t="shared" si="247"/>
        <v/>
      </c>
      <c r="U489" s="226" t="str">
        <f t="shared" si="247"/>
        <v/>
      </c>
      <c r="V489" s="226" t="str">
        <f t="shared" si="247"/>
        <v/>
      </c>
      <c r="W489" s="226" t="str">
        <f t="shared" si="247"/>
        <v/>
      </c>
      <c r="X489" s="226" t="str">
        <f t="shared" si="247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656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48">K330</f>
        <v>0</v>
      </c>
      <c r="L491" s="22">
        <f t="shared" ca="1" si="248"/>
        <v>0</v>
      </c>
      <c r="M491" s="22">
        <f t="shared" ca="1" si="248"/>
        <v>0</v>
      </c>
      <c r="N491" s="22">
        <f t="shared" ca="1" si="248"/>
        <v>0</v>
      </c>
      <c r="O491" s="22">
        <f t="shared" ca="1" si="248"/>
        <v>0</v>
      </c>
      <c r="P491" s="22">
        <f t="shared" ca="1" si="248"/>
        <v>0</v>
      </c>
      <c r="Q491" s="22">
        <f t="shared" ca="1" si="248"/>
        <v>0</v>
      </c>
      <c r="R491" s="22">
        <f t="shared" ca="1" si="248"/>
        <v>0</v>
      </c>
      <c r="S491" s="22">
        <f t="shared" ca="1" si="248"/>
        <v>0</v>
      </c>
      <c r="T491" s="22">
        <f t="shared" ca="1" si="248"/>
        <v>0</v>
      </c>
      <c r="U491" s="22">
        <f t="shared" ca="1" si="248"/>
        <v>0</v>
      </c>
      <c r="V491" s="22">
        <f t="shared" ca="1" si="248"/>
        <v>0</v>
      </c>
      <c r="W491" s="22">
        <f t="shared" ca="1" si="248"/>
        <v>0</v>
      </c>
      <c r="X491" s="22">
        <f t="shared" ca="1" si="248"/>
        <v>0</v>
      </c>
    </row>
    <row r="492" spans="2:24" hidden="1">
      <c r="B492" s="21" t="s">
        <v>657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658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659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49">K494+K491-L492-L493</f>
        <v>0</v>
      </c>
      <c r="M494" s="22">
        <f t="shared" ca="1" si="249"/>
        <v>0</v>
      </c>
      <c r="N494" s="22">
        <f t="shared" ca="1" si="249"/>
        <v>0</v>
      </c>
      <c r="O494" s="22">
        <f t="shared" ca="1" si="249"/>
        <v>0</v>
      </c>
      <c r="P494" s="22">
        <f t="shared" ca="1" si="249"/>
        <v>0</v>
      </c>
      <c r="Q494" s="22">
        <f t="shared" ca="1" si="249"/>
        <v>0</v>
      </c>
      <c r="R494" s="22">
        <f t="shared" ca="1" si="249"/>
        <v>0</v>
      </c>
      <c r="S494" s="22">
        <f t="shared" ca="1" si="249"/>
        <v>0</v>
      </c>
      <c r="T494" s="22">
        <f t="shared" ca="1" si="249"/>
        <v>0</v>
      </c>
      <c r="U494" s="22">
        <f t="shared" ca="1" si="249"/>
        <v>0</v>
      </c>
      <c r="V494" s="22">
        <f t="shared" ca="1" si="249"/>
        <v>0</v>
      </c>
      <c r="W494" s="22">
        <f t="shared" ca="1" si="249"/>
        <v>0</v>
      </c>
      <c r="X494" s="22">
        <f t="shared" ca="1" si="249"/>
        <v>0</v>
      </c>
    </row>
  </sheetData>
  <sheetProtection algorithmName="SHA-512" hashValue="ZbdlfLsi1TrZJvxBPhH9PGptF/CC763zVLMg3L1v+I1Ohu+BuptkuCdvzLZGWdoMBxoVufwKsalvA6AUaArffA==" saltValue="104qOgZqkVkcQFSN0ZhzeA==" spinCount="100000" sheet="1" objects="1" scenarios="1"/>
  <mergeCells count="1">
    <mergeCell ref="B2:X3"/>
  </mergeCells>
  <conditionalFormatting sqref="K267:X267">
    <cfRule type="cellIs" dxfId="12" priority="286" operator="lessThan">
      <formula>0</formula>
    </cfRule>
  </conditionalFormatting>
  <conditionalFormatting sqref="K214">
    <cfRule type="cellIs" dxfId="11" priority="285" operator="lessThan">
      <formula>0</formula>
    </cfRule>
  </conditionalFormatting>
  <conditionalFormatting sqref="K70:X70">
    <cfRule type="cellIs" dxfId="10" priority="279" operator="lessThan">
      <formula>0</formula>
    </cfRule>
  </conditionalFormatting>
  <conditionalFormatting sqref="K409:X409">
    <cfRule type="cellIs" dxfId="9" priority="278" operator="lessThan">
      <formula>0</formula>
    </cfRule>
  </conditionalFormatting>
  <conditionalFormatting sqref="G358">
    <cfRule type="cellIs" dxfId="8" priority="272" operator="lessThan">
      <formula>0</formula>
    </cfRule>
  </conditionalFormatting>
  <conditionalFormatting sqref="L214:X214">
    <cfRule type="cellIs" dxfId="7" priority="270" operator="lessThan">
      <formula>0</formula>
    </cfRule>
  </conditionalFormatting>
  <conditionalFormatting sqref="K358:X358">
    <cfRule type="cellIs" dxfId="6" priority="269" operator="lessThan">
      <formula>0</formula>
    </cfRule>
  </conditionalFormatting>
  <conditionalFormatting sqref="H358">
    <cfRule type="cellIs" dxfId="5" priority="16" operator="lessThan">
      <formula>0</formula>
    </cfRule>
  </conditionalFormatting>
  <conditionalFormatting sqref="I358">
    <cfRule type="cellIs" dxfId="4" priority="15" operator="lessThan">
      <formula>0</formula>
    </cfRule>
  </conditionalFormatting>
  <conditionalFormatting sqref="J358">
    <cfRule type="cellIs" dxfId="3" priority="14" operator="lessThan">
      <formula>0</formula>
    </cfRule>
  </conditionalFormatting>
  <conditionalFormatting sqref="K62:X64 K72:X72 K83:X83 K86:X86 K90:X90 K93:X93">
    <cfRule type="expression" dxfId="2" priority="12">
      <formula>AND(K$12&gt;Koniec_Projekt,K$12&lt;=Koniec)</formula>
    </cfRule>
    <cfRule type="expression" dxfId="1" priority="13">
      <formula>K$12&lt;=Koniec_Projekt</formula>
    </cfRule>
  </conditionalFormatting>
  <conditionalFormatting sqref="G130:X151 K274:X295 G416:X437">
    <cfRule type="containsText" dxfId="0" priority="1" operator="containsText" text="bd.">
      <formula>NOT(ISERROR(SEARCH("bd.",G130)))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120650</xdr:rowOff>
                  </from>
                  <to>
                    <xdr:col>12</xdr:col>
                    <xdr:colOff>381000</xdr:colOff>
                    <xdr:row>10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61.109375" style="1" bestFit="1" customWidth="1"/>
    <col min="3" max="3" width="16.44140625" style="1" customWidth="1"/>
    <col min="4" max="4" width="8.109375" style="1" customWidth="1"/>
    <col min="5" max="5" width="8.109375" style="254" hidden="1" customWidth="1"/>
    <col min="6" max="6" width="1.33203125" style="1" customWidth="1"/>
    <col min="7" max="9" width="9.6640625" style="1" customWidth="1"/>
    <col min="10" max="10" width="12.6640625" style="1" customWidth="1"/>
    <col min="11" max="24" width="9.6640625" style="1" customWidth="1"/>
    <col min="25" max="25" width="2.88671875" style="1" customWidth="1"/>
    <col min="26" max="16384" width="9.33203125" style="1" hidden="1"/>
  </cols>
  <sheetData>
    <row r="1" spans="2:24"/>
    <row r="2" spans="2:24" ht="12" customHeight="1">
      <c r="B2" s="553" t="str" cm="1">
        <f t="array" ref="B2">Projekt_Info_Short</f>
        <v>Wstaw nazwę firmy oraz tytuł projektu w zakładce Dane Firmy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</row>
    <row r="3" spans="2:24" ht="12" customHeight="1"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562" t="str">
        <f>IF(ISBLANK(RokObrotowyPoczatek),"",IF(MONTH(RokObrotowyPoczatek)&lt;&gt;1,"Rok obrotowy różny od roku kalendarzowego","Rok obrotowy zgodny z rokiem kalendarzowym"))</f>
        <v/>
      </c>
      <c r="I12" s="562"/>
      <c r="J12" s="562"/>
      <c r="K12" s="562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559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559"/>
      <c r="J14" s="559"/>
      <c r="K14" s="559"/>
      <c r="L14" s="280"/>
    </row>
    <row r="15" spans="2:24">
      <c r="H15" s="559"/>
      <c r="I15" s="559"/>
      <c r="J15" s="559"/>
      <c r="K15" s="559"/>
      <c r="L15" s="8"/>
    </row>
    <row r="16" spans="2:24">
      <c r="B16" s="266" t="s">
        <v>779</v>
      </c>
      <c r="C16" s="305"/>
      <c r="D16" s="305"/>
      <c r="E16" s="307"/>
      <c r="H16" s="559"/>
      <c r="I16" s="559"/>
      <c r="J16" s="559"/>
      <c r="K16" s="559"/>
      <c r="L16" s="8"/>
    </row>
    <row r="17" spans="2:24" ht="12.5" thickBot="1">
      <c r="B17" s="267" t="s">
        <v>11</v>
      </c>
      <c r="C17" s="446">
        <v>2029</v>
      </c>
      <c r="M17" s="281"/>
    </row>
    <row r="18" spans="2:24">
      <c r="B18" s="266" t="s">
        <v>780</v>
      </c>
      <c r="C18" s="305"/>
      <c r="D18" s="305"/>
      <c r="E18" s="307"/>
      <c r="F18" s="251"/>
      <c r="H18" s="556" t="s">
        <v>14</v>
      </c>
      <c r="I18" s="557"/>
      <c r="J18" s="557"/>
      <c r="K18" s="558"/>
    </row>
    <row r="19" spans="2:24" ht="13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560" t="s">
        <v>16</v>
      </c>
      <c r="J19" s="269">
        <f>ROUNDDOWN(H19/12,0)</f>
        <v>0</v>
      </c>
      <c r="K19" s="270">
        <f>H19-(12*J19)</f>
        <v>0</v>
      </c>
    </row>
    <row r="20" spans="2:24" ht="12.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561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775</v>
      </c>
      <c r="C23" s="482" t="str">
        <f>IF(Moduły!C566=TRUE,"tak","nie")</f>
        <v>nie</v>
      </c>
      <c r="D23" s="8"/>
      <c r="H23" s="555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555"/>
      <c r="J23" s="555"/>
      <c r="K23" s="555"/>
    </row>
    <row r="24" spans="2:24">
      <c r="B24" s="266" t="s">
        <v>776</v>
      </c>
      <c r="C24" s="449"/>
      <c r="D24" s="449"/>
      <c r="H24" s="555"/>
      <c r="I24" s="555"/>
      <c r="J24" s="555"/>
      <c r="K24" s="555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3.9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4" t="str">
        <f t="shared" ref="K35:X35" si="5">IF(ISBLANK(WACC),"n/d",IF(LataProjekcji&lt;=Koniec,(1/(1+WACC)^K27),0))</f>
        <v>n/d</v>
      </c>
      <c r="L35" s="524" t="str">
        <f t="shared" si="5"/>
        <v>n/d</v>
      </c>
      <c r="M35" s="524" t="str">
        <f t="shared" si="5"/>
        <v>n/d</v>
      </c>
      <c r="N35" s="524" t="str">
        <f t="shared" si="5"/>
        <v>n/d</v>
      </c>
      <c r="O35" s="524" t="str">
        <f t="shared" si="5"/>
        <v>n/d</v>
      </c>
      <c r="P35" s="524" t="str">
        <f t="shared" si="5"/>
        <v>n/d</v>
      </c>
      <c r="Q35" s="524" t="str">
        <f t="shared" si="5"/>
        <v>n/d</v>
      </c>
      <c r="R35" s="524" t="str">
        <f t="shared" si="5"/>
        <v>n/d</v>
      </c>
      <c r="S35" s="524" t="str">
        <f t="shared" si="5"/>
        <v>n/d</v>
      </c>
      <c r="T35" s="524" t="str">
        <f t="shared" si="5"/>
        <v>n/d</v>
      </c>
      <c r="U35" s="524" t="str">
        <f t="shared" si="5"/>
        <v>n/d</v>
      </c>
      <c r="V35" s="524" t="str">
        <f t="shared" si="5"/>
        <v>n/d</v>
      </c>
      <c r="W35" s="524" t="str">
        <f t="shared" si="5"/>
        <v>n/d</v>
      </c>
      <c r="X35" s="524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5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782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703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702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704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705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707</v>
      </c>
      <c r="C185" s="251">
        <f>DaneBiezace+1</f>
        <v>1</v>
      </c>
    </row>
    <row r="186" spans="2:7" hidden="1">
      <c r="B186" s="1" t="s">
        <v>708</v>
      </c>
      <c r="C186" s="251" t="e">
        <f>EOMONTH(DATE(Koniec,12,1),0)</f>
        <v>#VALUE!</v>
      </c>
    </row>
    <row r="187" spans="2:7" hidden="1">
      <c r="B187" s="1" t="s">
        <v>729</v>
      </c>
      <c r="C187" s="251" t="e">
        <f>EOMONTH(DATE(C24,D24,1),0)</f>
        <v>#NUM!</v>
      </c>
    </row>
    <row r="188" spans="2:7" hidden="1">
      <c r="B188" s="1" t="s">
        <v>738</v>
      </c>
      <c r="C188" s="251"/>
    </row>
    <row r="189" spans="2:7" hidden="1">
      <c r="B189" s="8" t="s">
        <v>739</v>
      </c>
      <c r="C189" s="5">
        <v>1</v>
      </c>
    </row>
    <row r="190" spans="2:7" hidden="1">
      <c r="B190" s="8" t="s">
        <v>740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2" hidden="1">
      <c r="B193" s="257" t="s">
        <v>387</v>
      </c>
    </row>
    <row r="194" spans="2:2" hidden="1">
      <c r="B194" s="257" t="s">
        <v>388</v>
      </c>
    </row>
    <row r="195" spans="2:2" hidden="1">
      <c r="B195" s="257" t="s">
        <v>389</v>
      </c>
    </row>
    <row r="196" spans="2:2" hidden="1">
      <c r="B196" s="257" t="s">
        <v>710</v>
      </c>
    </row>
    <row r="197" spans="2:2" hidden="1">
      <c r="B197" s="257" t="s">
        <v>711</v>
      </c>
    </row>
    <row r="198" spans="2:2" hidden="1">
      <c r="B198" s="257" t="s">
        <v>712</v>
      </c>
    </row>
    <row r="199" spans="2:2" hidden="1">
      <c r="B199" s="257" t="s">
        <v>713</v>
      </c>
    </row>
    <row r="201" spans="2:2" hidden="1">
      <c r="B201" s="258" t="s">
        <v>759</v>
      </c>
    </row>
    <row r="202" spans="2:2" hidden="1">
      <c r="B202" s="258" t="s">
        <v>760</v>
      </c>
    </row>
  </sheetData>
  <sheetProtection algorithmName="SHA-512" hashValue="zTZQ7Jn1FGI0mM2G/Rt1t9MHdfpbE3be/CniTYqLQIzKMX1D5QacRVWwm9+DUsCr7OG+N/DCFMJSafcxj6uwZw==" saltValue="0qnRdxTy+awXbFEEIEQYug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7" type="noConversion"/>
  <conditionalFormatting sqref="C127">
    <cfRule type="cellIs" dxfId="414" priority="61" operator="greaterThan">
      <formula>$C$126</formula>
    </cfRule>
  </conditionalFormatting>
  <conditionalFormatting sqref="H14:K16">
    <cfRule type="containsText" dxfId="413" priority="28" operator="containsText" text="uzupełnij">
      <formula>NOT(ISERROR(SEARCH("uzupełnij",H14)))</formula>
    </cfRule>
  </conditionalFormatting>
  <conditionalFormatting sqref="H19">
    <cfRule type="cellIs" dxfId="412" priority="27" operator="lessThan">
      <formula>0</formula>
    </cfRule>
  </conditionalFormatting>
  <conditionalFormatting sqref="J19">
    <cfRule type="cellIs" dxfId="411" priority="26" operator="lessThan">
      <formula>0</formula>
    </cfRule>
  </conditionalFormatting>
  <conditionalFormatting sqref="K19">
    <cfRule type="cellIs" dxfId="410" priority="25" operator="lessThan">
      <formula>0</formula>
    </cfRule>
  </conditionalFormatting>
  <conditionalFormatting sqref="H12">
    <cfRule type="containsText" dxfId="409" priority="23" operator="containsText" text="różny">
      <formula>NOT(ISERROR(SEARCH("różny",H12)))</formula>
    </cfRule>
  </conditionalFormatting>
  <conditionalFormatting sqref="H13:K13 H12">
    <cfRule type="containsText" dxfId="408" priority="22" operator="containsText" text="zgodny">
      <formula>NOT(ISERROR(SEARCH("zgodny",H12)))</formula>
    </cfRule>
  </conditionalFormatting>
  <conditionalFormatting sqref="K37:X37 K39:X39 K43:X45 K59:X63">
    <cfRule type="expression" dxfId="407" priority="20">
      <formula>(K$28&gt;Koniec)</formula>
    </cfRule>
  </conditionalFormatting>
  <conditionalFormatting sqref="C24:D24">
    <cfRule type="expression" dxfId="406" priority="19">
      <formula>$C$23="tak"</formula>
    </cfRule>
  </conditionalFormatting>
  <conditionalFormatting sqref="C24">
    <cfRule type="cellIs" dxfId="405" priority="14" operator="greaterThan">
      <formula>$C$18</formula>
    </cfRule>
    <cfRule type="expression" dxfId="404" priority="17">
      <formula>AND($C$23="nie",ISBLANK($C$24)=FALSE)</formula>
    </cfRule>
  </conditionalFormatting>
  <conditionalFormatting sqref="D24">
    <cfRule type="expression" dxfId="403" priority="13">
      <formula>AND($C$23="tak",$C$24=$C$18,$D$24&gt;$D$18)</formula>
    </cfRule>
    <cfRule type="expression" dxfId="402" priority="18">
      <formula>AND($C$23="nie",ISBLANK($D$24)=FALSE)</formula>
    </cfRule>
  </conditionalFormatting>
  <conditionalFormatting sqref="H23:K26">
    <cfRule type="containsText" dxfId="401" priority="12" operator="containsText" text="popraw">
      <formula>NOT(ISERROR(SEARCH("popraw",H23)))</formula>
    </cfRule>
    <cfRule type="containsText" dxfId="400" priority="15" operator="containsText" text="uzupełnij">
      <formula>NOT(ISERROR(SEARCH("uzupełnij",H23)))</formula>
    </cfRule>
    <cfRule type="containsText" dxfId="399" priority="16" operator="containsText" text="usuń">
      <formula>NOT(ISERROR(SEARCH("usuń",H23)))</formula>
    </cfRule>
  </conditionalFormatting>
  <conditionalFormatting sqref="G26:X26">
    <cfRule type="expression" dxfId="398" priority="2">
      <formula>OR(ISBLANK(Poczatek),ISBLANK(Koniec_Projekt),ISBLANK(RokObrotowyPoczatek))</formula>
    </cfRule>
    <cfRule type="expression" dxfId="397" priority="3">
      <formula>G$127="n"</formula>
    </cfRule>
    <cfRule type="expression" dxfId="396" priority="5">
      <formula>G$127="r"</formula>
    </cfRule>
    <cfRule type="expression" dxfId="395" priority="6">
      <formula>G$127="t"</formula>
    </cfRule>
    <cfRule type="expression" dxfId="394" priority="7">
      <formula>AND(G$127="p",G$126&lt;=Koniec)</formula>
    </cfRule>
    <cfRule type="expression" dxfId="393" priority="9">
      <formula>AND(ISBLANK($C$24)=FALSE,G$126=Koniec_PR)</formula>
    </cfRule>
  </conditionalFormatting>
  <conditionalFormatting sqref="C20:C21">
    <cfRule type="containsText" dxfId="392" priority="1" operator="containsText" text="niepełne">
      <formula>NOT(ISERROR(SEARCH("niepełne",C20)))</formula>
    </cfRule>
  </conditionalFormatting>
  <conditionalFormatting sqref="G28:X28">
    <cfRule type="expression" dxfId="391" priority="4">
      <formula>AND(ISBLANK($C$24)=FALSE,G$126=Koniec_PR)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13</xdr:col>
                    <xdr:colOff>292100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44450</xdr:colOff>
                    <xdr:row>11</xdr:row>
                    <xdr:rowOff>0</xdr:rowOff>
                  </from>
                  <to>
                    <xdr:col>14</xdr:col>
                    <xdr:colOff>254000</xdr:colOff>
                    <xdr:row>24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120650</xdr:colOff>
                    <xdr:row>12</xdr:row>
                    <xdr:rowOff>50800</xdr:rowOff>
                  </from>
                  <to>
                    <xdr:col>14</xdr:col>
                    <xdr:colOff>196850</xdr:colOff>
                    <xdr:row>13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120650</xdr:colOff>
                    <xdr:row>14</xdr:row>
                    <xdr:rowOff>6350</xdr:rowOff>
                  </from>
                  <to>
                    <xdr:col>14</xdr:col>
                    <xdr:colOff>196850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120650</xdr:colOff>
                    <xdr:row>15</xdr:row>
                    <xdr:rowOff>114300</xdr:rowOff>
                  </from>
                  <to>
                    <xdr:col>14</xdr:col>
                    <xdr:colOff>196850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120650</xdr:colOff>
                    <xdr:row>17</xdr:row>
                    <xdr:rowOff>63500</xdr:rowOff>
                  </from>
                  <to>
                    <xdr:col>14</xdr:col>
                    <xdr:colOff>196850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120650</xdr:colOff>
                    <xdr:row>19</xdr:row>
                    <xdr:rowOff>6350</xdr:rowOff>
                  </from>
                  <to>
                    <xdr:col>14</xdr:col>
                    <xdr:colOff>196850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120650</xdr:colOff>
                    <xdr:row>20</xdr:row>
                    <xdr:rowOff>107950</xdr:rowOff>
                  </from>
                  <to>
                    <xdr:col>14</xdr:col>
                    <xdr:colOff>196850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120650</xdr:colOff>
                    <xdr:row>22</xdr:row>
                    <xdr:rowOff>57150</xdr:rowOff>
                  </from>
                  <to>
                    <xdr:col>14</xdr:col>
                    <xdr:colOff>196850</xdr:colOff>
                    <xdr:row>23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50" style="38" customWidth="1"/>
    <col min="3" max="6" width="12.6640625" style="1" customWidth="1"/>
    <col min="7" max="7" width="2.88671875" style="1" customWidth="1"/>
    <col min="8" max="22" width="9.88671875" style="1" hidden="1" customWidth="1"/>
    <col min="23" max="16384" width="9.33203125" style="1" hidden="1"/>
  </cols>
  <sheetData>
    <row r="1" spans="2:6"/>
    <row r="2" spans="2:6">
      <c r="B2" s="553" t="str">
        <f>Założenia!B2</f>
        <v>Wstaw nazwę firmy oraz tytuł projektu w zakładce Dane Firmy</v>
      </c>
      <c r="C2" s="553"/>
      <c r="D2" s="553"/>
      <c r="E2" s="553"/>
      <c r="F2" s="553"/>
    </row>
    <row r="3" spans="2:6">
      <c r="B3" s="554"/>
      <c r="C3" s="554"/>
      <c r="D3" s="554"/>
      <c r="E3" s="554"/>
      <c r="F3" s="554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3"/>
      <c r="D15" s="543"/>
      <c r="E15" s="543"/>
      <c r="F15" s="543"/>
    </row>
    <row r="16" spans="2:6">
      <c r="B16" s="505" t="s">
        <v>124</v>
      </c>
      <c r="C16" s="544"/>
      <c r="D16" s="544"/>
      <c r="E16" s="544"/>
      <c r="F16" s="544"/>
    </row>
    <row r="17" spans="2:6">
      <c r="B17" s="505" t="s">
        <v>125</v>
      </c>
      <c r="C17" s="544"/>
      <c r="D17" s="544"/>
      <c r="E17" s="544"/>
      <c r="F17" s="545"/>
    </row>
    <row r="18" spans="2:6">
      <c r="B18" s="506" t="s">
        <v>126</v>
      </c>
      <c r="C18" s="546"/>
      <c r="D18" s="546"/>
      <c r="E18" s="546"/>
      <c r="F18" s="546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4"/>
      <c r="D21" s="544"/>
      <c r="E21" s="544"/>
      <c r="F21" s="544"/>
    </row>
    <row r="22" spans="2:6">
      <c r="B22" s="505" t="s">
        <v>130</v>
      </c>
      <c r="C22" s="544"/>
      <c r="D22" s="544"/>
      <c r="E22" s="544"/>
      <c r="F22" s="544"/>
    </row>
    <row r="23" spans="2:6">
      <c r="B23" s="505" t="s">
        <v>131</v>
      </c>
      <c r="C23" s="544"/>
      <c r="D23" s="544"/>
      <c r="E23" s="544"/>
      <c r="F23" s="544"/>
    </row>
    <row r="24" spans="2:6">
      <c r="B24" s="505" t="s">
        <v>132</v>
      </c>
      <c r="C24" s="544"/>
      <c r="D24" s="544"/>
      <c r="E24" s="544"/>
      <c r="F24" s="544"/>
    </row>
    <row r="25" spans="2:6">
      <c r="B25" s="505" t="s">
        <v>133</v>
      </c>
      <c r="C25" s="544"/>
      <c r="D25" s="544"/>
      <c r="E25" s="544"/>
      <c r="F25" s="544"/>
    </row>
    <row r="26" spans="2:6">
      <c r="B26" s="505" t="s">
        <v>134</v>
      </c>
      <c r="C26" s="544"/>
      <c r="D26" s="544"/>
      <c r="E26" s="544"/>
      <c r="F26" s="544"/>
    </row>
    <row r="27" spans="2:6">
      <c r="B27" s="505" t="s">
        <v>135</v>
      </c>
      <c r="C27" s="544"/>
      <c r="D27" s="544"/>
      <c r="E27" s="544"/>
      <c r="F27" s="544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4"/>
      <c r="D29" s="544"/>
      <c r="E29" s="544"/>
      <c r="F29" s="544"/>
    </row>
    <row r="30" spans="2:6">
      <c r="B30" s="505" t="s">
        <v>138</v>
      </c>
      <c r="C30" s="544"/>
      <c r="D30" s="544"/>
      <c r="E30" s="544"/>
      <c r="F30" s="544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4"/>
      <c r="D32" s="544"/>
      <c r="E32" s="544"/>
      <c r="F32" s="544"/>
    </row>
    <row r="33" spans="2:6">
      <c r="B33" s="505" t="s">
        <v>141</v>
      </c>
      <c r="C33" s="544"/>
      <c r="D33" s="544"/>
      <c r="E33" s="544"/>
      <c r="F33" s="544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4"/>
      <c r="D36" s="544"/>
      <c r="E36" s="544"/>
      <c r="F36" s="544"/>
    </row>
    <row r="37" spans="2:6">
      <c r="B37" s="505" t="s">
        <v>145</v>
      </c>
      <c r="C37" s="544"/>
      <c r="D37" s="544"/>
      <c r="E37" s="544"/>
      <c r="F37" s="544"/>
    </row>
    <row r="38" spans="2:6">
      <c r="B38" s="505" t="s">
        <v>146</v>
      </c>
      <c r="C38" s="544"/>
      <c r="D38" s="544"/>
      <c r="E38" s="544"/>
      <c r="F38" s="544"/>
    </row>
    <row r="39" spans="2:6">
      <c r="B39" s="505" t="s">
        <v>147</v>
      </c>
      <c r="C39" s="544"/>
      <c r="D39" s="544"/>
      <c r="E39" s="544"/>
      <c r="F39" s="544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4"/>
      <c r="D41" s="544"/>
      <c r="E41" s="544"/>
      <c r="F41" s="544"/>
    </row>
    <row r="42" spans="2:6">
      <c r="B42" s="505" t="s">
        <v>145</v>
      </c>
      <c r="C42" s="544"/>
      <c r="D42" s="544"/>
      <c r="E42" s="544"/>
      <c r="F42" s="544"/>
    </row>
    <row r="43" spans="2:6">
      <c r="B43" s="505" t="s">
        <v>146</v>
      </c>
      <c r="C43" s="544"/>
      <c r="D43" s="544"/>
      <c r="E43" s="544"/>
      <c r="F43" s="544"/>
    </row>
    <row r="44" spans="2:6">
      <c r="B44" s="505" t="s">
        <v>147</v>
      </c>
      <c r="C44" s="544"/>
      <c r="D44" s="544"/>
      <c r="E44" s="544"/>
      <c r="F44" s="544"/>
    </row>
    <row r="45" spans="2:6">
      <c r="B45" s="505" t="s">
        <v>149</v>
      </c>
      <c r="C45" s="544"/>
      <c r="D45" s="544"/>
      <c r="E45" s="544"/>
      <c r="F45" s="544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4"/>
      <c r="D47" s="544"/>
      <c r="E47" s="544"/>
      <c r="F47" s="544"/>
    </row>
    <row r="48" spans="2:6">
      <c r="B48" s="505" t="s">
        <v>152</v>
      </c>
      <c r="C48" s="544"/>
      <c r="D48" s="544"/>
      <c r="E48" s="544"/>
      <c r="F48" s="544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4"/>
      <c r="D51" s="544"/>
      <c r="E51" s="544"/>
      <c r="F51" s="544"/>
    </row>
    <row r="52" spans="2:6">
      <c r="B52" s="505" t="s">
        <v>156</v>
      </c>
      <c r="C52" s="544"/>
      <c r="D52" s="544"/>
      <c r="E52" s="544"/>
      <c r="F52" s="544"/>
    </row>
    <row r="53" spans="2:6">
      <c r="B53" s="505" t="s">
        <v>157</v>
      </c>
      <c r="C53" s="544"/>
      <c r="D53" s="544"/>
      <c r="E53" s="544"/>
      <c r="F53" s="544"/>
    </row>
    <row r="54" spans="2:6">
      <c r="B54" s="505" t="s">
        <v>158</v>
      </c>
      <c r="C54" s="544"/>
      <c r="D54" s="544"/>
      <c r="E54" s="544"/>
      <c r="F54" s="544"/>
    </row>
    <row r="55" spans="2:6">
      <c r="B55" s="505" t="s">
        <v>159</v>
      </c>
      <c r="C55" s="544"/>
      <c r="D55" s="544"/>
      <c r="E55" s="544"/>
      <c r="F55" s="544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4"/>
      <c r="D59" s="544"/>
      <c r="E59" s="544"/>
      <c r="F59" s="544"/>
    </row>
    <row r="60" spans="2:6">
      <c r="B60" s="505" t="s">
        <v>164</v>
      </c>
      <c r="C60" s="544"/>
      <c r="D60" s="544"/>
      <c r="E60" s="544"/>
      <c r="F60" s="544"/>
    </row>
    <row r="61" spans="2:6">
      <c r="B61" s="505" t="s">
        <v>165</v>
      </c>
      <c r="C61" s="544"/>
      <c r="D61" s="544"/>
      <c r="E61" s="544"/>
      <c r="F61" s="544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4"/>
      <c r="D64" s="544"/>
      <c r="E64" s="544"/>
      <c r="F64" s="544"/>
    </row>
    <row r="65" spans="2:6">
      <c r="B65" s="505" t="s">
        <v>164</v>
      </c>
      <c r="C65" s="544"/>
      <c r="D65" s="544"/>
      <c r="E65" s="544"/>
      <c r="F65" s="544"/>
    </row>
    <row r="66" spans="2:6" ht="24">
      <c r="B66" s="505" t="s">
        <v>167</v>
      </c>
      <c r="C66" s="544"/>
      <c r="D66" s="544"/>
      <c r="E66" s="544"/>
      <c r="F66" s="544"/>
    </row>
    <row r="67" spans="2:6">
      <c r="B67" s="505" t="s">
        <v>168</v>
      </c>
      <c r="C67" s="544"/>
      <c r="D67" s="544"/>
      <c r="E67" s="544"/>
      <c r="F67" s="544"/>
    </row>
    <row r="68" spans="2:6">
      <c r="B68" s="505" t="s">
        <v>169</v>
      </c>
      <c r="C68" s="544"/>
      <c r="D68" s="544"/>
      <c r="E68" s="544"/>
      <c r="F68" s="544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4"/>
      <c r="D72" s="544"/>
      <c r="E72" s="544"/>
      <c r="F72" s="544"/>
    </row>
    <row r="73" spans="2:6">
      <c r="B73" s="505" t="s">
        <v>145</v>
      </c>
      <c r="C73" s="544"/>
      <c r="D73" s="544"/>
      <c r="E73" s="544"/>
      <c r="F73" s="544"/>
    </row>
    <row r="74" spans="2:6">
      <c r="B74" s="505" t="s">
        <v>146</v>
      </c>
      <c r="C74" s="544"/>
      <c r="D74" s="544"/>
      <c r="E74" s="544"/>
      <c r="F74" s="544"/>
    </row>
    <row r="75" spans="2:6">
      <c r="B75" s="505" t="s">
        <v>172</v>
      </c>
      <c r="C75" s="544"/>
      <c r="D75" s="544"/>
      <c r="E75" s="544"/>
      <c r="F75" s="544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4"/>
      <c r="D77" s="544"/>
      <c r="E77" s="544"/>
      <c r="F77" s="544"/>
    </row>
    <row r="78" spans="2:6">
      <c r="B78" s="505" t="s">
        <v>145</v>
      </c>
      <c r="C78" s="544"/>
      <c r="D78" s="544"/>
      <c r="E78" s="544"/>
      <c r="F78" s="544"/>
    </row>
    <row r="79" spans="2:6">
      <c r="B79" s="505" t="s">
        <v>146</v>
      </c>
      <c r="C79" s="544"/>
      <c r="D79" s="544"/>
      <c r="E79" s="544"/>
      <c r="F79" s="544"/>
    </row>
    <row r="80" spans="2:6">
      <c r="B80" s="505" t="s">
        <v>172</v>
      </c>
      <c r="C80" s="544"/>
      <c r="D80" s="544"/>
      <c r="E80" s="544"/>
      <c r="F80" s="544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4"/>
      <c r="D82" s="544"/>
      <c r="E82" s="544"/>
      <c r="F82" s="544"/>
    </row>
    <row r="83" spans="2:6">
      <c r="B83" s="505" t="s">
        <v>175</v>
      </c>
      <c r="C83" s="544"/>
      <c r="D83" s="544"/>
      <c r="E83" s="544"/>
      <c r="F83" s="544"/>
    </row>
    <row r="84" spans="2:6">
      <c r="B84" s="505" t="s">
        <v>176</v>
      </c>
      <c r="C84" s="544"/>
      <c r="D84" s="544"/>
      <c r="E84" s="544"/>
      <c r="F84" s="544"/>
    </row>
    <row r="85" spans="2:6">
      <c r="B85" s="505" t="s">
        <v>177</v>
      </c>
      <c r="C85" s="544"/>
      <c r="D85" s="544"/>
      <c r="E85" s="544"/>
      <c r="F85" s="544"/>
    </row>
    <row r="86" spans="2:6">
      <c r="B86" s="507" t="s">
        <v>178</v>
      </c>
      <c r="C86" s="547"/>
      <c r="D86" s="547"/>
      <c r="E86" s="547"/>
      <c r="F86" s="547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521" t="str">
        <f>IF(C144=C87,"OK",C87-C144)</f>
        <v>OK</v>
      </c>
      <c r="D92" s="521" t="str">
        <f>IF(D144=D87,"OK",D87-D144)</f>
        <v>OK</v>
      </c>
      <c r="E92" s="521" t="str">
        <f>IF(E144=E87,"OK",E87-E144)</f>
        <v>OK</v>
      </c>
      <c r="F92" s="521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4"/>
      <c r="D95" s="544"/>
      <c r="E95" s="544"/>
      <c r="F95" s="544"/>
    </row>
    <row r="96" spans="2:6" ht="12" customHeight="1">
      <c r="B96" s="505" t="s">
        <v>183</v>
      </c>
      <c r="C96" s="544"/>
      <c r="D96" s="544"/>
      <c r="E96" s="544"/>
      <c r="F96" s="544"/>
    </row>
    <row r="97" spans="2:7">
      <c r="B97" s="505" t="s">
        <v>184</v>
      </c>
      <c r="C97" s="544"/>
      <c r="D97" s="544"/>
      <c r="E97" s="544"/>
      <c r="F97" s="544"/>
    </row>
    <row r="98" spans="2:7">
      <c r="B98" s="505" t="s">
        <v>185</v>
      </c>
      <c r="C98" s="544"/>
      <c r="D98" s="544"/>
      <c r="E98" s="544"/>
      <c r="F98" s="544"/>
    </row>
    <row r="99" spans="2:7">
      <c r="B99" s="505" t="s">
        <v>186</v>
      </c>
      <c r="C99" s="544"/>
      <c r="D99" s="544"/>
      <c r="E99" s="544"/>
      <c r="F99" s="544"/>
    </row>
    <row r="100" spans="2:7">
      <c r="B100" s="505" t="s">
        <v>187</v>
      </c>
      <c r="C100" s="544"/>
      <c r="D100" s="544"/>
      <c r="E100" s="544"/>
      <c r="F100" s="544"/>
    </row>
    <row r="101" spans="2:7">
      <c r="B101" s="505" t="s">
        <v>188</v>
      </c>
      <c r="C101" s="544"/>
      <c r="D101" s="544"/>
      <c r="E101" s="544"/>
      <c r="F101" s="544"/>
    </row>
    <row r="102" spans="2:7">
      <c r="B102" s="522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4"/>
      <c r="D103" s="544"/>
      <c r="E103" s="544"/>
      <c r="F103" s="544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4"/>
      <c r="D106" s="544"/>
      <c r="E106" s="544"/>
      <c r="F106" s="544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4"/>
      <c r="D108" s="544"/>
      <c r="E108" s="544"/>
      <c r="F108" s="544"/>
    </row>
    <row r="109" spans="2:7">
      <c r="B109" s="505" t="s">
        <v>196</v>
      </c>
      <c r="C109" s="544"/>
      <c r="D109" s="544"/>
      <c r="E109" s="544"/>
      <c r="F109" s="544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4"/>
      <c r="D111" s="544"/>
      <c r="E111" s="544"/>
      <c r="F111" s="544"/>
    </row>
    <row r="112" spans="2:7">
      <c r="B112" s="505" t="s">
        <v>199</v>
      </c>
      <c r="C112" s="544"/>
      <c r="D112" s="544"/>
      <c r="E112" s="544"/>
      <c r="F112" s="544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4"/>
      <c r="D114" s="544"/>
      <c r="E114" s="544"/>
      <c r="F114" s="544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4"/>
      <c r="D116" s="544"/>
      <c r="E116" s="544"/>
      <c r="F116" s="544"/>
    </row>
    <row r="117" spans="2:6">
      <c r="B117" s="505" t="s">
        <v>204</v>
      </c>
      <c r="C117" s="544"/>
      <c r="D117" s="544"/>
      <c r="E117" s="544"/>
      <c r="F117" s="544"/>
    </row>
    <row r="118" spans="2:6">
      <c r="B118" s="505" t="s">
        <v>205</v>
      </c>
      <c r="C118" s="544"/>
      <c r="D118" s="544"/>
      <c r="E118" s="544"/>
      <c r="F118" s="544"/>
    </row>
    <row r="119" spans="2:6">
      <c r="B119" s="505" t="s">
        <v>206</v>
      </c>
      <c r="C119" s="544"/>
      <c r="D119" s="544"/>
      <c r="E119" s="544"/>
      <c r="F119" s="544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4"/>
      <c r="D123" s="544"/>
      <c r="E123" s="544"/>
      <c r="F123" s="544"/>
    </row>
    <row r="124" spans="2:6">
      <c r="B124" s="505" t="s">
        <v>164</v>
      </c>
      <c r="C124" s="544"/>
      <c r="D124" s="544"/>
      <c r="E124" s="544"/>
      <c r="F124" s="544"/>
    </row>
    <row r="125" spans="2:6">
      <c r="B125" s="505" t="s">
        <v>165</v>
      </c>
      <c r="C125" s="544"/>
      <c r="D125" s="544"/>
      <c r="E125" s="544"/>
      <c r="F125" s="544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4"/>
      <c r="D127" s="544"/>
      <c r="E127" s="544"/>
      <c r="F127" s="544"/>
    </row>
    <row r="128" spans="2:6">
      <c r="B128" s="505" t="s">
        <v>204</v>
      </c>
      <c r="C128" s="544"/>
      <c r="D128" s="544"/>
      <c r="E128" s="544"/>
      <c r="F128" s="544"/>
    </row>
    <row r="129" spans="2:6">
      <c r="B129" s="505" t="s">
        <v>205</v>
      </c>
      <c r="C129" s="544"/>
      <c r="D129" s="544"/>
      <c r="E129" s="544"/>
      <c r="F129" s="544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4"/>
      <c r="D131" s="544"/>
      <c r="E131" s="544"/>
      <c r="F131" s="544"/>
    </row>
    <row r="132" spans="2:6" ht="12" customHeight="1">
      <c r="B132" s="505" t="s">
        <v>164</v>
      </c>
      <c r="C132" s="544"/>
      <c r="D132" s="544"/>
      <c r="E132" s="544"/>
      <c r="F132" s="544"/>
    </row>
    <row r="133" spans="2:6" ht="12" customHeight="1">
      <c r="B133" s="505" t="s">
        <v>210</v>
      </c>
      <c r="C133" s="544"/>
      <c r="D133" s="544"/>
      <c r="E133" s="544"/>
      <c r="F133" s="544"/>
    </row>
    <row r="134" spans="2:6" ht="12" customHeight="1">
      <c r="B134" s="505" t="s">
        <v>211</v>
      </c>
      <c r="C134" s="544"/>
      <c r="D134" s="544"/>
      <c r="E134" s="544"/>
      <c r="F134" s="544"/>
    </row>
    <row r="135" spans="2:6" ht="12" customHeight="1">
      <c r="B135" s="505" t="s">
        <v>212</v>
      </c>
      <c r="C135" s="544"/>
      <c r="D135" s="544"/>
      <c r="E135" s="544"/>
      <c r="F135" s="544"/>
    </row>
    <row r="136" spans="2:6" ht="12" customHeight="1">
      <c r="B136" s="505" t="s">
        <v>213</v>
      </c>
      <c r="C136" s="544"/>
      <c r="D136" s="544"/>
      <c r="E136" s="544"/>
      <c r="F136" s="544"/>
    </row>
    <row r="137" spans="2:6" ht="12" customHeight="1">
      <c r="B137" s="505" t="s">
        <v>214</v>
      </c>
      <c r="C137" s="544"/>
      <c r="D137" s="544"/>
      <c r="E137" s="544"/>
      <c r="F137" s="544"/>
    </row>
    <row r="138" spans="2:6">
      <c r="B138" s="505" t="s">
        <v>215</v>
      </c>
      <c r="C138" s="544"/>
      <c r="D138" s="544"/>
      <c r="E138" s="544"/>
      <c r="F138" s="544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4"/>
      <c r="D140" s="544"/>
      <c r="E140" s="544"/>
      <c r="F140" s="544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4"/>
      <c r="D142" s="544"/>
      <c r="E142" s="544"/>
      <c r="F142" s="544"/>
    </row>
    <row r="143" spans="2:6">
      <c r="B143" s="505" t="s">
        <v>199</v>
      </c>
      <c r="C143" s="544"/>
      <c r="D143" s="544"/>
      <c r="E143" s="544"/>
      <c r="F143" s="544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521" t="str">
        <f>IF(C144=C87,"OK",C87-C144)</f>
        <v>OK</v>
      </c>
      <c r="D146" s="521" t="str">
        <f>IF(D144=D87,"OK",D87-D144)</f>
        <v>OK</v>
      </c>
      <c r="E146" s="521" t="str">
        <f>IF(E144=E87,"OK",E87-E144)</f>
        <v>OK</v>
      </c>
      <c r="F146" s="521" t="str">
        <f>IF(F144=F87,"OK",F87-F144)</f>
        <v>OK</v>
      </c>
    </row>
    <row r="148" spans="2:13"/>
    <row r="149" spans="2:13">
      <c r="B149" s="523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4"/>
      <c r="D151" s="544"/>
      <c r="E151" s="544"/>
      <c r="F151" s="544"/>
    </row>
    <row r="152" spans="2:13">
      <c r="B152" s="505" t="s">
        <v>222</v>
      </c>
      <c r="C152" s="544"/>
      <c r="D152" s="544"/>
      <c r="E152" s="544"/>
      <c r="F152" s="544"/>
      <c r="I152" s="5"/>
      <c r="J152" s="5"/>
      <c r="K152" s="5"/>
      <c r="L152" s="5"/>
    </row>
    <row r="153" spans="2:13" ht="24" customHeight="1">
      <c r="B153" s="505" t="s">
        <v>223</v>
      </c>
      <c r="C153" s="544"/>
      <c r="D153" s="544"/>
      <c r="E153" s="544"/>
      <c r="F153" s="544"/>
      <c r="I153" s="5"/>
      <c r="J153" s="5"/>
      <c r="K153" s="5"/>
      <c r="L153" s="5"/>
    </row>
    <row r="154" spans="2:13" ht="24" customHeight="1">
      <c r="B154" s="505" t="s">
        <v>224</v>
      </c>
      <c r="C154" s="544"/>
      <c r="D154" s="544"/>
      <c r="E154" s="544"/>
      <c r="F154" s="544"/>
      <c r="I154" s="5"/>
      <c r="J154" s="5"/>
      <c r="K154" s="5"/>
      <c r="L154" s="5"/>
    </row>
    <row r="155" spans="2:13" ht="12" customHeight="1">
      <c r="B155" s="505" t="s">
        <v>225</v>
      </c>
      <c r="C155" s="544"/>
      <c r="D155" s="544"/>
      <c r="E155" s="544"/>
      <c r="F155" s="544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4"/>
      <c r="D157" s="544"/>
      <c r="E157" s="544"/>
      <c r="F157" s="544"/>
      <c r="I157" s="5"/>
      <c r="J157" s="5"/>
      <c r="K157" s="5"/>
      <c r="L157" s="5"/>
      <c r="M157" s="5"/>
    </row>
    <row r="158" spans="2:13">
      <c r="B158" s="505" t="s">
        <v>228</v>
      </c>
      <c r="C158" s="544"/>
      <c r="D158" s="544"/>
      <c r="E158" s="544"/>
      <c r="F158" s="544"/>
      <c r="I158" s="5"/>
      <c r="J158" s="5"/>
      <c r="K158" s="5"/>
      <c r="L158" s="5"/>
      <c r="M158" s="5"/>
    </row>
    <row r="159" spans="2:13">
      <c r="B159" s="505" t="s">
        <v>229</v>
      </c>
      <c r="C159" s="544"/>
      <c r="D159" s="544"/>
      <c r="E159" s="544"/>
      <c r="F159" s="544"/>
      <c r="I159" s="5"/>
      <c r="J159" s="5"/>
      <c r="K159" s="5"/>
      <c r="L159" s="5"/>
      <c r="M159" s="5"/>
    </row>
    <row r="160" spans="2:13">
      <c r="B160" s="505" t="s">
        <v>230</v>
      </c>
      <c r="C160" s="544"/>
      <c r="D160" s="544"/>
      <c r="E160" s="544"/>
      <c r="F160" s="544"/>
      <c r="I160" s="5"/>
      <c r="J160" s="5"/>
      <c r="K160" s="5"/>
      <c r="L160" s="5"/>
      <c r="M160" s="5"/>
    </row>
    <row r="161" spans="2:13">
      <c r="B161" s="505" t="s">
        <v>231</v>
      </c>
      <c r="C161" s="544"/>
      <c r="D161" s="544"/>
      <c r="E161" s="544"/>
      <c r="F161" s="544"/>
      <c r="I161" s="5"/>
      <c r="J161" s="5"/>
      <c r="K161" s="5"/>
      <c r="L161" s="5"/>
      <c r="M161" s="5"/>
    </row>
    <row r="162" spans="2:13">
      <c r="B162" s="505" t="s">
        <v>232</v>
      </c>
      <c r="C162" s="544"/>
      <c r="D162" s="544"/>
      <c r="E162" s="544"/>
      <c r="F162" s="544"/>
      <c r="I162" s="5"/>
      <c r="J162" s="5"/>
      <c r="K162" s="5"/>
      <c r="L162" s="5"/>
      <c r="M162" s="5"/>
    </row>
    <row r="163" spans="2:13">
      <c r="B163" s="505" t="s">
        <v>233</v>
      </c>
      <c r="C163" s="544"/>
      <c r="D163" s="544"/>
      <c r="E163" s="544"/>
      <c r="F163" s="544"/>
      <c r="I163" s="5"/>
      <c r="J163" s="5"/>
      <c r="K163" s="5"/>
      <c r="L163" s="5"/>
      <c r="M163" s="5"/>
    </row>
    <row r="164" spans="2:13">
      <c r="B164" s="505" t="s">
        <v>234</v>
      </c>
      <c r="C164" s="544"/>
      <c r="D164" s="544"/>
      <c r="E164" s="544"/>
      <c r="F164" s="544"/>
      <c r="I164" s="5"/>
      <c r="J164" s="5"/>
      <c r="K164" s="5"/>
      <c r="L164" s="5"/>
      <c r="M164" s="5"/>
    </row>
    <row r="165" spans="2:13">
      <c r="B165" s="505" t="s">
        <v>235</v>
      </c>
      <c r="C165" s="544"/>
      <c r="D165" s="544"/>
      <c r="E165" s="544"/>
      <c r="F165" s="544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4"/>
      <c r="D168" s="544"/>
      <c r="E168" s="544"/>
      <c r="F168" s="544"/>
      <c r="I168" s="5"/>
      <c r="J168" s="5"/>
      <c r="K168" s="5"/>
      <c r="L168" s="5"/>
      <c r="M168" s="5"/>
    </row>
    <row r="169" spans="2:13">
      <c r="B169" s="505" t="s">
        <v>239</v>
      </c>
      <c r="C169" s="544"/>
      <c r="D169" s="544"/>
      <c r="E169" s="544"/>
      <c r="F169" s="544"/>
      <c r="I169" s="5"/>
      <c r="J169" s="5"/>
      <c r="K169" s="5"/>
      <c r="L169" s="5"/>
      <c r="M169" s="5"/>
    </row>
    <row r="170" spans="2:13">
      <c r="B170" s="505" t="s">
        <v>240</v>
      </c>
      <c r="C170" s="544"/>
      <c r="D170" s="544"/>
      <c r="E170" s="544"/>
      <c r="F170" s="544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4"/>
      <c r="D172" s="544"/>
      <c r="E172" s="544"/>
      <c r="F172" s="544"/>
      <c r="I172" s="5"/>
      <c r="J172" s="5"/>
      <c r="K172" s="5"/>
      <c r="L172" s="5"/>
      <c r="M172" s="5"/>
    </row>
    <row r="173" spans="2:13">
      <c r="B173" s="505" t="s">
        <v>243</v>
      </c>
      <c r="C173" s="544"/>
      <c r="D173" s="544"/>
      <c r="E173" s="544"/>
      <c r="F173" s="544"/>
      <c r="I173" s="5"/>
      <c r="J173" s="5"/>
      <c r="K173" s="5"/>
      <c r="L173" s="5"/>
      <c r="M173" s="5"/>
    </row>
    <row r="174" spans="2:13">
      <c r="B174" s="505" t="s">
        <v>244</v>
      </c>
      <c r="C174" s="544"/>
      <c r="D174" s="544"/>
      <c r="E174" s="544"/>
      <c r="F174" s="544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4"/>
      <c r="D177" s="544"/>
      <c r="E177" s="544"/>
      <c r="F177" s="544"/>
      <c r="I177" s="5"/>
      <c r="J177" s="5"/>
      <c r="K177" s="5"/>
      <c r="L177" s="5"/>
      <c r="M177" s="5"/>
    </row>
    <row r="178" spans="2:13">
      <c r="B178" s="505" t="s">
        <v>221</v>
      </c>
      <c r="C178" s="544"/>
      <c r="D178" s="544"/>
      <c r="E178" s="544"/>
      <c r="F178" s="544"/>
      <c r="I178" s="5"/>
      <c r="J178" s="5"/>
      <c r="K178" s="5"/>
      <c r="L178" s="5"/>
      <c r="M178" s="5"/>
    </row>
    <row r="179" spans="2:13">
      <c r="B179" s="505" t="s">
        <v>248</v>
      </c>
      <c r="C179" s="544"/>
      <c r="D179" s="544"/>
      <c r="E179" s="544"/>
      <c r="F179" s="544"/>
      <c r="I179" s="5"/>
      <c r="J179" s="5"/>
      <c r="K179" s="5"/>
      <c r="L179" s="5"/>
      <c r="M179" s="5"/>
    </row>
    <row r="180" spans="2:13">
      <c r="B180" s="505" t="s">
        <v>221</v>
      </c>
      <c r="C180" s="544"/>
      <c r="D180" s="544"/>
      <c r="E180" s="544"/>
      <c r="F180" s="544"/>
      <c r="I180" s="5"/>
      <c r="J180" s="5"/>
      <c r="K180" s="5"/>
      <c r="L180" s="5"/>
      <c r="M180" s="5"/>
    </row>
    <row r="181" spans="2:13">
      <c r="B181" s="505" t="s">
        <v>249</v>
      </c>
      <c r="C181" s="544"/>
      <c r="D181" s="544"/>
      <c r="E181" s="544"/>
      <c r="F181" s="544"/>
      <c r="I181" s="5"/>
      <c r="J181" s="5"/>
      <c r="K181" s="5"/>
      <c r="L181" s="5"/>
      <c r="M181" s="5"/>
    </row>
    <row r="182" spans="2:13">
      <c r="B182" s="505" t="s">
        <v>250</v>
      </c>
      <c r="C182" s="544"/>
      <c r="D182" s="544"/>
      <c r="E182" s="544"/>
      <c r="F182" s="544"/>
      <c r="I182" s="5"/>
      <c r="J182" s="5"/>
      <c r="K182" s="5"/>
      <c r="L182" s="5"/>
      <c r="M182" s="5"/>
    </row>
    <row r="183" spans="2:13">
      <c r="B183" s="505" t="s">
        <v>251</v>
      </c>
      <c r="C183" s="544"/>
      <c r="D183" s="544"/>
      <c r="E183" s="544"/>
      <c r="F183" s="544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4"/>
      <c r="D185" s="544"/>
      <c r="E185" s="544"/>
      <c r="F185" s="544"/>
      <c r="I185" s="5"/>
      <c r="J185" s="5"/>
      <c r="K185" s="5"/>
      <c r="L185" s="5"/>
      <c r="M185" s="5"/>
    </row>
    <row r="186" spans="2:13">
      <c r="B186" s="505" t="s">
        <v>221</v>
      </c>
      <c r="C186" s="544"/>
      <c r="D186" s="544"/>
      <c r="E186" s="544"/>
      <c r="F186" s="544"/>
      <c r="I186" s="5"/>
      <c r="J186" s="5"/>
      <c r="K186" s="5"/>
      <c r="L186" s="5"/>
      <c r="M186" s="5"/>
    </row>
    <row r="187" spans="2:13">
      <c r="B187" s="505" t="s">
        <v>254</v>
      </c>
      <c r="C187" s="544"/>
      <c r="D187" s="544"/>
      <c r="E187" s="544"/>
      <c r="F187" s="544"/>
      <c r="I187" s="5"/>
      <c r="J187" s="5"/>
      <c r="K187" s="5"/>
      <c r="L187" s="5"/>
      <c r="M187" s="5"/>
    </row>
    <row r="188" spans="2:13">
      <c r="B188" s="505" t="s">
        <v>255</v>
      </c>
      <c r="C188" s="544"/>
      <c r="D188" s="544"/>
      <c r="E188" s="544"/>
      <c r="F188" s="544"/>
      <c r="I188" s="5"/>
      <c r="J188" s="5"/>
      <c r="K188" s="5"/>
      <c r="L188" s="5"/>
      <c r="M188" s="5"/>
    </row>
    <row r="189" spans="2:13">
      <c r="B189" s="505" t="s">
        <v>256</v>
      </c>
      <c r="C189" s="544"/>
      <c r="D189" s="544"/>
      <c r="E189" s="544"/>
      <c r="F189" s="544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4"/>
      <c r="D192" s="544"/>
      <c r="E192" s="544"/>
      <c r="F192" s="544"/>
      <c r="I192" s="5"/>
      <c r="J192" s="5"/>
      <c r="K192" s="5"/>
      <c r="L192" s="5"/>
      <c r="M192" s="5"/>
    </row>
    <row r="193" spans="2:13">
      <c r="B193" s="505" t="s">
        <v>260</v>
      </c>
      <c r="C193" s="544"/>
      <c r="D193" s="544"/>
      <c r="E193" s="544"/>
      <c r="F193" s="544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4"/>
      <c r="D195" s="544"/>
      <c r="E195" s="544"/>
      <c r="F195" s="544"/>
      <c r="I195" s="5"/>
      <c r="J195" s="5"/>
      <c r="K195" s="5"/>
      <c r="L195" s="5"/>
      <c r="M195" s="5"/>
    </row>
    <row r="196" spans="2:13" ht="24">
      <c r="B196" s="505" t="s">
        <v>263</v>
      </c>
      <c r="C196" s="544"/>
      <c r="D196" s="544"/>
      <c r="E196" s="544"/>
      <c r="F196" s="544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syLoRrF6J1BpaOCHeOsD+PkGLa2ws87m2EHHvNwZ3H7l1t9wSPCNy7gliMwsoQ9FotXkSuUnonDhuNbTYW4CdQ==" saltValue="EKzFeZkOp8+KkAppED+WbQ==" spinCount="100000" sheet="1" objects="1" scenarios="1"/>
  <mergeCells count="1">
    <mergeCell ref="B2:F3"/>
  </mergeCells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101600</xdr:colOff>
                    <xdr:row>3</xdr:row>
                    <xdr:rowOff>107950</xdr:rowOff>
                  </from>
                  <to>
                    <xdr:col>5</xdr:col>
                    <xdr:colOff>660400</xdr:colOff>
                    <xdr:row>9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63.33203125" style="1" bestFit="1" customWidth="1"/>
    <col min="3" max="3" width="36" style="1" customWidth="1"/>
    <col min="4" max="5" width="36" style="1" hidden="1" customWidth="1"/>
    <col min="6" max="6" width="9.33203125" style="1" hidden="1" customWidth="1"/>
    <col min="7" max="10" width="9.88671875" style="1" hidden="1" customWidth="1"/>
    <col min="11" max="24" width="12.88671875" style="1" customWidth="1"/>
    <col min="25" max="25" width="2.88671875" style="1" customWidth="1"/>
    <col min="26" max="16384" width="9.3320312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2:24"/>
    <row r="14" spans="2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2:24"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2:24"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2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2:24"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2:24"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2:24"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2:24"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2:24"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2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2:24"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 t="shared" ref="K27:X27" si="1">ROUND(K21*K15,0)</f>
        <v>0</v>
      </c>
      <c r="L27" s="33">
        <f t="shared" si="1"/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2:24"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2">ROUND(K22*K16,0)</f>
        <v>0</v>
      </c>
      <c r="L28" s="33">
        <f t="shared" si="2"/>
        <v>0</v>
      </c>
      <c r="M28" s="33">
        <f t="shared" si="2"/>
        <v>0</v>
      </c>
      <c r="N28" s="33">
        <f t="shared" si="2"/>
        <v>0</v>
      </c>
      <c r="O28" s="33">
        <f t="shared" si="2"/>
        <v>0</v>
      </c>
      <c r="P28" s="33">
        <f t="shared" si="2"/>
        <v>0</v>
      </c>
      <c r="Q28" s="33">
        <f t="shared" si="2"/>
        <v>0</v>
      </c>
      <c r="R28" s="33">
        <f t="shared" si="2"/>
        <v>0</v>
      </c>
      <c r="S28" s="33">
        <f t="shared" si="2"/>
        <v>0</v>
      </c>
      <c r="T28" s="33">
        <f t="shared" si="2"/>
        <v>0</v>
      </c>
      <c r="U28" s="33">
        <f t="shared" si="2"/>
        <v>0</v>
      </c>
      <c r="V28" s="33">
        <f t="shared" si="2"/>
        <v>0</v>
      </c>
      <c r="W28" s="33">
        <f t="shared" si="2"/>
        <v>0</v>
      </c>
      <c r="X28" s="33">
        <f t="shared" si="2"/>
        <v>0</v>
      </c>
    </row>
    <row r="29" spans="2:24"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3">ROUND(K23*K17,0)</f>
        <v>0</v>
      </c>
      <c r="L29" s="33">
        <f t="shared" si="3"/>
        <v>0</v>
      </c>
      <c r="M29" s="33">
        <f t="shared" si="3"/>
        <v>0</v>
      </c>
      <c r="N29" s="33">
        <f t="shared" si="3"/>
        <v>0</v>
      </c>
      <c r="O29" s="33">
        <f t="shared" si="3"/>
        <v>0</v>
      </c>
      <c r="P29" s="33">
        <f t="shared" si="3"/>
        <v>0</v>
      </c>
      <c r="Q29" s="33">
        <f t="shared" si="3"/>
        <v>0</v>
      </c>
      <c r="R29" s="33">
        <f t="shared" si="3"/>
        <v>0</v>
      </c>
      <c r="S29" s="33">
        <f t="shared" si="3"/>
        <v>0</v>
      </c>
      <c r="T29" s="33">
        <f t="shared" si="3"/>
        <v>0</v>
      </c>
      <c r="U29" s="33">
        <f t="shared" si="3"/>
        <v>0</v>
      </c>
      <c r="V29" s="33">
        <f t="shared" si="3"/>
        <v>0</v>
      </c>
      <c r="W29" s="33">
        <f t="shared" si="3"/>
        <v>0</v>
      </c>
      <c r="X29" s="33">
        <f t="shared" si="3"/>
        <v>0</v>
      </c>
    </row>
    <row r="30" spans="2:24"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4">ROUND(K24*K18,0)</f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</row>
    <row r="31" spans="2:24"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5">ROUND(K25*K19,0)</f>
        <v>0</v>
      </c>
      <c r="L31" s="33">
        <f t="shared" si="5"/>
        <v>0</v>
      </c>
      <c r="M31" s="33">
        <f t="shared" si="5"/>
        <v>0</v>
      </c>
      <c r="N31" s="33">
        <f t="shared" si="5"/>
        <v>0</v>
      </c>
      <c r="O31" s="33">
        <f t="shared" si="5"/>
        <v>0</v>
      </c>
      <c r="P31" s="33">
        <f t="shared" si="5"/>
        <v>0</v>
      </c>
      <c r="Q31" s="33">
        <f t="shared" si="5"/>
        <v>0</v>
      </c>
      <c r="R31" s="33">
        <f t="shared" si="5"/>
        <v>0</v>
      </c>
      <c r="S31" s="33">
        <f t="shared" si="5"/>
        <v>0</v>
      </c>
      <c r="T31" s="33">
        <f t="shared" si="5"/>
        <v>0</v>
      </c>
      <c r="U31" s="33">
        <f t="shared" si="5"/>
        <v>0</v>
      </c>
      <c r="V31" s="33">
        <f t="shared" si="5"/>
        <v>0</v>
      </c>
      <c r="W31" s="33">
        <f t="shared" si="5"/>
        <v>0</v>
      </c>
      <c r="X31" s="33">
        <f t="shared" si="5"/>
        <v>0</v>
      </c>
    </row>
    <row r="32" spans="2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6">IF(LataProjekcji&lt;=Koniec,ROUND(SUM(K27:K31),0),0)</f>
        <v>0</v>
      </c>
      <c r="L32" s="180">
        <f t="shared" si="6"/>
        <v>0</v>
      </c>
      <c r="M32" s="180">
        <f t="shared" si="6"/>
        <v>0</v>
      </c>
      <c r="N32" s="180">
        <f t="shared" si="6"/>
        <v>0</v>
      </c>
      <c r="O32" s="180">
        <f t="shared" si="6"/>
        <v>0</v>
      </c>
      <c r="P32" s="180">
        <f t="shared" si="6"/>
        <v>0</v>
      </c>
      <c r="Q32" s="180">
        <f t="shared" si="6"/>
        <v>0</v>
      </c>
      <c r="R32" s="180">
        <f t="shared" si="6"/>
        <v>0</v>
      </c>
      <c r="S32" s="180">
        <f t="shared" si="6"/>
        <v>0</v>
      </c>
      <c r="T32" s="180">
        <f t="shared" si="6"/>
        <v>0</v>
      </c>
      <c r="U32" s="180">
        <f t="shared" si="6"/>
        <v>0</v>
      </c>
      <c r="V32" s="180">
        <f t="shared" si="6"/>
        <v>0</v>
      </c>
      <c r="W32" s="180">
        <f t="shared" si="6"/>
        <v>0</v>
      </c>
      <c r="X32" s="180">
        <f t="shared" si="6"/>
        <v>0</v>
      </c>
    </row>
    <row r="33" spans="2:24"/>
    <row r="34" spans="2:24"/>
    <row r="35" spans="2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7">LataProjekcji</f>
        <v>Uzupełnij dane</v>
      </c>
      <c r="L35" s="242" t="str">
        <f t="shared" si="7"/>
        <v/>
      </c>
      <c r="M35" s="242" t="str">
        <f t="shared" si="7"/>
        <v/>
      </c>
      <c r="N35" s="242" t="str">
        <f t="shared" si="7"/>
        <v/>
      </c>
      <c r="O35" s="242" t="str">
        <f t="shared" si="7"/>
        <v/>
      </c>
      <c r="P35" s="242" t="str">
        <f t="shared" si="7"/>
        <v/>
      </c>
      <c r="Q35" s="242" t="str">
        <f t="shared" si="7"/>
        <v/>
      </c>
      <c r="R35" s="242" t="str">
        <f t="shared" si="7"/>
        <v/>
      </c>
      <c r="S35" s="242" t="str">
        <f t="shared" si="7"/>
        <v/>
      </c>
      <c r="T35" s="242" t="str">
        <f t="shared" si="7"/>
        <v/>
      </c>
      <c r="U35" s="242" t="str">
        <f t="shared" si="7"/>
        <v/>
      </c>
      <c r="V35" s="242" t="str">
        <f t="shared" si="7"/>
        <v/>
      </c>
      <c r="W35" s="242" t="str">
        <f t="shared" si="7"/>
        <v/>
      </c>
      <c r="X35" s="242" t="str">
        <f t="shared" si="7"/>
        <v/>
      </c>
    </row>
    <row r="36" spans="2:24"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2:24"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2:24"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2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8">IF(LataProjekcji&lt;=Koniec,ROUND(SUM(K36:K40),0),0)</f>
        <v>0</v>
      </c>
      <c r="L41" s="180">
        <f t="shared" si="8"/>
        <v>0</v>
      </c>
      <c r="M41" s="180">
        <f t="shared" si="8"/>
        <v>0</v>
      </c>
      <c r="N41" s="180">
        <f t="shared" si="8"/>
        <v>0</v>
      </c>
      <c r="O41" s="180">
        <f t="shared" si="8"/>
        <v>0</v>
      </c>
      <c r="P41" s="180">
        <f t="shared" si="8"/>
        <v>0</v>
      </c>
      <c r="Q41" s="180">
        <f t="shared" si="8"/>
        <v>0</v>
      </c>
      <c r="R41" s="180">
        <f t="shared" si="8"/>
        <v>0</v>
      </c>
      <c r="S41" s="180">
        <f t="shared" si="8"/>
        <v>0</v>
      </c>
      <c r="T41" s="180">
        <f t="shared" si="8"/>
        <v>0</v>
      </c>
      <c r="U41" s="180">
        <f t="shared" si="8"/>
        <v>0</v>
      </c>
      <c r="V41" s="180">
        <f t="shared" si="8"/>
        <v>0</v>
      </c>
      <c r="W41" s="180">
        <f t="shared" si="8"/>
        <v>0</v>
      </c>
      <c r="X41" s="180">
        <f t="shared" si="8"/>
        <v>0</v>
      </c>
    </row>
    <row r="42" spans="2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2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2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9">LataProjekcji</f>
        <v>Uzupełnij dane</v>
      </c>
      <c r="L44" s="242" t="str">
        <f t="shared" si="9"/>
        <v/>
      </c>
      <c r="M44" s="242" t="str">
        <f t="shared" si="9"/>
        <v/>
      </c>
      <c r="N44" s="242" t="str">
        <f t="shared" si="9"/>
        <v/>
      </c>
      <c r="O44" s="242" t="str">
        <f t="shared" si="9"/>
        <v/>
      </c>
      <c r="P44" s="242" t="str">
        <f t="shared" si="9"/>
        <v/>
      </c>
      <c r="Q44" s="242" t="str">
        <f t="shared" si="9"/>
        <v/>
      </c>
      <c r="R44" s="242" t="str">
        <f t="shared" si="9"/>
        <v/>
      </c>
      <c r="S44" s="242" t="str">
        <f t="shared" si="9"/>
        <v/>
      </c>
      <c r="T44" s="242" t="str">
        <f t="shared" si="9"/>
        <v/>
      </c>
      <c r="U44" s="242" t="str">
        <f t="shared" si="9"/>
        <v/>
      </c>
      <c r="V44" s="242" t="str">
        <f t="shared" si="9"/>
        <v/>
      </c>
      <c r="W44" s="242" t="str">
        <f t="shared" si="9"/>
        <v/>
      </c>
      <c r="X44" s="242" t="str">
        <f t="shared" si="9"/>
        <v/>
      </c>
    </row>
    <row r="45" spans="2:24"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2:24"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2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0">IF(LataProjekcji&lt;=Koniec,ROUND(SUM(K45:K49),0),0)</f>
        <v>0</v>
      </c>
      <c r="L50" s="180">
        <f t="shared" si="10"/>
        <v>0</v>
      </c>
      <c r="M50" s="180">
        <f t="shared" si="10"/>
        <v>0</v>
      </c>
      <c r="N50" s="180">
        <f t="shared" si="10"/>
        <v>0</v>
      </c>
      <c r="O50" s="180">
        <f t="shared" si="10"/>
        <v>0</v>
      </c>
      <c r="P50" s="180">
        <f t="shared" si="10"/>
        <v>0</v>
      </c>
      <c r="Q50" s="180">
        <f t="shared" si="10"/>
        <v>0</v>
      </c>
      <c r="R50" s="180">
        <f t="shared" si="10"/>
        <v>0</v>
      </c>
      <c r="S50" s="180">
        <f t="shared" si="10"/>
        <v>0</v>
      </c>
      <c r="T50" s="180">
        <f t="shared" si="10"/>
        <v>0</v>
      </c>
      <c r="U50" s="180">
        <f t="shared" si="10"/>
        <v>0</v>
      </c>
      <c r="V50" s="180">
        <f t="shared" si="10"/>
        <v>0</v>
      </c>
      <c r="W50" s="180">
        <f t="shared" si="10"/>
        <v>0</v>
      </c>
      <c r="X50" s="180">
        <f t="shared" si="10"/>
        <v>0</v>
      </c>
    </row>
    <row r="51" spans="2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2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1">LataProjekcji</f>
        <v>Uzupełnij dane</v>
      </c>
      <c r="L53" s="242" t="str">
        <f t="shared" si="11"/>
        <v/>
      </c>
      <c r="M53" s="242" t="str">
        <f t="shared" si="11"/>
        <v/>
      </c>
      <c r="N53" s="242" t="str">
        <f t="shared" si="11"/>
        <v/>
      </c>
      <c r="O53" s="242" t="str">
        <f t="shared" si="11"/>
        <v/>
      </c>
      <c r="P53" s="242" t="str">
        <f t="shared" si="11"/>
        <v/>
      </c>
      <c r="Q53" s="242" t="str">
        <f t="shared" si="11"/>
        <v/>
      </c>
      <c r="R53" s="242" t="str">
        <f t="shared" si="11"/>
        <v/>
      </c>
      <c r="S53" s="242" t="str">
        <f t="shared" si="11"/>
        <v/>
      </c>
      <c r="T53" s="242" t="str">
        <f t="shared" si="11"/>
        <v/>
      </c>
      <c r="U53" s="242" t="str">
        <f t="shared" si="11"/>
        <v/>
      </c>
      <c r="V53" s="242" t="str">
        <f t="shared" si="11"/>
        <v/>
      </c>
      <c r="W53" s="242" t="str">
        <f t="shared" si="11"/>
        <v/>
      </c>
      <c r="X53" s="242" t="str">
        <f t="shared" si="11"/>
        <v/>
      </c>
    </row>
    <row r="54" spans="2:24"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2:24"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2:24"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2:24"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2:24"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2:24"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2:24"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2:24"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2:24"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2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2:24"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2">ROUND(K60*K54,0)</f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2:24"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3">ROUND(K61*K55,0)</f>
        <v>0</v>
      </c>
      <c r="L67" s="33">
        <f t="shared" si="13"/>
        <v>0</v>
      </c>
      <c r="M67" s="33">
        <f t="shared" si="13"/>
        <v>0</v>
      </c>
      <c r="N67" s="33">
        <f t="shared" si="13"/>
        <v>0</v>
      </c>
      <c r="O67" s="33">
        <f t="shared" si="13"/>
        <v>0</v>
      </c>
      <c r="P67" s="33">
        <f t="shared" si="13"/>
        <v>0</v>
      </c>
      <c r="Q67" s="33">
        <f t="shared" si="13"/>
        <v>0</v>
      </c>
      <c r="R67" s="33">
        <f t="shared" si="13"/>
        <v>0</v>
      </c>
      <c r="S67" s="33">
        <f t="shared" si="13"/>
        <v>0</v>
      </c>
      <c r="T67" s="33">
        <f t="shared" si="13"/>
        <v>0</v>
      </c>
      <c r="U67" s="33">
        <f t="shared" si="13"/>
        <v>0</v>
      </c>
      <c r="V67" s="33">
        <f t="shared" si="13"/>
        <v>0</v>
      </c>
      <c r="W67" s="33">
        <f t="shared" si="13"/>
        <v>0</v>
      </c>
      <c r="X67" s="33">
        <f t="shared" si="13"/>
        <v>0</v>
      </c>
    </row>
    <row r="68" spans="2:24"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4">ROUND(K62*K56,0)</f>
        <v>0</v>
      </c>
      <c r="L68" s="33">
        <f t="shared" si="14"/>
        <v>0</v>
      </c>
      <c r="M68" s="33">
        <f t="shared" si="14"/>
        <v>0</v>
      </c>
      <c r="N68" s="33">
        <f t="shared" si="14"/>
        <v>0</v>
      </c>
      <c r="O68" s="33">
        <f t="shared" si="14"/>
        <v>0</v>
      </c>
      <c r="P68" s="33">
        <f t="shared" si="14"/>
        <v>0</v>
      </c>
      <c r="Q68" s="33">
        <f t="shared" si="14"/>
        <v>0</v>
      </c>
      <c r="R68" s="33">
        <f t="shared" si="14"/>
        <v>0</v>
      </c>
      <c r="S68" s="33">
        <f t="shared" si="14"/>
        <v>0</v>
      </c>
      <c r="T68" s="33">
        <f t="shared" si="14"/>
        <v>0</v>
      </c>
      <c r="U68" s="33">
        <f t="shared" si="14"/>
        <v>0</v>
      </c>
      <c r="V68" s="33">
        <f t="shared" si="14"/>
        <v>0</v>
      </c>
      <c r="W68" s="33">
        <f t="shared" si="14"/>
        <v>0</v>
      </c>
      <c r="X68" s="33">
        <f t="shared" si="14"/>
        <v>0</v>
      </c>
    </row>
    <row r="69" spans="2:24"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5">ROUND(K63*K57,0)</f>
        <v>0</v>
      </c>
      <c r="L69" s="33">
        <f t="shared" si="15"/>
        <v>0</v>
      </c>
      <c r="M69" s="33">
        <f t="shared" si="15"/>
        <v>0</v>
      </c>
      <c r="N69" s="33">
        <f t="shared" si="15"/>
        <v>0</v>
      </c>
      <c r="O69" s="33">
        <f t="shared" si="15"/>
        <v>0</v>
      </c>
      <c r="P69" s="33">
        <f t="shared" si="15"/>
        <v>0</v>
      </c>
      <c r="Q69" s="33">
        <f t="shared" si="15"/>
        <v>0</v>
      </c>
      <c r="R69" s="33">
        <f t="shared" si="15"/>
        <v>0</v>
      </c>
      <c r="S69" s="33">
        <f t="shared" si="15"/>
        <v>0</v>
      </c>
      <c r="T69" s="33">
        <f t="shared" si="15"/>
        <v>0</v>
      </c>
      <c r="U69" s="33">
        <f t="shared" si="15"/>
        <v>0</v>
      </c>
      <c r="V69" s="33">
        <f t="shared" si="15"/>
        <v>0</v>
      </c>
      <c r="W69" s="33">
        <f t="shared" si="15"/>
        <v>0</v>
      </c>
      <c r="X69" s="33">
        <f t="shared" si="15"/>
        <v>0</v>
      </c>
    </row>
    <row r="70" spans="2:24"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6">ROUND(K64*K58,0)</f>
        <v>0</v>
      </c>
      <c r="L70" s="33">
        <f t="shared" si="16"/>
        <v>0</v>
      </c>
      <c r="M70" s="33">
        <f t="shared" si="16"/>
        <v>0</v>
      </c>
      <c r="N70" s="33">
        <f t="shared" si="16"/>
        <v>0</v>
      </c>
      <c r="O70" s="33">
        <f t="shared" si="16"/>
        <v>0</v>
      </c>
      <c r="P70" s="33">
        <f t="shared" si="16"/>
        <v>0</v>
      </c>
      <c r="Q70" s="33">
        <f t="shared" si="16"/>
        <v>0</v>
      </c>
      <c r="R70" s="33">
        <f t="shared" si="16"/>
        <v>0</v>
      </c>
      <c r="S70" s="33">
        <f t="shared" si="16"/>
        <v>0</v>
      </c>
      <c r="T70" s="33">
        <f t="shared" si="16"/>
        <v>0</v>
      </c>
      <c r="U70" s="33">
        <f t="shared" si="16"/>
        <v>0</v>
      </c>
      <c r="V70" s="33">
        <f t="shared" si="16"/>
        <v>0</v>
      </c>
      <c r="W70" s="33">
        <f t="shared" si="16"/>
        <v>0</v>
      </c>
      <c r="X70" s="33">
        <f t="shared" si="16"/>
        <v>0</v>
      </c>
    </row>
    <row r="71" spans="2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7">IF(LataProjekcji&lt;=Koniec,ROUND(SUM(L66:L70),0),0)</f>
        <v>0</v>
      </c>
      <c r="M71" s="180">
        <f t="shared" si="17"/>
        <v>0</v>
      </c>
      <c r="N71" s="180">
        <f t="shared" si="17"/>
        <v>0</v>
      </c>
      <c r="O71" s="180">
        <f t="shared" si="17"/>
        <v>0</v>
      </c>
      <c r="P71" s="180">
        <f t="shared" si="17"/>
        <v>0</v>
      </c>
      <c r="Q71" s="180">
        <f t="shared" si="17"/>
        <v>0</v>
      </c>
      <c r="R71" s="180">
        <f t="shared" si="17"/>
        <v>0</v>
      </c>
      <c r="S71" s="180">
        <f t="shared" si="17"/>
        <v>0</v>
      </c>
      <c r="T71" s="180">
        <f t="shared" si="17"/>
        <v>0</v>
      </c>
      <c r="U71" s="180">
        <f t="shared" si="17"/>
        <v>0</v>
      </c>
      <c r="V71" s="180">
        <f t="shared" si="17"/>
        <v>0</v>
      </c>
      <c r="W71" s="180">
        <f t="shared" si="17"/>
        <v>0</v>
      </c>
      <c r="X71" s="180">
        <f t="shared" si="17"/>
        <v>0</v>
      </c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18">LataProjekcji</f>
        <v>Uzupełnij dane</v>
      </c>
      <c r="L74" s="242" t="str">
        <f t="shared" si="18"/>
        <v/>
      </c>
      <c r="M74" s="242" t="str">
        <f t="shared" si="18"/>
        <v/>
      </c>
      <c r="N74" s="242" t="str">
        <f t="shared" si="18"/>
        <v/>
      </c>
      <c r="O74" s="242" t="str">
        <f t="shared" si="18"/>
        <v/>
      </c>
      <c r="P74" s="242" t="str">
        <f t="shared" si="18"/>
        <v/>
      </c>
      <c r="Q74" s="242" t="str">
        <f t="shared" si="18"/>
        <v/>
      </c>
      <c r="R74" s="242" t="str">
        <f t="shared" si="18"/>
        <v/>
      </c>
      <c r="S74" s="242" t="str">
        <f t="shared" si="18"/>
        <v/>
      </c>
      <c r="T74" s="242" t="str">
        <f t="shared" si="18"/>
        <v/>
      </c>
      <c r="U74" s="242" t="str">
        <f t="shared" si="18"/>
        <v/>
      </c>
      <c r="V74" s="242" t="str">
        <f t="shared" si="18"/>
        <v/>
      </c>
      <c r="W74" s="242" t="str">
        <f t="shared" si="18"/>
        <v/>
      </c>
      <c r="X74" s="242" t="str">
        <f t="shared" si="18"/>
        <v/>
      </c>
    </row>
    <row r="75" spans="2:24"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2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2:24"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2:24"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2:24"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2:24"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2:24"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2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2:24"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 t="shared" ref="K87:X87" si="19">ROUND(K81*K75,0)</f>
        <v>0</v>
      </c>
      <c r="L87" s="94">
        <f t="shared" si="19"/>
        <v>0</v>
      </c>
      <c r="M87" s="94">
        <f t="shared" si="19"/>
        <v>0</v>
      </c>
      <c r="N87" s="94">
        <f t="shared" si="19"/>
        <v>0</v>
      </c>
      <c r="O87" s="94">
        <f t="shared" si="19"/>
        <v>0</v>
      </c>
      <c r="P87" s="94">
        <f t="shared" si="19"/>
        <v>0</v>
      </c>
      <c r="Q87" s="94">
        <f t="shared" si="19"/>
        <v>0</v>
      </c>
      <c r="R87" s="94">
        <f t="shared" si="19"/>
        <v>0</v>
      </c>
      <c r="S87" s="94">
        <f t="shared" si="19"/>
        <v>0</v>
      </c>
      <c r="T87" s="94">
        <f t="shared" si="19"/>
        <v>0</v>
      </c>
      <c r="U87" s="94">
        <f t="shared" si="19"/>
        <v>0</v>
      </c>
      <c r="V87" s="94">
        <f t="shared" si="19"/>
        <v>0</v>
      </c>
      <c r="W87" s="94">
        <f t="shared" si="19"/>
        <v>0</v>
      </c>
      <c r="X87" s="94">
        <f t="shared" si="19"/>
        <v>0</v>
      </c>
    </row>
    <row r="88" spans="2:24"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0">ROUND(K82*K76,0)</f>
        <v>0</v>
      </c>
      <c r="L88" s="33">
        <f t="shared" si="20"/>
        <v>0</v>
      </c>
      <c r="M88" s="33">
        <f t="shared" si="20"/>
        <v>0</v>
      </c>
      <c r="N88" s="33">
        <f t="shared" si="20"/>
        <v>0</v>
      </c>
      <c r="O88" s="33">
        <f t="shared" si="20"/>
        <v>0</v>
      </c>
      <c r="P88" s="33">
        <f t="shared" si="20"/>
        <v>0</v>
      </c>
      <c r="Q88" s="33">
        <f t="shared" si="20"/>
        <v>0</v>
      </c>
      <c r="R88" s="33">
        <f t="shared" si="20"/>
        <v>0</v>
      </c>
      <c r="S88" s="33">
        <f t="shared" si="20"/>
        <v>0</v>
      </c>
      <c r="T88" s="33">
        <f t="shared" si="20"/>
        <v>0</v>
      </c>
      <c r="U88" s="33">
        <f t="shared" si="20"/>
        <v>0</v>
      </c>
      <c r="V88" s="33">
        <f t="shared" si="20"/>
        <v>0</v>
      </c>
      <c r="W88" s="33">
        <f t="shared" si="20"/>
        <v>0</v>
      </c>
      <c r="X88" s="33">
        <f t="shared" si="20"/>
        <v>0</v>
      </c>
    </row>
    <row r="89" spans="2:24"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1">ROUND(K83*K77,0)</f>
        <v>0</v>
      </c>
      <c r="L89" s="33">
        <f t="shared" si="21"/>
        <v>0</v>
      </c>
      <c r="M89" s="33">
        <f t="shared" si="21"/>
        <v>0</v>
      </c>
      <c r="N89" s="33">
        <f t="shared" si="21"/>
        <v>0</v>
      </c>
      <c r="O89" s="33">
        <f t="shared" si="21"/>
        <v>0</v>
      </c>
      <c r="P89" s="33">
        <f t="shared" si="21"/>
        <v>0</v>
      </c>
      <c r="Q89" s="33">
        <f t="shared" si="21"/>
        <v>0</v>
      </c>
      <c r="R89" s="33">
        <f t="shared" si="21"/>
        <v>0</v>
      </c>
      <c r="S89" s="33">
        <f t="shared" si="21"/>
        <v>0</v>
      </c>
      <c r="T89" s="33">
        <f t="shared" si="21"/>
        <v>0</v>
      </c>
      <c r="U89" s="33">
        <f t="shared" si="21"/>
        <v>0</v>
      </c>
      <c r="V89" s="33">
        <f t="shared" si="21"/>
        <v>0</v>
      </c>
      <c r="W89" s="33">
        <f t="shared" si="21"/>
        <v>0</v>
      </c>
      <c r="X89" s="33">
        <f t="shared" si="21"/>
        <v>0</v>
      </c>
    </row>
    <row r="90" spans="2:24"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2">ROUND(K84*K78,0)</f>
        <v>0</v>
      </c>
      <c r="L90" s="33">
        <f t="shared" si="22"/>
        <v>0</v>
      </c>
      <c r="M90" s="33">
        <f t="shared" si="22"/>
        <v>0</v>
      </c>
      <c r="N90" s="33">
        <f t="shared" si="22"/>
        <v>0</v>
      </c>
      <c r="O90" s="33">
        <f t="shared" si="22"/>
        <v>0</v>
      </c>
      <c r="P90" s="33">
        <f t="shared" si="22"/>
        <v>0</v>
      </c>
      <c r="Q90" s="33">
        <f t="shared" si="22"/>
        <v>0</v>
      </c>
      <c r="R90" s="33">
        <f t="shared" si="22"/>
        <v>0</v>
      </c>
      <c r="S90" s="33">
        <f t="shared" si="22"/>
        <v>0</v>
      </c>
      <c r="T90" s="33">
        <f t="shared" si="22"/>
        <v>0</v>
      </c>
      <c r="U90" s="33">
        <f t="shared" si="22"/>
        <v>0</v>
      </c>
      <c r="V90" s="33">
        <f t="shared" si="22"/>
        <v>0</v>
      </c>
      <c r="W90" s="33">
        <f t="shared" si="22"/>
        <v>0</v>
      </c>
      <c r="X90" s="33">
        <f t="shared" si="22"/>
        <v>0</v>
      </c>
    </row>
    <row r="91" spans="2:24"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3">ROUND(K85*K79,0)</f>
        <v>0</v>
      </c>
      <c r="L91" s="33">
        <f t="shared" si="23"/>
        <v>0</v>
      </c>
      <c r="M91" s="33">
        <f t="shared" si="23"/>
        <v>0</v>
      </c>
      <c r="N91" s="33">
        <f t="shared" si="23"/>
        <v>0</v>
      </c>
      <c r="O91" s="33">
        <f t="shared" si="23"/>
        <v>0</v>
      </c>
      <c r="P91" s="33">
        <f t="shared" si="23"/>
        <v>0</v>
      </c>
      <c r="Q91" s="33">
        <f t="shared" si="23"/>
        <v>0</v>
      </c>
      <c r="R91" s="33">
        <f t="shared" si="23"/>
        <v>0</v>
      </c>
      <c r="S91" s="33">
        <f t="shared" si="23"/>
        <v>0</v>
      </c>
      <c r="T91" s="33">
        <f t="shared" si="23"/>
        <v>0</v>
      </c>
      <c r="U91" s="33">
        <f t="shared" si="23"/>
        <v>0</v>
      </c>
      <c r="V91" s="33">
        <f t="shared" si="23"/>
        <v>0</v>
      </c>
      <c r="W91" s="33">
        <f t="shared" si="23"/>
        <v>0</v>
      </c>
      <c r="X91" s="33">
        <f t="shared" si="23"/>
        <v>0</v>
      </c>
    </row>
    <row r="92" spans="2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4">IF(LataProjekcji&lt;=Koniec,ROUND(SUM(K87:K91),0),0)</f>
        <v>0</v>
      </c>
      <c r="L92" s="180">
        <f t="shared" si="24"/>
        <v>0</v>
      </c>
      <c r="M92" s="180">
        <f t="shared" si="24"/>
        <v>0</v>
      </c>
      <c r="N92" s="180">
        <f t="shared" si="24"/>
        <v>0</v>
      </c>
      <c r="O92" s="180">
        <f t="shared" si="24"/>
        <v>0</v>
      </c>
      <c r="P92" s="180">
        <f t="shared" si="24"/>
        <v>0</v>
      </c>
      <c r="Q92" s="180">
        <f t="shared" si="24"/>
        <v>0</v>
      </c>
      <c r="R92" s="180">
        <f t="shared" si="24"/>
        <v>0</v>
      </c>
      <c r="S92" s="180">
        <f t="shared" si="24"/>
        <v>0</v>
      </c>
      <c r="T92" s="180">
        <f t="shared" si="24"/>
        <v>0</v>
      </c>
      <c r="U92" s="180">
        <f t="shared" si="24"/>
        <v>0</v>
      </c>
      <c r="V92" s="180">
        <f t="shared" si="24"/>
        <v>0</v>
      </c>
      <c r="W92" s="180">
        <f t="shared" si="24"/>
        <v>0</v>
      </c>
      <c r="X92" s="180">
        <f t="shared" si="24"/>
        <v>0</v>
      </c>
    </row>
    <row r="93" spans="2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2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2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5">LataProjekcji</f>
        <v>Uzupełnij dane</v>
      </c>
      <c r="L95" s="242" t="str">
        <f t="shared" si="25"/>
        <v/>
      </c>
      <c r="M95" s="242" t="str">
        <f t="shared" si="25"/>
        <v/>
      </c>
      <c r="N95" s="242" t="str">
        <f t="shared" si="25"/>
        <v/>
      </c>
      <c r="O95" s="242" t="str">
        <f t="shared" si="25"/>
        <v/>
      </c>
      <c r="P95" s="242" t="str">
        <f t="shared" si="25"/>
        <v/>
      </c>
      <c r="Q95" s="242" t="str">
        <f t="shared" si="25"/>
        <v/>
      </c>
      <c r="R95" s="242" t="str">
        <f t="shared" si="25"/>
        <v/>
      </c>
      <c r="S95" s="242" t="str">
        <f t="shared" si="25"/>
        <v/>
      </c>
      <c r="T95" s="242" t="str">
        <f t="shared" si="25"/>
        <v/>
      </c>
      <c r="U95" s="242" t="str">
        <f t="shared" si="25"/>
        <v/>
      </c>
      <c r="V95" s="242" t="str">
        <f t="shared" si="25"/>
        <v/>
      </c>
      <c r="W95" s="242" t="str">
        <f t="shared" si="25"/>
        <v/>
      </c>
      <c r="X95" s="242" t="str">
        <f t="shared" si="25"/>
        <v/>
      </c>
    </row>
    <row r="96" spans="2:24"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2:24"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282</v>
      </c>
      <c r="C100" s="52"/>
      <c r="G100" s="52"/>
      <c r="H100" s="52"/>
      <c r="I100" s="52"/>
      <c r="J100" s="52"/>
      <c r="K100" s="33">
        <f>ROUND('Rozliczenie dotacji'!K20,0)</f>
        <v>0</v>
      </c>
      <c r="L100" s="33">
        <f>ROUND('Rozliczenie dotacji'!L20,0)</f>
        <v>0</v>
      </c>
      <c r="M100" s="33">
        <f>ROUND('Rozliczenie dotacji'!M20,0)</f>
        <v>0</v>
      </c>
      <c r="N100" s="33">
        <f>ROUND('Rozliczenie dotacji'!N20,0)</f>
        <v>0</v>
      </c>
      <c r="O100" s="33">
        <f>ROUND('Rozliczenie dotacji'!O20,0)</f>
        <v>0</v>
      </c>
      <c r="P100" s="33">
        <f>ROUND('Rozliczenie dotacji'!P20,0)</f>
        <v>0</v>
      </c>
      <c r="Q100" s="33">
        <f>ROUND('Rozliczenie dotacji'!Q20,0)</f>
        <v>0</v>
      </c>
      <c r="R100" s="33">
        <f>ROUND('Rozliczenie dotacji'!R20,0)</f>
        <v>0</v>
      </c>
      <c r="S100" s="33">
        <f>ROUND('Rozliczenie dotacji'!S20,0)</f>
        <v>0</v>
      </c>
      <c r="T100" s="33">
        <f>ROUND('Rozliczenie dotacji'!T20,0)</f>
        <v>0</v>
      </c>
      <c r="U100" s="33">
        <f>ROUND('Rozliczenie dotacji'!U20,0)</f>
        <v>0</v>
      </c>
      <c r="V100" s="33">
        <f>ROUND('Rozliczenie dotacji'!V20,0)</f>
        <v>0</v>
      </c>
      <c r="W100" s="33">
        <f>ROUND('Rozliczenie dotacji'!W20,0)</f>
        <v>0</v>
      </c>
      <c r="X100" s="33">
        <f>ROUND('Rozliczenie dotacji'!X20,0)</f>
        <v>0</v>
      </c>
    </row>
    <row r="101" spans="2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6">IF(LataProjekcji&lt;=Koniec,ROUND(SUM(K96:K100),0),0)</f>
        <v>0</v>
      </c>
      <c r="L101" s="180">
        <f t="shared" si="26"/>
        <v>0</v>
      </c>
      <c r="M101" s="180">
        <f t="shared" si="26"/>
        <v>0</v>
      </c>
      <c r="N101" s="180">
        <f t="shared" si="26"/>
        <v>0</v>
      </c>
      <c r="O101" s="180">
        <f t="shared" si="26"/>
        <v>0</v>
      </c>
      <c r="P101" s="180">
        <f t="shared" si="26"/>
        <v>0</v>
      </c>
      <c r="Q101" s="180">
        <f t="shared" si="26"/>
        <v>0</v>
      </c>
      <c r="R101" s="180">
        <f t="shared" si="26"/>
        <v>0</v>
      </c>
      <c r="S101" s="180">
        <f t="shared" si="26"/>
        <v>0</v>
      </c>
      <c r="T101" s="180">
        <f t="shared" si="26"/>
        <v>0</v>
      </c>
      <c r="U101" s="180">
        <f t="shared" si="26"/>
        <v>0</v>
      </c>
      <c r="V101" s="180">
        <f t="shared" si="26"/>
        <v>0</v>
      </c>
      <c r="W101" s="180">
        <f t="shared" si="26"/>
        <v>0</v>
      </c>
      <c r="X101" s="180">
        <f t="shared" si="26"/>
        <v>0</v>
      </c>
    </row>
    <row r="102" spans="2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2:24"/>
    <row r="104" spans="2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27">LataProjekcji</f>
        <v>Uzupełnij dane</v>
      </c>
      <c r="L104" s="242" t="str">
        <f t="shared" si="27"/>
        <v/>
      </c>
      <c r="M104" s="242" t="str">
        <f t="shared" si="27"/>
        <v/>
      </c>
      <c r="N104" s="242" t="str">
        <f t="shared" si="27"/>
        <v/>
      </c>
      <c r="O104" s="242" t="str">
        <f t="shared" si="27"/>
        <v/>
      </c>
      <c r="P104" s="242" t="str">
        <f t="shared" si="27"/>
        <v/>
      </c>
      <c r="Q104" s="242" t="str">
        <f t="shared" si="27"/>
        <v/>
      </c>
      <c r="R104" s="242" t="str">
        <f t="shared" si="27"/>
        <v/>
      </c>
      <c r="S104" s="242" t="str">
        <f t="shared" si="27"/>
        <v/>
      </c>
      <c r="T104" s="242" t="str">
        <f t="shared" si="27"/>
        <v/>
      </c>
      <c r="U104" s="242" t="str">
        <f t="shared" si="27"/>
        <v/>
      </c>
      <c r="V104" s="242" t="str">
        <f t="shared" si="27"/>
        <v/>
      </c>
      <c r="W104" s="242" t="str">
        <f t="shared" si="27"/>
        <v/>
      </c>
      <c r="X104" s="242" t="str">
        <f t="shared" si="27"/>
        <v/>
      </c>
    </row>
    <row r="105" spans="2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2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2:24"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2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28">IF(LataProjekcji&lt;=Koniec,ROUND(SUM(K105:K109),0),0)</f>
        <v>0</v>
      </c>
      <c r="L110" s="180">
        <f t="shared" ca="1" si="28"/>
        <v>0</v>
      </c>
      <c r="M110" s="180">
        <f t="shared" ca="1" si="28"/>
        <v>0</v>
      </c>
      <c r="N110" s="180">
        <f t="shared" ca="1" si="28"/>
        <v>0</v>
      </c>
      <c r="O110" s="180">
        <f t="shared" ca="1" si="28"/>
        <v>0</v>
      </c>
      <c r="P110" s="180">
        <f t="shared" ca="1" si="28"/>
        <v>0</v>
      </c>
      <c r="Q110" s="180">
        <f t="shared" ca="1" si="28"/>
        <v>0</v>
      </c>
      <c r="R110" s="180">
        <f t="shared" ca="1" si="28"/>
        <v>0</v>
      </c>
      <c r="S110" s="180">
        <f t="shared" ca="1" si="28"/>
        <v>0</v>
      </c>
      <c r="T110" s="180">
        <f t="shared" ca="1" si="28"/>
        <v>0</v>
      </c>
      <c r="U110" s="180">
        <f t="shared" ca="1" si="28"/>
        <v>0</v>
      </c>
      <c r="V110" s="180">
        <f t="shared" ca="1" si="28"/>
        <v>0</v>
      </c>
      <c r="W110" s="180">
        <f t="shared" ca="1" si="28"/>
        <v>0</v>
      </c>
      <c r="X110" s="180">
        <f t="shared" ca="1" si="28"/>
        <v>0</v>
      </c>
    </row>
    <row r="111" spans="2:24"/>
    <row r="112" spans="2:24"/>
    <row r="113" spans="2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29">LataProjekcji</f>
        <v>Uzupełnij dane</v>
      </c>
      <c r="L113" s="176" t="str">
        <f t="shared" si="29"/>
        <v/>
      </c>
      <c r="M113" s="176" t="str">
        <f t="shared" si="29"/>
        <v/>
      </c>
      <c r="N113" s="176" t="str">
        <f t="shared" si="29"/>
        <v/>
      </c>
      <c r="O113" s="176" t="str">
        <f t="shared" si="29"/>
        <v/>
      </c>
      <c r="P113" s="176" t="str">
        <f t="shared" si="29"/>
        <v/>
      </c>
      <c r="Q113" s="176" t="str">
        <f t="shared" si="29"/>
        <v/>
      </c>
      <c r="R113" s="176" t="str">
        <f t="shared" si="29"/>
        <v/>
      </c>
      <c r="S113" s="176" t="str">
        <f t="shared" si="29"/>
        <v/>
      </c>
      <c r="T113" s="176" t="str">
        <f t="shared" si="29"/>
        <v/>
      </c>
      <c r="U113" s="176" t="str">
        <f t="shared" si="29"/>
        <v/>
      </c>
      <c r="V113" s="176" t="str">
        <f t="shared" si="29"/>
        <v/>
      </c>
      <c r="W113" s="176" t="str">
        <f t="shared" si="29"/>
        <v/>
      </c>
      <c r="X113" s="176" t="str">
        <f t="shared" si="29"/>
        <v/>
      </c>
    </row>
    <row r="114" spans="2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0">ROUND(L32,0)</f>
        <v>0</v>
      </c>
      <c r="M114" s="94">
        <f t="shared" si="30"/>
        <v>0</v>
      </c>
      <c r="N114" s="94">
        <f t="shared" si="30"/>
        <v>0</v>
      </c>
      <c r="O114" s="94">
        <f t="shared" si="30"/>
        <v>0</v>
      </c>
      <c r="P114" s="94">
        <f t="shared" si="30"/>
        <v>0</v>
      </c>
      <c r="Q114" s="94">
        <f t="shared" si="30"/>
        <v>0</v>
      </c>
      <c r="R114" s="94">
        <f t="shared" si="30"/>
        <v>0</v>
      </c>
      <c r="S114" s="94">
        <f t="shared" si="30"/>
        <v>0</v>
      </c>
      <c r="T114" s="94">
        <f t="shared" si="30"/>
        <v>0</v>
      </c>
      <c r="U114" s="94">
        <f t="shared" si="30"/>
        <v>0</v>
      </c>
      <c r="V114" s="94">
        <f t="shared" si="30"/>
        <v>0</v>
      </c>
      <c r="W114" s="94">
        <f t="shared" si="30"/>
        <v>0</v>
      </c>
      <c r="X114" s="94">
        <f t="shared" si="30"/>
        <v>0</v>
      </c>
    </row>
    <row r="115" spans="2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1">ROUND(L41,0)</f>
        <v>0</v>
      </c>
      <c r="M115" s="33">
        <f t="shared" si="31"/>
        <v>0</v>
      </c>
      <c r="N115" s="33">
        <f t="shared" si="31"/>
        <v>0</v>
      </c>
      <c r="O115" s="33">
        <f t="shared" si="31"/>
        <v>0</v>
      </c>
      <c r="P115" s="33">
        <f t="shared" si="31"/>
        <v>0</v>
      </c>
      <c r="Q115" s="33">
        <f t="shared" si="31"/>
        <v>0</v>
      </c>
      <c r="R115" s="33">
        <f t="shared" si="31"/>
        <v>0</v>
      </c>
      <c r="S115" s="33">
        <f t="shared" si="31"/>
        <v>0</v>
      </c>
      <c r="T115" s="33">
        <f t="shared" si="31"/>
        <v>0</v>
      </c>
      <c r="U115" s="33">
        <f t="shared" si="31"/>
        <v>0</v>
      </c>
      <c r="V115" s="33">
        <f t="shared" si="31"/>
        <v>0</v>
      </c>
      <c r="W115" s="33">
        <f t="shared" si="31"/>
        <v>0</v>
      </c>
      <c r="X115" s="33">
        <f t="shared" si="31"/>
        <v>0</v>
      </c>
    </row>
    <row r="116" spans="2:24">
      <c r="B116" s="1" t="s">
        <v>272</v>
      </c>
      <c r="K116" s="5">
        <f>ROUND(K50,0)</f>
        <v>0</v>
      </c>
      <c r="L116" s="5">
        <f t="shared" ref="L116:X116" si="32">ROUND(L50,0)</f>
        <v>0</v>
      </c>
      <c r="M116" s="5">
        <f t="shared" si="32"/>
        <v>0</v>
      </c>
      <c r="N116" s="5">
        <f t="shared" si="32"/>
        <v>0</v>
      </c>
      <c r="O116" s="5">
        <f t="shared" si="32"/>
        <v>0</v>
      </c>
      <c r="P116" s="5">
        <f t="shared" si="32"/>
        <v>0</v>
      </c>
      <c r="Q116" s="5">
        <f t="shared" si="32"/>
        <v>0</v>
      </c>
      <c r="R116" s="5">
        <f t="shared" si="32"/>
        <v>0</v>
      </c>
      <c r="S116" s="5">
        <f t="shared" si="32"/>
        <v>0</v>
      </c>
      <c r="T116" s="5">
        <f t="shared" si="32"/>
        <v>0</v>
      </c>
      <c r="U116" s="5">
        <f t="shared" si="32"/>
        <v>0</v>
      </c>
      <c r="V116" s="5">
        <f t="shared" si="32"/>
        <v>0</v>
      </c>
      <c r="W116" s="5">
        <f t="shared" si="32"/>
        <v>0</v>
      </c>
      <c r="X116" s="5">
        <f t="shared" si="32"/>
        <v>0</v>
      </c>
    </row>
    <row r="117" spans="2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3">ROUND(L71,0)</f>
        <v>0</v>
      </c>
      <c r="M117" s="90">
        <f t="shared" si="33"/>
        <v>0</v>
      </c>
      <c r="N117" s="90">
        <f t="shared" si="33"/>
        <v>0</v>
      </c>
      <c r="O117" s="90">
        <f t="shared" si="33"/>
        <v>0</v>
      </c>
      <c r="P117" s="90">
        <f t="shared" si="33"/>
        <v>0</v>
      </c>
      <c r="Q117" s="90">
        <f t="shared" si="33"/>
        <v>0</v>
      </c>
      <c r="R117" s="90">
        <f t="shared" si="33"/>
        <v>0</v>
      </c>
      <c r="S117" s="90">
        <f t="shared" si="33"/>
        <v>0</v>
      </c>
      <c r="T117" s="90">
        <f t="shared" si="33"/>
        <v>0</v>
      </c>
      <c r="U117" s="90">
        <f t="shared" si="33"/>
        <v>0</v>
      </c>
      <c r="V117" s="90">
        <f t="shared" si="33"/>
        <v>0</v>
      </c>
      <c r="W117" s="90">
        <f t="shared" si="33"/>
        <v>0</v>
      </c>
      <c r="X117" s="90">
        <f t="shared" si="33"/>
        <v>0</v>
      </c>
    </row>
    <row r="118" spans="2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4">ROUND(SUM(L114:L117),0)</f>
        <v>0</v>
      </c>
      <c r="M118" s="97">
        <f t="shared" si="34"/>
        <v>0</v>
      </c>
      <c r="N118" s="97">
        <f t="shared" si="34"/>
        <v>0</v>
      </c>
      <c r="O118" s="97">
        <f t="shared" si="34"/>
        <v>0</v>
      </c>
      <c r="P118" s="97">
        <f t="shared" si="34"/>
        <v>0</v>
      </c>
      <c r="Q118" s="97">
        <f t="shared" si="34"/>
        <v>0</v>
      </c>
      <c r="R118" s="97">
        <f t="shared" si="34"/>
        <v>0</v>
      </c>
      <c r="S118" s="97">
        <f t="shared" si="34"/>
        <v>0</v>
      </c>
      <c r="T118" s="97">
        <f t="shared" si="34"/>
        <v>0</v>
      </c>
      <c r="U118" s="97">
        <f t="shared" si="34"/>
        <v>0</v>
      </c>
      <c r="V118" s="97">
        <f t="shared" si="34"/>
        <v>0</v>
      </c>
      <c r="W118" s="97">
        <f t="shared" si="34"/>
        <v>0</v>
      </c>
      <c r="X118" s="97">
        <f t="shared" si="34"/>
        <v>0</v>
      </c>
    </row>
    <row r="119" spans="2:24">
      <c r="B119" s="1" t="s">
        <v>293</v>
      </c>
      <c r="K119" s="5">
        <f>ROUND(K92,0)</f>
        <v>0</v>
      </c>
      <c r="L119" s="5">
        <f t="shared" ref="L119:X119" si="35">ROUND(L92,0)</f>
        <v>0</v>
      </c>
      <c r="M119" s="5">
        <f t="shared" si="35"/>
        <v>0</v>
      </c>
      <c r="N119" s="5">
        <f t="shared" si="35"/>
        <v>0</v>
      </c>
      <c r="O119" s="5">
        <f t="shared" si="35"/>
        <v>0</v>
      </c>
      <c r="P119" s="5">
        <f t="shared" si="35"/>
        <v>0</v>
      </c>
      <c r="Q119" s="5">
        <f t="shared" si="35"/>
        <v>0</v>
      </c>
      <c r="R119" s="5">
        <f t="shared" si="35"/>
        <v>0</v>
      </c>
      <c r="S119" s="5">
        <f t="shared" si="35"/>
        <v>0</v>
      </c>
      <c r="T119" s="5">
        <f t="shared" si="35"/>
        <v>0</v>
      </c>
      <c r="U119" s="5">
        <f t="shared" si="35"/>
        <v>0</v>
      </c>
      <c r="V119" s="5">
        <f t="shared" si="35"/>
        <v>0</v>
      </c>
      <c r="W119" s="5">
        <f t="shared" si="35"/>
        <v>0</v>
      </c>
      <c r="X119" s="5">
        <f t="shared" si="35"/>
        <v>0</v>
      </c>
    </row>
    <row r="120" spans="2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6">ROUND(L101,0)</f>
        <v>0</v>
      </c>
      <c r="M120" s="97">
        <f t="shared" si="36"/>
        <v>0</v>
      </c>
      <c r="N120" s="97">
        <f t="shared" si="36"/>
        <v>0</v>
      </c>
      <c r="O120" s="97">
        <f t="shared" si="36"/>
        <v>0</v>
      </c>
      <c r="P120" s="97">
        <f t="shared" si="36"/>
        <v>0</v>
      </c>
      <c r="Q120" s="97">
        <f t="shared" si="36"/>
        <v>0</v>
      </c>
      <c r="R120" s="97">
        <f t="shared" si="36"/>
        <v>0</v>
      </c>
      <c r="S120" s="97">
        <f t="shared" si="36"/>
        <v>0</v>
      </c>
      <c r="T120" s="97">
        <f t="shared" si="36"/>
        <v>0</v>
      </c>
      <c r="U120" s="97">
        <f t="shared" si="36"/>
        <v>0</v>
      </c>
      <c r="V120" s="97">
        <f t="shared" si="36"/>
        <v>0</v>
      </c>
      <c r="W120" s="97">
        <f t="shared" si="36"/>
        <v>0</v>
      </c>
      <c r="X120" s="97">
        <f t="shared" si="36"/>
        <v>0</v>
      </c>
    </row>
    <row r="121" spans="2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37">ROUND(L110,0)</f>
        <v>0</v>
      </c>
      <c r="M121" s="97">
        <f t="shared" ca="1" si="37"/>
        <v>0</v>
      </c>
      <c r="N121" s="97">
        <f t="shared" ca="1" si="37"/>
        <v>0</v>
      </c>
      <c r="O121" s="97">
        <f t="shared" ca="1" si="37"/>
        <v>0</v>
      </c>
      <c r="P121" s="97">
        <f t="shared" ca="1" si="37"/>
        <v>0</v>
      </c>
      <c r="Q121" s="97">
        <f t="shared" ca="1" si="37"/>
        <v>0</v>
      </c>
      <c r="R121" s="97">
        <f t="shared" ca="1" si="37"/>
        <v>0</v>
      </c>
      <c r="S121" s="97">
        <f t="shared" ca="1" si="37"/>
        <v>0</v>
      </c>
      <c r="T121" s="97">
        <f t="shared" ca="1" si="37"/>
        <v>0</v>
      </c>
      <c r="U121" s="97">
        <f t="shared" ca="1" si="37"/>
        <v>0</v>
      </c>
      <c r="V121" s="97">
        <f t="shared" ca="1" si="37"/>
        <v>0</v>
      </c>
      <c r="W121" s="97">
        <f t="shared" ca="1" si="37"/>
        <v>0</v>
      </c>
      <c r="X121" s="97">
        <f t="shared" ca="1" si="37"/>
        <v>0</v>
      </c>
    </row>
    <row r="122" spans="2:24"/>
    <row r="123" spans="2:24"/>
    <row r="124" spans="2:24" ht="14.5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38">LataProjekcji</f>
        <v>Uzupełnij dane</v>
      </c>
      <c r="L124" s="32" t="str">
        <f t="shared" si="38"/>
        <v/>
      </c>
      <c r="M124" s="32" t="str">
        <f t="shared" si="38"/>
        <v/>
      </c>
      <c r="N124" s="32" t="str">
        <f t="shared" si="38"/>
        <v/>
      </c>
      <c r="O124" s="32" t="str">
        <f t="shared" si="38"/>
        <v/>
      </c>
      <c r="P124" s="32" t="str">
        <f t="shared" si="38"/>
        <v/>
      </c>
      <c r="Q124" s="32" t="str">
        <f t="shared" si="38"/>
        <v/>
      </c>
      <c r="R124" s="32" t="str">
        <f t="shared" si="38"/>
        <v/>
      </c>
      <c r="S124" s="32" t="str">
        <f t="shared" si="38"/>
        <v/>
      </c>
      <c r="T124" s="32" t="str">
        <f t="shared" si="38"/>
        <v/>
      </c>
      <c r="U124" s="32" t="str">
        <f t="shared" si="38"/>
        <v/>
      </c>
      <c r="V124" s="32" t="str">
        <f t="shared" si="38"/>
        <v/>
      </c>
      <c r="W124" s="32" t="str">
        <f t="shared" si="38"/>
        <v/>
      </c>
      <c r="X124" s="32" t="str">
        <f t="shared" si="38"/>
        <v/>
      </c>
    </row>
    <row r="125" spans="2:24"/>
    <row r="126" spans="2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2:24"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2:24">
      <c r="B128" s="9"/>
      <c r="C128" s="305"/>
      <c r="E128" s="55"/>
      <c r="F128" s="55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2:24"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2:24"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2:24">
      <c r="B140" s="52" t="str">
        <f t="shared" ref="B140:C147" si="39">IF(ISBLANK(B129),"",B129)</f>
        <v/>
      </c>
      <c r="C140" s="482" t="str">
        <f t="shared" si="39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2:24">
      <c r="B141" s="52" t="str">
        <f t="shared" si="39"/>
        <v/>
      </c>
      <c r="C141" s="482" t="str">
        <f t="shared" si="39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2:24">
      <c r="B142" s="52" t="str">
        <f t="shared" si="39"/>
        <v/>
      </c>
      <c r="C142" s="482" t="str">
        <f t="shared" si="39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2:24">
      <c r="B143" s="52" t="str">
        <f t="shared" si="39"/>
        <v/>
      </c>
      <c r="C143" s="482" t="str">
        <f t="shared" si="39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2:24">
      <c r="B144" s="52" t="str">
        <f t="shared" si="39"/>
        <v/>
      </c>
      <c r="C144" s="482" t="str">
        <f t="shared" si="39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2:24">
      <c r="B145" s="52" t="str">
        <f t="shared" si="39"/>
        <v/>
      </c>
      <c r="C145" s="482" t="str">
        <f t="shared" si="39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2:24">
      <c r="B146" s="52" t="str">
        <f t="shared" si="39"/>
        <v/>
      </c>
      <c r="C146" s="482" t="str">
        <f t="shared" si="39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2:24">
      <c r="B147" s="52" t="str">
        <f t="shared" si="39"/>
        <v/>
      </c>
      <c r="C147" s="482" t="str">
        <f t="shared" si="39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2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2:24"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0">IF(AND(K$180&gt;=Poczatek,K$180&lt;=Koniec,$C149&lt;&gt;""),ROUND(K138*K127,0),0)</f>
        <v>0</v>
      </c>
      <c r="L149" s="33">
        <f t="shared" si="40"/>
        <v>0</v>
      </c>
      <c r="M149" s="33">
        <f t="shared" si="40"/>
        <v>0</v>
      </c>
      <c r="N149" s="33">
        <f t="shared" si="40"/>
        <v>0</v>
      </c>
      <c r="O149" s="33">
        <f t="shared" si="40"/>
        <v>0</v>
      </c>
      <c r="P149" s="33">
        <f t="shared" si="40"/>
        <v>0</v>
      </c>
      <c r="Q149" s="33">
        <f t="shared" si="40"/>
        <v>0</v>
      </c>
      <c r="R149" s="33">
        <f t="shared" si="40"/>
        <v>0</v>
      </c>
      <c r="S149" s="33">
        <f t="shared" si="40"/>
        <v>0</v>
      </c>
      <c r="T149" s="33">
        <f t="shared" si="40"/>
        <v>0</v>
      </c>
      <c r="U149" s="33">
        <f t="shared" si="40"/>
        <v>0</v>
      </c>
      <c r="V149" s="33">
        <f t="shared" si="40"/>
        <v>0</v>
      </c>
      <c r="W149" s="33">
        <f t="shared" si="40"/>
        <v>0</v>
      </c>
      <c r="X149" s="33">
        <f t="shared" si="40"/>
        <v>0</v>
      </c>
    </row>
    <row r="150" spans="2:24"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1">IF(AND(K$180&gt;=Poczatek,K$180&lt;=Koniec,$C150&lt;&gt;""),ROUND(K139*K128,0),0)</f>
        <v>0</v>
      </c>
      <c r="L150" s="33">
        <f t="shared" si="41"/>
        <v>0</v>
      </c>
      <c r="M150" s="33">
        <f t="shared" si="41"/>
        <v>0</v>
      </c>
      <c r="N150" s="33">
        <f t="shared" si="41"/>
        <v>0</v>
      </c>
      <c r="O150" s="33">
        <f t="shared" si="41"/>
        <v>0</v>
      </c>
      <c r="P150" s="33">
        <f t="shared" si="41"/>
        <v>0</v>
      </c>
      <c r="Q150" s="33">
        <f t="shared" si="41"/>
        <v>0</v>
      </c>
      <c r="R150" s="33">
        <f t="shared" si="41"/>
        <v>0</v>
      </c>
      <c r="S150" s="33">
        <f t="shared" si="41"/>
        <v>0</v>
      </c>
      <c r="T150" s="33">
        <f t="shared" si="41"/>
        <v>0</v>
      </c>
      <c r="U150" s="33">
        <f t="shared" si="41"/>
        <v>0</v>
      </c>
      <c r="V150" s="33">
        <f t="shared" si="41"/>
        <v>0</v>
      </c>
      <c r="W150" s="33">
        <f t="shared" si="41"/>
        <v>0</v>
      </c>
      <c r="X150" s="33">
        <f t="shared" si="41"/>
        <v>0</v>
      </c>
    </row>
    <row r="151" spans="2:24">
      <c r="B151" s="52" t="str">
        <f t="shared" ref="B151:B158" si="42">IF(ISBLANK(B140),"",B140)</f>
        <v/>
      </c>
      <c r="C151" s="482" t="str">
        <f t="shared" ref="C151:C158" si="43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4">IF(AND(K$180&gt;=Poczatek,K$180&lt;=Koniec,$C151&lt;&gt;""),ROUND(K140*K129,0),0)</f>
        <v>0</v>
      </c>
      <c r="L151" s="33">
        <f t="shared" si="44"/>
        <v>0</v>
      </c>
      <c r="M151" s="33">
        <f t="shared" si="44"/>
        <v>0</v>
      </c>
      <c r="N151" s="33">
        <f t="shared" si="44"/>
        <v>0</v>
      </c>
      <c r="O151" s="33">
        <f t="shared" si="44"/>
        <v>0</v>
      </c>
      <c r="P151" s="33">
        <f t="shared" si="44"/>
        <v>0</v>
      </c>
      <c r="Q151" s="33">
        <f t="shared" si="44"/>
        <v>0</v>
      </c>
      <c r="R151" s="33">
        <f t="shared" si="44"/>
        <v>0</v>
      </c>
      <c r="S151" s="33">
        <f t="shared" si="44"/>
        <v>0</v>
      </c>
      <c r="T151" s="33">
        <f t="shared" si="44"/>
        <v>0</v>
      </c>
      <c r="U151" s="33">
        <f t="shared" si="44"/>
        <v>0</v>
      </c>
      <c r="V151" s="33">
        <f t="shared" si="44"/>
        <v>0</v>
      </c>
      <c r="W151" s="33">
        <f t="shared" si="44"/>
        <v>0</v>
      </c>
      <c r="X151" s="33">
        <f t="shared" si="44"/>
        <v>0</v>
      </c>
    </row>
    <row r="152" spans="2:24">
      <c r="B152" s="52" t="str">
        <f t="shared" si="42"/>
        <v/>
      </c>
      <c r="C152" s="482" t="str">
        <f t="shared" si="43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5">IF(AND(K$180&gt;=Poczatek,K$180&lt;=Koniec,$C152&lt;&gt;""),ROUND(K141*K130,0),0)</f>
        <v>0</v>
      </c>
      <c r="L152" s="33">
        <f t="shared" si="45"/>
        <v>0</v>
      </c>
      <c r="M152" s="33">
        <f t="shared" si="45"/>
        <v>0</v>
      </c>
      <c r="N152" s="33">
        <f t="shared" si="45"/>
        <v>0</v>
      </c>
      <c r="O152" s="33">
        <f t="shared" si="45"/>
        <v>0</v>
      </c>
      <c r="P152" s="33">
        <f t="shared" si="45"/>
        <v>0</v>
      </c>
      <c r="Q152" s="33">
        <f t="shared" si="45"/>
        <v>0</v>
      </c>
      <c r="R152" s="33">
        <f t="shared" si="45"/>
        <v>0</v>
      </c>
      <c r="S152" s="33">
        <f t="shared" si="45"/>
        <v>0</v>
      </c>
      <c r="T152" s="33">
        <f t="shared" si="45"/>
        <v>0</v>
      </c>
      <c r="U152" s="33">
        <f t="shared" si="45"/>
        <v>0</v>
      </c>
      <c r="V152" s="33">
        <f t="shared" si="45"/>
        <v>0</v>
      </c>
      <c r="W152" s="33">
        <f t="shared" si="45"/>
        <v>0</v>
      </c>
      <c r="X152" s="33">
        <f t="shared" si="45"/>
        <v>0</v>
      </c>
    </row>
    <row r="153" spans="2:24">
      <c r="B153" s="52" t="str">
        <f t="shared" si="42"/>
        <v/>
      </c>
      <c r="C153" s="493" t="str">
        <f t="shared" si="43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46">IF(AND(K$180&gt;=Poczatek,K$180&lt;=Koniec,$C153&lt;&gt;""),ROUND(K142*K131,0),0)</f>
        <v>0</v>
      </c>
      <c r="L153" s="33">
        <f t="shared" si="46"/>
        <v>0</v>
      </c>
      <c r="M153" s="33">
        <f t="shared" si="46"/>
        <v>0</v>
      </c>
      <c r="N153" s="33">
        <f t="shared" si="46"/>
        <v>0</v>
      </c>
      <c r="O153" s="33">
        <f t="shared" si="46"/>
        <v>0</v>
      </c>
      <c r="P153" s="33">
        <f t="shared" si="46"/>
        <v>0</v>
      </c>
      <c r="Q153" s="33">
        <f t="shared" si="46"/>
        <v>0</v>
      </c>
      <c r="R153" s="33">
        <f t="shared" si="46"/>
        <v>0</v>
      </c>
      <c r="S153" s="33">
        <f t="shared" si="46"/>
        <v>0</v>
      </c>
      <c r="T153" s="33">
        <f t="shared" si="46"/>
        <v>0</v>
      </c>
      <c r="U153" s="33">
        <f t="shared" si="46"/>
        <v>0</v>
      </c>
      <c r="V153" s="33">
        <f t="shared" si="46"/>
        <v>0</v>
      </c>
      <c r="W153" s="33">
        <f t="shared" si="46"/>
        <v>0</v>
      </c>
      <c r="X153" s="33">
        <f t="shared" si="46"/>
        <v>0</v>
      </c>
    </row>
    <row r="154" spans="2:24">
      <c r="B154" s="52" t="str">
        <f t="shared" si="42"/>
        <v/>
      </c>
      <c r="C154" s="493" t="str">
        <f t="shared" si="43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47">IF(AND(K$180&gt;=Poczatek,K$180&lt;=Koniec,$C154&lt;&gt;""),ROUND(K143*K132,0),0)</f>
        <v>0</v>
      </c>
      <c r="L154" s="33">
        <f t="shared" si="47"/>
        <v>0</v>
      </c>
      <c r="M154" s="33">
        <f t="shared" si="47"/>
        <v>0</v>
      </c>
      <c r="N154" s="33">
        <f t="shared" si="47"/>
        <v>0</v>
      </c>
      <c r="O154" s="33">
        <f t="shared" si="47"/>
        <v>0</v>
      </c>
      <c r="P154" s="33">
        <f t="shared" si="47"/>
        <v>0</v>
      </c>
      <c r="Q154" s="33">
        <f t="shared" si="47"/>
        <v>0</v>
      </c>
      <c r="R154" s="33">
        <f t="shared" si="47"/>
        <v>0</v>
      </c>
      <c r="S154" s="33">
        <f t="shared" si="47"/>
        <v>0</v>
      </c>
      <c r="T154" s="33">
        <f t="shared" si="47"/>
        <v>0</v>
      </c>
      <c r="U154" s="33">
        <f t="shared" si="47"/>
        <v>0</v>
      </c>
      <c r="V154" s="33">
        <f t="shared" si="47"/>
        <v>0</v>
      </c>
      <c r="W154" s="33">
        <f t="shared" si="47"/>
        <v>0</v>
      </c>
      <c r="X154" s="33">
        <f t="shared" si="47"/>
        <v>0</v>
      </c>
    </row>
    <row r="155" spans="2:24">
      <c r="B155" s="52" t="str">
        <f t="shared" si="42"/>
        <v/>
      </c>
      <c r="C155" s="493" t="str">
        <f t="shared" si="43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48">IF(AND(K$180&gt;=Poczatek,K$180&lt;=Koniec,$C155&lt;&gt;""),ROUND(K144*K133,0),0)</f>
        <v>0</v>
      </c>
      <c r="L155" s="33">
        <f t="shared" si="48"/>
        <v>0</v>
      </c>
      <c r="M155" s="33">
        <f t="shared" si="48"/>
        <v>0</v>
      </c>
      <c r="N155" s="33">
        <f t="shared" si="48"/>
        <v>0</v>
      </c>
      <c r="O155" s="33">
        <f t="shared" si="48"/>
        <v>0</v>
      </c>
      <c r="P155" s="33">
        <f t="shared" si="48"/>
        <v>0</v>
      </c>
      <c r="Q155" s="33">
        <f t="shared" si="48"/>
        <v>0</v>
      </c>
      <c r="R155" s="33">
        <f t="shared" si="48"/>
        <v>0</v>
      </c>
      <c r="S155" s="33">
        <f t="shared" si="48"/>
        <v>0</v>
      </c>
      <c r="T155" s="33">
        <f t="shared" si="48"/>
        <v>0</v>
      </c>
      <c r="U155" s="33">
        <f t="shared" si="48"/>
        <v>0</v>
      </c>
      <c r="V155" s="33">
        <f t="shared" si="48"/>
        <v>0</v>
      </c>
      <c r="W155" s="33">
        <f t="shared" si="48"/>
        <v>0</v>
      </c>
      <c r="X155" s="33">
        <f t="shared" si="48"/>
        <v>0</v>
      </c>
    </row>
    <row r="156" spans="2:24">
      <c r="B156" s="52" t="str">
        <f t="shared" si="42"/>
        <v/>
      </c>
      <c r="C156" s="493" t="str">
        <f t="shared" si="43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49">IF(AND(K$180&gt;=Poczatek,K$180&lt;=Koniec,$C156&lt;&gt;""),ROUND(K145*K134,0),0)</f>
        <v>0</v>
      </c>
      <c r="L156" s="33">
        <f t="shared" si="49"/>
        <v>0</v>
      </c>
      <c r="M156" s="33">
        <f t="shared" si="49"/>
        <v>0</v>
      </c>
      <c r="N156" s="33">
        <f t="shared" si="49"/>
        <v>0</v>
      </c>
      <c r="O156" s="33">
        <f t="shared" si="49"/>
        <v>0</v>
      </c>
      <c r="P156" s="33">
        <f t="shared" si="49"/>
        <v>0</v>
      </c>
      <c r="Q156" s="33">
        <f t="shared" si="49"/>
        <v>0</v>
      </c>
      <c r="R156" s="33">
        <f t="shared" si="49"/>
        <v>0</v>
      </c>
      <c r="S156" s="33">
        <f t="shared" si="49"/>
        <v>0</v>
      </c>
      <c r="T156" s="33">
        <f t="shared" si="49"/>
        <v>0</v>
      </c>
      <c r="U156" s="33">
        <f t="shared" si="49"/>
        <v>0</v>
      </c>
      <c r="V156" s="33">
        <f t="shared" si="49"/>
        <v>0</v>
      </c>
      <c r="W156" s="33">
        <f t="shared" si="49"/>
        <v>0</v>
      </c>
      <c r="X156" s="33">
        <f t="shared" si="49"/>
        <v>0</v>
      </c>
    </row>
    <row r="157" spans="2:24">
      <c r="B157" s="52" t="str">
        <f t="shared" si="42"/>
        <v/>
      </c>
      <c r="C157" s="493" t="str">
        <f t="shared" si="43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0">IF(AND(K$180&gt;=Poczatek,K$180&lt;=Koniec,$C157&lt;&gt;""),ROUND(K146*K135,0),0)</f>
        <v>0</v>
      </c>
      <c r="L157" s="33">
        <f t="shared" si="50"/>
        <v>0</v>
      </c>
      <c r="M157" s="33">
        <f t="shared" si="50"/>
        <v>0</v>
      </c>
      <c r="N157" s="33">
        <f t="shared" si="50"/>
        <v>0</v>
      </c>
      <c r="O157" s="33">
        <f t="shared" si="50"/>
        <v>0</v>
      </c>
      <c r="P157" s="33">
        <f t="shared" si="50"/>
        <v>0</v>
      </c>
      <c r="Q157" s="33">
        <f t="shared" si="50"/>
        <v>0</v>
      </c>
      <c r="R157" s="33">
        <f t="shared" si="50"/>
        <v>0</v>
      </c>
      <c r="S157" s="33">
        <f t="shared" si="50"/>
        <v>0</v>
      </c>
      <c r="T157" s="33">
        <f t="shared" si="50"/>
        <v>0</v>
      </c>
      <c r="U157" s="33">
        <f t="shared" si="50"/>
        <v>0</v>
      </c>
      <c r="V157" s="33">
        <f t="shared" si="50"/>
        <v>0</v>
      </c>
      <c r="W157" s="33">
        <f t="shared" si="50"/>
        <v>0</v>
      </c>
      <c r="X157" s="33">
        <f t="shared" si="50"/>
        <v>0</v>
      </c>
    </row>
    <row r="158" spans="2:24">
      <c r="B158" s="52" t="str">
        <f t="shared" si="42"/>
        <v/>
      </c>
      <c r="C158" s="493" t="str">
        <f t="shared" si="43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1">IF(AND(K$180&gt;=Poczatek,K$180&lt;=Koniec,$C158&lt;&gt;""),ROUND(K147*K136,0),0)</f>
        <v>0</v>
      </c>
      <c r="L158" s="33">
        <f t="shared" si="51"/>
        <v>0</v>
      </c>
      <c r="M158" s="33">
        <f t="shared" si="51"/>
        <v>0</v>
      </c>
      <c r="N158" s="33">
        <f t="shared" si="51"/>
        <v>0</v>
      </c>
      <c r="O158" s="33">
        <f t="shared" si="51"/>
        <v>0</v>
      </c>
      <c r="P158" s="33">
        <f t="shared" si="51"/>
        <v>0</v>
      </c>
      <c r="Q158" s="33">
        <f t="shared" si="51"/>
        <v>0</v>
      </c>
      <c r="R158" s="33">
        <f t="shared" si="51"/>
        <v>0</v>
      </c>
      <c r="S158" s="33">
        <f t="shared" si="51"/>
        <v>0</v>
      </c>
      <c r="T158" s="33">
        <f t="shared" si="51"/>
        <v>0</v>
      </c>
      <c r="U158" s="33">
        <f t="shared" si="51"/>
        <v>0</v>
      </c>
      <c r="V158" s="33">
        <f t="shared" si="51"/>
        <v>0</v>
      </c>
      <c r="W158" s="33">
        <f t="shared" si="51"/>
        <v>0</v>
      </c>
      <c r="X158" s="33">
        <f t="shared" si="51"/>
        <v>0</v>
      </c>
    </row>
    <row r="159" spans="2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2">IF(LataProjekcji&lt;=Koniec,SUM(K149:K158),0)</f>
        <v>0</v>
      </c>
      <c r="L159" s="180">
        <f t="shared" si="52"/>
        <v>0</v>
      </c>
      <c r="M159" s="180">
        <f t="shared" si="52"/>
        <v>0</v>
      </c>
      <c r="N159" s="180">
        <f t="shared" si="52"/>
        <v>0</v>
      </c>
      <c r="O159" s="180">
        <f t="shared" si="52"/>
        <v>0</v>
      </c>
      <c r="P159" s="180">
        <f t="shared" si="52"/>
        <v>0</v>
      </c>
      <c r="Q159" s="180">
        <f t="shared" si="52"/>
        <v>0</v>
      </c>
      <c r="R159" s="180">
        <f t="shared" si="52"/>
        <v>0</v>
      </c>
      <c r="S159" s="180">
        <f t="shared" si="52"/>
        <v>0</v>
      </c>
      <c r="T159" s="180">
        <f t="shared" si="52"/>
        <v>0</v>
      </c>
      <c r="U159" s="180">
        <f t="shared" si="52"/>
        <v>0</v>
      </c>
      <c r="V159" s="180">
        <f t="shared" si="52"/>
        <v>0</v>
      </c>
      <c r="W159" s="180">
        <f t="shared" si="52"/>
        <v>0</v>
      </c>
      <c r="X159" s="180">
        <f t="shared" si="52"/>
        <v>0</v>
      </c>
    </row>
    <row r="160" spans="2:24"/>
    <row r="161" spans="2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2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3">LataProjekcji</f>
        <v>Uzupełnij dane</v>
      </c>
      <c r="L162" s="243" t="str">
        <f t="shared" si="53"/>
        <v/>
      </c>
      <c r="M162" s="243" t="str">
        <f t="shared" si="53"/>
        <v/>
      </c>
      <c r="N162" s="243" t="str">
        <f t="shared" si="53"/>
        <v/>
      </c>
      <c r="O162" s="243" t="str">
        <f t="shared" si="53"/>
        <v/>
      </c>
      <c r="P162" s="243" t="str">
        <f t="shared" si="53"/>
        <v/>
      </c>
      <c r="Q162" s="243" t="str">
        <f t="shared" si="53"/>
        <v/>
      </c>
      <c r="R162" s="243" t="str">
        <f t="shared" si="53"/>
        <v/>
      </c>
      <c r="S162" s="243" t="str">
        <f t="shared" si="53"/>
        <v/>
      </c>
      <c r="T162" s="243" t="str">
        <f t="shared" si="53"/>
        <v/>
      </c>
      <c r="U162" s="243" t="str">
        <f t="shared" si="53"/>
        <v/>
      </c>
      <c r="V162" s="243" t="str">
        <f t="shared" si="53"/>
        <v/>
      </c>
      <c r="W162" s="243" t="str">
        <f t="shared" si="53"/>
        <v/>
      </c>
      <c r="X162" s="243" t="str">
        <f t="shared" si="53"/>
        <v/>
      </c>
    </row>
    <row r="163" spans="2:24"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4">IF(LataProjekcji&lt;=Koniec,ROUND(SUM(K163:K167),0),0)</f>
        <v>0</v>
      </c>
      <c r="L168" s="180">
        <f t="shared" si="54"/>
        <v>0</v>
      </c>
      <c r="M168" s="180">
        <f t="shared" si="54"/>
        <v>0</v>
      </c>
      <c r="N168" s="180">
        <f t="shared" si="54"/>
        <v>0</v>
      </c>
      <c r="O168" s="180">
        <f t="shared" si="54"/>
        <v>0</v>
      </c>
      <c r="P168" s="180">
        <f t="shared" si="54"/>
        <v>0</v>
      </c>
      <c r="Q168" s="180">
        <f t="shared" si="54"/>
        <v>0</v>
      </c>
      <c r="R168" s="180">
        <f t="shared" si="54"/>
        <v>0</v>
      </c>
      <c r="S168" s="180">
        <f t="shared" si="54"/>
        <v>0</v>
      </c>
      <c r="T168" s="180">
        <f t="shared" si="54"/>
        <v>0</v>
      </c>
      <c r="U168" s="180">
        <f t="shared" si="54"/>
        <v>0</v>
      </c>
      <c r="V168" s="180">
        <f t="shared" si="54"/>
        <v>0</v>
      </c>
      <c r="W168" s="180">
        <f t="shared" si="54"/>
        <v>0</v>
      </c>
      <c r="X168" s="180">
        <f t="shared" si="54"/>
        <v>0</v>
      </c>
    </row>
    <row r="169" spans="2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2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2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5">LataProjekcji</f>
        <v>Uzupełnij dane</v>
      </c>
      <c r="L171" s="243" t="str">
        <f t="shared" si="55"/>
        <v/>
      </c>
      <c r="M171" s="243" t="str">
        <f t="shared" si="55"/>
        <v/>
      </c>
      <c r="N171" s="243" t="str">
        <f t="shared" si="55"/>
        <v/>
      </c>
      <c r="O171" s="243" t="str">
        <f t="shared" si="55"/>
        <v/>
      </c>
      <c r="P171" s="243" t="str">
        <f t="shared" si="55"/>
        <v/>
      </c>
      <c r="Q171" s="243" t="str">
        <f t="shared" si="55"/>
        <v/>
      </c>
      <c r="R171" s="243" t="str">
        <f t="shared" si="55"/>
        <v/>
      </c>
      <c r="S171" s="243" t="str">
        <f t="shared" si="55"/>
        <v/>
      </c>
      <c r="T171" s="243" t="str">
        <f t="shared" si="55"/>
        <v/>
      </c>
      <c r="U171" s="243" t="str">
        <f t="shared" si="55"/>
        <v/>
      </c>
      <c r="V171" s="243" t="str">
        <f t="shared" si="55"/>
        <v/>
      </c>
      <c r="W171" s="243" t="str">
        <f t="shared" si="55"/>
        <v/>
      </c>
      <c r="X171" s="243" t="str">
        <f t="shared" si="55"/>
        <v/>
      </c>
    </row>
    <row r="172" spans="2:24"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56">IF(LataProjekcji&lt;=Koniec,ROUND(SUM(K172:K176),0),0)</f>
        <v>0</v>
      </c>
      <c r="L177" s="180">
        <f t="shared" si="56"/>
        <v>0</v>
      </c>
      <c r="M177" s="180">
        <f t="shared" si="56"/>
        <v>0</v>
      </c>
      <c r="N177" s="180">
        <f t="shared" si="56"/>
        <v>0</v>
      </c>
      <c r="O177" s="180">
        <f t="shared" si="56"/>
        <v>0</v>
      </c>
      <c r="P177" s="180">
        <f t="shared" si="56"/>
        <v>0</v>
      </c>
      <c r="Q177" s="180">
        <f t="shared" si="56"/>
        <v>0</v>
      </c>
      <c r="R177" s="180">
        <f t="shared" si="56"/>
        <v>0</v>
      </c>
      <c r="S177" s="180">
        <f t="shared" si="56"/>
        <v>0</v>
      </c>
      <c r="T177" s="180">
        <f t="shared" si="56"/>
        <v>0</v>
      </c>
      <c r="U177" s="180">
        <f t="shared" si="56"/>
        <v>0</v>
      </c>
      <c r="V177" s="180">
        <f t="shared" si="56"/>
        <v>0</v>
      </c>
      <c r="W177" s="180">
        <f t="shared" si="56"/>
        <v>0</v>
      </c>
      <c r="X177" s="180">
        <f t="shared" si="56"/>
        <v>0</v>
      </c>
    </row>
    <row r="178" spans="2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2:24"/>
    <row r="180" spans="2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57">LataProjekcji</f>
        <v>Uzupełnij dane</v>
      </c>
      <c r="L180" s="243" t="str">
        <f t="shared" si="57"/>
        <v/>
      </c>
      <c r="M180" s="243" t="str">
        <f t="shared" si="57"/>
        <v/>
      </c>
      <c r="N180" s="243" t="str">
        <f t="shared" si="57"/>
        <v/>
      </c>
      <c r="O180" s="243" t="str">
        <f t="shared" si="57"/>
        <v/>
      </c>
      <c r="P180" s="243" t="str">
        <f t="shared" si="57"/>
        <v/>
      </c>
      <c r="Q180" s="243" t="str">
        <f t="shared" si="57"/>
        <v/>
      </c>
      <c r="R180" s="243" t="str">
        <f t="shared" si="57"/>
        <v/>
      </c>
      <c r="S180" s="243" t="str">
        <f t="shared" si="57"/>
        <v/>
      </c>
      <c r="T180" s="243" t="str">
        <f t="shared" si="57"/>
        <v/>
      </c>
      <c r="U180" s="243" t="str">
        <f t="shared" si="57"/>
        <v/>
      </c>
      <c r="V180" s="243" t="str">
        <f t="shared" si="57"/>
        <v/>
      </c>
      <c r="W180" s="243" t="str">
        <f t="shared" si="57"/>
        <v/>
      </c>
      <c r="X180" s="243" t="str">
        <f t="shared" si="57"/>
        <v/>
      </c>
    </row>
    <row r="181" spans="2:24">
      <c r="B181" s="9"/>
      <c r="C181" s="305"/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2:24"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2:24"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2:24"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2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2:24">
      <c r="B187" s="52" t="str">
        <f t="shared" ref="B187:C191" si="58">IF(ISBLANK(B181),"",B181)</f>
        <v/>
      </c>
      <c r="C187" s="482" t="str">
        <f t="shared" si="58"/>
        <v/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2:24">
      <c r="B188" s="52" t="str">
        <f t="shared" si="58"/>
        <v/>
      </c>
      <c r="C188" s="482" t="str">
        <f t="shared" si="58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2:24">
      <c r="B189" s="52" t="str">
        <f t="shared" si="58"/>
        <v/>
      </c>
      <c r="C189" s="482" t="str">
        <f t="shared" si="58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2:24">
      <c r="B190" s="52" t="str">
        <f t="shared" si="58"/>
        <v/>
      </c>
      <c r="C190" s="482" t="str">
        <f t="shared" si="58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2:24">
      <c r="B191" s="52" t="str">
        <f t="shared" si="58"/>
        <v/>
      </c>
      <c r="C191" s="482" t="str">
        <f t="shared" si="58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2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2:24">
      <c r="B193" s="52" t="str">
        <f t="shared" ref="B193:C197" si="59">IF(ISBLANK(B187),"",B187)</f>
        <v/>
      </c>
      <c r="C193" s="482" t="str">
        <f t="shared" si="59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0">IF(AND(K$180&gt;=Poczatek,K$180&lt;=Koniec,$C193&lt;&gt;""),ROUND(K187*K181,0),0)</f>
        <v>0</v>
      </c>
      <c r="L193" s="33">
        <f t="shared" si="60"/>
        <v>0</v>
      </c>
      <c r="M193" s="33">
        <f t="shared" si="60"/>
        <v>0</v>
      </c>
      <c r="N193" s="33">
        <f t="shared" si="60"/>
        <v>0</v>
      </c>
      <c r="O193" s="33">
        <f t="shared" si="60"/>
        <v>0</v>
      </c>
      <c r="P193" s="33">
        <f t="shared" si="60"/>
        <v>0</v>
      </c>
      <c r="Q193" s="33">
        <f t="shared" si="60"/>
        <v>0</v>
      </c>
      <c r="R193" s="33">
        <f t="shared" si="60"/>
        <v>0</v>
      </c>
      <c r="S193" s="33">
        <f t="shared" si="60"/>
        <v>0</v>
      </c>
      <c r="T193" s="33">
        <f t="shared" si="60"/>
        <v>0</v>
      </c>
      <c r="U193" s="33">
        <f t="shared" si="60"/>
        <v>0</v>
      </c>
      <c r="V193" s="33">
        <f t="shared" si="60"/>
        <v>0</v>
      </c>
      <c r="W193" s="33">
        <f t="shared" si="60"/>
        <v>0</v>
      </c>
      <c r="X193" s="33">
        <f t="shared" si="60"/>
        <v>0</v>
      </c>
    </row>
    <row r="194" spans="2:24">
      <c r="B194" s="52" t="str">
        <f t="shared" si="59"/>
        <v/>
      </c>
      <c r="C194" s="482" t="str">
        <f t="shared" si="59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1">IF(AND(K$180&gt;=Poczatek,K$180&lt;=Koniec,$C194&lt;&gt;""),ROUND(K188*K182,0),0)</f>
        <v>0</v>
      </c>
      <c r="L194" s="33">
        <f t="shared" si="61"/>
        <v>0</v>
      </c>
      <c r="M194" s="33">
        <f t="shared" si="61"/>
        <v>0</v>
      </c>
      <c r="N194" s="33">
        <f t="shared" si="61"/>
        <v>0</v>
      </c>
      <c r="O194" s="33">
        <f t="shared" si="61"/>
        <v>0</v>
      </c>
      <c r="P194" s="33">
        <f t="shared" si="61"/>
        <v>0</v>
      </c>
      <c r="Q194" s="33">
        <f t="shared" si="61"/>
        <v>0</v>
      </c>
      <c r="R194" s="33">
        <f t="shared" si="61"/>
        <v>0</v>
      </c>
      <c r="S194" s="33">
        <f t="shared" si="61"/>
        <v>0</v>
      </c>
      <c r="T194" s="33">
        <f t="shared" si="61"/>
        <v>0</v>
      </c>
      <c r="U194" s="33">
        <f t="shared" si="61"/>
        <v>0</v>
      </c>
      <c r="V194" s="33">
        <f t="shared" si="61"/>
        <v>0</v>
      </c>
      <c r="W194" s="33">
        <f t="shared" si="61"/>
        <v>0</v>
      </c>
      <c r="X194" s="33">
        <f t="shared" si="61"/>
        <v>0</v>
      </c>
    </row>
    <row r="195" spans="2:24">
      <c r="B195" s="52" t="str">
        <f t="shared" si="59"/>
        <v/>
      </c>
      <c r="C195" s="482" t="str">
        <f t="shared" si="59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2">IF(AND(K$180&gt;=Poczatek,K$180&lt;=Koniec,$C195&lt;&gt;""),ROUND(K189*K183,0),0)</f>
        <v>0</v>
      </c>
      <c r="L195" s="33">
        <f t="shared" si="62"/>
        <v>0</v>
      </c>
      <c r="M195" s="33">
        <f t="shared" si="62"/>
        <v>0</v>
      </c>
      <c r="N195" s="33">
        <f t="shared" si="62"/>
        <v>0</v>
      </c>
      <c r="O195" s="33">
        <f t="shared" si="62"/>
        <v>0</v>
      </c>
      <c r="P195" s="33">
        <f t="shared" si="62"/>
        <v>0</v>
      </c>
      <c r="Q195" s="33">
        <f t="shared" si="62"/>
        <v>0</v>
      </c>
      <c r="R195" s="33">
        <f t="shared" si="62"/>
        <v>0</v>
      </c>
      <c r="S195" s="33">
        <f t="shared" si="62"/>
        <v>0</v>
      </c>
      <c r="T195" s="33">
        <f t="shared" si="62"/>
        <v>0</v>
      </c>
      <c r="U195" s="33">
        <f t="shared" si="62"/>
        <v>0</v>
      </c>
      <c r="V195" s="33">
        <f t="shared" si="62"/>
        <v>0</v>
      </c>
      <c r="W195" s="33">
        <f t="shared" si="62"/>
        <v>0</v>
      </c>
      <c r="X195" s="33">
        <f t="shared" si="62"/>
        <v>0</v>
      </c>
    </row>
    <row r="196" spans="2:24">
      <c r="B196" s="52" t="str">
        <f t="shared" si="59"/>
        <v/>
      </c>
      <c r="C196" s="482" t="str">
        <f t="shared" si="59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3">IF(AND(K$180&gt;=Poczatek,K$180&lt;=Koniec,$C196&lt;&gt;""),ROUND(K190*K184,0),0)</f>
        <v>0</v>
      </c>
      <c r="L196" s="33">
        <f t="shared" si="63"/>
        <v>0</v>
      </c>
      <c r="M196" s="33">
        <f t="shared" si="63"/>
        <v>0</v>
      </c>
      <c r="N196" s="33">
        <f t="shared" si="63"/>
        <v>0</v>
      </c>
      <c r="O196" s="33">
        <f t="shared" si="63"/>
        <v>0</v>
      </c>
      <c r="P196" s="33">
        <f t="shared" si="63"/>
        <v>0</v>
      </c>
      <c r="Q196" s="33">
        <f t="shared" si="63"/>
        <v>0</v>
      </c>
      <c r="R196" s="33">
        <f t="shared" si="63"/>
        <v>0</v>
      </c>
      <c r="S196" s="33">
        <f t="shared" si="63"/>
        <v>0</v>
      </c>
      <c r="T196" s="33">
        <f t="shared" si="63"/>
        <v>0</v>
      </c>
      <c r="U196" s="33">
        <f t="shared" si="63"/>
        <v>0</v>
      </c>
      <c r="V196" s="33">
        <f t="shared" si="63"/>
        <v>0</v>
      </c>
      <c r="W196" s="33">
        <f t="shared" si="63"/>
        <v>0</v>
      </c>
      <c r="X196" s="33">
        <f t="shared" si="63"/>
        <v>0</v>
      </c>
    </row>
    <row r="197" spans="2:24">
      <c r="B197" s="89" t="str">
        <f t="shared" si="59"/>
        <v/>
      </c>
      <c r="C197" s="493" t="str">
        <f t="shared" si="59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4">IF(AND(K$180&gt;=Poczatek,K$180&lt;=Koniec,$C197&lt;&gt;""),ROUND(K191*K185,0),0)</f>
        <v>0</v>
      </c>
      <c r="L197" s="90">
        <f t="shared" si="64"/>
        <v>0</v>
      </c>
      <c r="M197" s="90">
        <f t="shared" si="64"/>
        <v>0</v>
      </c>
      <c r="N197" s="90">
        <f t="shared" si="64"/>
        <v>0</v>
      </c>
      <c r="O197" s="90">
        <f t="shared" si="64"/>
        <v>0</v>
      </c>
      <c r="P197" s="90">
        <f t="shared" si="64"/>
        <v>0</v>
      </c>
      <c r="Q197" s="90">
        <f t="shared" si="64"/>
        <v>0</v>
      </c>
      <c r="R197" s="90">
        <f t="shared" si="64"/>
        <v>0</v>
      </c>
      <c r="S197" s="90">
        <f t="shared" si="64"/>
        <v>0</v>
      </c>
      <c r="T197" s="90">
        <f t="shared" si="64"/>
        <v>0</v>
      </c>
      <c r="U197" s="90">
        <f t="shared" si="64"/>
        <v>0</v>
      </c>
      <c r="V197" s="90">
        <f t="shared" si="64"/>
        <v>0</v>
      </c>
      <c r="W197" s="90">
        <f t="shared" si="64"/>
        <v>0</v>
      </c>
      <c r="X197" s="90">
        <f t="shared" si="64"/>
        <v>0</v>
      </c>
    </row>
    <row r="198" spans="2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65">IF(LataProjekcji&lt;=Koniec,SUM(K193:K197),0)</f>
        <v>0</v>
      </c>
      <c r="L198" s="180">
        <f t="shared" si="65"/>
        <v>0</v>
      </c>
      <c r="M198" s="180">
        <f t="shared" si="65"/>
        <v>0</v>
      </c>
      <c r="N198" s="180">
        <f t="shared" si="65"/>
        <v>0</v>
      </c>
      <c r="O198" s="180">
        <f t="shared" si="65"/>
        <v>0</v>
      </c>
      <c r="P198" s="180">
        <f t="shared" si="65"/>
        <v>0</v>
      </c>
      <c r="Q198" s="180">
        <f t="shared" si="65"/>
        <v>0</v>
      </c>
      <c r="R198" s="180">
        <f t="shared" si="65"/>
        <v>0</v>
      </c>
      <c r="S198" s="180">
        <f t="shared" si="65"/>
        <v>0</v>
      </c>
      <c r="T198" s="180">
        <f t="shared" si="65"/>
        <v>0</v>
      </c>
      <c r="U198" s="180">
        <f t="shared" si="65"/>
        <v>0</v>
      </c>
      <c r="V198" s="180">
        <f t="shared" si="65"/>
        <v>0</v>
      </c>
      <c r="W198" s="180">
        <f t="shared" si="65"/>
        <v>0</v>
      </c>
      <c r="X198" s="180">
        <f t="shared" si="65"/>
        <v>0</v>
      </c>
    </row>
    <row r="199" spans="2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66">LataProjekcji</f>
        <v>Uzupełnij dane</v>
      </c>
      <c r="L201" s="243" t="str">
        <f t="shared" si="66"/>
        <v/>
      </c>
      <c r="M201" s="243" t="str">
        <f t="shared" si="66"/>
        <v/>
      </c>
      <c r="N201" s="243" t="str">
        <f t="shared" si="66"/>
        <v/>
      </c>
      <c r="O201" s="243" t="str">
        <f t="shared" si="66"/>
        <v/>
      </c>
      <c r="P201" s="243" t="str">
        <f t="shared" si="66"/>
        <v/>
      </c>
      <c r="Q201" s="243" t="str">
        <f t="shared" si="66"/>
        <v/>
      </c>
      <c r="R201" s="243" t="str">
        <f t="shared" si="66"/>
        <v/>
      </c>
      <c r="S201" s="243" t="str">
        <f t="shared" si="66"/>
        <v/>
      </c>
      <c r="T201" s="243" t="str">
        <f t="shared" si="66"/>
        <v/>
      </c>
      <c r="U201" s="243" t="str">
        <f t="shared" si="66"/>
        <v/>
      </c>
      <c r="V201" s="243" t="str">
        <f t="shared" si="66"/>
        <v/>
      </c>
      <c r="W201" s="243" t="str">
        <f t="shared" si="66"/>
        <v/>
      </c>
      <c r="X201" s="243" t="str">
        <f t="shared" si="66"/>
        <v/>
      </c>
    </row>
    <row r="202" spans="2:24"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2:24"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2:24"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2:24"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2:24"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2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2:24">
      <c r="B208" s="19" t="str">
        <f t="shared" ref="B208:C212" si="67">IF(ISBLANK(B202),"",B202)</f>
        <v/>
      </c>
      <c r="C208" s="491" t="str">
        <f t="shared" si="67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2:24">
      <c r="B209" s="52" t="str">
        <f t="shared" si="67"/>
        <v/>
      </c>
      <c r="C209" s="482" t="str">
        <f t="shared" si="67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2:24">
      <c r="B210" s="52" t="str">
        <f t="shared" si="67"/>
        <v/>
      </c>
      <c r="C210" s="482" t="str">
        <f t="shared" si="67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2:24">
      <c r="B211" s="52" t="str">
        <f t="shared" si="67"/>
        <v/>
      </c>
      <c r="C211" s="482" t="str">
        <f t="shared" si="67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2:24">
      <c r="B212" s="52" t="str">
        <f t="shared" si="67"/>
        <v/>
      </c>
      <c r="C212" s="482" t="str">
        <f t="shared" si="67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2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2:24">
      <c r="B214" s="19" t="str">
        <f t="shared" ref="B214:C218" si="68">IF(ISBLANK(B208),"",B208)</f>
        <v/>
      </c>
      <c r="C214" s="491" t="str">
        <f t="shared" si="68"/>
        <v/>
      </c>
      <c r="D214" s="19"/>
      <c r="E214" s="19"/>
      <c r="F214" s="19"/>
      <c r="G214" s="19"/>
      <c r="H214" s="19"/>
      <c r="I214" s="19"/>
      <c r="J214" s="19"/>
      <c r="K214" s="33">
        <f t="shared" ref="K214:U214" si="69">IF(AND(K$180&gt;=Poczatek,K$180&lt;=Koniec,$C214&lt;&gt;""),ROUND(K208*K202,0),0)</f>
        <v>0</v>
      </c>
      <c r="L214" s="33">
        <f t="shared" si="69"/>
        <v>0</v>
      </c>
      <c r="M214" s="33">
        <f t="shared" si="69"/>
        <v>0</v>
      </c>
      <c r="N214" s="33">
        <f t="shared" si="69"/>
        <v>0</v>
      </c>
      <c r="O214" s="33">
        <f t="shared" si="69"/>
        <v>0</v>
      </c>
      <c r="P214" s="33">
        <f t="shared" si="69"/>
        <v>0</v>
      </c>
      <c r="Q214" s="33">
        <f t="shared" si="69"/>
        <v>0</v>
      </c>
      <c r="R214" s="33">
        <f t="shared" si="69"/>
        <v>0</v>
      </c>
      <c r="S214" s="33">
        <f t="shared" si="69"/>
        <v>0</v>
      </c>
      <c r="T214" s="33">
        <f t="shared" si="69"/>
        <v>0</v>
      </c>
      <c r="U214" s="33">
        <f t="shared" si="69"/>
        <v>0</v>
      </c>
      <c r="V214" s="33">
        <f t="shared" ref="V214:X214" si="70">IF(AND(V$180&gt;=Poczatek,V$180&lt;=Koniec,$C214&lt;&gt;""),ROUND(V208*V202,0),0)</f>
        <v>0</v>
      </c>
      <c r="W214" s="33">
        <f t="shared" si="70"/>
        <v>0</v>
      </c>
      <c r="X214" s="33">
        <f t="shared" si="70"/>
        <v>0</v>
      </c>
    </row>
    <row r="215" spans="2:24">
      <c r="B215" s="52" t="str">
        <f t="shared" si="68"/>
        <v/>
      </c>
      <c r="C215" s="482" t="str">
        <f t="shared" si="68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1">IF(AND(K$180&gt;=Poczatek,K$180&lt;=Koniec,$C215&lt;&gt;""),ROUND(K209*K203,0),0)</f>
        <v>0</v>
      </c>
      <c r="L215" s="33">
        <f t="shared" si="71"/>
        <v>0</v>
      </c>
      <c r="M215" s="33">
        <f t="shared" si="71"/>
        <v>0</v>
      </c>
      <c r="N215" s="33">
        <f t="shared" si="71"/>
        <v>0</v>
      </c>
      <c r="O215" s="33">
        <f t="shared" si="71"/>
        <v>0</v>
      </c>
      <c r="P215" s="33">
        <f t="shared" si="71"/>
        <v>0</v>
      </c>
      <c r="Q215" s="33">
        <f t="shared" si="71"/>
        <v>0</v>
      </c>
      <c r="R215" s="33">
        <f t="shared" si="71"/>
        <v>0</v>
      </c>
      <c r="S215" s="33">
        <f t="shared" si="71"/>
        <v>0</v>
      </c>
      <c r="T215" s="33">
        <f t="shared" si="71"/>
        <v>0</v>
      </c>
      <c r="U215" s="33">
        <f t="shared" si="71"/>
        <v>0</v>
      </c>
      <c r="V215" s="33">
        <f t="shared" si="71"/>
        <v>0</v>
      </c>
      <c r="W215" s="33">
        <f t="shared" si="71"/>
        <v>0</v>
      </c>
      <c r="X215" s="33">
        <f t="shared" si="71"/>
        <v>0</v>
      </c>
    </row>
    <row r="216" spans="2:24">
      <c r="B216" s="52" t="str">
        <f t="shared" si="68"/>
        <v/>
      </c>
      <c r="C216" s="482" t="str">
        <f t="shared" si="68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2">IF(AND(K$180&gt;=Poczatek,K$180&lt;=Koniec,$C216&lt;&gt;""),ROUND(K210*K204,0),0)</f>
        <v>0</v>
      </c>
      <c r="L216" s="33">
        <f t="shared" si="72"/>
        <v>0</v>
      </c>
      <c r="M216" s="33">
        <f t="shared" si="72"/>
        <v>0</v>
      </c>
      <c r="N216" s="33">
        <f t="shared" si="72"/>
        <v>0</v>
      </c>
      <c r="O216" s="33">
        <f t="shared" si="72"/>
        <v>0</v>
      </c>
      <c r="P216" s="33">
        <f t="shared" si="72"/>
        <v>0</v>
      </c>
      <c r="Q216" s="33">
        <f t="shared" si="72"/>
        <v>0</v>
      </c>
      <c r="R216" s="33">
        <f t="shared" si="72"/>
        <v>0</v>
      </c>
      <c r="S216" s="33">
        <f t="shared" si="72"/>
        <v>0</v>
      </c>
      <c r="T216" s="33">
        <f t="shared" si="72"/>
        <v>0</v>
      </c>
      <c r="U216" s="33">
        <f t="shared" si="72"/>
        <v>0</v>
      </c>
      <c r="V216" s="33">
        <f t="shared" si="72"/>
        <v>0</v>
      </c>
      <c r="W216" s="33">
        <f t="shared" si="72"/>
        <v>0</v>
      </c>
      <c r="X216" s="33">
        <f t="shared" si="72"/>
        <v>0</v>
      </c>
    </row>
    <row r="217" spans="2:24">
      <c r="B217" s="52" t="str">
        <f t="shared" si="68"/>
        <v/>
      </c>
      <c r="C217" s="482" t="str">
        <f t="shared" si="68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3">IF(AND(K$180&gt;=Poczatek,K$180&lt;=Koniec,$C217&lt;&gt;""),ROUND(K211*K205,0),0)</f>
        <v>0</v>
      </c>
      <c r="L217" s="33">
        <f t="shared" si="73"/>
        <v>0</v>
      </c>
      <c r="M217" s="33">
        <f t="shared" si="73"/>
        <v>0</v>
      </c>
      <c r="N217" s="33">
        <f t="shared" si="73"/>
        <v>0</v>
      </c>
      <c r="O217" s="33">
        <f t="shared" si="73"/>
        <v>0</v>
      </c>
      <c r="P217" s="33">
        <f t="shared" si="73"/>
        <v>0</v>
      </c>
      <c r="Q217" s="33">
        <f t="shared" si="73"/>
        <v>0</v>
      </c>
      <c r="R217" s="33">
        <f t="shared" si="73"/>
        <v>0</v>
      </c>
      <c r="S217" s="33">
        <f t="shared" si="73"/>
        <v>0</v>
      </c>
      <c r="T217" s="33">
        <f t="shared" si="73"/>
        <v>0</v>
      </c>
      <c r="U217" s="33">
        <f t="shared" si="73"/>
        <v>0</v>
      </c>
      <c r="V217" s="33">
        <f t="shared" si="73"/>
        <v>0</v>
      </c>
      <c r="W217" s="33">
        <f t="shared" si="73"/>
        <v>0</v>
      </c>
      <c r="X217" s="33">
        <f t="shared" si="73"/>
        <v>0</v>
      </c>
    </row>
    <row r="218" spans="2:24">
      <c r="B218" s="89" t="str">
        <f t="shared" si="68"/>
        <v/>
      </c>
      <c r="C218" s="493" t="str">
        <f t="shared" si="68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4">IF(AND(K$180&gt;=Poczatek,K$180&lt;=Koniec,$C218&lt;&gt;""),ROUND(K212*K206,0),0)</f>
        <v>0</v>
      </c>
      <c r="L218" s="90">
        <f t="shared" si="74"/>
        <v>0</v>
      </c>
      <c r="M218" s="90">
        <f t="shared" si="74"/>
        <v>0</v>
      </c>
      <c r="N218" s="90">
        <f t="shared" si="74"/>
        <v>0</v>
      </c>
      <c r="O218" s="90">
        <f t="shared" si="74"/>
        <v>0</v>
      </c>
      <c r="P218" s="90">
        <f t="shared" si="74"/>
        <v>0</v>
      </c>
      <c r="Q218" s="90">
        <f t="shared" si="74"/>
        <v>0</v>
      </c>
      <c r="R218" s="90">
        <f t="shared" si="74"/>
        <v>0</v>
      </c>
      <c r="S218" s="90">
        <f t="shared" si="74"/>
        <v>0</v>
      </c>
      <c r="T218" s="90">
        <f t="shared" si="74"/>
        <v>0</v>
      </c>
      <c r="U218" s="90">
        <f t="shared" si="74"/>
        <v>0</v>
      </c>
      <c r="V218" s="90">
        <f t="shared" si="74"/>
        <v>0</v>
      </c>
      <c r="W218" s="90">
        <f t="shared" si="74"/>
        <v>0</v>
      </c>
      <c r="X218" s="90">
        <f t="shared" si="74"/>
        <v>0</v>
      </c>
    </row>
    <row r="219" spans="2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75">IF(LataProjekcji&lt;=Koniec,SUM(K214:K218),0)</f>
        <v>0</v>
      </c>
      <c r="L219" s="180">
        <f t="shared" si="75"/>
        <v>0</v>
      </c>
      <c r="M219" s="180">
        <f t="shared" si="75"/>
        <v>0</v>
      </c>
      <c r="N219" s="180">
        <f t="shared" si="75"/>
        <v>0</v>
      </c>
      <c r="O219" s="180">
        <f t="shared" si="75"/>
        <v>0</v>
      </c>
      <c r="P219" s="180">
        <f t="shared" si="75"/>
        <v>0</v>
      </c>
      <c r="Q219" s="180">
        <f t="shared" si="75"/>
        <v>0</v>
      </c>
      <c r="R219" s="180">
        <f t="shared" si="75"/>
        <v>0</v>
      </c>
      <c r="S219" s="180">
        <f t="shared" si="75"/>
        <v>0</v>
      </c>
      <c r="T219" s="180">
        <f t="shared" si="75"/>
        <v>0</v>
      </c>
      <c r="U219" s="180">
        <f t="shared" si="75"/>
        <v>0</v>
      </c>
      <c r="V219" s="180">
        <f t="shared" si="75"/>
        <v>0</v>
      </c>
      <c r="W219" s="180">
        <f t="shared" si="75"/>
        <v>0</v>
      </c>
      <c r="X219" s="180">
        <f t="shared" si="75"/>
        <v>0</v>
      </c>
    </row>
    <row r="220" spans="2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2:24"/>
    <row r="222" spans="2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76">LataProjekcji</f>
        <v>Uzupełnij dane</v>
      </c>
      <c r="L222" s="243" t="str">
        <f t="shared" si="76"/>
        <v/>
      </c>
      <c r="M222" s="243" t="str">
        <f t="shared" si="76"/>
        <v/>
      </c>
      <c r="N222" s="243" t="str">
        <f t="shared" si="76"/>
        <v/>
      </c>
      <c r="O222" s="243" t="str">
        <f t="shared" si="76"/>
        <v/>
      </c>
      <c r="P222" s="243" t="str">
        <f t="shared" si="76"/>
        <v/>
      </c>
      <c r="Q222" s="243" t="str">
        <f t="shared" si="76"/>
        <v/>
      </c>
      <c r="R222" s="243" t="str">
        <f t="shared" si="76"/>
        <v/>
      </c>
      <c r="S222" s="243" t="str">
        <f t="shared" si="76"/>
        <v/>
      </c>
      <c r="T222" s="243" t="str">
        <f t="shared" si="76"/>
        <v/>
      </c>
      <c r="U222" s="243" t="str">
        <f t="shared" si="76"/>
        <v/>
      </c>
      <c r="V222" s="243" t="str">
        <f t="shared" si="76"/>
        <v/>
      </c>
      <c r="W222" s="243" t="str">
        <f t="shared" si="76"/>
        <v/>
      </c>
      <c r="X222" s="243" t="str">
        <f t="shared" si="76"/>
        <v/>
      </c>
    </row>
    <row r="223" spans="2:24"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2:24"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dotacji'!K252</f>
        <v>0</v>
      </c>
      <c r="L227" s="90">
        <f ca="1">'Rozliczenie dotacji'!L252</f>
        <v>0</v>
      </c>
      <c r="M227" s="90">
        <f ca="1">'Rozliczenie dotacji'!M252</f>
        <v>0</v>
      </c>
      <c r="N227" s="90">
        <f ca="1">'Rozliczenie dotacji'!N252</f>
        <v>0</v>
      </c>
      <c r="O227" s="90">
        <f ca="1">'Rozliczenie dotacji'!O252</f>
        <v>0</v>
      </c>
      <c r="P227" s="90">
        <f ca="1">'Rozliczenie dotacji'!P252</f>
        <v>0</v>
      </c>
      <c r="Q227" s="90">
        <f ca="1">'Rozliczenie dotacji'!Q252</f>
        <v>0</v>
      </c>
      <c r="R227" s="90">
        <f ca="1">'Rozliczenie dotacji'!R252</f>
        <v>0</v>
      </c>
      <c r="S227" s="90">
        <f ca="1">'Rozliczenie dotacji'!S252</f>
        <v>0</v>
      </c>
      <c r="T227" s="90">
        <f ca="1">'Rozliczenie dotacji'!T252</f>
        <v>0</v>
      </c>
      <c r="U227" s="90">
        <f ca="1">'Rozliczenie dotacji'!U252</f>
        <v>0</v>
      </c>
      <c r="V227" s="90">
        <f ca="1">'Rozliczenie dotacji'!V252</f>
        <v>0</v>
      </c>
      <c r="W227" s="90">
        <f ca="1">'Rozliczenie dotacji'!W252</f>
        <v>0</v>
      </c>
      <c r="X227" s="90">
        <f ca="1">'Rozliczenie dotacji'!X252</f>
        <v>0</v>
      </c>
    </row>
    <row r="228" spans="2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77">IF(AND(LataProjekcji&gt;=Poczatek,LataProjekcji&lt;=Koniec),SUM(K223:K227),0)</f>
        <v>0</v>
      </c>
      <c r="L228" s="180">
        <f t="shared" ca="1" si="77"/>
        <v>0</v>
      </c>
      <c r="M228" s="180">
        <f t="shared" ca="1" si="77"/>
        <v>0</v>
      </c>
      <c r="N228" s="180">
        <f t="shared" ca="1" si="77"/>
        <v>0</v>
      </c>
      <c r="O228" s="180">
        <f t="shared" ca="1" si="77"/>
        <v>0</v>
      </c>
      <c r="P228" s="180">
        <f t="shared" ca="1" si="77"/>
        <v>0</v>
      </c>
      <c r="Q228" s="180">
        <f t="shared" ca="1" si="77"/>
        <v>0</v>
      </c>
      <c r="R228" s="180">
        <f t="shared" ca="1" si="77"/>
        <v>0</v>
      </c>
      <c r="S228" s="180">
        <f t="shared" ca="1" si="77"/>
        <v>0</v>
      </c>
      <c r="T228" s="180">
        <f t="shared" ca="1" si="77"/>
        <v>0</v>
      </c>
      <c r="U228" s="180">
        <f t="shared" ca="1" si="77"/>
        <v>0</v>
      </c>
      <c r="V228" s="180">
        <f t="shared" ca="1" si="77"/>
        <v>0</v>
      </c>
      <c r="W228" s="180">
        <f t="shared" ca="1" si="77"/>
        <v>0</v>
      </c>
      <c r="X228" s="180">
        <f t="shared" ca="1" si="77"/>
        <v>0</v>
      </c>
    </row>
    <row r="229" spans="2:24"/>
    <row r="230" spans="2:24"/>
    <row r="231" spans="2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78">LataProjekcji</f>
        <v>Uzupełnij dane</v>
      </c>
      <c r="L231" s="243" t="str">
        <f t="shared" si="78"/>
        <v/>
      </c>
      <c r="M231" s="243" t="str">
        <f t="shared" si="78"/>
        <v/>
      </c>
      <c r="N231" s="243" t="str">
        <f t="shared" si="78"/>
        <v/>
      </c>
      <c r="O231" s="243" t="str">
        <f t="shared" si="78"/>
        <v/>
      </c>
      <c r="P231" s="243" t="str">
        <f t="shared" si="78"/>
        <v/>
      </c>
      <c r="Q231" s="243" t="str">
        <f t="shared" si="78"/>
        <v/>
      </c>
      <c r="R231" s="243" t="str">
        <f t="shared" si="78"/>
        <v/>
      </c>
      <c r="S231" s="243" t="str">
        <f t="shared" si="78"/>
        <v/>
      </c>
      <c r="T231" s="243" t="str">
        <f t="shared" si="78"/>
        <v/>
      </c>
      <c r="U231" s="243" t="str">
        <f t="shared" si="78"/>
        <v/>
      </c>
      <c r="V231" s="243" t="str">
        <f t="shared" si="78"/>
        <v/>
      </c>
      <c r="W231" s="243" t="str">
        <f t="shared" si="78"/>
        <v/>
      </c>
      <c r="X231" s="243" t="str">
        <f t="shared" si="78"/>
        <v/>
      </c>
    </row>
    <row r="232" spans="2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2:24"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2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79">IF(LataProjekcji&lt;=Koniec,SUM(K232:K236),0)</f>
        <v>0</v>
      </c>
      <c r="L237" s="180">
        <f t="shared" si="79"/>
        <v>0</v>
      </c>
      <c r="M237" s="180">
        <f t="shared" ca="1" si="79"/>
        <v>0</v>
      </c>
      <c r="N237" s="180">
        <f t="shared" ca="1" si="79"/>
        <v>0</v>
      </c>
      <c r="O237" s="180">
        <f t="shared" ca="1" si="79"/>
        <v>0</v>
      </c>
      <c r="P237" s="180">
        <f t="shared" ca="1" si="79"/>
        <v>0</v>
      </c>
      <c r="Q237" s="180">
        <f t="shared" ca="1" si="79"/>
        <v>0</v>
      </c>
      <c r="R237" s="180">
        <f t="shared" ca="1" si="79"/>
        <v>0</v>
      </c>
      <c r="S237" s="180">
        <f t="shared" ca="1" si="79"/>
        <v>0</v>
      </c>
      <c r="T237" s="180">
        <f t="shared" ca="1" si="79"/>
        <v>0</v>
      </c>
      <c r="U237" s="180">
        <f t="shared" ca="1" si="79"/>
        <v>0</v>
      </c>
      <c r="V237" s="180">
        <f t="shared" ca="1" si="79"/>
        <v>0</v>
      </c>
      <c r="W237" s="180">
        <f t="shared" ca="1" si="79"/>
        <v>0</v>
      </c>
      <c r="X237" s="180">
        <f t="shared" ca="1" si="79"/>
        <v>0</v>
      </c>
    </row>
    <row r="238" spans="2:24"/>
    <row r="239" spans="2:24"/>
    <row r="240" spans="2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0">LataProjekcji</f>
        <v>Uzupełnij dane</v>
      </c>
      <c r="L240" s="176" t="str">
        <f t="shared" si="80"/>
        <v/>
      </c>
      <c r="M240" s="176" t="str">
        <f t="shared" si="80"/>
        <v/>
      </c>
      <c r="N240" s="176" t="str">
        <f t="shared" si="80"/>
        <v/>
      </c>
      <c r="O240" s="176" t="str">
        <f t="shared" si="80"/>
        <v/>
      </c>
      <c r="P240" s="176" t="str">
        <f t="shared" si="80"/>
        <v/>
      </c>
      <c r="Q240" s="176" t="str">
        <f t="shared" si="80"/>
        <v/>
      </c>
      <c r="R240" s="176" t="str">
        <f t="shared" si="80"/>
        <v/>
      </c>
      <c r="S240" s="176" t="str">
        <f t="shared" si="80"/>
        <v/>
      </c>
      <c r="T240" s="176" t="str">
        <f t="shared" si="80"/>
        <v/>
      </c>
      <c r="U240" s="176" t="str">
        <f t="shared" si="80"/>
        <v/>
      </c>
      <c r="V240" s="176" t="str">
        <f t="shared" si="80"/>
        <v/>
      </c>
      <c r="W240" s="176" t="str">
        <f t="shared" si="80"/>
        <v/>
      </c>
      <c r="X240" s="176" t="str">
        <f t="shared" si="80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1">IF(AND(LataProjekcji&gt;=Poczatek,LataProjekcji&lt;=Koniec),K159,0)</f>
        <v>0</v>
      </c>
      <c r="L241" s="94">
        <f t="shared" si="81"/>
        <v>0</v>
      </c>
      <c r="M241" s="94">
        <f t="shared" si="81"/>
        <v>0</v>
      </c>
      <c r="N241" s="94">
        <f t="shared" si="81"/>
        <v>0</v>
      </c>
      <c r="O241" s="94">
        <f t="shared" si="81"/>
        <v>0</v>
      </c>
      <c r="P241" s="94">
        <f t="shared" si="81"/>
        <v>0</v>
      </c>
      <c r="Q241" s="94">
        <f t="shared" si="81"/>
        <v>0</v>
      </c>
      <c r="R241" s="94">
        <f t="shared" si="81"/>
        <v>0</v>
      </c>
      <c r="S241" s="94">
        <f t="shared" si="81"/>
        <v>0</v>
      </c>
      <c r="T241" s="94">
        <f t="shared" si="81"/>
        <v>0</v>
      </c>
      <c r="U241" s="94">
        <f t="shared" si="81"/>
        <v>0</v>
      </c>
      <c r="V241" s="94">
        <f t="shared" si="81"/>
        <v>0</v>
      </c>
      <c r="W241" s="94">
        <f t="shared" si="81"/>
        <v>0</v>
      </c>
      <c r="X241" s="94">
        <f t="shared" si="81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2">IF(AND(LataProjekcji&gt;=Poczatek,LataProjekcji&lt;=Koniec),K168,0)</f>
        <v>0</v>
      </c>
      <c r="L242" s="33">
        <f t="shared" si="82"/>
        <v>0</v>
      </c>
      <c r="M242" s="33">
        <f t="shared" si="82"/>
        <v>0</v>
      </c>
      <c r="N242" s="33">
        <f t="shared" si="82"/>
        <v>0</v>
      </c>
      <c r="O242" s="33">
        <f t="shared" si="82"/>
        <v>0</v>
      </c>
      <c r="P242" s="33">
        <f t="shared" si="82"/>
        <v>0</v>
      </c>
      <c r="Q242" s="33">
        <f t="shared" si="82"/>
        <v>0</v>
      </c>
      <c r="R242" s="33">
        <f t="shared" si="82"/>
        <v>0</v>
      </c>
      <c r="S242" s="33">
        <f t="shared" si="82"/>
        <v>0</v>
      </c>
      <c r="T242" s="33">
        <f t="shared" si="82"/>
        <v>0</v>
      </c>
      <c r="U242" s="33">
        <f t="shared" si="82"/>
        <v>0</v>
      </c>
      <c r="V242" s="33">
        <f t="shared" si="82"/>
        <v>0</v>
      </c>
      <c r="W242" s="33">
        <f t="shared" si="82"/>
        <v>0</v>
      </c>
      <c r="X242" s="33">
        <f t="shared" si="82"/>
        <v>0</v>
      </c>
    </row>
    <row r="243" spans="2:24">
      <c r="B243" s="1" t="s">
        <v>272</v>
      </c>
      <c r="K243" s="5">
        <f t="shared" ref="K243:X243" si="83">IF(AND(LataProjekcji&gt;=Poczatek,LataProjekcji&lt;=Koniec),K177,0)</f>
        <v>0</v>
      </c>
      <c r="L243" s="5">
        <f t="shared" si="83"/>
        <v>0</v>
      </c>
      <c r="M243" s="5">
        <f t="shared" si="83"/>
        <v>0</v>
      </c>
      <c r="N243" s="5">
        <f t="shared" si="83"/>
        <v>0</v>
      </c>
      <c r="O243" s="5">
        <f t="shared" si="83"/>
        <v>0</v>
      </c>
      <c r="P243" s="5">
        <f t="shared" si="83"/>
        <v>0</v>
      </c>
      <c r="Q243" s="5">
        <f t="shared" si="83"/>
        <v>0</v>
      </c>
      <c r="R243" s="5">
        <f t="shared" si="83"/>
        <v>0</v>
      </c>
      <c r="S243" s="5">
        <f t="shared" si="83"/>
        <v>0</v>
      </c>
      <c r="T243" s="5">
        <f t="shared" si="83"/>
        <v>0</v>
      </c>
      <c r="U243" s="5">
        <f t="shared" si="83"/>
        <v>0</v>
      </c>
      <c r="V243" s="5">
        <f t="shared" si="83"/>
        <v>0</v>
      </c>
      <c r="W243" s="5">
        <f t="shared" si="83"/>
        <v>0</v>
      </c>
      <c r="X243" s="5">
        <f t="shared" si="83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4">IF(AND(LataProjekcji&gt;=Poczatek,LataProjekcji&lt;=Koniec),K198,0)</f>
        <v>0</v>
      </c>
      <c r="L244" s="90">
        <f t="shared" si="84"/>
        <v>0</v>
      </c>
      <c r="M244" s="90">
        <f t="shared" si="84"/>
        <v>0</v>
      </c>
      <c r="N244" s="90">
        <f t="shared" si="84"/>
        <v>0</v>
      </c>
      <c r="O244" s="90">
        <f t="shared" si="84"/>
        <v>0</v>
      </c>
      <c r="P244" s="90">
        <f t="shared" si="84"/>
        <v>0</v>
      </c>
      <c r="Q244" s="90">
        <f t="shared" si="84"/>
        <v>0</v>
      </c>
      <c r="R244" s="90">
        <f t="shared" si="84"/>
        <v>0</v>
      </c>
      <c r="S244" s="90">
        <f t="shared" si="84"/>
        <v>0</v>
      </c>
      <c r="T244" s="90">
        <f t="shared" si="84"/>
        <v>0</v>
      </c>
      <c r="U244" s="90">
        <f t="shared" si="84"/>
        <v>0</v>
      </c>
      <c r="V244" s="90">
        <f t="shared" si="84"/>
        <v>0</v>
      </c>
      <c r="W244" s="90">
        <f t="shared" si="84"/>
        <v>0</v>
      </c>
      <c r="X244" s="90">
        <f t="shared" si="84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85">SUM(L241:L244)</f>
        <v>0</v>
      </c>
      <c r="M245" s="97">
        <f t="shared" si="85"/>
        <v>0</v>
      </c>
      <c r="N245" s="97">
        <f t="shared" si="85"/>
        <v>0</v>
      </c>
      <c r="O245" s="97">
        <f t="shared" si="85"/>
        <v>0</v>
      </c>
      <c r="P245" s="97">
        <f t="shared" si="85"/>
        <v>0</v>
      </c>
      <c r="Q245" s="97">
        <f t="shared" si="85"/>
        <v>0</v>
      </c>
      <c r="R245" s="97">
        <f t="shared" si="85"/>
        <v>0</v>
      </c>
      <c r="S245" s="97">
        <f t="shared" si="85"/>
        <v>0</v>
      </c>
      <c r="T245" s="97">
        <f t="shared" si="85"/>
        <v>0</v>
      </c>
      <c r="U245" s="97">
        <f t="shared" si="85"/>
        <v>0</v>
      </c>
      <c r="V245" s="97">
        <f t="shared" si="85"/>
        <v>0</v>
      </c>
      <c r="W245" s="97">
        <f t="shared" si="85"/>
        <v>0</v>
      </c>
      <c r="X245" s="97">
        <f t="shared" si="85"/>
        <v>0</v>
      </c>
    </row>
    <row r="246" spans="2:24">
      <c r="B246" s="1" t="s">
        <v>293</v>
      </c>
      <c r="K246" s="5">
        <f t="shared" ref="K246:X246" si="86">IF(AND(LataProjekcji&gt;=Poczatek,LataProjekcji&lt;=Koniec),K219,0)</f>
        <v>0</v>
      </c>
      <c r="L246" s="5">
        <f t="shared" si="86"/>
        <v>0</v>
      </c>
      <c r="M246" s="5">
        <f t="shared" si="86"/>
        <v>0</v>
      </c>
      <c r="N246" s="5">
        <f t="shared" si="86"/>
        <v>0</v>
      </c>
      <c r="O246" s="5">
        <f t="shared" si="86"/>
        <v>0</v>
      </c>
      <c r="P246" s="5">
        <f t="shared" si="86"/>
        <v>0</v>
      </c>
      <c r="Q246" s="5">
        <f t="shared" si="86"/>
        <v>0</v>
      </c>
      <c r="R246" s="5">
        <f t="shared" si="86"/>
        <v>0</v>
      </c>
      <c r="S246" s="5">
        <f t="shared" si="86"/>
        <v>0</v>
      </c>
      <c r="T246" s="5">
        <f t="shared" si="86"/>
        <v>0</v>
      </c>
      <c r="U246" s="5">
        <f t="shared" si="86"/>
        <v>0</v>
      </c>
      <c r="V246" s="5">
        <f t="shared" si="86"/>
        <v>0</v>
      </c>
      <c r="W246" s="5">
        <f t="shared" si="86"/>
        <v>0</v>
      </c>
      <c r="X246" s="5">
        <f t="shared" si="86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87">IF(AND(LataProjekcji&gt;=Poczatek,LataProjekcji&lt;=Koniec),K228,0)</f>
        <v>0</v>
      </c>
      <c r="L247" s="97">
        <f t="shared" ca="1" si="87"/>
        <v>0</v>
      </c>
      <c r="M247" s="97">
        <f t="shared" ca="1" si="87"/>
        <v>0</v>
      </c>
      <c r="N247" s="97">
        <f t="shared" ca="1" si="87"/>
        <v>0</v>
      </c>
      <c r="O247" s="97">
        <f t="shared" ca="1" si="87"/>
        <v>0</v>
      </c>
      <c r="P247" s="97">
        <f t="shared" ca="1" si="87"/>
        <v>0</v>
      </c>
      <c r="Q247" s="97">
        <f t="shared" ca="1" si="87"/>
        <v>0</v>
      </c>
      <c r="R247" s="97">
        <f t="shared" ca="1" si="87"/>
        <v>0</v>
      </c>
      <c r="S247" s="97">
        <f t="shared" ca="1" si="87"/>
        <v>0</v>
      </c>
      <c r="T247" s="97">
        <f t="shared" ca="1" si="87"/>
        <v>0</v>
      </c>
      <c r="U247" s="97">
        <f t="shared" ca="1" si="87"/>
        <v>0</v>
      </c>
      <c r="V247" s="97">
        <f t="shared" ca="1" si="87"/>
        <v>0</v>
      </c>
      <c r="W247" s="97">
        <f t="shared" ca="1" si="87"/>
        <v>0</v>
      </c>
      <c r="X247" s="97">
        <f t="shared" ca="1" si="87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88">IF(AND(LataProjekcji&gt;=Poczatek,LataProjekcji&lt;=Koniec),K237,0)</f>
        <v>0</v>
      </c>
      <c r="L248" s="97">
        <f t="shared" si="88"/>
        <v>0</v>
      </c>
      <c r="M248" s="97">
        <f t="shared" ca="1" si="88"/>
        <v>0</v>
      </c>
      <c r="N248" s="97">
        <f t="shared" ca="1" si="88"/>
        <v>0</v>
      </c>
      <c r="O248" s="97">
        <f t="shared" ca="1" si="88"/>
        <v>0</v>
      </c>
      <c r="P248" s="97">
        <f t="shared" ca="1" si="88"/>
        <v>0</v>
      </c>
      <c r="Q248" s="97">
        <f t="shared" ca="1" si="88"/>
        <v>0</v>
      </c>
      <c r="R248" s="97">
        <f t="shared" ca="1" si="88"/>
        <v>0</v>
      </c>
      <c r="S248" s="97">
        <f t="shared" ca="1" si="88"/>
        <v>0</v>
      </c>
      <c r="T248" s="97">
        <f t="shared" ca="1" si="88"/>
        <v>0</v>
      </c>
      <c r="U248" s="97">
        <f t="shared" ca="1" si="88"/>
        <v>0</v>
      </c>
      <c r="V248" s="97">
        <f t="shared" ca="1" si="88"/>
        <v>0</v>
      </c>
      <c r="W248" s="97">
        <f t="shared" ca="1" si="88"/>
        <v>0</v>
      </c>
      <c r="X248" s="97">
        <f t="shared" ca="1" si="88"/>
        <v>0</v>
      </c>
    </row>
    <row r="249" spans="2:24"/>
    <row r="250" spans="2:24"/>
    <row r="251" spans="2:24" ht="14.5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20"/>
    <row r="405" spans="3:3" hidden="1">
      <c r="C405" s="1" t="b">
        <v>1</v>
      </c>
    </row>
  </sheetData>
  <sheetProtection algorithmName="SHA-512" hashValue="HiNizDpYHsmHS4ClYMyaN0FFlpHB4gF33C815ss+x3+2Om7xtokc+/vMQCTS+/7urjmzdIoj+Tow8x4VsksWYQ==" saltValue="qFX/M3eNa7vPl5Guka8Muw==" spinCount="100000" sheet="1" objects="1" scenarios="1"/>
  <mergeCells count="1">
    <mergeCell ref="B2:X3"/>
  </mergeCells>
  <conditionalFormatting sqref="K127:X136 K163:X167 K172:X176 K181:X185 K187:X191 K202:X206 K208:X212 K223:X226 K233:X236 K138:X147">
    <cfRule type="expression" dxfId="390" priority="6">
      <formula>AND(K$124&gt;=Poczatek,K$124&lt;=Koniec_Projekt)</formula>
    </cfRule>
  </conditionalFormatting>
  <conditionalFormatting sqref="K15:X19 K21:X25 K36:X40 K45:X49 K54:X58 K60:X64 K75:X79 K81:X85 K96:X99 K107:X109">
    <cfRule type="expression" dxfId="389" priority="4">
      <formula>AND(K$12&gt;Koniec_Projekt,K$12&lt;=Koniec)</formula>
    </cfRule>
    <cfRule type="expression" dxfId="388" priority="5">
      <formula>K$124&lt;=Koniec_Projekt</formula>
    </cfRule>
  </conditionalFormatting>
  <conditionalFormatting sqref="K127:X136 K138:X147 K163:X167 K172:X176 K181:X185 K187:X191 K202:X206 K208:X212 K223:X226 K233:X236">
    <cfRule type="expression" dxfId="387" priority="3">
      <formula>AND(K$12&gt;Koniec_Projekt,K$12&lt;=Koniec)</formula>
    </cfRule>
  </conditionalFormatting>
  <conditionalFormatting sqref="C127:C136 C163:C167 C172:C176 C181:C185 C202:C206 C223:C226 C232:C236">
    <cfRule type="expression" dxfId="386" priority="2">
      <formula>Kontrola_modulow_Przychody</formula>
    </cfRule>
  </conditionalFormatting>
  <conditionalFormatting sqref="K27:X31 K66:X70 K87:X91 K100:X100 K105:X106 K149:X158 K193:X197 K214:X218 K227:X227 K232:X232">
    <cfRule type="cellIs" dxfId="385" priority="1" operator="equal">
      <formula>0</formula>
    </cfRule>
  </conditionalFormatting>
  <dataValidations count="1">
    <dataValidation type="list" allowBlank="1" showInputMessage="1" showErrorMessage="1" sqref="C163:E167 C172:E176 C233:E236 C202:E206 C223:E226 C181:E185 C127:D127 C128 E127:E128 C129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165100</xdr:colOff>
                    <xdr:row>3</xdr:row>
                    <xdr:rowOff>88900</xdr:rowOff>
                  </from>
                  <to>
                    <xdr:col>15</xdr:col>
                    <xdr:colOff>393700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63.33203125" style="1" customWidth="1"/>
    <col min="3" max="3" width="20.6640625" style="1" customWidth="1"/>
    <col min="4" max="4" width="17.44140625" style="1" bestFit="1" customWidth="1"/>
    <col min="5" max="5" width="21.33203125" style="1" bestFit="1" customWidth="1"/>
    <col min="6" max="6" width="9.33203125" style="1" hidden="1" customWidth="1"/>
    <col min="7" max="10" width="9.88671875" style="1" hidden="1" customWidth="1"/>
    <col min="11" max="24" width="12.88671875" style="1" customWidth="1"/>
    <col min="25" max="25" width="2.88671875" style="1" customWidth="1"/>
    <col min="26" max="30" width="9.33203125" style="1" hidden="1" customWidth="1"/>
    <col min="31" max="31" width="10.109375" style="1" hidden="1" customWidth="1"/>
    <col min="32" max="38" width="0" style="1" hidden="1" customWidth="1"/>
    <col min="39" max="16384" width="9.3320312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</row>
    <row r="4" spans="2:24"/>
    <row r="5" spans="2:24">
      <c r="E5" s="329"/>
    </row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2:24"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2:24"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2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2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2:24"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2:24"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2:24"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2:24"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2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2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2:24"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2:24"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2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2:24"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185" t="s">
        <v>668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2:24"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2:24"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2:24"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2:24"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2:24"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2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2:24"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 t="shared" ref="K55:X55" si="7">ROUND(K49*K43*12,0)</f>
        <v>0</v>
      </c>
      <c r="L55" s="94">
        <f t="shared" si="7"/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2:24"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8">ROUND(K50*K44*12,0)</f>
        <v>0</v>
      </c>
      <c r="L56" s="33">
        <f t="shared" si="8"/>
        <v>0</v>
      </c>
      <c r="M56" s="33">
        <f t="shared" si="8"/>
        <v>0</v>
      </c>
      <c r="N56" s="33">
        <f t="shared" si="8"/>
        <v>0</v>
      </c>
      <c r="O56" s="33">
        <f t="shared" si="8"/>
        <v>0</v>
      </c>
      <c r="P56" s="33">
        <f t="shared" si="8"/>
        <v>0</v>
      </c>
      <c r="Q56" s="33">
        <f t="shared" si="8"/>
        <v>0</v>
      </c>
      <c r="R56" s="33">
        <f t="shared" si="8"/>
        <v>0</v>
      </c>
      <c r="S56" s="33">
        <f t="shared" si="8"/>
        <v>0</v>
      </c>
      <c r="T56" s="33">
        <f t="shared" si="8"/>
        <v>0</v>
      </c>
      <c r="U56" s="33">
        <f t="shared" si="8"/>
        <v>0</v>
      </c>
      <c r="V56" s="33">
        <f t="shared" si="8"/>
        <v>0</v>
      </c>
      <c r="W56" s="33">
        <f t="shared" si="8"/>
        <v>0</v>
      </c>
      <c r="X56" s="33">
        <f t="shared" si="8"/>
        <v>0</v>
      </c>
    </row>
    <row r="57" spans="2:24"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9">ROUND(K51*K45*12,0)</f>
        <v>0</v>
      </c>
      <c r="L57" s="33">
        <f t="shared" si="9"/>
        <v>0</v>
      </c>
      <c r="M57" s="33">
        <f t="shared" si="9"/>
        <v>0</v>
      </c>
      <c r="N57" s="33">
        <f t="shared" si="9"/>
        <v>0</v>
      </c>
      <c r="O57" s="33">
        <f t="shared" si="9"/>
        <v>0</v>
      </c>
      <c r="P57" s="33">
        <f t="shared" si="9"/>
        <v>0</v>
      </c>
      <c r="Q57" s="33">
        <f t="shared" si="9"/>
        <v>0</v>
      </c>
      <c r="R57" s="33">
        <f t="shared" si="9"/>
        <v>0</v>
      </c>
      <c r="S57" s="33">
        <f t="shared" si="9"/>
        <v>0</v>
      </c>
      <c r="T57" s="33">
        <f t="shared" si="9"/>
        <v>0</v>
      </c>
      <c r="U57" s="33">
        <f t="shared" si="9"/>
        <v>0</v>
      </c>
      <c r="V57" s="33">
        <f t="shared" si="9"/>
        <v>0</v>
      </c>
      <c r="W57" s="33">
        <f t="shared" si="9"/>
        <v>0</v>
      </c>
      <c r="X57" s="33">
        <f t="shared" si="9"/>
        <v>0</v>
      </c>
    </row>
    <row r="58" spans="2:24"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0">ROUND(K52*K46*12,0)</f>
        <v>0</v>
      </c>
      <c r="L58" s="33">
        <f t="shared" si="10"/>
        <v>0</v>
      </c>
      <c r="M58" s="33">
        <f t="shared" si="10"/>
        <v>0</v>
      </c>
      <c r="N58" s="33">
        <f t="shared" si="10"/>
        <v>0</v>
      </c>
      <c r="O58" s="33">
        <f t="shared" si="10"/>
        <v>0</v>
      </c>
      <c r="P58" s="33">
        <f t="shared" si="10"/>
        <v>0</v>
      </c>
      <c r="Q58" s="33">
        <f t="shared" si="10"/>
        <v>0</v>
      </c>
      <c r="R58" s="33">
        <f t="shared" si="10"/>
        <v>0</v>
      </c>
      <c r="S58" s="33">
        <f t="shared" si="10"/>
        <v>0</v>
      </c>
      <c r="T58" s="33">
        <f t="shared" si="10"/>
        <v>0</v>
      </c>
      <c r="U58" s="33">
        <f t="shared" si="10"/>
        <v>0</v>
      </c>
      <c r="V58" s="33">
        <f t="shared" si="10"/>
        <v>0</v>
      </c>
      <c r="W58" s="33">
        <f t="shared" si="10"/>
        <v>0</v>
      </c>
      <c r="X58" s="33">
        <f t="shared" si="10"/>
        <v>0</v>
      </c>
    </row>
    <row r="59" spans="2:24"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1">ROUND(K53*K47*12,0)</f>
        <v>0</v>
      </c>
      <c r="L59" s="106">
        <f t="shared" si="11"/>
        <v>0</v>
      </c>
      <c r="M59" s="106">
        <f t="shared" si="11"/>
        <v>0</v>
      </c>
      <c r="N59" s="106">
        <f t="shared" si="11"/>
        <v>0</v>
      </c>
      <c r="O59" s="106">
        <f t="shared" si="11"/>
        <v>0</v>
      </c>
      <c r="P59" s="106">
        <f t="shared" si="11"/>
        <v>0</v>
      </c>
      <c r="Q59" s="106">
        <f t="shared" si="11"/>
        <v>0</v>
      </c>
      <c r="R59" s="106">
        <f t="shared" si="11"/>
        <v>0</v>
      </c>
      <c r="S59" s="106">
        <f t="shared" si="11"/>
        <v>0</v>
      </c>
      <c r="T59" s="106">
        <f t="shared" si="11"/>
        <v>0</v>
      </c>
      <c r="U59" s="106">
        <f t="shared" si="11"/>
        <v>0</v>
      </c>
      <c r="V59" s="106">
        <f t="shared" si="11"/>
        <v>0</v>
      </c>
      <c r="W59" s="106">
        <f t="shared" si="11"/>
        <v>0</v>
      </c>
      <c r="X59" s="106">
        <f t="shared" si="11"/>
        <v>0</v>
      </c>
    </row>
    <row r="60" spans="2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2">IF(LataProjekcji&lt;=Koniec,ROUND(SUM(K55:K59),0),0)</f>
        <v>0</v>
      </c>
      <c r="L60" s="180">
        <f t="shared" si="12"/>
        <v>0</v>
      </c>
      <c r="M60" s="180">
        <f t="shared" si="12"/>
        <v>0</v>
      </c>
      <c r="N60" s="180">
        <f t="shared" si="12"/>
        <v>0</v>
      </c>
      <c r="O60" s="180">
        <f t="shared" si="12"/>
        <v>0</v>
      </c>
      <c r="P60" s="180">
        <f t="shared" si="12"/>
        <v>0</v>
      </c>
      <c r="Q60" s="180">
        <f t="shared" si="12"/>
        <v>0</v>
      </c>
      <c r="R60" s="180">
        <f t="shared" si="12"/>
        <v>0</v>
      </c>
      <c r="S60" s="180">
        <f t="shared" si="12"/>
        <v>0</v>
      </c>
      <c r="T60" s="180">
        <f t="shared" si="12"/>
        <v>0</v>
      </c>
      <c r="U60" s="180">
        <f t="shared" si="12"/>
        <v>0</v>
      </c>
      <c r="V60" s="180">
        <f t="shared" si="12"/>
        <v>0</v>
      </c>
      <c r="W60" s="180">
        <f t="shared" si="12"/>
        <v>0</v>
      </c>
      <c r="X60" s="180">
        <f t="shared" si="12"/>
        <v>0</v>
      </c>
    </row>
    <row r="61" spans="2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3">LataProjekcji</f>
        <v>Uzupełnij dane</v>
      </c>
      <c r="L63" s="184" t="str">
        <f t="shared" si="13"/>
        <v/>
      </c>
      <c r="M63" s="184" t="str">
        <f t="shared" si="13"/>
        <v/>
      </c>
      <c r="N63" s="184" t="str">
        <f t="shared" si="13"/>
        <v/>
      </c>
      <c r="O63" s="184" t="str">
        <f t="shared" si="13"/>
        <v/>
      </c>
      <c r="P63" s="184" t="str">
        <f t="shared" si="13"/>
        <v/>
      </c>
      <c r="Q63" s="184" t="str">
        <f t="shared" si="13"/>
        <v/>
      </c>
      <c r="R63" s="184" t="str">
        <f t="shared" si="13"/>
        <v/>
      </c>
      <c r="S63" s="184" t="str">
        <f t="shared" si="13"/>
        <v/>
      </c>
      <c r="T63" s="184" t="str">
        <f t="shared" si="13"/>
        <v/>
      </c>
      <c r="U63" s="184" t="str">
        <f t="shared" si="13"/>
        <v/>
      </c>
      <c r="V63" s="184" t="str">
        <f t="shared" si="13"/>
        <v/>
      </c>
      <c r="W63" s="184" t="str">
        <f t="shared" si="13"/>
        <v/>
      </c>
      <c r="X63" s="184" t="str">
        <f t="shared" si="13"/>
        <v/>
      </c>
    </row>
    <row r="64" spans="2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4">ROUND(K55*ZUS,0)</f>
        <v>0</v>
      </c>
      <c r="L65" s="33">
        <f t="shared" si="14"/>
        <v>0</v>
      </c>
      <c r="M65" s="33">
        <f t="shared" si="14"/>
        <v>0</v>
      </c>
      <c r="N65" s="33">
        <f t="shared" si="14"/>
        <v>0</v>
      </c>
      <c r="O65" s="33">
        <f t="shared" si="14"/>
        <v>0</v>
      </c>
      <c r="P65" s="33">
        <f t="shared" si="14"/>
        <v>0</v>
      </c>
      <c r="Q65" s="33">
        <f t="shared" si="14"/>
        <v>0</v>
      </c>
      <c r="R65" s="33">
        <f t="shared" si="14"/>
        <v>0</v>
      </c>
      <c r="S65" s="33">
        <f t="shared" si="14"/>
        <v>0</v>
      </c>
      <c r="T65" s="33">
        <f t="shared" si="14"/>
        <v>0</v>
      </c>
      <c r="U65" s="33">
        <f t="shared" si="14"/>
        <v>0</v>
      </c>
      <c r="V65" s="33">
        <f t="shared" si="14"/>
        <v>0</v>
      </c>
      <c r="W65" s="33">
        <f t="shared" si="14"/>
        <v>0</v>
      </c>
      <c r="X65" s="33">
        <f t="shared" si="14"/>
        <v>0</v>
      </c>
    </row>
    <row r="66" spans="2:24"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5">ROUND(K56*ZUS,0)</f>
        <v>0</v>
      </c>
      <c r="L66" s="33">
        <f t="shared" si="15"/>
        <v>0</v>
      </c>
      <c r="M66" s="33">
        <f t="shared" si="15"/>
        <v>0</v>
      </c>
      <c r="N66" s="33">
        <f t="shared" si="15"/>
        <v>0</v>
      </c>
      <c r="O66" s="33">
        <f t="shared" si="15"/>
        <v>0</v>
      </c>
      <c r="P66" s="33">
        <f t="shared" si="15"/>
        <v>0</v>
      </c>
      <c r="Q66" s="33">
        <f t="shared" si="15"/>
        <v>0</v>
      </c>
      <c r="R66" s="33">
        <f t="shared" si="15"/>
        <v>0</v>
      </c>
      <c r="S66" s="33">
        <f t="shared" si="15"/>
        <v>0</v>
      </c>
      <c r="T66" s="33">
        <f t="shared" si="15"/>
        <v>0</v>
      </c>
      <c r="U66" s="33">
        <f t="shared" si="15"/>
        <v>0</v>
      </c>
      <c r="V66" s="33">
        <f t="shared" si="15"/>
        <v>0</v>
      </c>
      <c r="W66" s="33">
        <f t="shared" si="15"/>
        <v>0</v>
      </c>
      <c r="X66" s="33">
        <f t="shared" si="15"/>
        <v>0</v>
      </c>
    </row>
    <row r="67" spans="2:24"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6">ROUND(K57*ZUS,0)</f>
        <v>0</v>
      </c>
      <c r="L67" s="33">
        <f t="shared" si="16"/>
        <v>0</v>
      </c>
      <c r="M67" s="33">
        <f t="shared" si="16"/>
        <v>0</v>
      </c>
      <c r="N67" s="33">
        <f t="shared" si="16"/>
        <v>0</v>
      </c>
      <c r="O67" s="33">
        <f t="shared" si="16"/>
        <v>0</v>
      </c>
      <c r="P67" s="33">
        <f t="shared" si="16"/>
        <v>0</v>
      </c>
      <c r="Q67" s="33">
        <f t="shared" si="16"/>
        <v>0</v>
      </c>
      <c r="R67" s="33">
        <f t="shared" si="16"/>
        <v>0</v>
      </c>
      <c r="S67" s="33">
        <f t="shared" si="16"/>
        <v>0</v>
      </c>
      <c r="T67" s="33">
        <f t="shared" si="16"/>
        <v>0</v>
      </c>
      <c r="U67" s="33">
        <f t="shared" si="16"/>
        <v>0</v>
      </c>
      <c r="V67" s="33">
        <f t="shared" si="16"/>
        <v>0</v>
      </c>
      <c r="W67" s="33">
        <f t="shared" si="16"/>
        <v>0</v>
      </c>
      <c r="X67" s="33">
        <f t="shared" si="16"/>
        <v>0</v>
      </c>
    </row>
    <row r="68" spans="2:24"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7">ROUND(K58*ZUS,0)</f>
        <v>0</v>
      </c>
      <c r="L68" s="33">
        <f t="shared" si="17"/>
        <v>0</v>
      </c>
      <c r="M68" s="33">
        <f t="shared" si="17"/>
        <v>0</v>
      </c>
      <c r="N68" s="33">
        <f t="shared" si="17"/>
        <v>0</v>
      </c>
      <c r="O68" s="33">
        <f t="shared" si="17"/>
        <v>0</v>
      </c>
      <c r="P68" s="33">
        <f t="shared" si="17"/>
        <v>0</v>
      </c>
      <c r="Q68" s="33">
        <f t="shared" si="17"/>
        <v>0</v>
      </c>
      <c r="R68" s="33">
        <f t="shared" si="17"/>
        <v>0</v>
      </c>
      <c r="S68" s="33">
        <f t="shared" si="17"/>
        <v>0</v>
      </c>
      <c r="T68" s="33">
        <f t="shared" si="17"/>
        <v>0</v>
      </c>
      <c r="U68" s="33">
        <f t="shared" si="17"/>
        <v>0</v>
      </c>
      <c r="V68" s="33">
        <f t="shared" si="17"/>
        <v>0</v>
      </c>
      <c r="W68" s="33">
        <f t="shared" si="17"/>
        <v>0</v>
      </c>
      <c r="X68" s="33">
        <f t="shared" si="17"/>
        <v>0</v>
      </c>
    </row>
    <row r="69" spans="2:24"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18">ROUND(K59*ZUS,0)</f>
        <v>0</v>
      </c>
      <c r="L69" s="106">
        <f t="shared" si="18"/>
        <v>0</v>
      </c>
      <c r="M69" s="106">
        <f t="shared" si="18"/>
        <v>0</v>
      </c>
      <c r="N69" s="106">
        <f t="shared" si="18"/>
        <v>0</v>
      </c>
      <c r="O69" s="106">
        <f t="shared" si="18"/>
        <v>0</v>
      </c>
      <c r="P69" s="106">
        <f t="shared" si="18"/>
        <v>0</v>
      </c>
      <c r="Q69" s="106">
        <f t="shared" si="18"/>
        <v>0</v>
      </c>
      <c r="R69" s="106">
        <f t="shared" si="18"/>
        <v>0</v>
      </c>
      <c r="S69" s="106">
        <f t="shared" si="18"/>
        <v>0</v>
      </c>
      <c r="T69" s="106">
        <f t="shared" si="18"/>
        <v>0</v>
      </c>
      <c r="U69" s="106">
        <f t="shared" si="18"/>
        <v>0</v>
      </c>
      <c r="V69" s="106">
        <f t="shared" si="18"/>
        <v>0</v>
      </c>
      <c r="W69" s="106">
        <f t="shared" si="18"/>
        <v>0</v>
      </c>
      <c r="X69" s="106">
        <f t="shared" si="18"/>
        <v>0</v>
      </c>
    </row>
    <row r="70" spans="2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19">IF(LataProjekcji&lt;=Koniec,ROUND(SUM(K65:K69),0),0)</f>
        <v>0</v>
      </c>
      <c r="L70" s="180">
        <f t="shared" si="19"/>
        <v>0</v>
      </c>
      <c r="M70" s="180">
        <f t="shared" si="19"/>
        <v>0</v>
      </c>
      <c r="N70" s="180">
        <f t="shared" si="19"/>
        <v>0</v>
      </c>
      <c r="O70" s="180">
        <f t="shared" si="19"/>
        <v>0</v>
      </c>
      <c r="P70" s="180">
        <f t="shared" si="19"/>
        <v>0</v>
      </c>
      <c r="Q70" s="180">
        <f t="shared" si="19"/>
        <v>0</v>
      </c>
      <c r="R70" s="180">
        <f t="shared" si="19"/>
        <v>0</v>
      </c>
      <c r="S70" s="180">
        <f t="shared" si="19"/>
        <v>0</v>
      </c>
      <c r="T70" s="180">
        <f t="shared" si="19"/>
        <v>0</v>
      </c>
      <c r="U70" s="180">
        <f t="shared" si="19"/>
        <v>0</v>
      </c>
      <c r="V70" s="180">
        <f t="shared" si="19"/>
        <v>0</v>
      </c>
      <c r="W70" s="180">
        <f t="shared" si="19"/>
        <v>0</v>
      </c>
      <c r="X70" s="180">
        <f t="shared" si="19"/>
        <v>0</v>
      </c>
    </row>
    <row r="71" spans="2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0">LataProjekcji</f>
        <v>Uzupełnij dane</v>
      </c>
      <c r="L73" s="184" t="str">
        <f t="shared" si="20"/>
        <v/>
      </c>
      <c r="M73" s="184" t="str">
        <f t="shared" si="20"/>
        <v/>
      </c>
      <c r="N73" s="184" t="str">
        <f t="shared" si="20"/>
        <v/>
      </c>
      <c r="O73" s="184" t="str">
        <f t="shared" si="20"/>
        <v/>
      </c>
      <c r="P73" s="184" t="str">
        <f t="shared" si="20"/>
        <v/>
      </c>
      <c r="Q73" s="184" t="str">
        <f t="shared" si="20"/>
        <v/>
      </c>
      <c r="R73" s="184" t="str">
        <f t="shared" si="20"/>
        <v/>
      </c>
      <c r="S73" s="184" t="str">
        <f t="shared" si="20"/>
        <v/>
      </c>
      <c r="T73" s="184" t="str">
        <f t="shared" si="20"/>
        <v/>
      </c>
      <c r="U73" s="184" t="str">
        <f t="shared" si="20"/>
        <v/>
      </c>
      <c r="V73" s="184" t="str">
        <f t="shared" si="20"/>
        <v/>
      </c>
      <c r="W73" s="184" t="str">
        <f t="shared" si="20"/>
        <v/>
      </c>
      <c r="X73" s="184" t="str">
        <f t="shared" si="20"/>
        <v/>
      </c>
    </row>
    <row r="74" spans="2:24"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1">IF(LataProjekcji&lt;=Koniec,ROUND(SUM(K74:K78),0),0)</f>
        <v>0</v>
      </c>
      <c r="L79" s="180">
        <f t="shared" si="21"/>
        <v>0</v>
      </c>
      <c r="M79" s="180">
        <f t="shared" si="21"/>
        <v>0</v>
      </c>
      <c r="N79" s="180">
        <f t="shared" si="21"/>
        <v>0</v>
      </c>
      <c r="O79" s="180">
        <f t="shared" si="21"/>
        <v>0</v>
      </c>
      <c r="P79" s="180">
        <f t="shared" si="21"/>
        <v>0</v>
      </c>
      <c r="Q79" s="180">
        <f t="shared" si="21"/>
        <v>0</v>
      </c>
      <c r="R79" s="180">
        <f t="shared" si="21"/>
        <v>0</v>
      </c>
      <c r="S79" s="180">
        <f t="shared" si="21"/>
        <v>0</v>
      </c>
      <c r="T79" s="180">
        <f t="shared" si="21"/>
        <v>0</v>
      </c>
      <c r="U79" s="180">
        <f t="shared" si="21"/>
        <v>0</v>
      </c>
      <c r="V79" s="180">
        <f t="shared" si="21"/>
        <v>0</v>
      </c>
      <c r="W79" s="180">
        <f t="shared" si="21"/>
        <v>0</v>
      </c>
      <c r="X79" s="180">
        <f t="shared" si="21"/>
        <v>0</v>
      </c>
    </row>
    <row r="80" spans="2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2">LataProjekcji</f>
        <v>Uzupełnij dane</v>
      </c>
      <c r="L82" s="184" t="str">
        <f t="shared" si="22"/>
        <v/>
      </c>
      <c r="M82" s="184" t="str">
        <f t="shared" si="22"/>
        <v/>
      </c>
      <c r="N82" s="184" t="str">
        <f t="shared" si="22"/>
        <v/>
      </c>
      <c r="O82" s="184" t="str">
        <f t="shared" si="22"/>
        <v/>
      </c>
      <c r="P82" s="184" t="str">
        <f t="shared" si="22"/>
        <v/>
      </c>
      <c r="Q82" s="184" t="str">
        <f t="shared" si="22"/>
        <v/>
      </c>
      <c r="R82" s="184" t="str">
        <f t="shared" si="22"/>
        <v/>
      </c>
      <c r="S82" s="184" t="str">
        <f t="shared" si="22"/>
        <v/>
      </c>
      <c r="T82" s="184" t="str">
        <f t="shared" si="22"/>
        <v/>
      </c>
      <c r="U82" s="184" t="str">
        <f t="shared" si="22"/>
        <v/>
      </c>
      <c r="V82" s="184" t="str">
        <f t="shared" si="22"/>
        <v/>
      </c>
      <c r="W82" s="184" t="str">
        <f t="shared" si="22"/>
        <v/>
      </c>
      <c r="X82" s="184" t="str">
        <f t="shared" si="22"/>
        <v/>
      </c>
    </row>
    <row r="83" spans="2:24"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2:24"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2:24"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2:24"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2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3">IF(LataProjekcji&lt;=Koniec,ROUND(SUM(K83:K87),0),0)</f>
        <v>0</v>
      </c>
      <c r="L88" s="180">
        <f t="shared" si="23"/>
        <v>0</v>
      </c>
      <c r="M88" s="180">
        <f t="shared" si="23"/>
        <v>0</v>
      </c>
      <c r="N88" s="180">
        <f t="shared" si="23"/>
        <v>0</v>
      </c>
      <c r="O88" s="180">
        <f t="shared" si="23"/>
        <v>0</v>
      </c>
      <c r="P88" s="180">
        <f t="shared" si="23"/>
        <v>0</v>
      </c>
      <c r="Q88" s="180">
        <f t="shared" si="23"/>
        <v>0</v>
      </c>
      <c r="R88" s="180">
        <f t="shared" si="23"/>
        <v>0</v>
      </c>
      <c r="S88" s="180">
        <f t="shared" si="23"/>
        <v>0</v>
      </c>
      <c r="T88" s="180">
        <f t="shared" si="23"/>
        <v>0</v>
      </c>
      <c r="U88" s="180">
        <f t="shared" si="23"/>
        <v>0</v>
      </c>
      <c r="V88" s="180">
        <f t="shared" si="23"/>
        <v>0</v>
      </c>
      <c r="W88" s="180">
        <f t="shared" si="23"/>
        <v>0</v>
      </c>
      <c r="X88" s="180">
        <f t="shared" si="23"/>
        <v>0</v>
      </c>
    </row>
    <row r="89" spans="2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4">LataProjekcji</f>
        <v>Uzupełnij dane</v>
      </c>
      <c r="L91" s="184" t="str">
        <f t="shared" si="24"/>
        <v/>
      </c>
      <c r="M91" s="184" t="str">
        <f t="shared" si="24"/>
        <v/>
      </c>
      <c r="N91" s="184" t="str">
        <f t="shared" si="24"/>
        <v/>
      </c>
      <c r="O91" s="184" t="str">
        <f t="shared" si="24"/>
        <v/>
      </c>
      <c r="P91" s="184" t="str">
        <f t="shared" si="24"/>
        <v/>
      </c>
      <c r="Q91" s="184" t="str">
        <f t="shared" si="24"/>
        <v/>
      </c>
      <c r="R91" s="184" t="str">
        <f t="shared" si="24"/>
        <v/>
      </c>
      <c r="S91" s="184" t="str">
        <f t="shared" si="24"/>
        <v/>
      </c>
      <c r="T91" s="184" t="str">
        <f t="shared" si="24"/>
        <v/>
      </c>
      <c r="U91" s="184" t="str">
        <f t="shared" si="24"/>
        <v/>
      </c>
      <c r="V91" s="184" t="str">
        <f t="shared" si="24"/>
        <v/>
      </c>
      <c r="W91" s="184" t="str">
        <f t="shared" si="24"/>
        <v/>
      </c>
      <c r="X91" s="184" t="str">
        <f t="shared" si="24"/>
        <v/>
      </c>
    </row>
    <row r="92" spans="2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2:24"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2:24"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2:24"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2:24"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5">IF(LataProjekcji&lt;=Koniec,ROUND(SUM(K92:K96),0),0)</f>
        <v>0</v>
      </c>
      <c r="L97" s="180">
        <f t="shared" si="25"/>
        <v>0</v>
      </c>
      <c r="M97" s="180">
        <f t="shared" si="25"/>
        <v>0</v>
      </c>
      <c r="N97" s="180">
        <f t="shared" si="25"/>
        <v>0</v>
      </c>
      <c r="O97" s="180">
        <f t="shared" si="25"/>
        <v>0</v>
      </c>
      <c r="P97" s="180">
        <f t="shared" si="25"/>
        <v>0</v>
      </c>
      <c r="Q97" s="180">
        <f t="shared" si="25"/>
        <v>0</v>
      </c>
      <c r="R97" s="180">
        <f t="shared" si="25"/>
        <v>0</v>
      </c>
      <c r="S97" s="180">
        <f t="shared" si="25"/>
        <v>0</v>
      </c>
      <c r="T97" s="180">
        <f t="shared" si="25"/>
        <v>0</v>
      </c>
      <c r="U97" s="180">
        <f t="shared" si="25"/>
        <v>0</v>
      </c>
      <c r="V97" s="180">
        <f t="shared" si="25"/>
        <v>0</v>
      </c>
      <c r="W97" s="180">
        <f t="shared" si="25"/>
        <v>0</v>
      </c>
      <c r="X97" s="180">
        <f t="shared" si="25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6">LataProjekcji</f>
        <v>Uzupełnij dane</v>
      </c>
      <c r="L100" s="155" t="str">
        <f t="shared" si="26"/>
        <v/>
      </c>
      <c r="M100" s="155" t="str">
        <f t="shared" si="26"/>
        <v/>
      </c>
      <c r="N100" s="155" t="str">
        <f t="shared" si="26"/>
        <v/>
      </c>
      <c r="O100" s="155" t="str">
        <f t="shared" si="26"/>
        <v/>
      </c>
      <c r="P100" s="155" t="str">
        <f t="shared" si="26"/>
        <v/>
      </c>
      <c r="Q100" s="155" t="str">
        <f t="shared" si="26"/>
        <v/>
      </c>
      <c r="R100" s="155" t="str">
        <f t="shared" si="26"/>
        <v/>
      </c>
      <c r="S100" s="184" t="str">
        <f t="shared" si="26"/>
        <v/>
      </c>
      <c r="T100" s="184" t="str">
        <f t="shared" si="26"/>
        <v/>
      </c>
      <c r="U100" s="184" t="str">
        <f t="shared" si="26"/>
        <v/>
      </c>
      <c r="V100" s="184" t="str">
        <f t="shared" si="26"/>
        <v/>
      </c>
      <c r="W100" s="184" t="str">
        <f t="shared" si="26"/>
        <v/>
      </c>
      <c r="X100" s="184" t="str">
        <f t="shared" si="26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7">ROUND(L20,0)</f>
        <v>0</v>
      </c>
      <c r="M102" s="33">
        <f t="shared" si="27"/>
        <v>0</v>
      </c>
      <c r="N102" s="33">
        <f t="shared" si="27"/>
        <v>0</v>
      </c>
      <c r="O102" s="33">
        <f t="shared" si="27"/>
        <v>0</v>
      </c>
      <c r="P102" s="33">
        <f t="shared" si="27"/>
        <v>0</v>
      </c>
      <c r="Q102" s="33">
        <f t="shared" si="27"/>
        <v>0</v>
      </c>
      <c r="R102" s="33">
        <f t="shared" si="27"/>
        <v>0</v>
      </c>
      <c r="S102" s="33">
        <f t="shared" si="27"/>
        <v>0</v>
      </c>
      <c r="T102" s="33">
        <f t="shared" si="27"/>
        <v>0</v>
      </c>
      <c r="U102" s="33">
        <f t="shared" si="27"/>
        <v>0</v>
      </c>
      <c r="V102" s="33">
        <f t="shared" si="27"/>
        <v>0</v>
      </c>
      <c r="W102" s="33">
        <f t="shared" si="27"/>
        <v>0</v>
      </c>
      <c r="X102" s="33">
        <f t="shared" si="27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28">ROUND(L29,0)</f>
        <v>0</v>
      </c>
      <c r="M103" s="33">
        <f t="shared" si="28"/>
        <v>0</v>
      </c>
      <c r="N103" s="33">
        <f t="shared" si="28"/>
        <v>0</v>
      </c>
      <c r="O103" s="33">
        <f t="shared" si="28"/>
        <v>0</v>
      </c>
      <c r="P103" s="33">
        <f t="shared" si="28"/>
        <v>0</v>
      </c>
      <c r="Q103" s="33">
        <f t="shared" si="28"/>
        <v>0</v>
      </c>
      <c r="R103" s="33">
        <f t="shared" si="28"/>
        <v>0</v>
      </c>
      <c r="S103" s="33">
        <f t="shared" si="28"/>
        <v>0</v>
      </c>
      <c r="T103" s="33">
        <f t="shared" si="28"/>
        <v>0</v>
      </c>
      <c r="U103" s="33">
        <f t="shared" si="28"/>
        <v>0</v>
      </c>
      <c r="V103" s="33">
        <f t="shared" si="28"/>
        <v>0</v>
      </c>
      <c r="W103" s="33">
        <f t="shared" si="28"/>
        <v>0</v>
      </c>
      <c r="X103" s="33">
        <f t="shared" si="28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29">ROUND(L38,0)</f>
        <v>0</v>
      </c>
      <c r="M104" s="33">
        <f t="shared" si="29"/>
        <v>0</v>
      </c>
      <c r="N104" s="33">
        <f t="shared" si="29"/>
        <v>0</v>
      </c>
      <c r="O104" s="33">
        <f t="shared" si="29"/>
        <v>0</v>
      </c>
      <c r="P104" s="33">
        <f t="shared" si="29"/>
        <v>0</v>
      </c>
      <c r="Q104" s="33">
        <f t="shared" si="29"/>
        <v>0</v>
      </c>
      <c r="R104" s="33">
        <f t="shared" si="29"/>
        <v>0</v>
      </c>
      <c r="S104" s="33">
        <f t="shared" si="29"/>
        <v>0</v>
      </c>
      <c r="T104" s="33">
        <f t="shared" si="29"/>
        <v>0</v>
      </c>
      <c r="U104" s="33">
        <f t="shared" si="29"/>
        <v>0</v>
      </c>
      <c r="V104" s="33">
        <f t="shared" si="29"/>
        <v>0</v>
      </c>
      <c r="W104" s="33">
        <f t="shared" si="29"/>
        <v>0</v>
      </c>
      <c r="X104" s="33">
        <f t="shared" si="29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0">ROUND(L60,0)</f>
        <v>0</v>
      </c>
      <c r="M105" s="33">
        <f t="shared" si="30"/>
        <v>0</v>
      </c>
      <c r="N105" s="33">
        <f t="shared" si="30"/>
        <v>0</v>
      </c>
      <c r="O105" s="33">
        <f t="shared" si="30"/>
        <v>0</v>
      </c>
      <c r="P105" s="33">
        <f t="shared" si="30"/>
        <v>0</v>
      </c>
      <c r="Q105" s="33">
        <f t="shared" si="30"/>
        <v>0</v>
      </c>
      <c r="R105" s="33">
        <f t="shared" si="30"/>
        <v>0</v>
      </c>
      <c r="S105" s="33">
        <f t="shared" si="30"/>
        <v>0</v>
      </c>
      <c r="T105" s="33">
        <f t="shared" si="30"/>
        <v>0</v>
      </c>
      <c r="U105" s="33">
        <f t="shared" si="30"/>
        <v>0</v>
      </c>
      <c r="V105" s="33">
        <f t="shared" si="30"/>
        <v>0</v>
      </c>
      <c r="W105" s="33">
        <f t="shared" si="30"/>
        <v>0</v>
      </c>
      <c r="X105" s="33">
        <f t="shared" si="30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1">ROUND(L70,0)</f>
        <v>0</v>
      </c>
      <c r="M106" s="33">
        <f t="shared" si="31"/>
        <v>0</v>
      </c>
      <c r="N106" s="33">
        <f t="shared" si="31"/>
        <v>0</v>
      </c>
      <c r="O106" s="33">
        <f t="shared" si="31"/>
        <v>0</v>
      </c>
      <c r="P106" s="33">
        <f t="shared" si="31"/>
        <v>0</v>
      </c>
      <c r="Q106" s="33">
        <f t="shared" si="31"/>
        <v>0</v>
      </c>
      <c r="R106" s="33">
        <f t="shared" si="31"/>
        <v>0</v>
      </c>
      <c r="S106" s="33">
        <f t="shared" si="31"/>
        <v>0</v>
      </c>
      <c r="T106" s="33">
        <f t="shared" si="31"/>
        <v>0</v>
      </c>
      <c r="U106" s="33">
        <f t="shared" si="31"/>
        <v>0</v>
      </c>
      <c r="V106" s="33">
        <f t="shared" si="31"/>
        <v>0</v>
      </c>
      <c r="W106" s="33">
        <f t="shared" si="31"/>
        <v>0</v>
      </c>
      <c r="X106" s="33">
        <f t="shared" si="31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2">ROUND(L79,0)</f>
        <v>0</v>
      </c>
      <c r="M107" s="33">
        <f t="shared" si="32"/>
        <v>0</v>
      </c>
      <c r="N107" s="33">
        <f t="shared" si="32"/>
        <v>0</v>
      </c>
      <c r="O107" s="33">
        <f t="shared" si="32"/>
        <v>0</v>
      </c>
      <c r="P107" s="33">
        <f t="shared" si="32"/>
        <v>0</v>
      </c>
      <c r="Q107" s="33">
        <f t="shared" si="32"/>
        <v>0</v>
      </c>
      <c r="R107" s="33">
        <f t="shared" si="32"/>
        <v>0</v>
      </c>
      <c r="S107" s="33">
        <f t="shared" si="32"/>
        <v>0</v>
      </c>
      <c r="T107" s="33">
        <f t="shared" si="32"/>
        <v>0</v>
      </c>
      <c r="U107" s="33">
        <f t="shared" si="32"/>
        <v>0</v>
      </c>
      <c r="V107" s="33">
        <f t="shared" si="32"/>
        <v>0</v>
      </c>
      <c r="W107" s="33">
        <f t="shared" si="32"/>
        <v>0</v>
      </c>
      <c r="X107" s="33">
        <f t="shared" si="32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3">ROUND(SUM(L101:L108),0)</f>
        <v>0</v>
      </c>
      <c r="M109" s="196">
        <f t="shared" si="33"/>
        <v>0</v>
      </c>
      <c r="N109" s="196">
        <f t="shared" si="33"/>
        <v>0</v>
      </c>
      <c r="O109" s="196">
        <f t="shared" si="33"/>
        <v>0</v>
      </c>
      <c r="P109" s="196">
        <f t="shared" si="33"/>
        <v>0</v>
      </c>
      <c r="Q109" s="196">
        <f t="shared" si="33"/>
        <v>0</v>
      </c>
      <c r="R109" s="196">
        <f t="shared" si="33"/>
        <v>0</v>
      </c>
      <c r="S109" s="196">
        <f t="shared" si="33"/>
        <v>0</v>
      </c>
      <c r="T109" s="196">
        <f t="shared" si="33"/>
        <v>0</v>
      </c>
      <c r="U109" s="196">
        <f t="shared" si="33"/>
        <v>0</v>
      </c>
      <c r="V109" s="196">
        <f t="shared" si="33"/>
        <v>0</v>
      </c>
      <c r="W109" s="196">
        <f t="shared" si="33"/>
        <v>0</v>
      </c>
      <c r="X109" s="196">
        <f t="shared" si="33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4">ROUND(L88,0)</f>
        <v>0</v>
      </c>
      <c r="M110" s="97">
        <f t="shared" si="34"/>
        <v>0</v>
      </c>
      <c r="N110" s="97">
        <f t="shared" si="34"/>
        <v>0</v>
      </c>
      <c r="O110" s="97">
        <f t="shared" si="34"/>
        <v>0</v>
      </c>
      <c r="P110" s="97">
        <f t="shared" si="34"/>
        <v>0</v>
      </c>
      <c r="Q110" s="97">
        <f t="shared" si="34"/>
        <v>0</v>
      </c>
      <c r="R110" s="97">
        <f t="shared" si="34"/>
        <v>0</v>
      </c>
      <c r="S110" s="97">
        <f t="shared" si="34"/>
        <v>0</v>
      </c>
      <c r="T110" s="97">
        <f t="shared" si="34"/>
        <v>0</v>
      </c>
      <c r="U110" s="97">
        <f t="shared" si="34"/>
        <v>0</v>
      </c>
      <c r="V110" s="97">
        <f t="shared" si="34"/>
        <v>0</v>
      </c>
      <c r="W110" s="97">
        <f t="shared" si="34"/>
        <v>0</v>
      </c>
      <c r="X110" s="97">
        <f t="shared" si="34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5">ROUND(L97,0)</f>
        <v>0</v>
      </c>
      <c r="M111" s="97">
        <f t="shared" si="35"/>
        <v>0</v>
      </c>
      <c r="N111" s="97">
        <f t="shared" si="35"/>
        <v>0</v>
      </c>
      <c r="O111" s="97">
        <f t="shared" si="35"/>
        <v>0</v>
      </c>
      <c r="P111" s="97">
        <f t="shared" si="35"/>
        <v>0</v>
      </c>
      <c r="Q111" s="97">
        <f t="shared" si="35"/>
        <v>0</v>
      </c>
      <c r="R111" s="97">
        <f t="shared" si="35"/>
        <v>0</v>
      </c>
      <c r="S111" s="97">
        <f t="shared" si="35"/>
        <v>0</v>
      </c>
      <c r="T111" s="97">
        <f t="shared" si="35"/>
        <v>0</v>
      </c>
      <c r="U111" s="97">
        <f t="shared" si="35"/>
        <v>0</v>
      </c>
      <c r="V111" s="97">
        <f t="shared" si="35"/>
        <v>0</v>
      </c>
      <c r="W111" s="97">
        <f t="shared" si="35"/>
        <v>0</v>
      </c>
      <c r="X111" s="97">
        <f t="shared" si="35"/>
        <v>0</v>
      </c>
    </row>
    <row r="112" spans="2:24"/>
    <row r="113" spans="2:24"/>
    <row r="114" spans="2:24" ht="14.5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6">LataProjekcji</f>
        <v>Uzupełnij dane</v>
      </c>
      <c r="L114" s="32" t="str">
        <f t="shared" si="36"/>
        <v/>
      </c>
      <c r="M114" s="32" t="str">
        <f t="shared" si="36"/>
        <v/>
      </c>
      <c r="N114" s="32" t="str">
        <f t="shared" si="36"/>
        <v/>
      </c>
      <c r="O114" s="32" t="str">
        <f t="shared" si="36"/>
        <v/>
      </c>
      <c r="P114" s="32" t="str">
        <f t="shared" si="36"/>
        <v/>
      </c>
      <c r="Q114" s="32" t="str">
        <f t="shared" si="36"/>
        <v/>
      </c>
      <c r="R114" s="32" t="str">
        <f t="shared" si="36"/>
        <v/>
      </c>
      <c r="S114" s="32" t="str">
        <f t="shared" si="36"/>
        <v/>
      </c>
      <c r="T114" s="32" t="str">
        <f t="shared" si="36"/>
        <v/>
      </c>
      <c r="U114" s="32" t="str">
        <f t="shared" si="36"/>
        <v/>
      </c>
      <c r="V114" s="32" t="str">
        <f t="shared" si="36"/>
        <v/>
      </c>
      <c r="W114" s="32" t="str">
        <f t="shared" si="36"/>
        <v/>
      </c>
      <c r="X114" s="32" t="str">
        <f t="shared" si="36"/>
        <v/>
      </c>
    </row>
    <row r="115" spans="2:24"/>
    <row r="116" spans="2:24">
      <c r="B116" s="349" t="s">
        <v>338</v>
      </c>
      <c r="C116" s="348" t="str">
        <f>C$114</f>
        <v>Moduł</v>
      </c>
      <c r="D116" s="348" t="str">
        <f t="shared" ref="D116:X116" si="37">D$114</f>
        <v>Kwalifikowalne</v>
      </c>
      <c r="E116" s="348" t="str">
        <f t="shared" si="37"/>
        <v>Koszty B+R</v>
      </c>
      <c r="F116" s="348"/>
      <c r="G116" s="348">
        <f t="shared" ca="1" si="37"/>
        <v>0</v>
      </c>
      <c r="H116" s="348">
        <f t="shared" ca="1" si="37"/>
        <v>0</v>
      </c>
      <c r="I116" s="348">
        <f t="shared" ca="1" si="37"/>
        <v>0</v>
      </c>
      <c r="J116" s="348" t="str">
        <f t="shared" si="37"/>
        <v/>
      </c>
      <c r="K116" s="348" t="str">
        <f t="shared" si="37"/>
        <v>Uzupełnij dane</v>
      </c>
      <c r="L116" s="348" t="str">
        <f t="shared" si="37"/>
        <v/>
      </c>
      <c r="M116" s="348" t="str">
        <f t="shared" si="37"/>
        <v/>
      </c>
      <c r="N116" s="348" t="str">
        <f t="shared" si="37"/>
        <v/>
      </c>
      <c r="O116" s="348" t="str">
        <f t="shared" si="37"/>
        <v/>
      </c>
      <c r="P116" s="348" t="str">
        <f t="shared" si="37"/>
        <v/>
      </c>
      <c r="Q116" s="348" t="str">
        <f t="shared" si="37"/>
        <v/>
      </c>
      <c r="R116" s="348" t="str">
        <f t="shared" si="37"/>
        <v/>
      </c>
      <c r="S116" s="348" t="str">
        <f t="shared" si="37"/>
        <v/>
      </c>
      <c r="T116" s="348" t="str">
        <f t="shared" si="37"/>
        <v/>
      </c>
      <c r="U116" s="348" t="str">
        <f t="shared" si="37"/>
        <v/>
      </c>
      <c r="V116" s="348" t="str">
        <f t="shared" si="37"/>
        <v/>
      </c>
      <c r="W116" s="348" t="str">
        <f t="shared" si="37"/>
        <v/>
      </c>
      <c r="X116" s="348" t="str">
        <f t="shared" si="37"/>
        <v/>
      </c>
    </row>
    <row r="117" spans="2:24"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2:24">
      <c r="B118" s="295"/>
      <c r="C118" s="306"/>
      <c r="D118" s="306"/>
      <c r="E118" s="295"/>
      <c r="F118" s="55"/>
      <c r="G118" s="55"/>
      <c r="H118" s="55"/>
      <c r="I118" s="55"/>
      <c r="J118" s="55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295"/>
      <c r="C119" s="306"/>
      <c r="D119" s="306"/>
      <c r="E119" s="295"/>
      <c r="F119" s="55"/>
      <c r="G119" s="55"/>
      <c r="H119" s="55"/>
      <c r="I119" s="55"/>
      <c r="J119" s="55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2:24"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2:24">
      <c r="B121" s="295"/>
      <c r="C121" s="306"/>
      <c r="D121" s="306"/>
      <c r="E121" s="295"/>
      <c r="F121" s="55"/>
      <c r="G121" s="55"/>
      <c r="H121" s="55"/>
      <c r="I121" s="55"/>
      <c r="J121" s="55"/>
      <c r="K121" s="344"/>
      <c r="L121" s="343"/>
      <c r="M121" s="344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2:24">
      <c r="B122" s="295"/>
      <c r="C122" s="306"/>
      <c r="D122" s="306"/>
      <c r="E122" s="295"/>
      <c r="F122" s="55"/>
      <c r="G122" s="55"/>
      <c r="H122" s="55"/>
      <c r="I122" s="55"/>
      <c r="J122" s="55"/>
      <c r="K122" s="344"/>
      <c r="L122" s="343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2:24"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4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2:24"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2:24"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2:24"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2:24"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38">IF(AND(LataProjekcji&gt;=Poczatek,LataProjekcji&lt;=Koniec),ROUND(SUM(K117:K136),0),0)</f>
        <v>0</v>
      </c>
      <c r="L137" s="180">
        <f t="shared" si="38"/>
        <v>0</v>
      </c>
      <c r="M137" s="180">
        <f t="shared" si="38"/>
        <v>0</v>
      </c>
      <c r="N137" s="180">
        <f t="shared" si="38"/>
        <v>0</v>
      </c>
      <c r="O137" s="180">
        <f t="shared" si="38"/>
        <v>0</v>
      </c>
      <c r="P137" s="180">
        <f t="shared" si="38"/>
        <v>0</v>
      </c>
      <c r="Q137" s="180">
        <f t="shared" si="38"/>
        <v>0</v>
      </c>
      <c r="R137" s="180">
        <f t="shared" si="38"/>
        <v>0</v>
      </c>
      <c r="S137" s="180">
        <f t="shared" si="38"/>
        <v>0</v>
      </c>
      <c r="T137" s="180">
        <f t="shared" si="38"/>
        <v>0</v>
      </c>
      <c r="U137" s="180">
        <f t="shared" si="38"/>
        <v>0</v>
      </c>
      <c r="V137" s="180">
        <f t="shared" si="38"/>
        <v>0</v>
      </c>
      <c r="W137" s="180">
        <f t="shared" si="38"/>
        <v>0</v>
      </c>
      <c r="X137" s="180">
        <f t="shared" si="38"/>
        <v>0</v>
      </c>
    </row>
    <row r="138" spans="2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565" t="s">
        <v>341</v>
      </c>
      <c r="L138" s="566"/>
      <c r="M138" s="566"/>
      <c r="N138" s="566"/>
      <c r="O138" s="566"/>
      <c r="P138" s="566"/>
      <c r="Q138" s="566"/>
      <c r="R138" s="566"/>
      <c r="S138" s="566"/>
      <c r="T138" s="566"/>
      <c r="U138" s="566"/>
      <c r="V138" s="566"/>
      <c r="W138" s="566"/>
      <c r="X138" s="566"/>
    </row>
    <row r="139" spans="2:24">
      <c r="B139" s="62" t="str">
        <f t="shared" ref="B139:C157" si="39">IF(ISBLANK(B117),"",B117)</f>
        <v/>
      </c>
      <c r="C139" s="490" t="str">
        <f t="shared" si="39"/>
        <v/>
      </c>
      <c r="D139" s="490" t="str">
        <f t="shared" ref="D139:E158" si="40">IF(ISBLANK(D117),"",D117)</f>
        <v/>
      </c>
      <c r="E139" s="62" t="str">
        <f t="shared" si="40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2:24">
      <c r="B140" s="62" t="str">
        <f t="shared" si="39"/>
        <v/>
      </c>
      <c r="C140" s="490" t="str">
        <f t="shared" si="39"/>
        <v/>
      </c>
      <c r="D140" s="490" t="str">
        <f t="shared" si="40"/>
        <v/>
      </c>
      <c r="E140" s="62" t="str">
        <f t="shared" si="40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2:24">
      <c r="B141" s="62" t="str">
        <f t="shared" si="39"/>
        <v/>
      </c>
      <c r="C141" s="490" t="str">
        <f t="shared" si="39"/>
        <v/>
      </c>
      <c r="D141" s="490" t="str">
        <f t="shared" si="40"/>
        <v/>
      </c>
      <c r="E141" s="62" t="str">
        <f t="shared" si="40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2:24">
      <c r="B142" s="62" t="str">
        <f t="shared" si="39"/>
        <v/>
      </c>
      <c r="C142" s="490" t="str">
        <f t="shared" si="39"/>
        <v/>
      </c>
      <c r="D142" s="490" t="str">
        <f t="shared" si="40"/>
        <v/>
      </c>
      <c r="E142" s="62" t="str">
        <f t="shared" si="40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2:24">
      <c r="B143" s="62" t="str">
        <f t="shared" si="39"/>
        <v/>
      </c>
      <c r="C143" s="490" t="str">
        <f t="shared" si="39"/>
        <v/>
      </c>
      <c r="D143" s="490" t="str">
        <f t="shared" si="40"/>
        <v/>
      </c>
      <c r="E143" s="62" t="str">
        <f t="shared" si="40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2:24">
      <c r="B144" s="62" t="str">
        <f t="shared" si="39"/>
        <v/>
      </c>
      <c r="C144" s="490" t="str">
        <f t="shared" si="39"/>
        <v/>
      </c>
      <c r="D144" s="490" t="str">
        <f t="shared" si="40"/>
        <v/>
      </c>
      <c r="E144" s="62" t="str">
        <f t="shared" si="40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39"/>
        <v/>
      </c>
      <c r="C145" s="490" t="str">
        <f t="shared" si="39"/>
        <v/>
      </c>
      <c r="D145" s="490" t="str">
        <f t="shared" si="40"/>
        <v/>
      </c>
      <c r="E145" s="62" t="str">
        <f t="shared" si="40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39"/>
        <v/>
      </c>
      <c r="C146" s="490" t="str">
        <f t="shared" si="39"/>
        <v/>
      </c>
      <c r="D146" s="490" t="str">
        <f t="shared" si="40"/>
        <v/>
      </c>
      <c r="E146" s="62" t="str">
        <f t="shared" si="40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39"/>
        <v/>
      </c>
      <c r="C147" s="490" t="str">
        <f t="shared" si="39"/>
        <v/>
      </c>
      <c r="D147" s="490" t="str">
        <f t="shared" si="40"/>
        <v/>
      </c>
      <c r="E147" s="62" t="str">
        <f t="shared" si="40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39"/>
        <v/>
      </c>
      <c r="C148" s="490" t="str">
        <f t="shared" si="39"/>
        <v/>
      </c>
      <c r="D148" s="490" t="str">
        <f t="shared" si="40"/>
        <v/>
      </c>
      <c r="E148" s="62" t="str">
        <f t="shared" si="40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39"/>
        <v/>
      </c>
      <c r="C149" s="490" t="str">
        <f t="shared" si="39"/>
        <v/>
      </c>
      <c r="D149" s="490" t="str">
        <f t="shared" si="40"/>
        <v/>
      </c>
      <c r="E149" s="62" t="str">
        <f t="shared" si="40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39"/>
        <v/>
      </c>
      <c r="C150" s="490" t="str">
        <f t="shared" si="39"/>
        <v/>
      </c>
      <c r="D150" s="490" t="str">
        <f t="shared" si="40"/>
        <v/>
      </c>
      <c r="E150" s="62" t="str">
        <f t="shared" si="40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39"/>
        <v/>
      </c>
      <c r="C151" s="490" t="str">
        <f t="shared" si="39"/>
        <v/>
      </c>
      <c r="D151" s="490" t="str">
        <f t="shared" si="40"/>
        <v/>
      </c>
      <c r="E151" s="62" t="str">
        <f t="shared" si="40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39"/>
        <v/>
      </c>
      <c r="C152" s="490" t="str">
        <f t="shared" si="39"/>
        <v/>
      </c>
      <c r="D152" s="490" t="str">
        <f t="shared" si="40"/>
        <v/>
      </c>
      <c r="E152" s="62" t="str">
        <f t="shared" si="40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39"/>
        <v/>
      </c>
      <c r="C153" s="490" t="str">
        <f t="shared" si="39"/>
        <v/>
      </c>
      <c r="D153" s="490" t="str">
        <f t="shared" si="40"/>
        <v/>
      </c>
      <c r="E153" s="62" t="str">
        <f t="shared" si="40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39"/>
        <v/>
      </c>
      <c r="C154" s="490" t="str">
        <f t="shared" si="39"/>
        <v/>
      </c>
      <c r="D154" s="490" t="str">
        <f t="shared" si="40"/>
        <v/>
      </c>
      <c r="E154" s="62" t="str">
        <f t="shared" si="40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39"/>
        <v/>
      </c>
      <c r="C155" s="490" t="str">
        <f t="shared" si="39"/>
        <v/>
      </c>
      <c r="D155" s="490" t="str">
        <f t="shared" si="40"/>
        <v/>
      </c>
      <c r="E155" s="62" t="str">
        <f t="shared" si="40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39"/>
        <v/>
      </c>
      <c r="C156" s="490" t="str">
        <f t="shared" si="39"/>
        <v/>
      </c>
      <c r="D156" s="490" t="str">
        <f t="shared" si="40"/>
        <v/>
      </c>
      <c r="E156" s="62" t="str">
        <f t="shared" si="40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39"/>
        <v/>
      </c>
      <c r="C157" s="490" t="str">
        <f t="shared" si="39"/>
        <v/>
      </c>
      <c r="D157" s="490" t="str">
        <f t="shared" si="40"/>
        <v/>
      </c>
      <c r="E157" s="62" t="str">
        <f t="shared" si="40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0"/>
        <v/>
      </c>
      <c r="E158" s="62" t="str">
        <f t="shared" si="40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>
      <c r="B161" s="349" t="s">
        <v>342</v>
      </c>
      <c r="C161" s="348" t="str">
        <f>C$114</f>
        <v>Moduł</v>
      </c>
      <c r="D161" s="348" t="str">
        <f t="shared" ref="D161:X161" si="41">D$114</f>
        <v>Kwalifikowalne</v>
      </c>
      <c r="E161" s="348" t="str">
        <f t="shared" si="41"/>
        <v>Koszty B+R</v>
      </c>
      <c r="F161" s="348"/>
      <c r="G161" s="348">
        <f t="shared" ca="1" si="41"/>
        <v>0</v>
      </c>
      <c r="H161" s="348">
        <f t="shared" ca="1" si="41"/>
        <v>0</v>
      </c>
      <c r="I161" s="348">
        <f t="shared" ca="1" si="41"/>
        <v>0</v>
      </c>
      <c r="J161" s="348" t="str">
        <f t="shared" si="41"/>
        <v/>
      </c>
      <c r="K161" s="348" t="str">
        <f t="shared" si="41"/>
        <v>Uzupełnij dane</v>
      </c>
      <c r="L161" s="348" t="str">
        <f t="shared" si="41"/>
        <v/>
      </c>
      <c r="M161" s="348" t="str">
        <f t="shared" si="41"/>
        <v/>
      </c>
      <c r="N161" s="348" t="str">
        <f t="shared" si="41"/>
        <v/>
      </c>
      <c r="O161" s="348" t="str">
        <f t="shared" si="41"/>
        <v/>
      </c>
      <c r="P161" s="348" t="str">
        <f t="shared" si="41"/>
        <v/>
      </c>
      <c r="Q161" s="348" t="str">
        <f t="shared" si="41"/>
        <v/>
      </c>
      <c r="R161" s="348" t="str">
        <f t="shared" si="41"/>
        <v/>
      </c>
      <c r="S161" s="348" t="str">
        <f t="shared" si="41"/>
        <v/>
      </c>
      <c r="T161" s="348" t="str">
        <f t="shared" si="41"/>
        <v/>
      </c>
      <c r="U161" s="348" t="str">
        <f t="shared" si="41"/>
        <v/>
      </c>
      <c r="V161" s="348" t="str">
        <f t="shared" si="41"/>
        <v/>
      </c>
      <c r="W161" s="348" t="str">
        <f t="shared" si="41"/>
        <v/>
      </c>
      <c r="X161" s="348" t="str">
        <f t="shared" si="41"/>
        <v/>
      </c>
    </row>
    <row r="162" spans="2:24"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2:24"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2:24"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2:24"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2:24"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2:24"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2:24"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2:24"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2:24"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2:24"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2">IF(LataProjekcji&lt;=Koniec,ROUND(SUM(K162:K181),0),0)</f>
        <v>0</v>
      </c>
      <c r="L182" s="180">
        <f t="shared" si="42"/>
        <v>0</v>
      </c>
      <c r="M182" s="180">
        <f t="shared" si="42"/>
        <v>0</v>
      </c>
      <c r="N182" s="180">
        <f t="shared" si="42"/>
        <v>0</v>
      </c>
      <c r="O182" s="180">
        <f t="shared" si="42"/>
        <v>0</v>
      </c>
      <c r="P182" s="180">
        <f t="shared" si="42"/>
        <v>0</v>
      </c>
      <c r="Q182" s="180">
        <f t="shared" si="42"/>
        <v>0</v>
      </c>
      <c r="R182" s="180">
        <f t="shared" si="42"/>
        <v>0</v>
      </c>
      <c r="S182" s="180">
        <f t="shared" si="42"/>
        <v>0</v>
      </c>
      <c r="T182" s="180">
        <f t="shared" si="42"/>
        <v>0</v>
      </c>
      <c r="U182" s="180">
        <f t="shared" si="42"/>
        <v>0</v>
      </c>
      <c r="V182" s="180">
        <f t="shared" si="42"/>
        <v>0</v>
      </c>
      <c r="W182" s="180">
        <f t="shared" si="42"/>
        <v>0</v>
      </c>
      <c r="X182" s="180">
        <f t="shared" si="42"/>
        <v>0</v>
      </c>
    </row>
    <row r="183" spans="2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565" t="s">
        <v>341</v>
      </c>
      <c r="L183" s="566"/>
      <c r="M183" s="566"/>
      <c r="N183" s="566"/>
      <c r="O183" s="566"/>
      <c r="P183" s="566"/>
      <c r="Q183" s="566"/>
      <c r="R183" s="566"/>
      <c r="S183" s="566"/>
      <c r="T183" s="566"/>
      <c r="U183" s="566"/>
      <c r="V183" s="566"/>
      <c r="W183" s="566"/>
      <c r="X183" s="566"/>
    </row>
    <row r="184" spans="2:24">
      <c r="B184" s="62" t="str">
        <f t="shared" ref="B184:B190" si="43">IF(ISBLANK(B162),"",B162)</f>
        <v/>
      </c>
      <c r="C184" s="490" t="str">
        <f t="shared" ref="C184:E203" si="44">IF(ISBLANK(C162),"",C162)</f>
        <v/>
      </c>
      <c r="D184" s="490" t="str">
        <f t="shared" si="44"/>
        <v/>
      </c>
      <c r="E184" s="62" t="str">
        <f t="shared" si="44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2:24">
      <c r="B185" s="62" t="str">
        <f t="shared" si="43"/>
        <v/>
      </c>
      <c r="C185" s="490" t="str">
        <f t="shared" si="44"/>
        <v/>
      </c>
      <c r="D185" s="490" t="str">
        <f t="shared" si="44"/>
        <v/>
      </c>
      <c r="E185" s="62" t="str">
        <f t="shared" si="44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2:24">
      <c r="B186" s="62" t="str">
        <f t="shared" si="43"/>
        <v/>
      </c>
      <c r="C186" s="490" t="str">
        <f t="shared" si="44"/>
        <v/>
      </c>
      <c r="D186" s="490" t="str">
        <f t="shared" si="44"/>
        <v/>
      </c>
      <c r="E186" s="62" t="str">
        <f t="shared" si="44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2:24">
      <c r="B187" s="62" t="str">
        <f t="shared" si="43"/>
        <v/>
      </c>
      <c r="C187" s="490" t="str">
        <f t="shared" si="44"/>
        <v/>
      </c>
      <c r="D187" s="490" t="str">
        <f t="shared" si="44"/>
        <v/>
      </c>
      <c r="E187" s="62" t="str">
        <f t="shared" si="44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2:24">
      <c r="B188" s="62" t="str">
        <f t="shared" si="43"/>
        <v/>
      </c>
      <c r="C188" s="490" t="str">
        <f t="shared" si="44"/>
        <v/>
      </c>
      <c r="D188" s="490" t="str">
        <f t="shared" si="44"/>
        <v/>
      </c>
      <c r="E188" s="62" t="str">
        <f t="shared" si="44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2:24">
      <c r="B189" s="62" t="str">
        <f t="shared" si="43"/>
        <v/>
      </c>
      <c r="C189" s="490" t="str">
        <f t="shared" si="44"/>
        <v/>
      </c>
      <c r="D189" s="490" t="str">
        <f t="shared" si="44"/>
        <v/>
      </c>
      <c r="E189" s="62" t="str">
        <f t="shared" si="44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2:24">
      <c r="B190" s="62" t="str">
        <f t="shared" si="43"/>
        <v/>
      </c>
      <c r="C190" s="490" t="str">
        <f t="shared" si="44"/>
        <v/>
      </c>
      <c r="D190" s="490" t="str">
        <f t="shared" si="44"/>
        <v/>
      </c>
      <c r="E190" s="62" t="str">
        <f t="shared" si="44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2:24">
      <c r="B191" s="62" t="str">
        <f t="shared" ref="B191:B203" si="45">IF(ISBLANK(B169),"",B169)</f>
        <v/>
      </c>
      <c r="C191" s="490" t="str">
        <f t="shared" si="44"/>
        <v/>
      </c>
      <c r="D191" s="490" t="str">
        <f t="shared" si="44"/>
        <v/>
      </c>
      <c r="E191" s="62" t="str">
        <f t="shared" si="44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2:24">
      <c r="B192" s="62" t="str">
        <f t="shared" si="45"/>
        <v/>
      </c>
      <c r="C192" s="490" t="str">
        <f t="shared" si="44"/>
        <v/>
      </c>
      <c r="D192" s="490" t="str">
        <f t="shared" si="44"/>
        <v/>
      </c>
      <c r="E192" s="62" t="str">
        <f t="shared" si="44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2:24">
      <c r="B193" s="62" t="str">
        <f t="shared" si="45"/>
        <v/>
      </c>
      <c r="C193" s="490" t="str">
        <f t="shared" si="44"/>
        <v/>
      </c>
      <c r="D193" s="490" t="str">
        <f t="shared" si="44"/>
        <v/>
      </c>
      <c r="E193" s="62" t="str">
        <f t="shared" si="44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2:24">
      <c r="B194" s="62" t="str">
        <f t="shared" si="45"/>
        <v/>
      </c>
      <c r="C194" s="490" t="str">
        <f t="shared" si="44"/>
        <v/>
      </c>
      <c r="D194" s="490" t="str">
        <f t="shared" si="44"/>
        <v/>
      </c>
      <c r="E194" s="62" t="str">
        <f t="shared" si="44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2:24">
      <c r="B195" s="62" t="str">
        <f t="shared" si="45"/>
        <v/>
      </c>
      <c r="C195" s="490" t="str">
        <f t="shared" si="44"/>
        <v/>
      </c>
      <c r="D195" s="490" t="str">
        <f t="shared" si="44"/>
        <v/>
      </c>
      <c r="E195" s="62" t="str">
        <f t="shared" si="44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2:24">
      <c r="B196" s="62" t="str">
        <f t="shared" si="45"/>
        <v/>
      </c>
      <c r="C196" s="490" t="str">
        <f t="shared" si="44"/>
        <v/>
      </c>
      <c r="D196" s="490" t="str">
        <f t="shared" si="44"/>
        <v/>
      </c>
      <c r="E196" s="62" t="str">
        <f t="shared" si="44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2:24">
      <c r="B197" s="62" t="str">
        <f t="shared" si="45"/>
        <v/>
      </c>
      <c r="C197" s="490" t="str">
        <f t="shared" si="44"/>
        <v/>
      </c>
      <c r="D197" s="490" t="str">
        <f t="shared" si="44"/>
        <v/>
      </c>
      <c r="E197" s="62" t="str">
        <f t="shared" si="44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2:24">
      <c r="B198" s="62" t="str">
        <f t="shared" si="45"/>
        <v/>
      </c>
      <c r="C198" s="490" t="str">
        <f t="shared" si="44"/>
        <v/>
      </c>
      <c r="D198" s="490" t="str">
        <f t="shared" si="44"/>
        <v/>
      </c>
      <c r="E198" s="62" t="str">
        <f t="shared" si="44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2:24">
      <c r="B199" s="62" t="str">
        <f t="shared" si="45"/>
        <v/>
      </c>
      <c r="C199" s="490" t="str">
        <f t="shared" si="44"/>
        <v/>
      </c>
      <c r="D199" s="490" t="str">
        <f t="shared" si="44"/>
        <v/>
      </c>
      <c r="E199" s="62" t="str">
        <f t="shared" si="44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2:24">
      <c r="B200" s="62" t="str">
        <f t="shared" si="45"/>
        <v/>
      </c>
      <c r="C200" s="490" t="str">
        <f t="shared" si="44"/>
        <v/>
      </c>
      <c r="D200" s="490" t="str">
        <f t="shared" si="44"/>
        <v/>
      </c>
      <c r="E200" s="62" t="str">
        <f t="shared" si="44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2:24">
      <c r="B201" s="62" t="str">
        <f t="shared" si="45"/>
        <v/>
      </c>
      <c r="C201" s="490" t="str">
        <f t="shared" si="44"/>
        <v/>
      </c>
      <c r="D201" s="490" t="str">
        <f t="shared" si="44"/>
        <v/>
      </c>
      <c r="E201" s="62" t="str">
        <f t="shared" si="44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2:24">
      <c r="B202" s="62" t="str">
        <f t="shared" si="45"/>
        <v/>
      </c>
      <c r="C202" s="490" t="str">
        <f t="shared" si="44"/>
        <v/>
      </c>
      <c r="D202" s="490" t="str">
        <f t="shared" si="44"/>
        <v/>
      </c>
      <c r="E202" s="62" t="str">
        <f t="shared" si="44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2:24">
      <c r="B203" s="62" t="str">
        <f t="shared" si="45"/>
        <v/>
      </c>
      <c r="C203" s="490" t="str">
        <f t="shared" si="44"/>
        <v/>
      </c>
      <c r="D203" s="490" t="str">
        <f t="shared" si="44"/>
        <v/>
      </c>
      <c r="E203" s="62" t="str">
        <f t="shared" si="44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2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>
      <c r="B206" s="349" t="s">
        <v>344</v>
      </c>
      <c r="C206" s="348" t="str">
        <f>C$114</f>
        <v>Moduł</v>
      </c>
      <c r="D206" s="348" t="str">
        <f t="shared" ref="D206:X206" si="46">D$114</f>
        <v>Kwalifikowalne</v>
      </c>
      <c r="E206" s="348" t="str">
        <f t="shared" si="46"/>
        <v>Koszty B+R</v>
      </c>
      <c r="F206" s="348"/>
      <c r="G206" s="348">
        <f t="shared" ca="1" si="46"/>
        <v>0</v>
      </c>
      <c r="H206" s="348">
        <f t="shared" ca="1" si="46"/>
        <v>0</v>
      </c>
      <c r="I206" s="348">
        <f t="shared" ca="1" si="46"/>
        <v>0</v>
      </c>
      <c r="J206" s="348" t="str">
        <f t="shared" si="46"/>
        <v/>
      </c>
      <c r="K206" s="348" t="str">
        <f t="shared" si="46"/>
        <v>Uzupełnij dane</v>
      </c>
      <c r="L206" s="348" t="str">
        <f t="shared" si="46"/>
        <v/>
      </c>
      <c r="M206" s="348" t="str">
        <f t="shared" si="46"/>
        <v/>
      </c>
      <c r="N206" s="348" t="str">
        <f t="shared" si="46"/>
        <v/>
      </c>
      <c r="O206" s="348" t="str">
        <f t="shared" si="46"/>
        <v/>
      </c>
      <c r="P206" s="348" t="str">
        <f t="shared" si="46"/>
        <v/>
      </c>
      <c r="Q206" s="348" t="str">
        <f t="shared" si="46"/>
        <v/>
      </c>
      <c r="R206" s="348" t="str">
        <f t="shared" si="46"/>
        <v/>
      </c>
      <c r="S206" s="348" t="str">
        <f t="shared" si="46"/>
        <v/>
      </c>
      <c r="T206" s="348" t="str">
        <f t="shared" si="46"/>
        <v/>
      </c>
      <c r="U206" s="348" t="str">
        <f t="shared" si="46"/>
        <v/>
      </c>
      <c r="V206" s="348" t="str">
        <f t="shared" si="46"/>
        <v/>
      </c>
      <c r="W206" s="348" t="str">
        <f t="shared" si="46"/>
        <v/>
      </c>
      <c r="X206" s="348" t="str">
        <f t="shared" si="46"/>
        <v/>
      </c>
    </row>
    <row r="207" spans="2:24"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2:24"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2:24"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2:24"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2:24"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2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7">IF(LataProjekcji&lt;=Koniec,ROUND(SUM(K207:K211),0),0)</f>
        <v>0</v>
      </c>
      <c r="L212" s="180">
        <f t="shared" si="47"/>
        <v>0</v>
      </c>
      <c r="M212" s="180">
        <f t="shared" si="47"/>
        <v>0</v>
      </c>
      <c r="N212" s="180">
        <f t="shared" si="47"/>
        <v>0</v>
      </c>
      <c r="O212" s="180">
        <f t="shared" si="47"/>
        <v>0</v>
      </c>
      <c r="P212" s="180">
        <f t="shared" si="47"/>
        <v>0</v>
      </c>
      <c r="Q212" s="180">
        <f t="shared" si="47"/>
        <v>0</v>
      </c>
      <c r="R212" s="180">
        <f t="shared" si="47"/>
        <v>0</v>
      </c>
      <c r="S212" s="180">
        <f t="shared" si="47"/>
        <v>0</v>
      </c>
      <c r="T212" s="180">
        <f t="shared" si="47"/>
        <v>0</v>
      </c>
      <c r="U212" s="180">
        <f t="shared" si="47"/>
        <v>0</v>
      </c>
      <c r="V212" s="180">
        <f t="shared" si="47"/>
        <v>0</v>
      </c>
      <c r="W212" s="180">
        <f t="shared" si="47"/>
        <v>0</v>
      </c>
      <c r="X212" s="180">
        <f t="shared" si="47"/>
        <v>0</v>
      </c>
    </row>
    <row r="213" spans="2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565" t="s">
        <v>341</v>
      </c>
      <c r="L213" s="566"/>
      <c r="M213" s="566"/>
      <c r="N213" s="566"/>
      <c r="O213" s="566"/>
      <c r="P213" s="566"/>
      <c r="Q213" s="566"/>
      <c r="R213" s="566"/>
      <c r="S213" s="566"/>
      <c r="T213" s="566"/>
      <c r="U213" s="566"/>
      <c r="V213" s="566"/>
      <c r="W213" s="566"/>
      <c r="X213" s="566"/>
    </row>
    <row r="214" spans="2:24">
      <c r="B214" s="187" t="str">
        <f t="shared" ref="B214:E218" si="48">IF(ISBLANK(B207),"",B207)</f>
        <v/>
      </c>
      <c r="C214" s="187" t="str">
        <f t="shared" si="48"/>
        <v/>
      </c>
      <c r="D214" s="187" t="str">
        <f t="shared" si="48"/>
        <v/>
      </c>
      <c r="E214" s="187" t="str">
        <f t="shared" si="48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2:24">
      <c r="B215" s="62" t="str">
        <f t="shared" si="48"/>
        <v/>
      </c>
      <c r="C215" s="62" t="str">
        <f t="shared" si="48"/>
        <v/>
      </c>
      <c r="D215" s="62" t="str">
        <f t="shared" si="48"/>
        <v/>
      </c>
      <c r="E215" s="62" t="str">
        <f t="shared" si="48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2:24">
      <c r="B216" s="62" t="str">
        <f t="shared" si="48"/>
        <v/>
      </c>
      <c r="C216" s="62" t="str">
        <f t="shared" si="48"/>
        <v/>
      </c>
      <c r="D216" s="62" t="str">
        <f t="shared" si="48"/>
        <v/>
      </c>
      <c r="E216" s="62" t="str">
        <f t="shared" si="48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2:24">
      <c r="B217" s="62" t="str">
        <f t="shared" si="48"/>
        <v/>
      </c>
      <c r="C217" s="62" t="str">
        <f t="shared" si="48"/>
        <v/>
      </c>
      <c r="D217" s="62" t="str">
        <f t="shared" si="48"/>
        <v/>
      </c>
      <c r="E217" s="62" t="str">
        <f t="shared" si="48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2:24">
      <c r="B218" s="62" t="str">
        <f t="shared" si="48"/>
        <v/>
      </c>
      <c r="C218" s="62" t="str">
        <f t="shared" si="48"/>
        <v/>
      </c>
      <c r="D218" s="62" t="str">
        <f t="shared" si="48"/>
        <v/>
      </c>
      <c r="E218" s="62" t="str">
        <f t="shared" si="48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2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>
      <c r="B221" s="349" t="s">
        <v>346</v>
      </c>
      <c r="C221" s="348" t="str">
        <f>C$114</f>
        <v>Moduł</v>
      </c>
      <c r="D221" s="348" t="str">
        <f t="shared" ref="D221:X221" si="49">D$114</f>
        <v>Kwalifikowalne</v>
      </c>
      <c r="E221" s="348" t="str">
        <f t="shared" si="49"/>
        <v>Koszty B+R</v>
      </c>
      <c r="F221" s="348"/>
      <c r="G221" s="348">
        <f t="shared" ca="1" si="49"/>
        <v>0</v>
      </c>
      <c r="H221" s="348">
        <f t="shared" ca="1" si="49"/>
        <v>0</v>
      </c>
      <c r="I221" s="348">
        <f t="shared" ca="1" si="49"/>
        <v>0</v>
      </c>
      <c r="J221" s="348" t="str">
        <f t="shared" si="49"/>
        <v/>
      </c>
      <c r="K221" s="348" t="str">
        <f t="shared" si="49"/>
        <v>Uzupełnij dane</v>
      </c>
      <c r="L221" s="348" t="str">
        <f t="shared" si="49"/>
        <v/>
      </c>
      <c r="M221" s="348" t="str">
        <f t="shared" si="49"/>
        <v/>
      </c>
      <c r="N221" s="348" t="str">
        <f t="shared" si="49"/>
        <v/>
      </c>
      <c r="O221" s="348" t="str">
        <f t="shared" si="49"/>
        <v/>
      </c>
      <c r="P221" s="348" t="str">
        <f t="shared" si="49"/>
        <v/>
      </c>
      <c r="Q221" s="348" t="str">
        <f t="shared" si="49"/>
        <v/>
      </c>
      <c r="R221" s="348" t="str">
        <f t="shared" si="49"/>
        <v/>
      </c>
      <c r="S221" s="348" t="str">
        <f t="shared" si="49"/>
        <v/>
      </c>
      <c r="T221" s="348" t="str">
        <f t="shared" si="49"/>
        <v/>
      </c>
      <c r="U221" s="348" t="str">
        <f t="shared" si="49"/>
        <v/>
      </c>
      <c r="V221" s="348" t="str">
        <f t="shared" si="49"/>
        <v/>
      </c>
      <c r="W221" s="348" t="str">
        <f t="shared" si="49"/>
        <v/>
      </c>
      <c r="X221" s="348" t="str">
        <f t="shared" si="49"/>
        <v/>
      </c>
    </row>
    <row r="222" spans="2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2:24"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2:24"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2:24"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2:24"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2:24"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2:24"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2:24"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2:24"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2:24"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2:24"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2:24"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2:24"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2:24"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2:24"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2:24"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2:24"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2:24"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2:24"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2:24"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2:24"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2:24"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2:24"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2:24"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2:24"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2:24"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2:24"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2:24"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2:24"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2:24"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2:24"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2:24"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2:24"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2:24"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2:24" customFormat="1"/>
    <row r="264" spans="2:24">
      <c r="B264" s="349" t="s">
        <v>668</v>
      </c>
      <c r="C264" s="348" t="str">
        <f>C$114</f>
        <v>Moduł</v>
      </c>
      <c r="D264" s="348" t="str">
        <f t="shared" ref="D264:X264" si="50">D$114</f>
        <v>Kwalifikowalne</v>
      </c>
      <c r="E264" s="348" t="str">
        <f t="shared" si="50"/>
        <v>Koszty B+R</v>
      </c>
      <c r="F264" s="348"/>
      <c r="G264" s="348">
        <f t="shared" ca="1" si="50"/>
        <v>0</v>
      </c>
      <c r="H264" s="348">
        <f t="shared" ca="1" si="50"/>
        <v>0</v>
      </c>
      <c r="I264" s="348">
        <f t="shared" ca="1" si="50"/>
        <v>0</v>
      </c>
      <c r="J264" s="348" t="str">
        <f t="shared" si="50"/>
        <v/>
      </c>
      <c r="K264" s="348" t="str">
        <f t="shared" si="50"/>
        <v>Uzupełnij dane</v>
      </c>
      <c r="L264" s="348" t="str">
        <f t="shared" si="50"/>
        <v/>
      </c>
      <c r="M264" s="348" t="str">
        <f t="shared" si="50"/>
        <v/>
      </c>
      <c r="N264" s="348" t="str">
        <f t="shared" si="50"/>
        <v/>
      </c>
      <c r="O264" s="348" t="str">
        <f t="shared" si="50"/>
        <v/>
      </c>
      <c r="P264" s="348" t="str">
        <f t="shared" si="50"/>
        <v/>
      </c>
      <c r="Q264" s="348" t="str">
        <f t="shared" si="50"/>
        <v/>
      </c>
      <c r="R264" s="348" t="str">
        <f t="shared" si="50"/>
        <v/>
      </c>
      <c r="S264" s="348" t="str">
        <f t="shared" si="50"/>
        <v/>
      </c>
      <c r="T264" s="348" t="str">
        <f t="shared" si="50"/>
        <v/>
      </c>
      <c r="U264" s="348" t="str">
        <f t="shared" si="50"/>
        <v/>
      </c>
      <c r="V264" s="348" t="str">
        <f t="shared" si="50"/>
        <v/>
      </c>
      <c r="W264" s="348" t="str">
        <f t="shared" si="50"/>
        <v/>
      </c>
      <c r="X264" s="348" t="str">
        <f t="shared" si="50"/>
        <v/>
      </c>
    </row>
    <row r="265" spans="2:24">
      <c r="B265" s="19" t="str">
        <f t="shared" ref="B265:E284" si="51">IF(ISBLANK(B223),"",B223)</f>
        <v/>
      </c>
      <c r="C265" s="491" t="str">
        <f t="shared" si="51"/>
        <v/>
      </c>
      <c r="D265" s="491" t="str">
        <f t="shared" si="51"/>
        <v/>
      </c>
      <c r="E265" s="19" t="str">
        <f t="shared" si="51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2:24">
      <c r="B266" s="52" t="str">
        <f t="shared" si="51"/>
        <v/>
      </c>
      <c r="C266" s="482" t="str">
        <f t="shared" si="51"/>
        <v/>
      </c>
      <c r="D266" s="482" t="str">
        <f t="shared" si="51"/>
        <v/>
      </c>
      <c r="E266" s="52" t="str">
        <f t="shared" si="51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2:24">
      <c r="B267" s="52" t="str">
        <f t="shared" si="51"/>
        <v/>
      </c>
      <c r="C267" s="482" t="str">
        <f t="shared" si="51"/>
        <v/>
      </c>
      <c r="D267" s="482" t="str">
        <f t="shared" si="51"/>
        <v/>
      </c>
      <c r="E267" s="52" t="str">
        <f t="shared" si="51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2:24">
      <c r="B268" s="52" t="str">
        <f t="shared" si="51"/>
        <v/>
      </c>
      <c r="C268" s="482" t="str">
        <f t="shared" si="51"/>
        <v/>
      </c>
      <c r="D268" s="482" t="str">
        <f t="shared" si="51"/>
        <v/>
      </c>
      <c r="E268" s="52" t="str">
        <f t="shared" si="51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2:24">
      <c r="B269" s="52" t="str">
        <f t="shared" si="51"/>
        <v/>
      </c>
      <c r="C269" s="482" t="str">
        <f t="shared" si="51"/>
        <v/>
      </c>
      <c r="D269" s="482" t="str">
        <f t="shared" si="51"/>
        <v/>
      </c>
      <c r="E269" s="52" t="str">
        <f t="shared" si="51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2:24">
      <c r="B270" s="52" t="str">
        <f t="shared" si="51"/>
        <v/>
      </c>
      <c r="C270" s="482" t="str">
        <f t="shared" si="51"/>
        <v/>
      </c>
      <c r="D270" s="482" t="str">
        <f t="shared" si="51"/>
        <v/>
      </c>
      <c r="E270" s="52" t="str">
        <f t="shared" si="51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2:24">
      <c r="B271" s="52" t="str">
        <f t="shared" si="51"/>
        <v/>
      </c>
      <c r="C271" s="482" t="str">
        <f t="shared" si="51"/>
        <v/>
      </c>
      <c r="D271" s="482" t="str">
        <f t="shared" si="51"/>
        <v/>
      </c>
      <c r="E271" s="52" t="str">
        <f t="shared" si="51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2:24">
      <c r="B272" s="52" t="str">
        <f t="shared" si="51"/>
        <v/>
      </c>
      <c r="C272" s="482" t="str">
        <f t="shared" si="51"/>
        <v/>
      </c>
      <c r="D272" s="482" t="str">
        <f t="shared" si="51"/>
        <v/>
      </c>
      <c r="E272" s="52" t="str">
        <f t="shared" si="51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2:24">
      <c r="B273" s="52" t="str">
        <f t="shared" si="51"/>
        <v/>
      </c>
      <c r="C273" s="482" t="str">
        <f t="shared" si="51"/>
        <v/>
      </c>
      <c r="D273" s="482" t="str">
        <f t="shared" si="51"/>
        <v/>
      </c>
      <c r="E273" s="52" t="str">
        <f t="shared" si="51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2:24">
      <c r="B274" s="52" t="str">
        <f t="shared" si="51"/>
        <v/>
      </c>
      <c r="C274" s="482" t="str">
        <f t="shared" si="51"/>
        <v/>
      </c>
      <c r="D274" s="482" t="str">
        <f t="shared" si="51"/>
        <v/>
      </c>
      <c r="E274" s="52" t="str">
        <f t="shared" si="51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2:24">
      <c r="B275" s="52" t="str">
        <f t="shared" si="51"/>
        <v/>
      </c>
      <c r="C275" s="482" t="str">
        <f t="shared" si="51"/>
        <v/>
      </c>
      <c r="D275" s="482" t="str">
        <f t="shared" si="51"/>
        <v/>
      </c>
      <c r="E275" s="52" t="str">
        <f t="shared" si="51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2:24">
      <c r="B276" s="52" t="str">
        <f t="shared" si="51"/>
        <v/>
      </c>
      <c r="C276" s="482" t="str">
        <f t="shared" si="51"/>
        <v/>
      </c>
      <c r="D276" s="482" t="str">
        <f t="shared" si="51"/>
        <v/>
      </c>
      <c r="E276" s="52" t="str">
        <f t="shared" si="51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2:24">
      <c r="B277" s="52" t="str">
        <f t="shared" si="51"/>
        <v/>
      </c>
      <c r="C277" s="482" t="str">
        <f t="shared" si="51"/>
        <v/>
      </c>
      <c r="D277" s="482" t="str">
        <f t="shared" si="51"/>
        <v/>
      </c>
      <c r="E277" s="52" t="str">
        <f t="shared" si="51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2:24">
      <c r="B278" s="52" t="str">
        <f t="shared" si="51"/>
        <v/>
      </c>
      <c r="C278" s="482" t="str">
        <f t="shared" si="51"/>
        <v/>
      </c>
      <c r="D278" s="482" t="str">
        <f t="shared" si="51"/>
        <v/>
      </c>
      <c r="E278" s="52" t="str">
        <f t="shared" si="51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2:24">
      <c r="B279" s="52" t="str">
        <f t="shared" si="51"/>
        <v/>
      </c>
      <c r="C279" s="482" t="str">
        <f t="shared" si="51"/>
        <v/>
      </c>
      <c r="D279" s="482" t="str">
        <f t="shared" si="51"/>
        <v/>
      </c>
      <c r="E279" s="52" t="str">
        <f t="shared" si="51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2:24">
      <c r="B280" s="52" t="str">
        <f t="shared" si="51"/>
        <v/>
      </c>
      <c r="C280" s="482" t="str">
        <f t="shared" si="51"/>
        <v/>
      </c>
      <c r="D280" s="482" t="str">
        <f t="shared" si="51"/>
        <v/>
      </c>
      <c r="E280" s="52" t="str">
        <f t="shared" si="51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2:24">
      <c r="B281" s="52" t="str">
        <f t="shared" si="51"/>
        <v/>
      </c>
      <c r="C281" s="482" t="str">
        <f t="shared" si="51"/>
        <v/>
      </c>
      <c r="D281" s="482" t="str">
        <f t="shared" si="51"/>
        <v/>
      </c>
      <c r="E281" s="52" t="str">
        <f t="shared" si="51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2:24">
      <c r="B282" s="52" t="str">
        <f t="shared" si="51"/>
        <v/>
      </c>
      <c r="C282" s="482" t="str">
        <f t="shared" si="51"/>
        <v/>
      </c>
      <c r="D282" s="482" t="str">
        <f t="shared" si="51"/>
        <v/>
      </c>
      <c r="E282" s="52" t="str">
        <f t="shared" si="51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2:24">
      <c r="B283" s="52" t="str">
        <f t="shared" si="51"/>
        <v/>
      </c>
      <c r="C283" s="482" t="str">
        <f t="shared" si="51"/>
        <v/>
      </c>
      <c r="D283" s="482" t="str">
        <f t="shared" si="51"/>
        <v/>
      </c>
      <c r="E283" s="52" t="str">
        <f t="shared" si="51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2:24">
      <c r="B284" s="52" t="str">
        <f t="shared" si="51"/>
        <v/>
      </c>
      <c r="C284" s="482" t="str">
        <f t="shared" si="51"/>
        <v/>
      </c>
      <c r="D284" s="482" t="str">
        <f t="shared" si="51"/>
        <v/>
      </c>
      <c r="E284" s="52" t="str">
        <f t="shared" si="51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2:24">
      <c r="B285" s="52" t="str">
        <f t="shared" ref="B285:E304" si="52">IF(ISBLANK(B243),"",B243)</f>
        <v/>
      </c>
      <c r="C285" s="482" t="str">
        <f t="shared" si="52"/>
        <v/>
      </c>
      <c r="D285" s="482" t="str">
        <f t="shared" si="52"/>
        <v/>
      </c>
      <c r="E285" s="52" t="str">
        <f t="shared" si="52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2:24">
      <c r="B286" s="52" t="str">
        <f t="shared" si="52"/>
        <v/>
      </c>
      <c r="C286" s="482" t="str">
        <f t="shared" si="52"/>
        <v/>
      </c>
      <c r="D286" s="482" t="str">
        <f t="shared" si="52"/>
        <v/>
      </c>
      <c r="E286" s="52" t="str">
        <f t="shared" si="52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2:24">
      <c r="B287" s="52" t="str">
        <f t="shared" si="52"/>
        <v/>
      </c>
      <c r="C287" s="482" t="str">
        <f t="shared" si="52"/>
        <v/>
      </c>
      <c r="D287" s="482" t="str">
        <f t="shared" si="52"/>
        <v/>
      </c>
      <c r="E287" s="52" t="str">
        <f t="shared" si="52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2:24">
      <c r="B288" s="52" t="str">
        <f t="shared" si="52"/>
        <v/>
      </c>
      <c r="C288" s="482" t="str">
        <f t="shared" si="52"/>
        <v/>
      </c>
      <c r="D288" s="482" t="str">
        <f t="shared" si="52"/>
        <v/>
      </c>
      <c r="E288" s="52" t="str">
        <f t="shared" si="52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2:24">
      <c r="B289" s="52" t="str">
        <f t="shared" si="52"/>
        <v/>
      </c>
      <c r="C289" s="482" t="str">
        <f t="shared" si="52"/>
        <v/>
      </c>
      <c r="D289" s="482" t="str">
        <f t="shared" si="52"/>
        <v/>
      </c>
      <c r="E289" s="52" t="str">
        <f t="shared" si="52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2:24">
      <c r="B290" s="52" t="str">
        <f t="shared" si="52"/>
        <v/>
      </c>
      <c r="C290" s="482" t="str">
        <f t="shared" si="52"/>
        <v/>
      </c>
      <c r="D290" s="482" t="str">
        <f t="shared" si="52"/>
        <v/>
      </c>
      <c r="E290" s="52" t="str">
        <f t="shared" si="52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2:24">
      <c r="B291" s="52" t="str">
        <f t="shared" si="52"/>
        <v/>
      </c>
      <c r="C291" s="482" t="str">
        <f t="shared" si="52"/>
        <v/>
      </c>
      <c r="D291" s="482" t="str">
        <f t="shared" si="52"/>
        <v/>
      </c>
      <c r="E291" s="52" t="str">
        <f t="shared" si="52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2:24">
      <c r="B292" s="52" t="str">
        <f t="shared" si="52"/>
        <v/>
      </c>
      <c r="C292" s="482" t="str">
        <f t="shared" si="52"/>
        <v/>
      </c>
      <c r="D292" s="482" t="str">
        <f t="shared" si="52"/>
        <v/>
      </c>
      <c r="E292" s="52" t="str">
        <f t="shared" si="52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2:24">
      <c r="B293" s="52" t="str">
        <f t="shared" si="52"/>
        <v/>
      </c>
      <c r="C293" s="482" t="str">
        <f t="shared" si="52"/>
        <v/>
      </c>
      <c r="D293" s="482" t="str">
        <f t="shared" si="52"/>
        <v/>
      </c>
      <c r="E293" s="52" t="str">
        <f t="shared" si="52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2:24">
      <c r="B294" s="52" t="str">
        <f t="shared" si="52"/>
        <v/>
      </c>
      <c r="C294" s="482" t="str">
        <f t="shared" si="52"/>
        <v/>
      </c>
      <c r="D294" s="482" t="str">
        <f t="shared" si="52"/>
        <v/>
      </c>
      <c r="E294" s="52" t="str">
        <f t="shared" si="52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2:24">
      <c r="B295" s="52" t="str">
        <f t="shared" si="52"/>
        <v/>
      </c>
      <c r="C295" s="482" t="str">
        <f t="shared" si="52"/>
        <v/>
      </c>
      <c r="D295" s="482" t="str">
        <f t="shared" si="52"/>
        <v/>
      </c>
      <c r="E295" s="52" t="str">
        <f t="shared" si="52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2:24">
      <c r="B296" s="52" t="str">
        <f t="shared" si="52"/>
        <v/>
      </c>
      <c r="C296" s="482" t="str">
        <f t="shared" si="52"/>
        <v/>
      </c>
      <c r="D296" s="482" t="str">
        <f t="shared" si="52"/>
        <v/>
      </c>
      <c r="E296" s="52" t="str">
        <f t="shared" si="52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2:24">
      <c r="B297" s="52" t="str">
        <f t="shared" si="52"/>
        <v/>
      </c>
      <c r="C297" s="482" t="str">
        <f t="shared" si="52"/>
        <v/>
      </c>
      <c r="D297" s="482" t="str">
        <f t="shared" si="52"/>
        <v/>
      </c>
      <c r="E297" s="52" t="str">
        <f t="shared" si="52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2:24">
      <c r="B298" s="52" t="str">
        <f t="shared" si="52"/>
        <v/>
      </c>
      <c r="C298" s="482" t="str">
        <f t="shared" si="52"/>
        <v/>
      </c>
      <c r="D298" s="482" t="str">
        <f t="shared" si="52"/>
        <v/>
      </c>
      <c r="E298" s="52" t="str">
        <f t="shared" si="52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2:24">
      <c r="B299" s="52" t="str">
        <f t="shared" si="52"/>
        <v/>
      </c>
      <c r="C299" s="482" t="str">
        <f t="shared" si="52"/>
        <v/>
      </c>
      <c r="D299" s="482" t="str">
        <f t="shared" si="52"/>
        <v/>
      </c>
      <c r="E299" s="52" t="str">
        <f t="shared" si="52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2:24">
      <c r="B300" s="52" t="str">
        <f t="shared" si="52"/>
        <v/>
      </c>
      <c r="C300" s="482" t="str">
        <f t="shared" si="52"/>
        <v/>
      </c>
      <c r="D300" s="482" t="str">
        <f t="shared" si="52"/>
        <v/>
      </c>
      <c r="E300" s="52" t="str">
        <f t="shared" si="52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2:24">
      <c r="B301" s="52" t="str">
        <f t="shared" si="52"/>
        <v/>
      </c>
      <c r="C301" s="482" t="str">
        <f t="shared" si="52"/>
        <v/>
      </c>
      <c r="D301" s="482" t="str">
        <f t="shared" si="52"/>
        <v/>
      </c>
      <c r="E301" s="52" t="str">
        <f t="shared" si="52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2:24">
      <c r="B302" s="52" t="str">
        <f t="shared" si="52"/>
        <v/>
      </c>
      <c r="C302" s="482" t="str">
        <f t="shared" si="52"/>
        <v/>
      </c>
      <c r="D302" s="482" t="str">
        <f t="shared" si="52"/>
        <v/>
      </c>
      <c r="E302" s="52" t="str">
        <f t="shared" si="52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2:24">
      <c r="B303" s="52" t="str">
        <f t="shared" si="52"/>
        <v/>
      </c>
      <c r="C303" s="482" t="str">
        <f t="shared" si="52"/>
        <v/>
      </c>
      <c r="D303" s="482" t="str">
        <f t="shared" si="52"/>
        <v/>
      </c>
      <c r="E303" s="52" t="str">
        <f t="shared" si="52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2:24">
      <c r="B304" s="52" t="str">
        <f t="shared" si="52"/>
        <v/>
      </c>
      <c r="C304" s="482" t="str">
        <f t="shared" si="52"/>
        <v/>
      </c>
      <c r="D304" s="482" t="str">
        <f t="shared" si="52"/>
        <v/>
      </c>
      <c r="E304" s="52" t="str">
        <f t="shared" si="52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2:24" customFormat="1"/>
    <row r="306" spans="2:24">
      <c r="B306" s="349" t="s">
        <v>348</v>
      </c>
      <c r="C306" s="348" t="str">
        <f>C$114</f>
        <v>Moduł</v>
      </c>
      <c r="D306" s="348" t="str">
        <f t="shared" ref="D306:X306" si="53">D$114</f>
        <v>Kwalifikowalne</v>
      </c>
      <c r="E306" s="348" t="str">
        <f t="shared" si="53"/>
        <v>Koszty B+R</v>
      </c>
      <c r="F306" s="348"/>
      <c r="G306" s="348">
        <f t="shared" ca="1" si="53"/>
        <v>0</v>
      </c>
      <c r="H306" s="348">
        <f t="shared" ca="1" si="53"/>
        <v>0</v>
      </c>
      <c r="I306" s="348">
        <f t="shared" ca="1" si="53"/>
        <v>0</v>
      </c>
      <c r="J306" s="348" t="str">
        <f t="shared" si="53"/>
        <v/>
      </c>
      <c r="K306" s="348" t="str">
        <f t="shared" si="53"/>
        <v>Uzupełnij dane</v>
      </c>
      <c r="L306" s="348" t="str">
        <f t="shared" si="53"/>
        <v/>
      </c>
      <c r="M306" s="348" t="str">
        <f t="shared" si="53"/>
        <v/>
      </c>
      <c r="N306" s="348" t="str">
        <f t="shared" si="53"/>
        <v/>
      </c>
      <c r="O306" s="348" t="str">
        <f t="shared" si="53"/>
        <v/>
      </c>
      <c r="P306" s="348" t="str">
        <f t="shared" si="53"/>
        <v/>
      </c>
      <c r="Q306" s="348" t="str">
        <f t="shared" si="53"/>
        <v/>
      </c>
      <c r="R306" s="348" t="str">
        <f t="shared" si="53"/>
        <v/>
      </c>
      <c r="S306" s="348" t="str">
        <f t="shared" si="53"/>
        <v/>
      </c>
      <c r="T306" s="348" t="str">
        <f t="shared" si="53"/>
        <v/>
      </c>
      <c r="U306" s="348" t="str">
        <f t="shared" si="53"/>
        <v/>
      </c>
      <c r="V306" s="348" t="str">
        <f t="shared" si="53"/>
        <v/>
      </c>
      <c r="W306" s="348" t="str">
        <f t="shared" si="53"/>
        <v/>
      </c>
      <c r="X306" s="348" t="str">
        <f t="shared" si="53"/>
        <v/>
      </c>
    </row>
    <row r="307" spans="2:24">
      <c r="B307" s="52" t="str">
        <f t="shared" ref="B307:E326" si="54">IF(ISBLANK(B265),"",B265)</f>
        <v/>
      </c>
      <c r="C307" s="482" t="str">
        <f t="shared" si="54"/>
        <v/>
      </c>
      <c r="D307" s="482" t="str">
        <f t="shared" si="54"/>
        <v/>
      </c>
      <c r="E307" s="52" t="str">
        <f t="shared" si="54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2:24">
      <c r="B308" s="52" t="str">
        <f t="shared" si="54"/>
        <v/>
      </c>
      <c r="C308" s="482" t="str">
        <f t="shared" si="54"/>
        <v/>
      </c>
      <c r="D308" s="482" t="str">
        <f t="shared" si="54"/>
        <v/>
      </c>
      <c r="E308" s="52" t="str">
        <f t="shared" si="54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2:24">
      <c r="B309" s="52" t="str">
        <f t="shared" si="54"/>
        <v/>
      </c>
      <c r="C309" s="482" t="str">
        <f t="shared" si="54"/>
        <v/>
      </c>
      <c r="D309" s="482" t="str">
        <f t="shared" ref="D309" si="55">IF(ISBLANK(D267),"",D267)</f>
        <v/>
      </c>
      <c r="E309" s="52" t="str">
        <f t="shared" si="54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2:24">
      <c r="B310" s="52" t="str">
        <f t="shared" si="54"/>
        <v/>
      </c>
      <c r="C310" s="482" t="str">
        <f t="shared" si="54"/>
        <v/>
      </c>
      <c r="D310" s="482" t="str">
        <f t="shared" ref="D310" si="56">IF(ISBLANK(D268),"",D268)</f>
        <v/>
      </c>
      <c r="E310" s="52" t="str">
        <f t="shared" si="54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2:24">
      <c r="B311" s="52" t="str">
        <f t="shared" si="54"/>
        <v/>
      </c>
      <c r="C311" s="482" t="str">
        <f t="shared" si="54"/>
        <v/>
      </c>
      <c r="D311" s="482" t="str">
        <f t="shared" ref="D311" si="57">IF(ISBLANK(D269),"",D269)</f>
        <v/>
      </c>
      <c r="E311" s="52" t="str">
        <f t="shared" si="54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2:24">
      <c r="B312" s="52" t="str">
        <f t="shared" si="54"/>
        <v/>
      </c>
      <c r="C312" s="482" t="str">
        <f t="shared" si="54"/>
        <v/>
      </c>
      <c r="D312" s="482" t="str">
        <f t="shared" ref="D312" si="58">IF(ISBLANK(D270),"",D270)</f>
        <v/>
      </c>
      <c r="E312" s="52" t="str">
        <f t="shared" si="54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2:24">
      <c r="B313" s="52" t="str">
        <f t="shared" si="54"/>
        <v/>
      </c>
      <c r="C313" s="482" t="str">
        <f t="shared" si="54"/>
        <v/>
      </c>
      <c r="D313" s="482" t="str">
        <f t="shared" ref="D313" si="59">IF(ISBLANK(D271),"",D271)</f>
        <v/>
      </c>
      <c r="E313" s="52" t="str">
        <f t="shared" si="54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2:24">
      <c r="B314" s="52" t="str">
        <f t="shared" si="54"/>
        <v/>
      </c>
      <c r="C314" s="482" t="str">
        <f t="shared" si="54"/>
        <v/>
      </c>
      <c r="D314" s="482" t="str">
        <f t="shared" ref="D314" si="60">IF(ISBLANK(D272),"",D272)</f>
        <v/>
      </c>
      <c r="E314" s="52" t="str">
        <f t="shared" si="54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2:24">
      <c r="B315" s="52" t="str">
        <f t="shared" si="54"/>
        <v/>
      </c>
      <c r="C315" s="482" t="str">
        <f t="shared" si="54"/>
        <v/>
      </c>
      <c r="D315" s="482" t="str">
        <f t="shared" ref="D315" si="61">IF(ISBLANK(D273),"",D273)</f>
        <v/>
      </c>
      <c r="E315" s="52" t="str">
        <f t="shared" si="54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2:24">
      <c r="B316" s="52" t="str">
        <f t="shared" si="54"/>
        <v/>
      </c>
      <c r="C316" s="482" t="str">
        <f t="shared" si="54"/>
        <v/>
      </c>
      <c r="D316" s="482" t="str">
        <f t="shared" ref="D316" si="62">IF(ISBLANK(D274),"",D274)</f>
        <v/>
      </c>
      <c r="E316" s="52" t="str">
        <f t="shared" si="54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2:24">
      <c r="B317" s="52" t="str">
        <f t="shared" si="54"/>
        <v/>
      </c>
      <c r="C317" s="482" t="str">
        <f t="shared" si="54"/>
        <v/>
      </c>
      <c r="D317" s="482" t="str">
        <f t="shared" ref="D317" si="63">IF(ISBLANK(D275),"",D275)</f>
        <v/>
      </c>
      <c r="E317" s="52" t="str">
        <f t="shared" si="54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2:24">
      <c r="B318" s="52" t="str">
        <f t="shared" si="54"/>
        <v/>
      </c>
      <c r="C318" s="482" t="str">
        <f t="shared" si="54"/>
        <v/>
      </c>
      <c r="D318" s="482" t="str">
        <f t="shared" ref="D318" si="64">IF(ISBLANK(D276),"",D276)</f>
        <v/>
      </c>
      <c r="E318" s="52" t="str">
        <f t="shared" si="54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2:24">
      <c r="B319" s="52" t="str">
        <f t="shared" si="54"/>
        <v/>
      </c>
      <c r="C319" s="482" t="str">
        <f t="shared" si="54"/>
        <v/>
      </c>
      <c r="D319" s="482" t="str">
        <f t="shared" ref="D319" si="65">IF(ISBLANK(D277),"",D277)</f>
        <v/>
      </c>
      <c r="E319" s="52" t="str">
        <f t="shared" si="54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2:24">
      <c r="B320" s="52" t="str">
        <f t="shared" si="54"/>
        <v/>
      </c>
      <c r="C320" s="482" t="str">
        <f t="shared" si="54"/>
        <v/>
      </c>
      <c r="D320" s="482" t="str">
        <f t="shared" ref="D320" si="66">IF(ISBLANK(D278),"",D278)</f>
        <v/>
      </c>
      <c r="E320" s="52" t="str">
        <f t="shared" si="54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2:24">
      <c r="B321" s="52" t="str">
        <f t="shared" si="54"/>
        <v/>
      </c>
      <c r="C321" s="482" t="str">
        <f t="shared" si="54"/>
        <v/>
      </c>
      <c r="D321" s="482" t="str">
        <f t="shared" ref="D321" si="67">IF(ISBLANK(D279),"",D279)</f>
        <v/>
      </c>
      <c r="E321" s="52" t="str">
        <f t="shared" si="54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2:24">
      <c r="B322" s="52" t="str">
        <f t="shared" si="54"/>
        <v/>
      </c>
      <c r="C322" s="482" t="str">
        <f t="shared" si="54"/>
        <v/>
      </c>
      <c r="D322" s="482" t="str">
        <f t="shared" ref="D322" si="68">IF(ISBLANK(D280),"",D280)</f>
        <v/>
      </c>
      <c r="E322" s="52" t="str">
        <f t="shared" si="54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2:24">
      <c r="B323" s="52" t="str">
        <f t="shared" si="54"/>
        <v/>
      </c>
      <c r="C323" s="482" t="str">
        <f t="shared" si="54"/>
        <v/>
      </c>
      <c r="D323" s="482" t="str">
        <f t="shared" ref="D323" si="69">IF(ISBLANK(D281),"",D281)</f>
        <v/>
      </c>
      <c r="E323" s="52" t="str">
        <f t="shared" si="54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2:24">
      <c r="B324" s="52" t="str">
        <f t="shared" si="54"/>
        <v/>
      </c>
      <c r="C324" s="482" t="str">
        <f t="shared" si="54"/>
        <v/>
      </c>
      <c r="D324" s="482" t="str">
        <f t="shared" ref="D324" si="70">IF(ISBLANK(D282),"",D282)</f>
        <v/>
      </c>
      <c r="E324" s="52" t="str">
        <f t="shared" si="54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2:24">
      <c r="B325" s="52" t="str">
        <f t="shared" si="54"/>
        <v/>
      </c>
      <c r="C325" s="482" t="str">
        <f t="shared" si="54"/>
        <v/>
      </c>
      <c r="D325" s="482" t="str">
        <f t="shared" ref="D325" si="71">IF(ISBLANK(D283),"",D283)</f>
        <v/>
      </c>
      <c r="E325" s="52" t="str">
        <f t="shared" si="54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2:24">
      <c r="B326" s="52" t="str">
        <f t="shared" si="54"/>
        <v/>
      </c>
      <c r="C326" s="482" t="str">
        <f t="shared" si="54"/>
        <v/>
      </c>
      <c r="D326" s="482" t="str">
        <f t="shared" ref="D326" si="72">IF(ISBLANK(D284),"",D284)</f>
        <v/>
      </c>
      <c r="E326" s="52" t="str">
        <f t="shared" si="54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2:24">
      <c r="B327" s="52" t="str">
        <f t="shared" ref="B327:E346" si="73">IF(ISBLANK(B285),"",B285)</f>
        <v/>
      </c>
      <c r="C327" s="482" t="str">
        <f t="shared" si="73"/>
        <v/>
      </c>
      <c r="D327" s="482" t="str">
        <f t="shared" si="73"/>
        <v/>
      </c>
      <c r="E327" s="52" t="str">
        <f t="shared" si="73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2:24">
      <c r="B328" s="52" t="str">
        <f t="shared" si="73"/>
        <v/>
      </c>
      <c r="C328" s="482" t="str">
        <f t="shared" si="73"/>
        <v/>
      </c>
      <c r="D328" s="482" t="str">
        <f t="shared" si="73"/>
        <v/>
      </c>
      <c r="E328" s="52" t="str">
        <f t="shared" si="73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2:24">
      <c r="B329" s="52" t="str">
        <f t="shared" si="73"/>
        <v/>
      </c>
      <c r="C329" s="482" t="str">
        <f t="shared" si="73"/>
        <v/>
      </c>
      <c r="D329" s="482" t="str">
        <f t="shared" si="73"/>
        <v/>
      </c>
      <c r="E329" s="52" t="str">
        <f t="shared" si="73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2:24">
      <c r="B330" s="52" t="str">
        <f t="shared" si="73"/>
        <v/>
      </c>
      <c r="C330" s="482" t="str">
        <f t="shared" si="73"/>
        <v/>
      </c>
      <c r="D330" s="482" t="str">
        <f t="shared" si="73"/>
        <v/>
      </c>
      <c r="E330" s="52" t="str">
        <f t="shared" si="73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2:24">
      <c r="B331" s="52" t="str">
        <f t="shared" si="73"/>
        <v/>
      </c>
      <c r="C331" s="482" t="str">
        <f t="shared" si="73"/>
        <v/>
      </c>
      <c r="D331" s="482" t="str">
        <f t="shared" si="73"/>
        <v/>
      </c>
      <c r="E331" s="52" t="str">
        <f t="shared" si="73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2:24">
      <c r="B332" s="52" t="str">
        <f t="shared" si="73"/>
        <v/>
      </c>
      <c r="C332" s="482" t="str">
        <f t="shared" si="73"/>
        <v/>
      </c>
      <c r="D332" s="482" t="str">
        <f t="shared" si="73"/>
        <v/>
      </c>
      <c r="E332" s="52" t="str">
        <f t="shared" si="73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2:24">
      <c r="B333" s="52" t="str">
        <f t="shared" si="73"/>
        <v/>
      </c>
      <c r="C333" s="482" t="str">
        <f t="shared" si="73"/>
        <v/>
      </c>
      <c r="D333" s="482" t="str">
        <f t="shared" si="73"/>
        <v/>
      </c>
      <c r="E333" s="52" t="str">
        <f t="shared" si="73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2:24">
      <c r="B334" s="52" t="str">
        <f t="shared" si="73"/>
        <v/>
      </c>
      <c r="C334" s="482" t="str">
        <f t="shared" si="73"/>
        <v/>
      </c>
      <c r="D334" s="482" t="str">
        <f t="shared" si="73"/>
        <v/>
      </c>
      <c r="E334" s="52" t="str">
        <f t="shared" si="73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2:24">
      <c r="B335" s="52" t="str">
        <f t="shared" si="73"/>
        <v/>
      </c>
      <c r="C335" s="482" t="str">
        <f t="shared" si="73"/>
        <v/>
      </c>
      <c r="D335" s="482" t="str">
        <f t="shared" si="73"/>
        <v/>
      </c>
      <c r="E335" s="52" t="str">
        <f t="shared" si="73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2:24">
      <c r="B336" s="52" t="str">
        <f t="shared" si="73"/>
        <v/>
      </c>
      <c r="C336" s="482" t="str">
        <f t="shared" si="73"/>
        <v/>
      </c>
      <c r="D336" s="482" t="str">
        <f t="shared" si="73"/>
        <v/>
      </c>
      <c r="E336" s="52" t="str">
        <f t="shared" si="73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B337" s="52" t="str">
        <f t="shared" si="73"/>
        <v/>
      </c>
      <c r="C337" s="482" t="str">
        <f t="shared" si="73"/>
        <v/>
      </c>
      <c r="D337" s="482" t="str">
        <f t="shared" si="73"/>
        <v/>
      </c>
      <c r="E337" s="52" t="str">
        <f t="shared" si="73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B338" s="52" t="str">
        <f t="shared" si="73"/>
        <v/>
      </c>
      <c r="C338" s="482" t="str">
        <f t="shared" si="73"/>
        <v/>
      </c>
      <c r="D338" s="482" t="str">
        <f t="shared" si="73"/>
        <v/>
      </c>
      <c r="E338" s="52" t="str">
        <f t="shared" si="73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B339" s="52" t="str">
        <f t="shared" si="73"/>
        <v/>
      </c>
      <c r="C339" s="482" t="str">
        <f t="shared" si="73"/>
        <v/>
      </c>
      <c r="D339" s="482" t="str">
        <f t="shared" si="73"/>
        <v/>
      </c>
      <c r="E339" s="52" t="str">
        <f t="shared" si="73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B340" s="52" t="str">
        <f t="shared" si="73"/>
        <v/>
      </c>
      <c r="C340" s="482" t="str">
        <f t="shared" si="73"/>
        <v/>
      </c>
      <c r="D340" s="482" t="str">
        <f t="shared" si="73"/>
        <v/>
      </c>
      <c r="E340" s="52" t="str">
        <f t="shared" si="73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B341" s="52" t="str">
        <f t="shared" si="73"/>
        <v/>
      </c>
      <c r="C341" s="482" t="str">
        <f t="shared" si="73"/>
        <v/>
      </c>
      <c r="D341" s="482" t="str">
        <f t="shared" si="73"/>
        <v/>
      </c>
      <c r="E341" s="52" t="str">
        <f t="shared" si="73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B342" s="52" t="str">
        <f t="shared" si="73"/>
        <v/>
      </c>
      <c r="C342" s="482" t="str">
        <f t="shared" si="73"/>
        <v/>
      </c>
      <c r="D342" s="482" t="str">
        <f t="shared" si="73"/>
        <v/>
      </c>
      <c r="E342" s="52" t="str">
        <f t="shared" si="73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B343" s="52" t="str">
        <f t="shared" si="73"/>
        <v/>
      </c>
      <c r="C343" s="482" t="str">
        <f t="shared" si="73"/>
        <v/>
      </c>
      <c r="D343" s="482" t="str">
        <f t="shared" si="73"/>
        <v/>
      </c>
      <c r="E343" s="52" t="str">
        <f t="shared" si="73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B344" s="52" t="str">
        <f t="shared" si="73"/>
        <v/>
      </c>
      <c r="C344" s="482" t="str">
        <f t="shared" si="73"/>
        <v/>
      </c>
      <c r="D344" s="482" t="str">
        <f t="shared" si="73"/>
        <v/>
      </c>
      <c r="E344" s="52" t="str">
        <f t="shared" si="73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B345" s="52" t="str">
        <f t="shared" si="73"/>
        <v/>
      </c>
      <c r="C345" s="482" t="str">
        <f t="shared" si="73"/>
        <v/>
      </c>
      <c r="D345" s="482" t="str">
        <f t="shared" si="73"/>
        <v/>
      </c>
      <c r="E345" s="52" t="str">
        <f t="shared" si="73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B346" s="52" t="str">
        <f t="shared" si="73"/>
        <v/>
      </c>
      <c r="C346" s="482" t="str">
        <f t="shared" si="73"/>
        <v/>
      </c>
      <c r="D346" s="482" t="str">
        <f t="shared" si="73"/>
        <v/>
      </c>
      <c r="E346" s="52" t="str">
        <f t="shared" si="73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1"/>
    </row>
    <row r="348" spans="1:24" ht="26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567" t="s">
        <v>349</v>
      </c>
      <c r="L348" s="567"/>
      <c r="M348" s="567"/>
      <c r="N348" s="567"/>
      <c r="O348" s="567"/>
      <c r="P348" s="567"/>
      <c r="Q348" s="567"/>
      <c r="R348" s="567"/>
      <c r="S348" s="567"/>
      <c r="T348" s="567"/>
      <c r="U348" s="567"/>
      <c r="V348" s="567"/>
      <c r="W348" s="567"/>
      <c r="X348" s="567"/>
    </row>
    <row r="349" spans="1:24">
      <c r="B349" s="52" t="str">
        <f t="shared" ref="B349:E368" si="74">IF(ISBLANK(B307),"",B307)</f>
        <v/>
      </c>
      <c r="C349" s="482" t="str">
        <f t="shared" si="74"/>
        <v/>
      </c>
      <c r="D349" s="482" t="str">
        <f t="shared" si="74"/>
        <v/>
      </c>
      <c r="E349" s="52" t="str">
        <f t="shared" si="74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4"/>
        <v/>
      </c>
      <c r="C350" s="482" t="str">
        <f t="shared" si="74"/>
        <v/>
      </c>
      <c r="D350" s="482" t="str">
        <f t="shared" si="74"/>
        <v/>
      </c>
      <c r="E350" s="52" t="str">
        <f t="shared" si="74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4"/>
        <v/>
      </c>
      <c r="C351" s="482" t="str">
        <f t="shared" si="74"/>
        <v/>
      </c>
      <c r="D351" s="482" t="str">
        <f t="shared" si="74"/>
        <v/>
      </c>
      <c r="E351" s="52" t="str">
        <f t="shared" si="74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4"/>
        <v/>
      </c>
      <c r="C352" s="482" t="str">
        <f t="shared" si="74"/>
        <v/>
      </c>
      <c r="D352" s="482" t="str">
        <f t="shared" si="74"/>
        <v/>
      </c>
      <c r="E352" s="52" t="str">
        <f t="shared" si="74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4"/>
        <v/>
      </c>
      <c r="C353" s="482" t="str">
        <f t="shared" si="74"/>
        <v/>
      </c>
      <c r="D353" s="482" t="str">
        <f t="shared" si="74"/>
        <v/>
      </c>
      <c r="E353" s="52" t="str">
        <f t="shared" si="74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4"/>
        <v/>
      </c>
      <c r="C354" s="482" t="str">
        <f t="shared" si="74"/>
        <v/>
      </c>
      <c r="D354" s="482" t="str">
        <f t="shared" si="74"/>
        <v/>
      </c>
      <c r="E354" s="52" t="str">
        <f t="shared" si="74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4"/>
        <v/>
      </c>
      <c r="C355" s="482" t="str">
        <f t="shared" si="74"/>
        <v/>
      </c>
      <c r="D355" s="482" t="str">
        <f t="shared" si="74"/>
        <v/>
      </c>
      <c r="E355" s="52" t="str">
        <f t="shared" si="74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4"/>
        <v/>
      </c>
      <c r="C356" s="482" t="str">
        <f t="shared" si="74"/>
        <v/>
      </c>
      <c r="D356" s="482" t="str">
        <f t="shared" si="74"/>
        <v/>
      </c>
      <c r="E356" s="52" t="str">
        <f t="shared" si="74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4"/>
        <v/>
      </c>
      <c r="C357" s="482" t="str">
        <f t="shared" si="74"/>
        <v/>
      </c>
      <c r="D357" s="482" t="str">
        <f t="shared" si="74"/>
        <v/>
      </c>
      <c r="E357" s="52" t="str">
        <f t="shared" si="74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4"/>
        <v/>
      </c>
      <c r="C358" s="482" t="str">
        <f t="shared" si="74"/>
        <v/>
      </c>
      <c r="D358" s="482" t="str">
        <f t="shared" si="74"/>
        <v/>
      </c>
      <c r="E358" s="52" t="str">
        <f t="shared" si="74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4"/>
        <v/>
      </c>
      <c r="C359" s="482" t="str">
        <f t="shared" si="74"/>
        <v/>
      </c>
      <c r="D359" s="482" t="str">
        <f t="shared" si="74"/>
        <v/>
      </c>
      <c r="E359" s="52" t="str">
        <f t="shared" si="74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4"/>
        <v/>
      </c>
      <c r="C360" s="482" t="str">
        <f t="shared" si="74"/>
        <v/>
      </c>
      <c r="D360" s="482" t="str">
        <f t="shared" si="74"/>
        <v/>
      </c>
      <c r="E360" s="52" t="str">
        <f t="shared" si="74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4"/>
        <v/>
      </c>
      <c r="C361" s="482" t="str">
        <f t="shared" si="74"/>
        <v/>
      </c>
      <c r="D361" s="482" t="str">
        <f t="shared" si="74"/>
        <v/>
      </c>
      <c r="E361" s="52" t="str">
        <f t="shared" si="74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4"/>
        <v/>
      </c>
      <c r="C362" s="482" t="str">
        <f t="shared" si="74"/>
        <v/>
      </c>
      <c r="D362" s="482" t="str">
        <f t="shared" si="74"/>
        <v/>
      </c>
      <c r="E362" s="52" t="str">
        <f t="shared" si="74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4"/>
        <v/>
      </c>
      <c r="C363" s="482" t="str">
        <f t="shared" si="74"/>
        <v/>
      </c>
      <c r="D363" s="482" t="str">
        <f t="shared" si="74"/>
        <v/>
      </c>
      <c r="E363" s="52" t="str">
        <f t="shared" si="74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4"/>
        <v/>
      </c>
      <c r="C364" s="482" t="str">
        <f t="shared" si="74"/>
        <v/>
      </c>
      <c r="D364" s="482" t="str">
        <f t="shared" si="74"/>
        <v/>
      </c>
      <c r="E364" s="52" t="str">
        <f t="shared" si="74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4"/>
        <v/>
      </c>
      <c r="C365" s="482" t="str">
        <f t="shared" si="74"/>
        <v/>
      </c>
      <c r="D365" s="482" t="str">
        <f t="shared" si="74"/>
        <v/>
      </c>
      <c r="E365" s="52" t="str">
        <f t="shared" si="74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4"/>
        <v/>
      </c>
      <c r="C366" s="482" t="str">
        <f t="shared" si="74"/>
        <v/>
      </c>
      <c r="D366" s="482" t="str">
        <f t="shared" si="74"/>
        <v/>
      </c>
      <c r="E366" s="52" t="str">
        <f t="shared" si="74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4"/>
        <v/>
      </c>
      <c r="C367" s="482" t="str">
        <f t="shared" si="74"/>
        <v/>
      </c>
      <c r="D367" s="482" t="str">
        <f t="shared" si="74"/>
        <v/>
      </c>
      <c r="E367" s="52" t="str">
        <f t="shared" si="74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4"/>
        <v/>
      </c>
      <c r="C368" s="482" t="str">
        <f t="shared" si="74"/>
        <v/>
      </c>
      <c r="D368" s="482" t="str">
        <f t="shared" si="74"/>
        <v/>
      </c>
      <c r="E368" s="52" t="str">
        <f t="shared" si="74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5">IF(ISBLANK(B327),"",B327)</f>
        <v/>
      </c>
      <c r="C369" s="482" t="str">
        <f t="shared" si="75"/>
        <v/>
      </c>
      <c r="D369" s="482" t="str">
        <f t="shared" si="75"/>
        <v/>
      </c>
      <c r="E369" s="52" t="str">
        <f t="shared" si="75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5"/>
        <v/>
      </c>
      <c r="C370" s="482" t="str">
        <f t="shared" si="75"/>
        <v/>
      </c>
      <c r="D370" s="482" t="str">
        <f t="shared" si="75"/>
        <v/>
      </c>
      <c r="E370" s="52" t="str">
        <f t="shared" si="75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5"/>
        <v/>
      </c>
      <c r="C371" s="482" t="str">
        <f t="shared" si="75"/>
        <v/>
      </c>
      <c r="D371" s="482" t="str">
        <f t="shared" si="75"/>
        <v/>
      </c>
      <c r="E371" s="52" t="str">
        <f t="shared" si="75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5"/>
        <v/>
      </c>
      <c r="C372" s="482" t="str">
        <f t="shared" si="75"/>
        <v/>
      </c>
      <c r="D372" s="482" t="str">
        <f t="shared" si="75"/>
        <v/>
      </c>
      <c r="E372" s="52" t="str">
        <f t="shared" si="75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5"/>
        <v/>
      </c>
      <c r="C373" s="482" t="str">
        <f t="shared" si="75"/>
        <v/>
      </c>
      <c r="D373" s="482" t="str">
        <f t="shared" si="75"/>
        <v/>
      </c>
      <c r="E373" s="52" t="str">
        <f t="shared" si="75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5"/>
        <v/>
      </c>
      <c r="C374" s="482" t="str">
        <f t="shared" si="75"/>
        <v/>
      </c>
      <c r="D374" s="482" t="str">
        <f t="shared" si="75"/>
        <v/>
      </c>
      <c r="E374" s="52" t="str">
        <f t="shared" si="75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5"/>
        <v/>
      </c>
      <c r="C375" s="482" t="str">
        <f t="shared" si="75"/>
        <v/>
      </c>
      <c r="D375" s="482" t="str">
        <f t="shared" si="75"/>
        <v/>
      </c>
      <c r="E375" s="52" t="str">
        <f t="shared" si="75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5"/>
        <v/>
      </c>
      <c r="C376" s="482" t="str">
        <f t="shared" si="75"/>
        <v/>
      </c>
      <c r="D376" s="482" t="str">
        <f t="shared" si="75"/>
        <v/>
      </c>
      <c r="E376" s="52" t="str">
        <f t="shared" si="75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5"/>
        <v/>
      </c>
      <c r="C377" s="482" t="str">
        <f t="shared" si="75"/>
        <v/>
      </c>
      <c r="D377" s="482" t="str">
        <f t="shared" si="75"/>
        <v/>
      </c>
      <c r="E377" s="52" t="str">
        <f t="shared" si="75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5"/>
        <v/>
      </c>
      <c r="C378" s="482" t="str">
        <f t="shared" si="75"/>
        <v/>
      </c>
      <c r="D378" s="482" t="str">
        <f t="shared" si="75"/>
        <v/>
      </c>
      <c r="E378" s="52" t="str">
        <f t="shared" si="75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5"/>
        <v/>
      </c>
      <c r="C379" s="482" t="str">
        <f t="shared" si="75"/>
        <v/>
      </c>
      <c r="D379" s="482" t="str">
        <f t="shared" si="75"/>
        <v/>
      </c>
      <c r="E379" s="52" t="str">
        <f t="shared" si="75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5"/>
        <v/>
      </c>
      <c r="C380" s="482" t="str">
        <f t="shared" si="75"/>
        <v/>
      </c>
      <c r="D380" s="482" t="str">
        <f t="shared" si="75"/>
        <v/>
      </c>
      <c r="E380" s="52" t="str">
        <f t="shared" si="75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5"/>
        <v/>
      </c>
      <c r="C381" s="482" t="str">
        <f t="shared" si="75"/>
        <v/>
      </c>
      <c r="D381" s="482" t="str">
        <f t="shared" si="75"/>
        <v/>
      </c>
      <c r="E381" s="52" t="str">
        <f t="shared" si="75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5"/>
        <v/>
      </c>
      <c r="C382" s="482" t="str">
        <f t="shared" si="75"/>
        <v/>
      </c>
      <c r="D382" s="482" t="str">
        <f t="shared" si="75"/>
        <v/>
      </c>
      <c r="E382" s="52" t="str">
        <f t="shared" si="75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5"/>
        <v/>
      </c>
      <c r="C383" s="482" t="str">
        <f t="shared" si="75"/>
        <v/>
      </c>
      <c r="D383" s="482" t="str">
        <f t="shared" si="75"/>
        <v/>
      </c>
      <c r="E383" s="52" t="str">
        <f t="shared" si="75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5"/>
        <v/>
      </c>
      <c r="C384" s="482" t="str">
        <f t="shared" si="75"/>
        <v/>
      </c>
      <c r="D384" s="482" t="str">
        <f t="shared" si="75"/>
        <v/>
      </c>
      <c r="E384" s="52" t="str">
        <f t="shared" si="75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5"/>
        <v/>
      </c>
      <c r="C385" s="482" t="str">
        <f t="shared" si="75"/>
        <v/>
      </c>
      <c r="D385" s="482" t="str">
        <f t="shared" si="75"/>
        <v/>
      </c>
      <c r="E385" s="52" t="str">
        <f t="shared" si="75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5"/>
        <v/>
      </c>
      <c r="C386" s="482" t="str">
        <f t="shared" si="75"/>
        <v/>
      </c>
      <c r="D386" s="482" t="str">
        <f t="shared" si="75"/>
        <v/>
      </c>
      <c r="E386" s="52" t="str">
        <f t="shared" si="75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5"/>
        <v/>
      </c>
      <c r="C387" s="482" t="str">
        <f t="shared" si="75"/>
        <v/>
      </c>
      <c r="D387" s="482" t="str">
        <f t="shared" si="75"/>
        <v/>
      </c>
      <c r="E387" s="52" t="str">
        <f t="shared" si="75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5"/>
        <v/>
      </c>
      <c r="C388" s="482" t="str">
        <f t="shared" si="75"/>
        <v/>
      </c>
      <c r="D388" s="482" t="str">
        <f t="shared" si="75"/>
        <v/>
      </c>
      <c r="E388" s="52" t="str">
        <f t="shared" si="75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1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B391" s="19" t="str">
        <f t="shared" ref="B391:E410" si="76">IF(ISBLANK(B265),"",B265)</f>
        <v/>
      </c>
      <c r="C391" s="491" t="str">
        <f t="shared" si="76"/>
        <v/>
      </c>
      <c r="D391" s="491" t="str">
        <f t="shared" si="76"/>
        <v/>
      </c>
      <c r="E391" s="19" t="str">
        <f t="shared" si="76"/>
        <v/>
      </c>
      <c r="F391" s="19"/>
      <c r="G391" s="19"/>
      <c r="H391" s="19"/>
      <c r="I391" s="19"/>
      <c r="J391" s="19"/>
      <c r="K391" s="94">
        <f t="shared" ref="K391:X391" si="77">ROUND(K265*K223*K307,0)</f>
        <v>0</v>
      </c>
      <c r="L391" s="94">
        <f t="shared" si="77"/>
        <v>0</v>
      </c>
      <c r="M391" s="94">
        <f t="shared" si="77"/>
        <v>0</v>
      </c>
      <c r="N391" s="94">
        <f t="shared" si="77"/>
        <v>0</v>
      </c>
      <c r="O391" s="94">
        <f t="shared" si="77"/>
        <v>0</v>
      </c>
      <c r="P391" s="94">
        <f t="shared" si="77"/>
        <v>0</v>
      </c>
      <c r="Q391" s="94">
        <f t="shared" si="77"/>
        <v>0</v>
      </c>
      <c r="R391" s="94">
        <f t="shared" si="77"/>
        <v>0</v>
      </c>
      <c r="S391" s="94">
        <f t="shared" si="77"/>
        <v>0</v>
      </c>
      <c r="T391" s="94">
        <f t="shared" si="77"/>
        <v>0</v>
      </c>
      <c r="U391" s="94">
        <f t="shared" si="77"/>
        <v>0</v>
      </c>
      <c r="V391" s="94">
        <f t="shared" si="77"/>
        <v>0</v>
      </c>
      <c r="W391" s="94">
        <f t="shared" si="77"/>
        <v>0</v>
      </c>
      <c r="X391" s="94">
        <f t="shared" si="77"/>
        <v>0</v>
      </c>
    </row>
    <row r="392" spans="1:24">
      <c r="B392" s="52" t="str">
        <f t="shared" si="76"/>
        <v/>
      </c>
      <c r="C392" s="482" t="str">
        <f t="shared" si="76"/>
        <v/>
      </c>
      <c r="D392" s="482" t="str">
        <f t="shared" si="76"/>
        <v/>
      </c>
      <c r="E392" s="52" t="str">
        <f t="shared" si="76"/>
        <v/>
      </c>
      <c r="F392" s="52"/>
      <c r="G392" s="52"/>
      <c r="H392" s="52"/>
      <c r="I392" s="52"/>
      <c r="J392" s="52"/>
      <c r="K392" s="33">
        <f t="shared" ref="K392:X392" si="78">ROUND(K266*K224*K308,0)</f>
        <v>0</v>
      </c>
      <c r="L392" s="33">
        <f t="shared" si="78"/>
        <v>0</v>
      </c>
      <c r="M392" s="33">
        <f t="shared" si="78"/>
        <v>0</v>
      </c>
      <c r="N392" s="33">
        <f t="shared" si="78"/>
        <v>0</v>
      </c>
      <c r="O392" s="33">
        <f t="shared" si="78"/>
        <v>0</v>
      </c>
      <c r="P392" s="33">
        <f t="shared" si="78"/>
        <v>0</v>
      </c>
      <c r="Q392" s="33">
        <f t="shared" si="78"/>
        <v>0</v>
      </c>
      <c r="R392" s="33">
        <f t="shared" si="78"/>
        <v>0</v>
      </c>
      <c r="S392" s="33">
        <f t="shared" si="78"/>
        <v>0</v>
      </c>
      <c r="T392" s="33">
        <f t="shared" si="78"/>
        <v>0</v>
      </c>
      <c r="U392" s="33">
        <f t="shared" si="78"/>
        <v>0</v>
      </c>
      <c r="V392" s="33">
        <f t="shared" si="78"/>
        <v>0</v>
      </c>
      <c r="W392" s="33">
        <f t="shared" si="78"/>
        <v>0</v>
      </c>
      <c r="X392" s="33">
        <f t="shared" si="78"/>
        <v>0</v>
      </c>
    </row>
    <row r="393" spans="1:24">
      <c r="B393" s="52" t="str">
        <f t="shared" si="76"/>
        <v/>
      </c>
      <c r="C393" s="482" t="str">
        <f t="shared" si="76"/>
        <v/>
      </c>
      <c r="D393" s="482" t="str">
        <f t="shared" si="76"/>
        <v/>
      </c>
      <c r="E393" s="52" t="str">
        <f t="shared" si="76"/>
        <v/>
      </c>
      <c r="F393" s="52"/>
      <c r="G393" s="52"/>
      <c r="H393" s="52"/>
      <c r="I393" s="52"/>
      <c r="J393" s="52"/>
      <c r="K393" s="33">
        <f t="shared" ref="K393:X393" si="79">ROUND(K267*K225*K309,0)</f>
        <v>0</v>
      </c>
      <c r="L393" s="33">
        <f t="shared" si="79"/>
        <v>0</v>
      </c>
      <c r="M393" s="33">
        <f t="shared" si="79"/>
        <v>0</v>
      </c>
      <c r="N393" s="33">
        <f t="shared" si="79"/>
        <v>0</v>
      </c>
      <c r="O393" s="33">
        <f t="shared" si="79"/>
        <v>0</v>
      </c>
      <c r="P393" s="33">
        <f t="shared" si="79"/>
        <v>0</v>
      </c>
      <c r="Q393" s="33">
        <f t="shared" si="79"/>
        <v>0</v>
      </c>
      <c r="R393" s="33">
        <f t="shared" si="79"/>
        <v>0</v>
      </c>
      <c r="S393" s="33">
        <f t="shared" si="79"/>
        <v>0</v>
      </c>
      <c r="T393" s="33">
        <f t="shared" si="79"/>
        <v>0</v>
      </c>
      <c r="U393" s="33">
        <f t="shared" si="79"/>
        <v>0</v>
      </c>
      <c r="V393" s="33">
        <f t="shared" si="79"/>
        <v>0</v>
      </c>
      <c r="W393" s="33">
        <f t="shared" si="79"/>
        <v>0</v>
      </c>
      <c r="X393" s="33">
        <f t="shared" si="79"/>
        <v>0</v>
      </c>
    </row>
    <row r="394" spans="1:24">
      <c r="B394" s="52" t="str">
        <f t="shared" si="76"/>
        <v/>
      </c>
      <c r="C394" s="482" t="str">
        <f t="shared" si="76"/>
        <v/>
      </c>
      <c r="D394" s="482" t="str">
        <f t="shared" si="76"/>
        <v/>
      </c>
      <c r="E394" s="52" t="str">
        <f t="shared" si="76"/>
        <v/>
      </c>
      <c r="F394" s="52"/>
      <c r="G394" s="52"/>
      <c r="H394" s="52"/>
      <c r="I394" s="52"/>
      <c r="J394" s="52"/>
      <c r="K394" s="33">
        <f t="shared" ref="K394:X394" si="80">ROUND(K268*K226*K310,0)</f>
        <v>0</v>
      </c>
      <c r="L394" s="33">
        <f t="shared" si="80"/>
        <v>0</v>
      </c>
      <c r="M394" s="33">
        <f t="shared" si="80"/>
        <v>0</v>
      </c>
      <c r="N394" s="33">
        <f t="shared" si="80"/>
        <v>0</v>
      </c>
      <c r="O394" s="33">
        <f t="shared" si="80"/>
        <v>0</v>
      </c>
      <c r="P394" s="33">
        <f t="shared" si="80"/>
        <v>0</v>
      </c>
      <c r="Q394" s="33">
        <f t="shared" si="80"/>
        <v>0</v>
      </c>
      <c r="R394" s="33">
        <f t="shared" si="80"/>
        <v>0</v>
      </c>
      <c r="S394" s="33">
        <f t="shared" si="80"/>
        <v>0</v>
      </c>
      <c r="T394" s="33">
        <f t="shared" si="80"/>
        <v>0</v>
      </c>
      <c r="U394" s="33">
        <f t="shared" si="80"/>
        <v>0</v>
      </c>
      <c r="V394" s="33">
        <f t="shared" si="80"/>
        <v>0</v>
      </c>
      <c r="W394" s="33">
        <f t="shared" si="80"/>
        <v>0</v>
      </c>
      <c r="X394" s="33">
        <f t="shared" si="80"/>
        <v>0</v>
      </c>
    </row>
    <row r="395" spans="1:24">
      <c r="B395" s="52" t="str">
        <f t="shared" si="76"/>
        <v/>
      </c>
      <c r="C395" s="482" t="str">
        <f t="shared" si="76"/>
        <v/>
      </c>
      <c r="D395" s="482" t="str">
        <f t="shared" si="76"/>
        <v/>
      </c>
      <c r="E395" s="52" t="str">
        <f t="shared" si="76"/>
        <v/>
      </c>
      <c r="F395" s="52"/>
      <c r="G395" s="52"/>
      <c r="H395" s="52"/>
      <c r="I395" s="52"/>
      <c r="J395" s="52"/>
      <c r="K395" s="33">
        <f t="shared" ref="K395:X395" si="81">ROUND(K269*K227*K311,0)</f>
        <v>0</v>
      </c>
      <c r="L395" s="33">
        <f t="shared" si="81"/>
        <v>0</v>
      </c>
      <c r="M395" s="33">
        <f t="shared" si="81"/>
        <v>0</v>
      </c>
      <c r="N395" s="33">
        <f t="shared" si="81"/>
        <v>0</v>
      </c>
      <c r="O395" s="33">
        <f t="shared" si="81"/>
        <v>0</v>
      </c>
      <c r="P395" s="33">
        <f t="shared" si="81"/>
        <v>0</v>
      </c>
      <c r="Q395" s="33">
        <f t="shared" si="81"/>
        <v>0</v>
      </c>
      <c r="R395" s="33">
        <f t="shared" si="81"/>
        <v>0</v>
      </c>
      <c r="S395" s="33">
        <f t="shared" si="81"/>
        <v>0</v>
      </c>
      <c r="T395" s="33">
        <f t="shared" si="81"/>
        <v>0</v>
      </c>
      <c r="U395" s="33">
        <f t="shared" si="81"/>
        <v>0</v>
      </c>
      <c r="V395" s="33">
        <f t="shared" si="81"/>
        <v>0</v>
      </c>
      <c r="W395" s="33">
        <f t="shared" si="81"/>
        <v>0</v>
      </c>
      <c r="X395" s="33">
        <f t="shared" si="81"/>
        <v>0</v>
      </c>
    </row>
    <row r="396" spans="1:24">
      <c r="B396" s="52" t="str">
        <f t="shared" si="76"/>
        <v/>
      </c>
      <c r="C396" s="482" t="str">
        <f t="shared" si="76"/>
        <v/>
      </c>
      <c r="D396" s="482" t="str">
        <f t="shared" si="76"/>
        <v/>
      </c>
      <c r="E396" s="52" t="str">
        <f t="shared" si="76"/>
        <v/>
      </c>
      <c r="F396" s="52"/>
      <c r="G396" s="52"/>
      <c r="H396" s="52"/>
      <c r="I396" s="52"/>
      <c r="J396" s="52"/>
      <c r="K396" s="33">
        <f t="shared" ref="K396:X396" si="82">ROUND(K270*K228*K312,0)</f>
        <v>0</v>
      </c>
      <c r="L396" s="33">
        <f t="shared" si="82"/>
        <v>0</v>
      </c>
      <c r="M396" s="33">
        <f t="shared" si="82"/>
        <v>0</v>
      </c>
      <c r="N396" s="33">
        <f t="shared" si="82"/>
        <v>0</v>
      </c>
      <c r="O396" s="33">
        <f t="shared" si="82"/>
        <v>0</v>
      </c>
      <c r="P396" s="33">
        <f t="shared" si="82"/>
        <v>0</v>
      </c>
      <c r="Q396" s="33">
        <f t="shared" si="82"/>
        <v>0</v>
      </c>
      <c r="R396" s="33">
        <f t="shared" si="82"/>
        <v>0</v>
      </c>
      <c r="S396" s="33">
        <f t="shared" si="82"/>
        <v>0</v>
      </c>
      <c r="T396" s="33">
        <f t="shared" si="82"/>
        <v>0</v>
      </c>
      <c r="U396" s="33">
        <f t="shared" si="82"/>
        <v>0</v>
      </c>
      <c r="V396" s="33">
        <f t="shared" si="82"/>
        <v>0</v>
      </c>
      <c r="W396" s="33">
        <f t="shared" si="82"/>
        <v>0</v>
      </c>
      <c r="X396" s="33">
        <f t="shared" si="82"/>
        <v>0</v>
      </c>
    </row>
    <row r="397" spans="1:24">
      <c r="B397" s="52" t="str">
        <f t="shared" si="76"/>
        <v/>
      </c>
      <c r="C397" s="482" t="str">
        <f t="shared" si="76"/>
        <v/>
      </c>
      <c r="D397" s="482" t="str">
        <f t="shared" si="76"/>
        <v/>
      </c>
      <c r="E397" s="52" t="str">
        <f t="shared" si="76"/>
        <v/>
      </c>
      <c r="F397" s="52"/>
      <c r="G397" s="52"/>
      <c r="H397" s="52"/>
      <c r="I397" s="52"/>
      <c r="J397" s="52"/>
      <c r="K397" s="33">
        <f t="shared" ref="K397:X397" si="83">ROUND(K271*K229*K313,0)</f>
        <v>0</v>
      </c>
      <c r="L397" s="33">
        <f t="shared" si="83"/>
        <v>0</v>
      </c>
      <c r="M397" s="33">
        <f t="shared" si="83"/>
        <v>0</v>
      </c>
      <c r="N397" s="33">
        <f t="shared" si="83"/>
        <v>0</v>
      </c>
      <c r="O397" s="33">
        <f t="shared" si="83"/>
        <v>0</v>
      </c>
      <c r="P397" s="33">
        <f t="shared" si="83"/>
        <v>0</v>
      </c>
      <c r="Q397" s="33">
        <f t="shared" si="83"/>
        <v>0</v>
      </c>
      <c r="R397" s="33">
        <f t="shared" si="83"/>
        <v>0</v>
      </c>
      <c r="S397" s="33">
        <f t="shared" si="83"/>
        <v>0</v>
      </c>
      <c r="T397" s="33">
        <f t="shared" si="83"/>
        <v>0</v>
      </c>
      <c r="U397" s="33">
        <f t="shared" si="83"/>
        <v>0</v>
      </c>
      <c r="V397" s="33">
        <f t="shared" si="83"/>
        <v>0</v>
      </c>
      <c r="W397" s="33">
        <f t="shared" si="83"/>
        <v>0</v>
      </c>
      <c r="X397" s="33">
        <f t="shared" si="83"/>
        <v>0</v>
      </c>
    </row>
    <row r="398" spans="1:24">
      <c r="B398" s="52" t="str">
        <f t="shared" si="76"/>
        <v/>
      </c>
      <c r="C398" s="482" t="str">
        <f t="shared" si="76"/>
        <v/>
      </c>
      <c r="D398" s="482" t="str">
        <f t="shared" si="76"/>
        <v/>
      </c>
      <c r="E398" s="52" t="str">
        <f t="shared" si="76"/>
        <v/>
      </c>
      <c r="F398" s="52"/>
      <c r="G398" s="52"/>
      <c r="H398" s="52"/>
      <c r="I398" s="52"/>
      <c r="J398" s="52"/>
      <c r="K398" s="33">
        <f t="shared" ref="K398:X398" si="84">ROUND(K272*K230*K314,0)</f>
        <v>0</v>
      </c>
      <c r="L398" s="33">
        <f t="shared" si="84"/>
        <v>0</v>
      </c>
      <c r="M398" s="33">
        <f t="shared" si="84"/>
        <v>0</v>
      </c>
      <c r="N398" s="33">
        <f t="shared" si="84"/>
        <v>0</v>
      </c>
      <c r="O398" s="33">
        <f t="shared" si="84"/>
        <v>0</v>
      </c>
      <c r="P398" s="33">
        <f t="shared" si="84"/>
        <v>0</v>
      </c>
      <c r="Q398" s="33">
        <f t="shared" si="84"/>
        <v>0</v>
      </c>
      <c r="R398" s="33">
        <f t="shared" si="84"/>
        <v>0</v>
      </c>
      <c r="S398" s="33">
        <f t="shared" si="84"/>
        <v>0</v>
      </c>
      <c r="T398" s="33">
        <f t="shared" si="84"/>
        <v>0</v>
      </c>
      <c r="U398" s="33">
        <f t="shared" si="84"/>
        <v>0</v>
      </c>
      <c r="V398" s="33">
        <f t="shared" si="84"/>
        <v>0</v>
      </c>
      <c r="W398" s="33">
        <f t="shared" si="84"/>
        <v>0</v>
      </c>
      <c r="X398" s="33">
        <f t="shared" si="84"/>
        <v>0</v>
      </c>
    </row>
    <row r="399" spans="1:24">
      <c r="B399" s="52" t="str">
        <f t="shared" si="76"/>
        <v/>
      </c>
      <c r="C399" s="482" t="str">
        <f t="shared" si="76"/>
        <v/>
      </c>
      <c r="D399" s="482" t="str">
        <f t="shared" si="76"/>
        <v/>
      </c>
      <c r="E399" s="52" t="str">
        <f t="shared" si="76"/>
        <v/>
      </c>
      <c r="F399" s="52"/>
      <c r="G399" s="52"/>
      <c r="H399" s="52"/>
      <c r="I399" s="52"/>
      <c r="J399" s="52"/>
      <c r="K399" s="33">
        <f t="shared" ref="K399:X399" si="85">ROUND(K273*K231*K315,0)</f>
        <v>0</v>
      </c>
      <c r="L399" s="33">
        <f t="shared" si="85"/>
        <v>0</v>
      </c>
      <c r="M399" s="33">
        <f t="shared" si="85"/>
        <v>0</v>
      </c>
      <c r="N399" s="33">
        <f t="shared" si="85"/>
        <v>0</v>
      </c>
      <c r="O399" s="33">
        <f t="shared" si="85"/>
        <v>0</v>
      </c>
      <c r="P399" s="33">
        <f t="shared" si="85"/>
        <v>0</v>
      </c>
      <c r="Q399" s="33">
        <f t="shared" si="85"/>
        <v>0</v>
      </c>
      <c r="R399" s="33">
        <f t="shared" si="85"/>
        <v>0</v>
      </c>
      <c r="S399" s="33">
        <f t="shared" si="85"/>
        <v>0</v>
      </c>
      <c r="T399" s="33">
        <f t="shared" si="85"/>
        <v>0</v>
      </c>
      <c r="U399" s="33">
        <f t="shared" si="85"/>
        <v>0</v>
      </c>
      <c r="V399" s="33">
        <f t="shared" si="85"/>
        <v>0</v>
      </c>
      <c r="W399" s="33">
        <f t="shared" si="85"/>
        <v>0</v>
      </c>
      <c r="X399" s="33">
        <f t="shared" si="85"/>
        <v>0</v>
      </c>
    </row>
    <row r="400" spans="1:24">
      <c r="B400" s="52" t="str">
        <f t="shared" si="76"/>
        <v/>
      </c>
      <c r="C400" s="482" t="str">
        <f t="shared" si="76"/>
        <v/>
      </c>
      <c r="D400" s="482" t="str">
        <f t="shared" si="76"/>
        <v/>
      </c>
      <c r="E400" s="52" t="str">
        <f t="shared" si="76"/>
        <v/>
      </c>
      <c r="F400" s="52"/>
      <c r="G400" s="52"/>
      <c r="H400" s="52"/>
      <c r="I400" s="52"/>
      <c r="J400" s="52"/>
      <c r="K400" s="33">
        <f t="shared" ref="K400:X400" si="86">ROUND(K274*K232*K316,0)</f>
        <v>0</v>
      </c>
      <c r="L400" s="33">
        <f t="shared" si="86"/>
        <v>0</v>
      </c>
      <c r="M400" s="33">
        <f t="shared" si="86"/>
        <v>0</v>
      </c>
      <c r="N400" s="33">
        <f t="shared" si="86"/>
        <v>0</v>
      </c>
      <c r="O400" s="33">
        <f t="shared" si="86"/>
        <v>0</v>
      </c>
      <c r="P400" s="33">
        <f t="shared" si="86"/>
        <v>0</v>
      </c>
      <c r="Q400" s="33">
        <f t="shared" si="86"/>
        <v>0</v>
      </c>
      <c r="R400" s="33">
        <f t="shared" si="86"/>
        <v>0</v>
      </c>
      <c r="S400" s="33">
        <f t="shared" si="86"/>
        <v>0</v>
      </c>
      <c r="T400" s="33">
        <f t="shared" si="86"/>
        <v>0</v>
      </c>
      <c r="U400" s="33">
        <f t="shared" si="86"/>
        <v>0</v>
      </c>
      <c r="V400" s="33">
        <f t="shared" si="86"/>
        <v>0</v>
      </c>
      <c r="W400" s="33">
        <f t="shared" si="86"/>
        <v>0</v>
      </c>
      <c r="X400" s="33">
        <f t="shared" si="86"/>
        <v>0</v>
      </c>
    </row>
    <row r="401" spans="2:24">
      <c r="B401" s="52" t="str">
        <f t="shared" si="76"/>
        <v/>
      </c>
      <c r="C401" s="482" t="str">
        <f t="shared" si="76"/>
        <v/>
      </c>
      <c r="D401" s="482" t="str">
        <f t="shared" si="76"/>
        <v/>
      </c>
      <c r="E401" s="52" t="str">
        <f t="shared" si="76"/>
        <v/>
      </c>
      <c r="F401" s="52"/>
      <c r="G401" s="52"/>
      <c r="H401" s="52"/>
      <c r="I401" s="52"/>
      <c r="J401" s="52"/>
      <c r="K401" s="33">
        <f t="shared" ref="K401:X401" si="87">ROUND(K275*K233*K317,0)</f>
        <v>0</v>
      </c>
      <c r="L401" s="33">
        <f t="shared" si="87"/>
        <v>0</v>
      </c>
      <c r="M401" s="33">
        <f t="shared" si="87"/>
        <v>0</v>
      </c>
      <c r="N401" s="33">
        <f t="shared" si="87"/>
        <v>0</v>
      </c>
      <c r="O401" s="33">
        <f t="shared" si="87"/>
        <v>0</v>
      </c>
      <c r="P401" s="33">
        <f t="shared" si="87"/>
        <v>0</v>
      </c>
      <c r="Q401" s="33">
        <f t="shared" si="87"/>
        <v>0</v>
      </c>
      <c r="R401" s="33">
        <f t="shared" si="87"/>
        <v>0</v>
      </c>
      <c r="S401" s="33">
        <f t="shared" si="87"/>
        <v>0</v>
      </c>
      <c r="T401" s="33">
        <f t="shared" si="87"/>
        <v>0</v>
      </c>
      <c r="U401" s="33">
        <f t="shared" si="87"/>
        <v>0</v>
      </c>
      <c r="V401" s="33">
        <f t="shared" si="87"/>
        <v>0</v>
      </c>
      <c r="W401" s="33">
        <f t="shared" si="87"/>
        <v>0</v>
      </c>
      <c r="X401" s="33">
        <f t="shared" si="87"/>
        <v>0</v>
      </c>
    </row>
    <row r="402" spans="2:24">
      <c r="B402" s="52" t="str">
        <f t="shared" si="76"/>
        <v/>
      </c>
      <c r="C402" s="482" t="str">
        <f t="shared" si="76"/>
        <v/>
      </c>
      <c r="D402" s="482" t="str">
        <f t="shared" si="76"/>
        <v/>
      </c>
      <c r="E402" s="52" t="str">
        <f t="shared" si="76"/>
        <v/>
      </c>
      <c r="F402" s="52"/>
      <c r="G402" s="52"/>
      <c r="H402" s="52"/>
      <c r="I402" s="52"/>
      <c r="J402" s="52"/>
      <c r="K402" s="33">
        <f t="shared" ref="K402:X402" si="88">ROUND(K276*K234*K318,0)</f>
        <v>0</v>
      </c>
      <c r="L402" s="33">
        <f t="shared" si="88"/>
        <v>0</v>
      </c>
      <c r="M402" s="33">
        <f t="shared" si="88"/>
        <v>0</v>
      </c>
      <c r="N402" s="33">
        <f t="shared" si="88"/>
        <v>0</v>
      </c>
      <c r="O402" s="33">
        <f t="shared" si="88"/>
        <v>0</v>
      </c>
      <c r="P402" s="33">
        <f t="shared" si="88"/>
        <v>0</v>
      </c>
      <c r="Q402" s="33">
        <f t="shared" si="88"/>
        <v>0</v>
      </c>
      <c r="R402" s="33">
        <f t="shared" si="88"/>
        <v>0</v>
      </c>
      <c r="S402" s="33">
        <f t="shared" si="88"/>
        <v>0</v>
      </c>
      <c r="T402" s="33">
        <f t="shared" si="88"/>
        <v>0</v>
      </c>
      <c r="U402" s="33">
        <f t="shared" si="88"/>
        <v>0</v>
      </c>
      <c r="V402" s="33">
        <f t="shared" si="88"/>
        <v>0</v>
      </c>
      <c r="W402" s="33">
        <f t="shared" si="88"/>
        <v>0</v>
      </c>
      <c r="X402" s="33">
        <f t="shared" si="88"/>
        <v>0</v>
      </c>
    </row>
    <row r="403" spans="2:24">
      <c r="B403" s="52" t="str">
        <f t="shared" si="76"/>
        <v/>
      </c>
      <c r="C403" s="482" t="str">
        <f t="shared" si="76"/>
        <v/>
      </c>
      <c r="D403" s="482" t="str">
        <f t="shared" si="76"/>
        <v/>
      </c>
      <c r="E403" s="52" t="str">
        <f t="shared" si="76"/>
        <v/>
      </c>
      <c r="F403" s="52"/>
      <c r="G403" s="52"/>
      <c r="H403" s="52"/>
      <c r="I403" s="52"/>
      <c r="J403" s="52"/>
      <c r="K403" s="33">
        <f t="shared" ref="K403:X403" si="89">ROUND(K277*K235*K319,0)</f>
        <v>0</v>
      </c>
      <c r="L403" s="33">
        <f t="shared" si="89"/>
        <v>0</v>
      </c>
      <c r="M403" s="33">
        <f t="shared" si="89"/>
        <v>0</v>
      </c>
      <c r="N403" s="33">
        <f t="shared" si="89"/>
        <v>0</v>
      </c>
      <c r="O403" s="33">
        <f t="shared" si="89"/>
        <v>0</v>
      </c>
      <c r="P403" s="33">
        <f t="shared" si="89"/>
        <v>0</v>
      </c>
      <c r="Q403" s="33">
        <f t="shared" si="89"/>
        <v>0</v>
      </c>
      <c r="R403" s="33">
        <f t="shared" si="89"/>
        <v>0</v>
      </c>
      <c r="S403" s="33">
        <f t="shared" si="89"/>
        <v>0</v>
      </c>
      <c r="T403" s="33">
        <f t="shared" si="89"/>
        <v>0</v>
      </c>
      <c r="U403" s="33">
        <f t="shared" si="89"/>
        <v>0</v>
      </c>
      <c r="V403" s="33">
        <f t="shared" si="89"/>
        <v>0</v>
      </c>
      <c r="W403" s="33">
        <f t="shared" si="89"/>
        <v>0</v>
      </c>
      <c r="X403" s="33">
        <f t="shared" si="89"/>
        <v>0</v>
      </c>
    </row>
    <row r="404" spans="2:24">
      <c r="B404" s="52" t="str">
        <f t="shared" si="76"/>
        <v/>
      </c>
      <c r="C404" s="482" t="str">
        <f t="shared" si="76"/>
        <v/>
      </c>
      <c r="D404" s="482" t="str">
        <f t="shared" si="76"/>
        <v/>
      </c>
      <c r="E404" s="52" t="str">
        <f t="shared" si="76"/>
        <v/>
      </c>
      <c r="F404" s="52"/>
      <c r="G404" s="52"/>
      <c r="H404" s="52"/>
      <c r="I404" s="52"/>
      <c r="J404" s="52"/>
      <c r="K404" s="33">
        <f t="shared" ref="K404:X404" si="90">ROUND(K278*K236*K320,0)</f>
        <v>0</v>
      </c>
      <c r="L404" s="33">
        <f t="shared" si="90"/>
        <v>0</v>
      </c>
      <c r="M404" s="33">
        <f t="shared" si="90"/>
        <v>0</v>
      </c>
      <c r="N404" s="33">
        <f t="shared" si="90"/>
        <v>0</v>
      </c>
      <c r="O404" s="33">
        <f t="shared" si="90"/>
        <v>0</v>
      </c>
      <c r="P404" s="33">
        <f t="shared" si="90"/>
        <v>0</v>
      </c>
      <c r="Q404" s="33">
        <f t="shared" si="90"/>
        <v>0</v>
      </c>
      <c r="R404" s="33">
        <f t="shared" si="90"/>
        <v>0</v>
      </c>
      <c r="S404" s="33">
        <f t="shared" si="90"/>
        <v>0</v>
      </c>
      <c r="T404" s="33">
        <f t="shared" si="90"/>
        <v>0</v>
      </c>
      <c r="U404" s="33">
        <f t="shared" si="90"/>
        <v>0</v>
      </c>
      <c r="V404" s="33">
        <f t="shared" si="90"/>
        <v>0</v>
      </c>
      <c r="W404" s="33">
        <f t="shared" si="90"/>
        <v>0</v>
      </c>
      <c r="X404" s="33">
        <f t="shared" si="90"/>
        <v>0</v>
      </c>
    </row>
    <row r="405" spans="2:24">
      <c r="B405" s="52" t="str">
        <f t="shared" si="76"/>
        <v/>
      </c>
      <c r="C405" s="482" t="str">
        <f t="shared" si="76"/>
        <v/>
      </c>
      <c r="D405" s="482" t="str">
        <f t="shared" si="76"/>
        <v/>
      </c>
      <c r="E405" s="52" t="str">
        <f t="shared" si="76"/>
        <v/>
      </c>
      <c r="F405" s="52"/>
      <c r="G405" s="52"/>
      <c r="H405" s="52"/>
      <c r="I405" s="52"/>
      <c r="J405" s="52"/>
      <c r="K405" s="33">
        <f t="shared" ref="K405:X405" si="91">ROUND(K279*K237*K321,0)</f>
        <v>0</v>
      </c>
      <c r="L405" s="33">
        <f t="shared" si="91"/>
        <v>0</v>
      </c>
      <c r="M405" s="33">
        <f t="shared" si="91"/>
        <v>0</v>
      </c>
      <c r="N405" s="33">
        <f t="shared" si="91"/>
        <v>0</v>
      </c>
      <c r="O405" s="33">
        <f t="shared" si="91"/>
        <v>0</v>
      </c>
      <c r="P405" s="33">
        <f t="shared" si="91"/>
        <v>0</v>
      </c>
      <c r="Q405" s="33">
        <f t="shared" si="91"/>
        <v>0</v>
      </c>
      <c r="R405" s="33">
        <f t="shared" si="91"/>
        <v>0</v>
      </c>
      <c r="S405" s="33">
        <f t="shared" si="91"/>
        <v>0</v>
      </c>
      <c r="T405" s="33">
        <f t="shared" si="91"/>
        <v>0</v>
      </c>
      <c r="U405" s="33">
        <f t="shared" si="91"/>
        <v>0</v>
      </c>
      <c r="V405" s="33">
        <f t="shared" si="91"/>
        <v>0</v>
      </c>
      <c r="W405" s="33">
        <f t="shared" si="91"/>
        <v>0</v>
      </c>
      <c r="X405" s="33">
        <f t="shared" si="91"/>
        <v>0</v>
      </c>
    </row>
    <row r="406" spans="2:24">
      <c r="B406" s="52" t="str">
        <f t="shared" si="76"/>
        <v/>
      </c>
      <c r="C406" s="482" t="str">
        <f t="shared" si="76"/>
        <v/>
      </c>
      <c r="D406" s="482" t="str">
        <f t="shared" si="76"/>
        <v/>
      </c>
      <c r="E406" s="52" t="str">
        <f t="shared" si="76"/>
        <v/>
      </c>
      <c r="F406" s="52"/>
      <c r="G406" s="52"/>
      <c r="H406" s="52"/>
      <c r="I406" s="52"/>
      <c r="J406" s="52"/>
      <c r="K406" s="33">
        <f t="shared" ref="K406:X406" si="92">ROUND(K280*K238*K322,0)</f>
        <v>0</v>
      </c>
      <c r="L406" s="33">
        <f t="shared" si="92"/>
        <v>0</v>
      </c>
      <c r="M406" s="33">
        <f t="shared" si="92"/>
        <v>0</v>
      </c>
      <c r="N406" s="33">
        <f t="shared" si="92"/>
        <v>0</v>
      </c>
      <c r="O406" s="33">
        <f t="shared" si="92"/>
        <v>0</v>
      </c>
      <c r="P406" s="33">
        <f t="shared" si="92"/>
        <v>0</v>
      </c>
      <c r="Q406" s="33">
        <f t="shared" si="92"/>
        <v>0</v>
      </c>
      <c r="R406" s="33">
        <f t="shared" si="92"/>
        <v>0</v>
      </c>
      <c r="S406" s="33">
        <f t="shared" si="92"/>
        <v>0</v>
      </c>
      <c r="T406" s="33">
        <f t="shared" si="92"/>
        <v>0</v>
      </c>
      <c r="U406" s="33">
        <f t="shared" si="92"/>
        <v>0</v>
      </c>
      <c r="V406" s="33">
        <f t="shared" si="92"/>
        <v>0</v>
      </c>
      <c r="W406" s="33">
        <f t="shared" si="92"/>
        <v>0</v>
      </c>
      <c r="X406" s="33">
        <f t="shared" si="92"/>
        <v>0</v>
      </c>
    </row>
    <row r="407" spans="2:24">
      <c r="B407" s="52" t="str">
        <f t="shared" si="76"/>
        <v/>
      </c>
      <c r="C407" s="482" t="str">
        <f t="shared" si="76"/>
        <v/>
      </c>
      <c r="D407" s="482" t="str">
        <f t="shared" si="76"/>
        <v/>
      </c>
      <c r="E407" s="52" t="str">
        <f t="shared" si="76"/>
        <v/>
      </c>
      <c r="F407" s="52"/>
      <c r="G407" s="52"/>
      <c r="H407" s="52"/>
      <c r="I407" s="52"/>
      <c r="J407" s="52"/>
      <c r="K407" s="33">
        <f t="shared" ref="K407:X407" si="93">ROUND(K281*K239*K323,0)</f>
        <v>0</v>
      </c>
      <c r="L407" s="33">
        <f t="shared" si="93"/>
        <v>0</v>
      </c>
      <c r="M407" s="33">
        <f t="shared" si="93"/>
        <v>0</v>
      </c>
      <c r="N407" s="33">
        <f t="shared" si="93"/>
        <v>0</v>
      </c>
      <c r="O407" s="33">
        <f t="shared" si="93"/>
        <v>0</v>
      </c>
      <c r="P407" s="33">
        <f t="shared" si="93"/>
        <v>0</v>
      </c>
      <c r="Q407" s="33">
        <f t="shared" si="93"/>
        <v>0</v>
      </c>
      <c r="R407" s="33">
        <f t="shared" si="93"/>
        <v>0</v>
      </c>
      <c r="S407" s="33">
        <f t="shared" si="93"/>
        <v>0</v>
      </c>
      <c r="T407" s="33">
        <f t="shared" si="93"/>
        <v>0</v>
      </c>
      <c r="U407" s="33">
        <f t="shared" si="93"/>
        <v>0</v>
      </c>
      <c r="V407" s="33">
        <f t="shared" si="93"/>
        <v>0</v>
      </c>
      <c r="W407" s="33">
        <f t="shared" si="93"/>
        <v>0</v>
      </c>
      <c r="X407" s="33">
        <f t="shared" si="93"/>
        <v>0</v>
      </c>
    </row>
    <row r="408" spans="2:24">
      <c r="B408" s="52" t="str">
        <f t="shared" si="76"/>
        <v/>
      </c>
      <c r="C408" s="482" t="str">
        <f t="shared" si="76"/>
        <v/>
      </c>
      <c r="D408" s="482" t="str">
        <f t="shared" si="76"/>
        <v/>
      </c>
      <c r="E408" s="52" t="str">
        <f t="shared" si="76"/>
        <v/>
      </c>
      <c r="F408" s="52"/>
      <c r="G408" s="52"/>
      <c r="H408" s="52"/>
      <c r="I408" s="52"/>
      <c r="J408" s="52"/>
      <c r="K408" s="33">
        <f t="shared" ref="K408:X408" si="94">ROUND(K282*K240*K324,0)</f>
        <v>0</v>
      </c>
      <c r="L408" s="33">
        <f t="shared" si="94"/>
        <v>0</v>
      </c>
      <c r="M408" s="33">
        <f t="shared" si="94"/>
        <v>0</v>
      </c>
      <c r="N408" s="33">
        <f t="shared" si="94"/>
        <v>0</v>
      </c>
      <c r="O408" s="33">
        <f t="shared" si="94"/>
        <v>0</v>
      </c>
      <c r="P408" s="33">
        <f t="shared" si="94"/>
        <v>0</v>
      </c>
      <c r="Q408" s="33">
        <f t="shared" si="94"/>
        <v>0</v>
      </c>
      <c r="R408" s="33">
        <f t="shared" si="94"/>
        <v>0</v>
      </c>
      <c r="S408" s="33">
        <f t="shared" si="94"/>
        <v>0</v>
      </c>
      <c r="T408" s="33">
        <f t="shared" si="94"/>
        <v>0</v>
      </c>
      <c r="U408" s="33">
        <f t="shared" si="94"/>
        <v>0</v>
      </c>
      <c r="V408" s="33">
        <f t="shared" si="94"/>
        <v>0</v>
      </c>
      <c r="W408" s="33">
        <f t="shared" si="94"/>
        <v>0</v>
      </c>
      <c r="X408" s="33">
        <f t="shared" si="94"/>
        <v>0</v>
      </c>
    </row>
    <row r="409" spans="2:24">
      <c r="B409" s="52" t="str">
        <f t="shared" si="76"/>
        <v/>
      </c>
      <c r="C409" s="482" t="str">
        <f t="shared" si="76"/>
        <v/>
      </c>
      <c r="D409" s="482" t="str">
        <f t="shared" si="76"/>
        <v/>
      </c>
      <c r="E409" s="52" t="str">
        <f t="shared" si="76"/>
        <v/>
      </c>
      <c r="F409" s="52"/>
      <c r="G409" s="52"/>
      <c r="H409" s="52"/>
      <c r="I409" s="52"/>
      <c r="J409" s="52"/>
      <c r="K409" s="33">
        <f t="shared" ref="K409:X409" si="95">ROUND(K283*K241*K325,0)</f>
        <v>0</v>
      </c>
      <c r="L409" s="33">
        <f t="shared" si="95"/>
        <v>0</v>
      </c>
      <c r="M409" s="33">
        <f t="shared" si="95"/>
        <v>0</v>
      </c>
      <c r="N409" s="33">
        <f t="shared" si="95"/>
        <v>0</v>
      </c>
      <c r="O409" s="33">
        <f t="shared" si="95"/>
        <v>0</v>
      </c>
      <c r="P409" s="33">
        <f t="shared" si="95"/>
        <v>0</v>
      </c>
      <c r="Q409" s="33">
        <f t="shared" si="95"/>
        <v>0</v>
      </c>
      <c r="R409" s="33">
        <f t="shared" si="95"/>
        <v>0</v>
      </c>
      <c r="S409" s="33">
        <f t="shared" si="95"/>
        <v>0</v>
      </c>
      <c r="T409" s="33">
        <f t="shared" si="95"/>
        <v>0</v>
      </c>
      <c r="U409" s="33">
        <f t="shared" si="95"/>
        <v>0</v>
      </c>
      <c r="V409" s="33">
        <f t="shared" si="95"/>
        <v>0</v>
      </c>
      <c r="W409" s="33">
        <f t="shared" si="95"/>
        <v>0</v>
      </c>
      <c r="X409" s="33">
        <f t="shared" si="95"/>
        <v>0</v>
      </c>
    </row>
    <row r="410" spans="2:24">
      <c r="B410" s="52" t="str">
        <f t="shared" si="76"/>
        <v/>
      </c>
      <c r="C410" s="482" t="str">
        <f t="shared" si="76"/>
        <v/>
      </c>
      <c r="D410" s="482" t="str">
        <f t="shared" si="76"/>
        <v/>
      </c>
      <c r="E410" s="52" t="str">
        <f t="shared" si="76"/>
        <v/>
      </c>
      <c r="F410" s="52"/>
      <c r="G410" s="52"/>
      <c r="H410" s="52"/>
      <c r="I410" s="52"/>
      <c r="J410" s="52"/>
      <c r="K410" s="33">
        <f t="shared" ref="K410:X410" si="96">ROUND(K284*K242*K326,0)</f>
        <v>0</v>
      </c>
      <c r="L410" s="33">
        <f t="shared" si="96"/>
        <v>0</v>
      </c>
      <c r="M410" s="33">
        <f t="shared" si="96"/>
        <v>0</v>
      </c>
      <c r="N410" s="33">
        <f t="shared" si="96"/>
        <v>0</v>
      </c>
      <c r="O410" s="33">
        <f t="shared" si="96"/>
        <v>0</v>
      </c>
      <c r="P410" s="33">
        <f t="shared" si="96"/>
        <v>0</v>
      </c>
      <c r="Q410" s="33">
        <f t="shared" si="96"/>
        <v>0</v>
      </c>
      <c r="R410" s="33">
        <f t="shared" si="96"/>
        <v>0</v>
      </c>
      <c r="S410" s="33">
        <f t="shared" si="96"/>
        <v>0</v>
      </c>
      <c r="T410" s="33">
        <f t="shared" si="96"/>
        <v>0</v>
      </c>
      <c r="U410" s="33">
        <f t="shared" si="96"/>
        <v>0</v>
      </c>
      <c r="V410" s="33">
        <f t="shared" si="96"/>
        <v>0</v>
      </c>
      <c r="W410" s="33">
        <f t="shared" si="96"/>
        <v>0</v>
      </c>
      <c r="X410" s="33">
        <f t="shared" si="96"/>
        <v>0</v>
      </c>
    </row>
    <row r="411" spans="2:24">
      <c r="B411" s="52" t="str">
        <f t="shared" ref="B411:E430" si="97">IF(ISBLANK(B285),"",B285)</f>
        <v/>
      </c>
      <c r="C411" s="482" t="str">
        <f t="shared" si="97"/>
        <v/>
      </c>
      <c r="D411" s="482" t="str">
        <f t="shared" si="97"/>
        <v/>
      </c>
      <c r="E411" s="52" t="str">
        <f t="shared" si="97"/>
        <v/>
      </c>
      <c r="F411" s="52"/>
      <c r="G411" s="52"/>
      <c r="H411" s="52"/>
      <c r="I411" s="52"/>
      <c r="J411" s="52"/>
      <c r="K411" s="33">
        <f t="shared" ref="K411:X411" si="98">ROUND(K285*K243*K327,0)</f>
        <v>0</v>
      </c>
      <c r="L411" s="33">
        <f t="shared" si="98"/>
        <v>0</v>
      </c>
      <c r="M411" s="33">
        <f t="shared" si="98"/>
        <v>0</v>
      </c>
      <c r="N411" s="33">
        <f t="shared" si="98"/>
        <v>0</v>
      </c>
      <c r="O411" s="33">
        <f t="shared" si="98"/>
        <v>0</v>
      </c>
      <c r="P411" s="33">
        <f t="shared" si="98"/>
        <v>0</v>
      </c>
      <c r="Q411" s="33">
        <f t="shared" si="98"/>
        <v>0</v>
      </c>
      <c r="R411" s="33">
        <f t="shared" si="98"/>
        <v>0</v>
      </c>
      <c r="S411" s="33">
        <f t="shared" si="98"/>
        <v>0</v>
      </c>
      <c r="T411" s="33">
        <f t="shared" si="98"/>
        <v>0</v>
      </c>
      <c r="U411" s="33">
        <f t="shared" si="98"/>
        <v>0</v>
      </c>
      <c r="V411" s="33">
        <f t="shared" si="98"/>
        <v>0</v>
      </c>
      <c r="W411" s="33">
        <f t="shared" si="98"/>
        <v>0</v>
      </c>
      <c r="X411" s="33">
        <f t="shared" si="98"/>
        <v>0</v>
      </c>
    </row>
    <row r="412" spans="2:24">
      <c r="B412" s="52" t="str">
        <f t="shared" si="97"/>
        <v/>
      </c>
      <c r="C412" s="482" t="str">
        <f t="shared" si="97"/>
        <v/>
      </c>
      <c r="D412" s="482" t="str">
        <f t="shared" si="97"/>
        <v/>
      </c>
      <c r="E412" s="52" t="str">
        <f t="shared" si="97"/>
        <v/>
      </c>
      <c r="F412" s="52"/>
      <c r="G412" s="52"/>
      <c r="H412" s="52"/>
      <c r="I412" s="52"/>
      <c r="J412" s="52"/>
      <c r="K412" s="33">
        <f t="shared" ref="K412:X412" si="99">ROUND(K286*K244*K328,0)</f>
        <v>0</v>
      </c>
      <c r="L412" s="33">
        <f t="shared" si="99"/>
        <v>0</v>
      </c>
      <c r="M412" s="33">
        <f t="shared" si="99"/>
        <v>0</v>
      </c>
      <c r="N412" s="33">
        <f t="shared" si="99"/>
        <v>0</v>
      </c>
      <c r="O412" s="33">
        <f t="shared" si="99"/>
        <v>0</v>
      </c>
      <c r="P412" s="33">
        <f t="shared" si="99"/>
        <v>0</v>
      </c>
      <c r="Q412" s="33">
        <f t="shared" si="99"/>
        <v>0</v>
      </c>
      <c r="R412" s="33">
        <f t="shared" si="99"/>
        <v>0</v>
      </c>
      <c r="S412" s="33">
        <f t="shared" si="99"/>
        <v>0</v>
      </c>
      <c r="T412" s="33">
        <f t="shared" si="99"/>
        <v>0</v>
      </c>
      <c r="U412" s="33">
        <f t="shared" si="99"/>
        <v>0</v>
      </c>
      <c r="V412" s="33">
        <f t="shared" si="99"/>
        <v>0</v>
      </c>
      <c r="W412" s="33">
        <f t="shared" si="99"/>
        <v>0</v>
      </c>
      <c r="X412" s="33">
        <f t="shared" si="99"/>
        <v>0</v>
      </c>
    </row>
    <row r="413" spans="2:24">
      <c r="B413" s="52" t="str">
        <f t="shared" si="97"/>
        <v/>
      </c>
      <c r="C413" s="482" t="str">
        <f t="shared" si="97"/>
        <v/>
      </c>
      <c r="D413" s="482" t="str">
        <f t="shared" si="97"/>
        <v/>
      </c>
      <c r="E413" s="52" t="str">
        <f t="shared" si="97"/>
        <v/>
      </c>
      <c r="F413" s="52"/>
      <c r="G413" s="52"/>
      <c r="H413" s="52"/>
      <c r="I413" s="52"/>
      <c r="J413" s="52"/>
      <c r="K413" s="33">
        <f t="shared" ref="K413:X413" si="100">ROUND(K287*K245*K329,0)</f>
        <v>0</v>
      </c>
      <c r="L413" s="33">
        <f t="shared" si="100"/>
        <v>0</v>
      </c>
      <c r="M413" s="33">
        <f t="shared" si="100"/>
        <v>0</v>
      </c>
      <c r="N413" s="33">
        <f t="shared" si="100"/>
        <v>0</v>
      </c>
      <c r="O413" s="33">
        <f t="shared" si="100"/>
        <v>0</v>
      </c>
      <c r="P413" s="33">
        <f t="shared" si="100"/>
        <v>0</v>
      </c>
      <c r="Q413" s="33">
        <f t="shared" si="100"/>
        <v>0</v>
      </c>
      <c r="R413" s="33">
        <f t="shared" si="100"/>
        <v>0</v>
      </c>
      <c r="S413" s="33">
        <f t="shared" si="100"/>
        <v>0</v>
      </c>
      <c r="T413" s="33">
        <f t="shared" si="100"/>
        <v>0</v>
      </c>
      <c r="U413" s="33">
        <f t="shared" si="100"/>
        <v>0</v>
      </c>
      <c r="V413" s="33">
        <f t="shared" si="100"/>
        <v>0</v>
      </c>
      <c r="W413" s="33">
        <f t="shared" si="100"/>
        <v>0</v>
      </c>
      <c r="X413" s="33">
        <f t="shared" si="100"/>
        <v>0</v>
      </c>
    </row>
    <row r="414" spans="2:24">
      <c r="B414" s="52" t="str">
        <f t="shared" si="97"/>
        <v/>
      </c>
      <c r="C414" s="482" t="str">
        <f t="shared" si="97"/>
        <v/>
      </c>
      <c r="D414" s="482" t="str">
        <f t="shared" si="97"/>
        <v/>
      </c>
      <c r="E414" s="52" t="str">
        <f t="shared" si="97"/>
        <v/>
      </c>
      <c r="F414" s="52"/>
      <c r="G414" s="52"/>
      <c r="H414" s="52"/>
      <c r="I414" s="52"/>
      <c r="J414" s="52"/>
      <c r="K414" s="33">
        <f t="shared" ref="K414:X414" si="101">ROUND(K288*K246*K330,0)</f>
        <v>0</v>
      </c>
      <c r="L414" s="33">
        <f t="shared" si="101"/>
        <v>0</v>
      </c>
      <c r="M414" s="33">
        <f t="shared" si="101"/>
        <v>0</v>
      </c>
      <c r="N414" s="33">
        <f t="shared" si="101"/>
        <v>0</v>
      </c>
      <c r="O414" s="33">
        <f t="shared" si="101"/>
        <v>0</v>
      </c>
      <c r="P414" s="33">
        <f t="shared" si="101"/>
        <v>0</v>
      </c>
      <c r="Q414" s="33">
        <f t="shared" si="101"/>
        <v>0</v>
      </c>
      <c r="R414" s="33">
        <f t="shared" si="101"/>
        <v>0</v>
      </c>
      <c r="S414" s="33">
        <f t="shared" si="101"/>
        <v>0</v>
      </c>
      <c r="T414" s="33">
        <f t="shared" si="101"/>
        <v>0</v>
      </c>
      <c r="U414" s="33">
        <f t="shared" si="101"/>
        <v>0</v>
      </c>
      <c r="V414" s="33">
        <f t="shared" si="101"/>
        <v>0</v>
      </c>
      <c r="W414" s="33">
        <f t="shared" si="101"/>
        <v>0</v>
      </c>
      <c r="X414" s="33">
        <f t="shared" si="101"/>
        <v>0</v>
      </c>
    </row>
    <row r="415" spans="2:24">
      <c r="B415" s="52" t="str">
        <f t="shared" si="97"/>
        <v/>
      </c>
      <c r="C415" s="482" t="str">
        <f t="shared" si="97"/>
        <v/>
      </c>
      <c r="D415" s="482" t="str">
        <f t="shared" si="97"/>
        <v/>
      </c>
      <c r="E415" s="52" t="str">
        <f t="shared" si="97"/>
        <v/>
      </c>
      <c r="F415" s="52"/>
      <c r="G415" s="52"/>
      <c r="H415" s="52"/>
      <c r="I415" s="52"/>
      <c r="J415" s="52"/>
      <c r="K415" s="33">
        <f t="shared" ref="K415:X415" si="102">ROUND(K289*K247*K331,0)</f>
        <v>0</v>
      </c>
      <c r="L415" s="33">
        <f t="shared" si="102"/>
        <v>0</v>
      </c>
      <c r="M415" s="33">
        <f t="shared" si="102"/>
        <v>0</v>
      </c>
      <c r="N415" s="33">
        <f t="shared" si="102"/>
        <v>0</v>
      </c>
      <c r="O415" s="33">
        <f t="shared" si="102"/>
        <v>0</v>
      </c>
      <c r="P415" s="33">
        <f t="shared" si="102"/>
        <v>0</v>
      </c>
      <c r="Q415" s="33">
        <f t="shared" si="102"/>
        <v>0</v>
      </c>
      <c r="R415" s="33">
        <f t="shared" si="102"/>
        <v>0</v>
      </c>
      <c r="S415" s="33">
        <f t="shared" si="102"/>
        <v>0</v>
      </c>
      <c r="T415" s="33">
        <f t="shared" si="102"/>
        <v>0</v>
      </c>
      <c r="U415" s="33">
        <f t="shared" si="102"/>
        <v>0</v>
      </c>
      <c r="V415" s="33">
        <f t="shared" si="102"/>
        <v>0</v>
      </c>
      <c r="W415" s="33">
        <f t="shared" si="102"/>
        <v>0</v>
      </c>
      <c r="X415" s="33">
        <f t="shared" si="102"/>
        <v>0</v>
      </c>
    </row>
    <row r="416" spans="2:24">
      <c r="B416" s="52" t="str">
        <f t="shared" si="97"/>
        <v/>
      </c>
      <c r="C416" s="482" t="str">
        <f t="shared" si="97"/>
        <v/>
      </c>
      <c r="D416" s="482" t="str">
        <f t="shared" si="97"/>
        <v/>
      </c>
      <c r="E416" s="52" t="str">
        <f t="shared" si="97"/>
        <v/>
      </c>
      <c r="F416" s="52"/>
      <c r="G416" s="52"/>
      <c r="H416" s="52"/>
      <c r="I416" s="52"/>
      <c r="J416" s="52"/>
      <c r="K416" s="33">
        <f t="shared" ref="K416:X416" si="103">ROUND(K290*K248*K332,0)</f>
        <v>0</v>
      </c>
      <c r="L416" s="33">
        <f t="shared" si="103"/>
        <v>0</v>
      </c>
      <c r="M416" s="33">
        <f t="shared" si="103"/>
        <v>0</v>
      </c>
      <c r="N416" s="33">
        <f t="shared" si="103"/>
        <v>0</v>
      </c>
      <c r="O416" s="33">
        <f t="shared" si="103"/>
        <v>0</v>
      </c>
      <c r="P416" s="33">
        <f t="shared" si="103"/>
        <v>0</v>
      </c>
      <c r="Q416" s="33">
        <f t="shared" si="103"/>
        <v>0</v>
      </c>
      <c r="R416" s="33">
        <f t="shared" si="103"/>
        <v>0</v>
      </c>
      <c r="S416" s="33">
        <f t="shared" si="103"/>
        <v>0</v>
      </c>
      <c r="T416" s="33">
        <f t="shared" si="103"/>
        <v>0</v>
      </c>
      <c r="U416" s="33">
        <f t="shared" si="103"/>
        <v>0</v>
      </c>
      <c r="V416" s="33">
        <f t="shared" si="103"/>
        <v>0</v>
      </c>
      <c r="W416" s="33">
        <f t="shared" si="103"/>
        <v>0</v>
      </c>
      <c r="X416" s="33">
        <f t="shared" si="103"/>
        <v>0</v>
      </c>
    </row>
    <row r="417" spans="2:24">
      <c r="B417" s="52" t="str">
        <f t="shared" si="97"/>
        <v/>
      </c>
      <c r="C417" s="482" t="str">
        <f t="shared" si="97"/>
        <v/>
      </c>
      <c r="D417" s="482" t="str">
        <f t="shared" si="97"/>
        <v/>
      </c>
      <c r="E417" s="52" t="str">
        <f t="shared" si="97"/>
        <v/>
      </c>
      <c r="F417" s="52"/>
      <c r="G417" s="52"/>
      <c r="H417" s="52"/>
      <c r="I417" s="52"/>
      <c r="J417" s="52"/>
      <c r="K417" s="33">
        <f t="shared" ref="K417:X417" si="104">ROUND(K291*K249*K333,0)</f>
        <v>0</v>
      </c>
      <c r="L417" s="33">
        <f t="shared" si="104"/>
        <v>0</v>
      </c>
      <c r="M417" s="33">
        <f t="shared" si="104"/>
        <v>0</v>
      </c>
      <c r="N417" s="33">
        <f t="shared" si="104"/>
        <v>0</v>
      </c>
      <c r="O417" s="33">
        <f t="shared" si="104"/>
        <v>0</v>
      </c>
      <c r="P417" s="33">
        <f t="shared" si="104"/>
        <v>0</v>
      </c>
      <c r="Q417" s="33">
        <f t="shared" si="104"/>
        <v>0</v>
      </c>
      <c r="R417" s="33">
        <f t="shared" si="104"/>
        <v>0</v>
      </c>
      <c r="S417" s="33">
        <f t="shared" si="104"/>
        <v>0</v>
      </c>
      <c r="T417" s="33">
        <f t="shared" si="104"/>
        <v>0</v>
      </c>
      <c r="U417" s="33">
        <f t="shared" si="104"/>
        <v>0</v>
      </c>
      <c r="V417" s="33">
        <f t="shared" si="104"/>
        <v>0</v>
      </c>
      <c r="W417" s="33">
        <f t="shared" si="104"/>
        <v>0</v>
      </c>
      <c r="X417" s="33">
        <f t="shared" si="104"/>
        <v>0</v>
      </c>
    </row>
    <row r="418" spans="2:24">
      <c r="B418" s="52" t="str">
        <f t="shared" si="97"/>
        <v/>
      </c>
      <c r="C418" s="482" t="str">
        <f t="shared" si="97"/>
        <v/>
      </c>
      <c r="D418" s="482" t="str">
        <f t="shared" si="97"/>
        <v/>
      </c>
      <c r="E418" s="52" t="str">
        <f t="shared" si="97"/>
        <v/>
      </c>
      <c r="F418" s="52"/>
      <c r="G418" s="52"/>
      <c r="H418" s="52"/>
      <c r="I418" s="52"/>
      <c r="J418" s="52"/>
      <c r="K418" s="33">
        <f t="shared" ref="K418:X418" si="105">ROUND(K292*K250*K334,0)</f>
        <v>0</v>
      </c>
      <c r="L418" s="33">
        <f t="shared" si="105"/>
        <v>0</v>
      </c>
      <c r="M418" s="33">
        <f t="shared" si="105"/>
        <v>0</v>
      </c>
      <c r="N418" s="33">
        <f t="shared" si="105"/>
        <v>0</v>
      </c>
      <c r="O418" s="33">
        <f t="shared" si="105"/>
        <v>0</v>
      </c>
      <c r="P418" s="33">
        <f t="shared" si="105"/>
        <v>0</v>
      </c>
      <c r="Q418" s="33">
        <f t="shared" si="105"/>
        <v>0</v>
      </c>
      <c r="R418" s="33">
        <f t="shared" si="105"/>
        <v>0</v>
      </c>
      <c r="S418" s="33">
        <f t="shared" si="105"/>
        <v>0</v>
      </c>
      <c r="T418" s="33">
        <f t="shared" si="105"/>
        <v>0</v>
      </c>
      <c r="U418" s="33">
        <f t="shared" si="105"/>
        <v>0</v>
      </c>
      <c r="V418" s="33">
        <f t="shared" si="105"/>
        <v>0</v>
      </c>
      <c r="W418" s="33">
        <f t="shared" si="105"/>
        <v>0</v>
      </c>
      <c r="X418" s="33">
        <f t="shared" si="105"/>
        <v>0</v>
      </c>
    </row>
    <row r="419" spans="2:24">
      <c r="B419" s="52" t="str">
        <f t="shared" si="97"/>
        <v/>
      </c>
      <c r="C419" s="482" t="str">
        <f t="shared" si="97"/>
        <v/>
      </c>
      <c r="D419" s="482" t="str">
        <f t="shared" si="97"/>
        <v/>
      </c>
      <c r="E419" s="52" t="str">
        <f t="shared" si="97"/>
        <v/>
      </c>
      <c r="F419" s="52"/>
      <c r="G419" s="52"/>
      <c r="H419" s="52"/>
      <c r="I419" s="52"/>
      <c r="J419" s="52"/>
      <c r="K419" s="33">
        <f t="shared" ref="K419:X419" si="106">ROUND(K293*K251*K335,0)</f>
        <v>0</v>
      </c>
      <c r="L419" s="33">
        <f t="shared" si="106"/>
        <v>0</v>
      </c>
      <c r="M419" s="33">
        <f t="shared" si="106"/>
        <v>0</v>
      </c>
      <c r="N419" s="33">
        <f t="shared" si="106"/>
        <v>0</v>
      </c>
      <c r="O419" s="33">
        <f t="shared" si="106"/>
        <v>0</v>
      </c>
      <c r="P419" s="33">
        <f t="shared" si="106"/>
        <v>0</v>
      </c>
      <c r="Q419" s="33">
        <f t="shared" si="106"/>
        <v>0</v>
      </c>
      <c r="R419" s="33">
        <f t="shared" si="106"/>
        <v>0</v>
      </c>
      <c r="S419" s="33">
        <f t="shared" si="106"/>
        <v>0</v>
      </c>
      <c r="T419" s="33">
        <f t="shared" si="106"/>
        <v>0</v>
      </c>
      <c r="U419" s="33">
        <f t="shared" si="106"/>
        <v>0</v>
      </c>
      <c r="V419" s="33">
        <f t="shared" si="106"/>
        <v>0</v>
      </c>
      <c r="W419" s="33">
        <f t="shared" si="106"/>
        <v>0</v>
      </c>
      <c r="X419" s="33">
        <f t="shared" si="106"/>
        <v>0</v>
      </c>
    </row>
    <row r="420" spans="2:24">
      <c r="B420" s="52" t="str">
        <f t="shared" si="97"/>
        <v/>
      </c>
      <c r="C420" s="482" t="str">
        <f t="shared" si="97"/>
        <v/>
      </c>
      <c r="D420" s="482" t="str">
        <f t="shared" si="97"/>
        <v/>
      </c>
      <c r="E420" s="52" t="str">
        <f t="shared" si="97"/>
        <v/>
      </c>
      <c r="F420" s="52"/>
      <c r="G420" s="52"/>
      <c r="H420" s="52"/>
      <c r="I420" s="52"/>
      <c r="J420" s="52"/>
      <c r="K420" s="33">
        <f t="shared" ref="K420:X420" si="107">ROUND(K294*K252*K336,0)</f>
        <v>0</v>
      </c>
      <c r="L420" s="33">
        <f t="shared" si="107"/>
        <v>0</v>
      </c>
      <c r="M420" s="33">
        <f t="shared" si="107"/>
        <v>0</v>
      </c>
      <c r="N420" s="33">
        <f t="shared" si="107"/>
        <v>0</v>
      </c>
      <c r="O420" s="33">
        <f t="shared" si="107"/>
        <v>0</v>
      </c>
      <c r="P420" s="33">
        <f t="shared" si="107"/>
        <v>0</v>
      </c>
      <c r="Q420" s="33">
        <f t="shared" si="107"/>
        <v>0</v>
      </c>
      <c r="R420" s="33">
        <f t="shared" si="107"/>
        <v>0</v>
      </c>
      <c r="S420" s="33">
        <f t="shared" si="107"/>
        <v>0</v>
      </c>
      <c r="T420" s="33">
        <f t="shared" si="107"/>
        <v>0</v>
      </c>
      <c r="U420" s="33">
        <f t="shared" si="107"/>
        <v>0</v>
      </c>
      <c r="V420" s="33">
        <f t="shared" si="107"/>
        <v>0</v>
      </c>
      <c r="W420" s="33">
        <f t="shared" si="107"/>
        <v>0</v>
      </c>
      <c r="X420" s="33">
        <f t="shared" si="107"/>
        <v>0</v>
      </c>
    </row>
    <row r="421" spans="2:24">
      <c r="B421" s="52" t="str">
        <f t="shared" si="97"/>
        <v/>
      </c>
      <c r="C421" s="482" t="str">
        <f t="shared" si="97"/>
        <v/>
      </c>
      <c r="D421" s="482" t="str">
        <f t="shared" si="97"/>
        <v/>
      </c>
      <c r="E421" s="52" t="str">
        <f t="shared" si="97"/>
        <v/>
      </c>
      <c r="F421" s="52"/>
      <c r="G421" s="52"/>
      <c r="H421" s="52"/>
      <c r="I421" s="52"/>
      <c r="J421" s="52"/>
      <c r="K421" s="33">
        <f t="shared" ref="K421:X421" si="108">ROUND(K295*K253*K337,0)</f>
        <v>0</v>
      </c>
      <c r="L421" s="33">
        <f t="shared" si="108"/>
        <v>0</v>
      </c>
      <c r="M421" s="33">
        <f t="shared" si="108"/>
        <v>0</v>
      </c>
      <c r="N421" s="33">
        <f t="shared" si="108"/>
        <v>0</v>
      </c>
      <c r="O421" s="33">
        <f t="shared" si="108"/>
        <v>0</v>
      </c>
      <c r="P421" s="33">
        <f t="shared" si="108"/>
        <v>0</v>
      </c>
      <c r="Q421" s="33">
        <f t="shared" si="108"/>
        <v>0</v>
      </c>
      <c r="R421" s="33">
        <f t="shared" si="108"/>
        <v>0</v>
      </c>
      <c r="S421" s="33">
        <f t="shared" si="108"/>
        <v>0</v>
      </c>
      <c r="T421" s="33">
        <f t="shared" si="108"/>
        <v>0</v>
      </c>
      <c r="U421" s="33">
        <f t="shared" si="108"/>
        <v>0</v>
      </c>
      <c r="V421" s="33">
        <f t="shared" si="108"/>
        <v>0</v>
      </c>
      <c r="W421" s="33">
        <f t="shared" si="108"/>
        <v>0</v>
      </c>
      <c r="X421" s="33">
        <f t="shared" si="108"/>
        <v>0</v>
      </c>
    </row>
    <row r="422" spans="2:24">
      <c r="B422" s="52" t="str">
        <f t="shared" si="97"/>
        <v/>
      </c>
      <c r="C422" s="482" t="str">
        <f t="shared" si="97"/>
        <v/>
      </c>
      <c r="D422" s="482" t="str">
        <f t="shared" si="97"/>
        <v/>
      </c>
      <c r="E422" s="52" t="str">
        <f t="shared" si="97"/>
        <v/>
      </c>
      <c r="F422" s="52"/>
      <c r="G422" s="52"/>
      <c r="H422" s="52"/>
      <c r="I422" s="52"/>
      <c r="J422" s="52"/>
      <c r="K422" s="33">
        <f t="shared" ref="K422:X422" si="109">ROUND(K296*K254*K338,0)</f>
        <v>0</v>
      </c>
      <c r="L422" s="33">
        <f t="shared" si="109"/>
        <v>0</v>
      </c>
      <c r="M422" s="33">
        <f t="shared" si="109"/>
        <v>0</v>
      </c>
      <c r="N422" s="33">
        <f t="shared" si="109"/>
        <v>0</v>
      </c>
      <c r="O422" s="33">
        <f t="shared" si="109"/>
        <v>0</v>
      </c>
      <c r="P422" s="33">
        <f t="shared" si="109"/>
        <v>0</v>
      </c>
      <c r="Q422" s="33">
        <f t="shared" si="109"/>
        <v>0</v>
      </c>
      <c r="R422" s="33">
        <f t="shared" si="109"/>
        <v>0</v>
      </c>
      <c r="S422" s="33">
        <f t="shared" si="109"/>
        <v>0</v>
      </c>
      <c r="T422" s="33">
        <f t="shared" si="109"/>
        <v>0</v>
      </c>
      <c r="U422" s="33">
        <f t="shared" si="109"/>
        <v>0</v>
      </c>
      <c r="V422" s="33">
        <f t="shared" si="109"/>
        <v>0</v>
      </c>
      <c r="W422" s="33">
        <f t="shared" si="109"/>
        <v>0</v>
      </c>
      <c r="X422" s="33">
        <f t="shared" si="109"/>
        <v>0</v>
      </c>
    </row>
    <row r="423" spans="2:24">
      <c r="B423" s="52" t="str">
        <f t="shared" si="97"/>
        <v/>
      </c>
      <c r="C423" s="482" t="str">
        <f t="shared" si="97"/>
        <v/>
      </c>
      <c r="D423" s="482" t="str">
        <f t="shared" si="97"/>
        <v/>
      </c>
      <c r="E423" s="52" t="str">
        <f t="shared" si="97"/>
        <v/>
      </c>
      <c r="F423" s="52"/>
      <c r="G423" s="52"/>
      <c r="H423" s="52"/>
      <c r="I423" s="52"/>
      <c r="J423" s="52"/>
      <c r="K423" s="33">
        <f t="shared" ref="K423:X423" si="110">ROUND(K297*K255*K339,0)</f>
        <v>0</v>
      </c>
      <c r="L423" s="33">
        <f t="shared" si="110"/>
        <v>0</v>
      </c>
      <c r="M423" s="33">
        <f t="shared" si="110"/>
        <v>0</v>
      </c>
      <c r="N423" s="33">
        <f t="shared" si="110"/>
        <v>0</v>
      </c>
      <c r="O423" s="33">
        <f t="shared" si="110"/>
        <v>0</v>
      </c>
      <c r="P423" s="33">
        <f t="shared" si="110"/>
        <v>0</v>
      </c>
      <c r="Q423" s="33">
        <f t="shared" si="110"/>
        <v>0</v>
      </c>
      <c r="R423" s="33">
        <f t="shared" si="110"/>
        <v>0</v>
      </c>
      <c r="S423" s="33">
        <f t="shared" si="110"/>
        <v>0</v>
      </c>
      <c r="T423" s="33">
        <f t="shared" si="110"/>
        <v>0</v>
      </c>
      <c r="U423" s="33">
        <f t="shared" si="110"/>
        <v>0</v>
      </c>
      <c r="V423" s="33">
        <f t="shared" si="110"/>
        <v>0</v>
      </c>
      <c r="W423" s="33">
        <f t="shared" si="110"/>
        <v>0</v>
      </c>
      <c r="X423" s="33">
        <f t="shared" si="110"/>
        <v>0</v>
      </c>
    </row>
    <row r="424" spans="2:24">
      <c r="B424" s="52" t="str">
        <f t="shared" si="97"/>
        <v/>
      </c>
      <c r="C424" s="482" t="str">
        <f t="shared" si="97"/>
        <v/>
      </c>
      <c r="D424" s="482" t="str">
        <f t="shared" si="97"/>
        <v/>
      </c>
      <c r="E424" s="52" t="str">
        <f t="shared" si="97"/>
        <v/>
      </c>
      <c r="F424" s="52"/>
      <c r="G424" s="52"/>
      <c r="H424" s="52"/>
      <c r="I424" s="52"/>
      <c r="J424" s="52"/>
      <c r="K424" s="33">
        <f t="shared" ref="K424:X424" si="111">ROUND(K298*K256*K340,0)</f>
        <v>0</v>
      </c>
      <c r="L424" s="33">
        <f t="shared" si="111"/>
        <v>0</v>
      </c>
      <c r="M424" s="33">
        <f t="shared" si="111"/>
        <v>0</v>
      </c>
      <c r="N424" s="33">
        <f t="shared" si="111"/>
        <v>0</v>
      </c>
      <c r="O424" s="33">
        <f t="shared" si="111"/>
        <v>0</v>
      </c>
      <c r="P424" s="33">
        <f t="shared" si="111"/>
        <v>0</v>
      </c>
      <c r="Q424" s="33">
        <f t="shared" si="111"/>
        <v>0</v>
      </c>
      <c r="R424" s="33">
        <f t="shared" si="111"/>
        <v>0</v>
      </c>
      <c r="S424" s="33">
        <f t="shared" si="111"/>
        <v>0</v>
      </c>
      <c r="T424" s="33">
        <f t="shared" si="111"/>
        <v>0</v>
      </c>
      <c r="U424" s="33">
        <f t="shared" si="111"/>
        <v>0</v>
      </c>
      <c r="V424" s="33">
        <f t="shared" si="111"/>
        <v>0</v>
      </c>
      <c r="W424" s="33">
        <f t="shared" si="111"/>
        <v>0</v>
      </c>
      <c r="X424" s="33">
        <f t="shared" si="111"/>
        <v>0</v>
      </c>
    </row>
    <row r="425" spans="2:24">
      <c r="B425" s="52" t="str">
        <f t="shared" si="97"/>
        <v/>
      </c>
      <c r="C425" s="482" t="str">
        <f t="shared" si="97"/>
        <v/>
      </c>
      <c r="D425" s="482" t="str">
        <f t="shared" si="97"/>
        <v/>
      </c>
      <c r="E425" s="52" t="str">
        <f t="shared" si="97"/>
        <v/>
      </c>
      <c r="F425" s="52"/>
      <c r="G425" s="52"/>
      <c r="H425" s="52"/>
      <c r="I425" s="52"/>
      <c r="J425" s="52"/>
      <c r="K425" s="33">
        <f t="shared" ref="K425:X425" si="112">ROUND(K299*K257*K341,0)</f>
        <v>0</v>
      </c>
      <c r="L425" s="33">
        <f t="shared" si="112"/>
        <v>0</v>
      </c>
      <c r="M425" s="33">
        <f t="shared" si="112"/>
        <v>0</v>
      </c>
      <c r="N425" s="33">
        <f t="shared" si="112"/>
        <v>0</v>
      </c>
      <c r="O425" s="33">
        <f t="shared" si="112"/>
        <v>0</v>
      </c>
      <c r="P425" s="33">
        <f t="shared" si="112"/>
        <v>0</v>
      </c>
      <c r="Q425" s="33">
        <f t="shared" si="112"/>
        <v>0</v>
      </c>
      <c r="R425" s="33">
        <f t="shared" si="112"/>
        <v>0</v>
      </c>
      <c r="S425" s="33">
        <f t="shared" si="112"/>
        <v>0</v>
      </c>
      <c r="T425" s="33">
        <f t="shared" si="112"/>
        <v>0</v>
      </c>
      <c r="U425" s="33">
        <f t="shared" si="112"/>
        <v>0</v>
      </c>
      <c r="V425" s="33">
        <f t="shared" si="112"/>
        <v>0</v>
      </c>
      <c r="W425" s="33">
        <f t="shared" si="112"/>
        <v>0</v>
      </c>
      <c r="X425" s="33">
        <f t="shared" si="112"/>
        <v>0</v>
      </c>
    </row>
    <row r="426" spans="2:24">
      <c r="B426" s="52" t="str">
        <f t="shared" si="97"/>
        <v/>
      </c>
      <c r="C426" s="482" t="str">
        <f t="shared" si="97"/>
        <v/>
      </c>
      <c r="D426" s="482" t="str">
        <f t="shared" si="97"/>
        <v/>
      </c>
      <c r="E426" s="52" t="str">
        <f t="shared" si="97"/>
        <v/>
      </c>
      <c r="F426" s="52"/>
      <c r="G426" s="52"/>
      <c r="H426" s="52"/>
      <c r="I426" s="52"/>
      <c r="J426" s="52"/>
      <c r="K426" s="33">
        <f t="shared" ref="K426:X426" si="113">ROUND(K300*K258*K342,0)</f>
        <v>0</v>
      </c>
      <c r="L426" s="33">
        <f t="shared" si="113"/>
        <v>0</v>
      </c>
      <c r="M426" s="33">
        <f t="shared" si="113"/>
        <v>0</v>
      </c>
      <c r="N426" s="33">
        <f t="shared" si="113"/>
        <v>0</v>
      </c>
      <c r="O426" s="33">
        <f t="shared" si="113"/>
        <v>0</v>
      </c>
      <c r="P426" s="33">
        <f t="shared" si="113"/>
        <v>0</v>
      </c>
      <c r="Q426" s="33">
        <f t="shared" si="113"/>
        <v>0</v>
      </c>
      <c r="R426" s="33">
        <f t="shared" si="113"/>
        <v>0</v>
      </c>
      <c r="S426" s="33">
        <f t="shared" si="113"/>
        <v>0</v>
      </c>
      <c r="T426" s="33">
        <f t="shared" si="113"/>
        <v>0</v>
      </c>
      <c r="U426" s="33">
        <f t="shared" si="113"/>
        <v>0</v>
      </c>
      <c r="V426" s="33">
        <f t="shared" si="113"/>
        <v>0</v>
      </c>
      <c r="W426" s="33">
        <f t="shared" si="113"/>
        <v>0</v>
      </c>
      <c r="X426" s="33">
        <f t="shared" si="113"/>
        <v>0</v>
      </c>
    </row>
    <row r="427" spans="2:24">
      <c r="B427" s="52" t="str">
        <f t="shared" si="97"/>
        <v/>
      </c>
      <c r="C427" s="482" t="str">
        <f t="shared" si="97"/>
        <v/>
      </c>
      <c r="D427" s="482" t="str">
        <f t="shared" si="97"/>
        <v/>
      </c>
      <c r="E427" s="52" t="str">
        <f t="shared" si="97"/>
        <v/>
      </c>
      <c r="F427" s="52"/>
      <c r="G427" s="52"/>
      <c r="H427" s="52"/>
      <c r="I427" s="52"/>
      <c r="J427" s="52"/>
      <c r="K427" s="33">
        <f t="shared" ref="K427:X427" si="114">ROUND(K301*K259*K343,0)</f>
        <v>0</v>
      </c>
      <c r="L427" s="33">
        <f t="shared" si="114"/>
        <v>0</v>
      </c>
      <c r="M427" s="33">
        <f t="shared" si="114"/>
        <v>0</v>
      </c>
      <c r="N427" s="33">
        <f t="shared" si="114"/>
        <v>0</v>
      </c>
      <c r="O427" s="33">
        <f t="shared" si="114"/>
        <v>0</v>
      </c>
      <c r="P427" s="33">
        <f t="shared" si="114"/>
        <v>0</v>
      </c>
      <c r="Q427" s="33">
        <f t="shared" si="114"/>
        <v>0</v>
      </c>
      <c r="R427" s="33">
        <f t="shared" si="114"/>
        <v>0</v>
      </c>
      <c r="S427" s="33">
        <f t="shared" si="114"/>
        <v>0</v>
      </c>
      <c r="T427" s="33">
        <f t="shared" si="114"/>
        <v>0</v>
      </c>
      <c r="U427" s="33">
        <f t="shared" si="114"/>
        <v>0</v>
      </c>
      <c r="V427" s="33">
        <f t="shared" si="114"/>
        <v>0</v>
      </c>
      <c r="W427" s="33">
        <f t="shared" si="114"/>
        <v>0</v>
      </c>
      <c r="X427" s="33">
        <f t="shared" si="114"/>
        <v>0</v>
      </c>
    </row>
    <row r="428" spans="2:24">
      <c r="B428" s="52" t="str">
        <f t="shared" si="97"/>
        <v/>
      </c>
      <c r="C428" s="482" t="str">
        <f t="shared" si="97"/>
        <v/>
      </c>
      <c r="D428" s="482" t="str">
        <f t="shared" si="97"/>
        <v/>
      </c>
      <c r="E428" s="52" t="str">
        <f t="shared" si="97"/>
        <v/>
      </c>
      <c r="F428" s="52"/>
      <c r="G428" s="52"/>
      <c r="H428" s="52"/>
      <c r="I428" s="52"/>
      <c r="J428" s="52"/>
      <c r="K428" s="33">
        <f t="shared" ref="K428:X428" si="115">ROUND(K302*K260*K344,0)</f>
        <v>0</v>
      </c>
      <c r="L428" s="33">
        <f t="shared" si="115"/>
        <v>0</v>
      </c>
      <c r="M428" s="33">
        <f t="shared" si="115"/>
        <v>0</v>
      </c>
      <c r="N428" s="33">
        <f t="shared" si="115"/>
        <v>0</v>
      </c>
      <c r="O428" s="33">
        <f t="shared" si="115"/>
        <v>0</v>
      </c>
      <c r="P428" s="33">
        <f t="shared" si="115"/>
        <v>0</v>
      </c>
      <c r="Q428" s="33">
        <f t="shared" si="115"/>
        <v>0</v>
      </c>
      <c r="R428" s="33">
        <f t="shared" si="115"/>
        <v>0</v>
      </c>
      <c r="S428" s="33">
        <f t="shared" si="115"/>
        <v>0</v>
      </c>
      <c r="T428" s="33">
        <f t="shared" si="115"/>
        <v>0</v>
      </c>
      <c r="U428" s="33">
        <f t="shared" si="115"/>
        <v>0</v>
      </c>
      <c r="V428" s="33">
        <f t="shared" si="115"/>
        <v>0</v>
      </c>
      <c r="W428" s="33">
        <f t="shared" si="115"/>
        <v>0</v>
      </c>
      <c r="X428" s="33">
        <f t="shared" si="115"/>
        <v>0</v>
      </c>
    </row>
    <row r="429" spans="2:24">
      <c r="B429" s="52" t="str">
        <f t="shared" si="97"/>
        <v/>
      </c>
      <c r="C429" s="482" t="str">
        <f t="shared" si="97"/>
        <v/>
      </c>
      <c r="D429" s="482" t="str">
        <f t="shared" si="97"/>
        <v/>
      </c>
      <c r="E429" s="52" t="str">
        <f t="shared" si="97"/>
        <v/>
      </c>
      <c r="F429" s="52"/>
      <c r="G429" s="52"/>
      <c r="H429" s="52"/>
      <c r="I429" s="52"/>
      <c r="J429" s="52"/>
      <c r="K429" s="33">
        <f t="shared" ref="K429:X429" si="116">ROUND(K303*K261*K345,0)</f>
        <v>0</v>
      </c>
      <c r="L429" s="33">
        <f t="shared" si="116"/>
        <v>0</v>
      </c>
      <c r="M429" s="33">
        <f t="shared" si="116"/>
        <v>0</v>
      </c>
      <c r="N429" s="33">
        <f t="shared" si="116"/>
        <v>0</v>
      </c>
      <c r="O429" s="33">
        <f t="shared" si="116"/>
        <v>0</v>
      </c>
      <c r="P429" s="33">
        <f t="shared" si="116"/>
        <v>0</v>
      </c>
      <c r="Q429" s="33">
        <f t="shared" si="116"/>
        <v>0</v>
      </c>
      <c r="R429" s="33">
        <f t="shared" si="116"/>
        <v>0</v>
      </c>
      <c r="S429" s="33">
        <f t="shared" si="116"/>
        <v>0</v>
      </c>
      <c r="T429" s="33">
        <f t="shared" si="116"/>
        <v>0</v>
      </c>
      <c r="U429" s="33">
        <f t="shared" si="116"/>
        <v>0</v>
      </c>
      <c r="V429" s="33">
        <f t="shared" si="116"/>
        <v>0</v>
      </c>
      <c r="W429" s="33">
        <f t="shared" si="116"/>
        <v>0</v>
      </c>
      <c r="X429" s="33">
        <f t="shared" si="116"/>
        <v>0</v>
      </c>
    </row>
    <row r="430" spans="2:24">
      <c r="B430" s="52" t="str">
        <f t="shared" si="97"/>
        <v/>
      </c>
      <c r="C430" s="482" t="str">
        <f t="shared" si="97"/>
        <v/>
      </c>
      <c r="D430" s="482" t="str">
        <f t="shared" si="97"/>
        <v/>
      </c>
      <c r="E430" s="52" t="str">
        <f t="shared" si="97"/>
        <v/>
      </c>
      <c r="F430" s="52"/>
      <c r="G430" s="52"/>
      <c r="H430" s="52"/>
      <c r="I430" s="52"/>
      <c r="J430" s="52"/>
      <c r="K430" s="33">
        <f t="shared" ref="K430:X430" si="117">ROUND(K304*K262*K346,0)</f>
        <v>0</v>
      </c>
      <c r="L430" s="33">
        <f t="shared" si="117"/>
        <v>0</v>
      </c>
      <c r="M430" s="33">
        <f t="shared" si="117"/>
        <v>0</v>
      </c>
      <c r="N430" s="33">
        <f t="shared" si="117"/>
        <v>0</v>
      </c>
      <c r="O430" s="33">
        <f t="shared" si="117"/>
        <v>0</v>
      </c>
      <c r="P430" s="33">
        <f t="shared" si="117"/>
        <v>0</v>
      </c>
      <c r="Q430" s="33">
        <f t="shared" si="117"/>
        <v>0</v>
      </c>
      <c r="R430" s="33">
        <f t="shared" si="117"/>
        <v>0</v>
      </c>
      <c r="S430" s="33">
        <f t="shared" si="117"/>
        <v>0</v>
      </c>
      <c r="T430" s="33">
        <f t="shared" si="117"/>
        <v>0</v>
      </c>
      <c r="U430" s="33">
        <f t="shared" si="117"/>
        <v>0</v>
      </c>
      <c r="V430" s="33">
        <f t="shared" si="117"/>
        <v>0</v>
      </c>
      <c r="W430" s="33">
        <f t="shared" si="117"/>
        <v>0</v>
      </c>
      <c r="X430" s="33">
        <f t="shared" si="117"/>
        <v>0</v>
      </c>
    </row>
    <row r="431" spans="2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18">IF(LataProjekcji&lt;=Koniec,ROUND(SUM(K391:K430),0),0)</f>
        <v>0</v>
      </c>
      <c r="L431" s="180">
        <f t="shared" si="118"/>
        <v>0</v>
      </c>
      <c r="M431" s="180">
        <f t="shared" si="118"/>
        <v>0</v>
      </c>
      <c r="N431" s="180">
        <f t="shared" si="118"/>
        <v>0</v>
      </c>
      <c r="O431" s="180">
        <f t="shared" si="118"/>
        <v>0</v>
      </c>
      <c r="P431" s="180">
        <f t="shared" si="118"/>
        <v>0</v>
      </c>
      <c r="Q431" s="180">
        <f t="shared" si="118"/>
        <v>0</v>
      </c>
      <c r="R431" s="180">
        <f t="shared" si="118"/>
        <v>0</v>
      </c>
      <c r="S431" s="180">
        <f t="shared" si="118"/>
        <v>0</v>
      </c>
      <c r="T431" s="180">
        <f t="shared" si="118"/>
        <v>0</v>
      </c>
      <c r="U431" s="180">
        <f t="shared" si="118"/>
        <v>0</v>
      </c>
      <c r="V431" s="180">
        <f t="shared" si="118"/>
        <v>0</v>
      </c>
      <c r="W431" s="180">
        <f t="shared" si="118"/>
        <v>0</v>
      </c>
      <c r="X431" s="180">
        <f t="shared" si="118"/>
        <v>0</v>
      </c>
    </row>
    <row r="432" spans="2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>
      <c r="B434" s="349" t="s">
        <v>320</v>
      </c>
      <c r="C434" s="348" t="str">
        <f>C$114</f>
        <v>Moduł</v>
      </c>
      <c r="D434" s="348" t="str">
        <f t="shared" ref="D434:X434" si="119">D$114</f>
        <v>Kwalifikowalne</v>
      </c>
      <c r="E434" s="348" t="str">
        <f t="shared" si="119"/>
        <v>Koszty B+R</v>
      </c>
      <c r="F434" s="348"/>
      <c r="G434" s="348">
        <f t="shared" ca="1" si="119"/>
        <v>0</v>
      </c>
      <c r="H434" s="348">
        <f t="shared" ca="1" si="119"/>
        <v>0</v>
      </c>
      <c r="I434" s="348">
        <f t="shared" ca="1" si="119"/>
        <v>0</v>
      </c>
      <c r="J434" s="348" t="str">
        <f t="shared" si="119"/>
        <v/>
      </c>
      <c r="K434" s="348" t="str">
        <f t="shared" si="119"/>
        <v>Uzupełnij dane</v>
      </c>
      <c r="L434" s="348" t="str">
        <f t="shared" si="119"/>
        <v/>
      </c>
      <c r="M434" s="348" t="str">
        <f t="shared" si="119"/>
        <v/>
      </c>
      <c r="N434" s="348" t="str">
        <f t="shared" si="119"/>
        <v/>
      </c>
      <c r="O434" s="348" t="str">
        <f t="shared" si="119"/>
        <v/>
      </c>
      <c r="P434" s="348" t="str">
        <f t="shared" si="119"/>
        <v/>
      </c>
      <c r="Q434" s="348" t="str">
        <f t="shared" si="119"/>
        <v/>
      </c>
      <c r="R434" s="348" t="str">
        <f t="shared" si="119"/>
        <v/>
      </c>
      <c r="S434" s="348" t="str">
        <f t="shared" si="119"/>
        <v/>
      </c>
      <c r="T434" s="348" t="str">
        <f t="shared" si="119"/>
        <v/>
      </c>
      <c r="U434" s="348" t="str">
        <f t="shared" si="119"/>
        <v/>
      </c>
      <c r="V434" s="348" t="str">
        <f t="shared" si="119"/>
        <v/>
      </c>
      <c r="W434" s="348" t="str">
        <f t="shared" si="119"/>
        <v/>
      </c>
      <c r="X434" s="348" t="str">
        <f t="shared" si="119"/>
        <v/>
      </c>
    </row>
    <row r="435" spans="2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>
      <c r="B436" s="52" t="str">
        <f t="shared" ref="B436:E455" si="120">IF(ISBLANK(B223),"",B223)</f>
        <v/>
      </c>
      <c r="C436" s="482" t="str">
        <f t="shared" si="120"/>
        <v/>
      </c>
      <c r="D436" s="482" t="str">
        <f t="shared" si="120"/>
        <v/>
      </c>
      <c r="E436" s="52" t="str">
        <f t="shared" si="120"/>
        <v/>
      </c>
      <c r="F436" s="52"/>
      <c r="G436" s="52"/>
      <c r="H436" s="52"/>
      <c r="I436" s="52"/>
      <c r="J436" s="52"/>
      <c r="K436" s="33">
        <f t="shared" ref="K436:X436" si="121">ROUND(K391*ZUS,0)</f>
        <v>0</v>
      </c>
      <c r="L436" s="33">
        <f t="shared" si="121"/>
        <v>0</v>
      </c>
      <c r="M436" s="33">
        <f t="shared" si="121"/>
        <v>0</v>
      </c>
      <c r="N436" s="33">
        <f t="shared" si="121"/>
        <v>0</v>
      </c>
      <c r="O436" s="33">
        <f t="shared" si="121"/>
        <v>0</v>
      </c>
      <c r="P436" s="33">
        <f t="shared" si="121"/>
        <v>0</v>
      </c>
      <c r="Q436" s="33">
        <f t="shared" si="121"/>
        <v>0</v>
      </c>
      <c r="R436" s="33">
        <f t="shared" si="121"/>
        <v>0</v>
      </c>
      <c r="S436" s="33">
        <f t="shared" si="121"/>
        <v>0</v>
      </c>
      <c r="T436" s="33">
        <f t="shared" si="121"/>
        <v>0</v>
      </c>
      <c r="U436" s="33">
        <f t="shared" si="121"/>
        <v>0</v>
      </c>
      <c r="V436" s="33">
        <f t="shared" si="121"/>
        <v>0</v>
      </c>
      <c r="W436" s="33">
        <f t="shared" si="121"/>
        <v>0</v>
      </c>
      <c r="X436" s="33">
        <f t="shared" si="121"/>
        <v>0</v>
      </c>
    </row>
    <row r="437" spans="2:24">
      <c r="B437" s="52" t="str">
        <f t="shared" si="120"/>
        <v/>
      </c>
      <c r="C437" s="482" t="str">
        <f t="shared" si="120"/>
        <v/>
      </c>
      <c r="D437" s="482" t="str">
        <f t="shared" si="120"/>
        <v/>
      </c>
      <c r="E437" s="52" t="str">
        <f t="shared" si="120"/>
        <v/>
      </c>
      <c r="F437" s="52"/>
      <c r="G437" s="52"/>
      <c r="H437" s="52"/>
      <c r="I437" s="52"/>
      <c r="J437" s="52"/>
      <c r="K437" s="33">
        <f t="shared" ref="K437:X437" si="122">ROUND(K392*ZUS,0)</f>
        <v>0</v>
      </c>
      <c r="L437" s="33">
        <f t="shared" si="122"/>
        <v>0</v>
      </c>
      <c r="M437" s="33">
        <f t="shared" si="122"/>
        <v>0</v>
      </c>
      <c r="N437" s="33">
        <f t="shared" si="122"/>
        <v>0</v>
      </c>
      <c r="O437" s="33">
        <f t="shared" si="122"/>
        <v>0</v>
      </c>
      <c r="P437" s="33">
        <f t="shared" si="122"/>
        <v>0</v>
      </c>
      <c r="Q437" s="33">
        <f t="shared" si="122"/>
        <v>0</v>
      </c>
      <c r="R437" s="33">
        <f t="shared" si="122"/>
        <v>0</v>
      </c>
      <c r="S437" s="33">
        <f t="shared" si="122"/>
        <v>0</v>
      </c>
      <c r="T437" s="33">
        <f t="shared" si="122"/>
        <v>0</v>
      </c>
      <c r="U437" s="33">
        <f t="shared" si="122"/>
        <v>0</v>
      </c>
      <c r="V437" s="33">
        <f t="shared" si="122"/>
        <v>0</v>
      </c>
      <c r="W437" s="33">
        <f t="shared" si="122"/>
        <v>0</v>
      </c>
      <c r="X437" s="33">
        <f t="shared" si="122"/>
        <v>0</v>
      </c>
    </row>
    <row r="438" spans="2:24">
      <c r="B438" s="52" t="str">
        <f t="shared" si="120"/>
        <v/>
      </c>
      <c r="C438" s="482" t="str">
        <f t="shared" si="120"/>
        <v/>
      </c>
      <c r="D438" s="482" t="str">
        <f t="shared" si="120"/>
        <v/>
      </c>
      <c r="E438" s="52" t="str">
        <f t="shared" si="120"/>
        <v/>
      </c>
      <c r="F438" s="52"/>
      <c r="G438" s="52"/>
      <c r="H438" s="52"/>
      <c r="I438" s="52"/>
      <c r="J438" s="52"/>
      <c r="K438" s="33">
        <f t="shared" ref="K438:X438" si="123">ROUND(K393*ZUS,0)</f>
        <v>0</v>
      </c>
      <c r="L438" s="33">
        <f t="shared" si="123"/>
        <v>0</v>
      </c>
      <c r="M438" s="33">
        <f t="shared" si="123"/>
        <v>0</v>
      </c>
      <c r="N438" s="33">
        <f t="shared" si="123"/>
        <v>0</v>
      </c>
      <c r="O438" s="33">
        <f t="shared" si="123"/>
        <v>0</v>
      </c>
      <c r="P438" s="33">
        <f t="shared" si="123"/>
        <v>0</v>
      </c>
      <c r="Q438" s="33">
        <f t="shared" si="123"/>
        <v>0</v>
      </c>
      <c r="R438" s="33">
        <f t="shared" si="123"/>
        <v>0</v>
      </c>
      <c r="S438" s="33">
        <f t="shared" si="123"/>
        <v>0</v>
      </c>
      <c r="T438" s="33">
        <f t="shared" si="123"/>
        <v>0</v>
      </c>
      <c r="U438" s="33">
        <f t="shared" si="123"/>
        <v>0</v>
      </c>
      <c r="V438" s="33">
        <f t="shared" si="123"/>
        <v>0</v>
      </c>
      <c r="W438" s="33">
        <f t="shared" si="123"/>
        <v>0</v>
      </c>
      <c r="X438" s="33">
        <f t="shared" si="123"/>
        <v>0</v>
      </c>
    </row>
    <row r="439" spans="2:24">
      <c r="B439" s="52" t="str">
        <f t="shared" si="120"/>
        <v/>
      </c>
      <c r="C439" s="482" t="str">
        <f t="shared" si="120"/>
        <v/>
      </c>
      <c r="D439" s="482" t="str">
        <f t="shared" si="120"/>
        <v/>
      </c>
      <c r="E439" s="52" t="str">
        <f t="shared" si="120"/>
        <v/>
      </c>
      <c r="F439" s="52"/>
      <c r="G439" s="52"/>
      <c r="H439" s="52"/>
      <c r="I439" s="52"/>
      <c r="J439" s="52"/>
      <c r="K439" s="33">
        <f t="shared" ref="K439:X439" si="124">ROUND(K394*ZUS,0)</f>
        <v>0</v>
      </c>
      <c r="L439" s="33">
        <f t="shared" si="124"/>
        <v>0</v>
      </c>
      <c r="M439" s="33">
        <f t="shared" si="124"/>
        <v>0</v>
      </c>
      <c r="N439" s="33">
        <f t="shared" si="124"/>
        <v>0</v>
      </c>
      <c r="O439" s="33">
        <f t="shared" si="124"/>
        <v>0</v>
      </c>
      <c r="P439" s="33">
        <f t="shared" si="124"/>
        <v>0</v>
      </c>
      <c r="Q439" s="33">
        <f t="shared" si="124"/>
        <v>0</v>
      </c>
      <c r="R439" s="33">
        <f t="shared" si="124"/>
        <v>0</v>
      </c>
      <c r="S439" s="33">
        <f t="shared" si="124"/>
        <v>0</v>
      </c>
      <c r="T439" s="33">
        <f t="shared" si="124"/>
        <v>0</v>
      </c>
      <c r="U439" s="33">
        <f t="shared" si="124"/>
        <v>0</v>
      </c>
      <c r="V439" s="33">
        <f t="shared" si="124"/>
        <v>0</v>
      </c>
      <c r="W439" s="33">
        <f t="shared" si="124"/>
        <v>0</v>
      </c>
      <c r="X439" s="33">
        <f t="shared" si="124"/>
        <v>0</v>
      </c>
    </row>
    <row r="440" spans="2:24">
      <c r="B440" s="52" t="str">
        <f t="shared" si="120"/>
        <v/>
      </c>
      <c r="C440" s="482" t="str">
        <f t="shared" si="120"/>
        <v/>
      </c>
      <c r="D440" s="482" t="str">
        <f t="shared" si="120"/>
        <v/>
      </c>
      <c r="E440" s="52" t="str">
        <f t="shared" si="120"/>
        <v/>
      </c>
      <c r="F440" s="52"/>
      <c r="G440" s="52"/>
      <c r="H440" s="52"/>
      <c r="I440" s="52"/>
      <c r="J440" s="52"/>
      <c r="K440" s="33">
        <f t="shared" ref="K440:X440" si="125">ROUND(K395*ZUS,0)</f>
        <v>0</v>
      </c>
      <c r="L440" s="33">
        <f t="shared" si="125"/>
        <v>0</v>
      </c>
      <c r="M440" s="33">
        <f t="shared" si="125"/>
        <v>0</v>
      </c>
      <c r="N440" s="33">
        <f t="shared" si="125"/>
        <v>0</v>
      </c>
      <c r="O440" s="33">
        <f t="shared" si="125"/>
        <v>0</v>
      </c>
      <c r="P440" s="33">
        <f t="shared" si="125"/>
        <v>0</v>
      </c>
      <c r="Q440" s="33">
        <f t="shared" si="125"/>
        <v>0</v>
      </c>
      <c r="R440" s="33">
        <f t="shared" si="125"/>
        <v>0</v>
      </c>
      <c r="S440" s="33">
        <f t="shared" si="125"/>
        <v>0</v>
      </c>
      <c r="T440" s="33">
        <f t="shared" si="125"/>
        <v>0</v>
      </c>
      <c r="U440" s="33">
        <f t="shared" si="125"/>
        <v>0</v>
      </c>
      <c r="V440" s="33">
        <f t="shared" si="125"/>
        <v>0</v>
      </c>
      <c r="W440" s="33">
        <f t="shared" si="125"/>
        <v>0</v>
      </c>
      <c r="X440" s="33">
        <f t="shared" si="125"/>
        <v>0</v>
      </c>
    </row>
    <row r="441" spans="2:24">
      <c r="B441" s="52" t="str">
        <f t="shared" si="120"/>
        <v/>
      </c>
      <c r="C441" s="482" t="str">
        <f t="shared" si="120"/>
        <v/>
      </c>
      <c r="D441" s="482" t="str">
        <f t="shared" si="120"/>
        <v/>
      </c>
      <c r="E441" s="52" t="str">
        <f t="shared" si="120"/>
        <v/>
      </c>
      <c r="F441" s="52"/>
      <c r="G441" s="52"/>
      <c r="H441" s="52"/>
      <c r="I441" s="52"/>
      <c r="J441" s="52"/>
      <c r="K441" s="33">
        <f t="shared" ref="K441:X441" si="126">ROUND(K396*ZUS,0)</f>
        <v>0</v>
      </c>
      <c r="L441" s="33">
        <f t="shared" si="126"/>
        <v>0</v>
      </c>
      <c r="M441" s="33">
        <f t="shared" si="126"/>
        <v>0</v>
      </c>
      <c r="N441" s="33">
        <f t="shared" si="126"/>
        <v>0</v>
      </c>
      <c r="O441" s="33">
        <f t="shared" si="126"/>
        <v>0</v>
      </c>
      <c r="P441" s="33">
        <f t="shared" si="126"/>
        <v>0</v>
      </c>
      <c r="Q441" s="33">
        <f t="shared" si="126"/>
        <v>0</v>
      </c>
      <c r="R441" s="33">
        <f t="shared" si="126"/>
        <v>0</v>
      </c>
      <c r="S441" s="33">
        <f t="shared" si="126"/>
        <v>0</v>
      </c>
      <c r="T441" s="33">
        <f t="shared" si="126"/>
        <v>0</v>
      </c>
      <c r="U441" s="33">
        <f t="shared" si="126"/>
        <v>0</v>
      </c>
      <c r="V441" s="33">
        <f t="shared" si="126"/>
        <v>0</v>
      </c>
      <c r="W441" s="33">
        <f t="shared" si="126"/>
        <v>0</v>
      </c>
      <c r="X441" s="33">
        <f t="shared" si="126"/>
        <v>0</v>
      </c>
    </row>
    <row r="442" spans="2:24">
      <c r="B442" s="52" t="str">
        <f t="shared" si="120"/>
        <v/>
      </c>
      <c r="C442" s="482" t="str">
        <f t="shared" si="120"/>
        <v/>
      </c>
      <c r="D442" s="482" t="str">
        <f t="shared" si="120"/>
        <v/>
      </c>
      <c r="E442" s="52" t="str">
        <f t="shared" si="120"/>
        <v/>
      </c>
      <c r="F442" s="52"/>
      <c r="G442" s="52"/>
      <c r="H442" s="52"/>
      <c r="I442" s="52"/>
      <c r="J442" s="52"/>
      <c r="K442" s="33">
        <f t="shared" ref="K442:X442" si="127">ROUND(K397*ZUS,0)</f>
        <v>0</v>
      </c>
      <c r="L442" s="33">
        <f t="shared" si="127"/>
        <v>0</v>
      </c>
      <c r="M442" s="33">
        <f t="shared" si="127"/>
        <v>0</v>
      </c>
      <c r="N442" s="33">
        <f t="shared" si="127"/>
        <v>0</v>
      </c>
      <c r="O442" s="33">
        <f t="shared" si="127"/>
        <v>0</v>
      </c>
      <c r="P442" s="33">
        <f t="shared" si="127"/>
        <v>0</v>
      </c>
      <c r="Q442" s="33">
        <f t="shared" si="127"/>
        <v>0</v>
      </c>
      <c r="R442" s="33">
        <f t="shared" si="127"/>
        <v>0</v>
      </c>
      <c r="S442" s="33">
        <f t="shared" si="127"/>
        <v>0</v>
      </c>
      <c r="T442" s="33">
        <f t="shared" si="127"/>
        <v>0</v>
      </c>
      <c r="U442" s="33">
        <f t="shared" si="127"/>
        <v>0</v>
      </c>
      <c r="V442" s="33">
        <f t="shared" si="127"/>
        <v>0</v>
      </c>
      <c r="W442" s="33">
        <f t="shared" si="127"/>
        <v>0</v>
      </c>
      <c r="X442" s="33">
        <f t="shared" si="127"/>
        <v>0</v>
      </c>
    </row>
    <row r="443" spans="2:24">
      <c r="B443" s="52" t="str">
        <f t="shared" si="120"/>
        <v/>
      </c>
      <c r="C443" s="482" t="str">
        <f t="shared" si="120"/>
        <v/>
      </c>
      <c r="D443" s="482" t="str">
        <f t="shared" si="120"/>
        <v/>
      </c>
      <c r="E443" s="52" t="str">
        <f t="shared" si="120"/>
        <v/>
      </c>
      <c r="F443" s="52"/>
      <c r="G443" s="52"/>
      <c r="H443" s="52"/>
      <c r="I443" s="52"/>
      <c r="J443" s="52"/>
      <c r="K443" s="33">
        <f t="shared" ref="K443:X443" si="128">ROUND(K398*ZUS,0)</f>
        <v>0</v>
      </c>
      <c r="L443" s="33">
        <f t="shared" si="128"/>
        <v>0</v>
      </c>
      <c r="M443" s="33">
        <f t="shared" si="128"/>
        <v>0</v>
      </c>
      <c r="N443" s="33">
        <f t="shared" si="128"/>
        <v>0</v>
      </c>
      <c r="O443" s="33">
        <f t="shared" si="128"/>
        <v>0</v>
      </c>
      <c r="P443" s="33">
        <f t="shared" si="128"/>
        <v>0</v>
      </c>
      <c r="Q443" s="33">
        <f t="shared" si="128"/>
        <v>0</v>
      </c>
      <c r="R443" s="33">
        <f t="shared" si="128"/>
        <v>0</v>
      </c>
      <c r="S443" s="33">
        <f t="shared" si="128"/>
        <v>0</v>
      </c>
      <c r="T443" s="33">
        <f t="shared" si="128"/>
        <v>0</v>
      </c>
      <c r="U443" s="33">
        <f t="shared" si="128"/>
        <v>0</v>
      </c>
      <c r="V443" s="33">
        <f t="shared" si="128"/>
        <v>0</v>
      </c>
      <c r="W443" s="33">
        <f t="shared" si="128"/>
        <v>0</v>
      </c>
      <c r="X443" s="33">
        <f t="shared" si="128"/>
        <v>0</v>
      </c>
    </row>
    <row r="444" spans="2:24">
      <c r="B444" s="52" t="str">
        <f t="shared" si="120"/>
        <v/>
      </c>
      <c r="C444" s="482" t="str">
        <f t="shared" si="120"/>
        <v/>
      </c>
      <c r="D444" s="482" t="str">
        <f t="shared" si="120"/>
        <v/>
      </c>
      <c r="E444" s="52" t="str">
        <f t="shared" si="120"/>
        <v/>
      </c>
      <c r="F444" s="52"/>
      <c r="G444" s="52"/>
      <c r="H444" s="52"/>
      <c r="I444" s="52"/>
      <c r="J444" s="52"/>
      <c r="K444" s="33">
        <f t="shared" ref="K444:X444" si="129">ROUND(K399*ZUS,0)</f>
        <v>0</v>
      </c>
      <c r="L444" s="33">
        <f t="shared" si="129"/>
        <v>0</v>
      </c>
      <c r="M444" s="33">
        <f t="shared" si="129"/>
        <v>0</v>
      </c>
      <c r="N444" s="33">
        <f t="shared" si="129"/>
        <v>0</v>
      </c>
      <c r="O444" s="33">
        <f t="shared" si="129"/>
        <v>0</v>
      </c>
      <c r="P444" s="33">
        <f t="shared" si="129"/>
        <v>0</v>
      </c>
      <c r="Q444" s="33">
        <f t="shared" si="129"/>
        <v>0</v>
      </c>
      <c r="R444" s="33">
        <f t="shared" si="129"/>
        <v>0</v>
      </c>
      <c r="S444" s="33">
        <f t="shared" si="129"/>
        <v>0</v>
      </c>
      <c r="T444" s="33">
        <f t="shared" si="129"/>
        <v>0</v>
      </c>
      <c r="U444" s="33">
        <f t="shared" si="129"/>
        <v>0</v>
      </c>
      <c r="V444" s="33">
        <f t="shared" si="129"/>
        <v>0</v>
      </c>
      <c r="W444" s="33">
        <f t="shared" si="129"/>
        <v>0</v>
      </c>
      <c r="X444" s="33">
        <f t="shared" si="129"/>
        <v>0</v>
      </c>
    </row>
    <row r="445" spans="2:24">
      <c r="B445" s="52" t="str">
        <f t="shared" si="120"/>
        <v/>
      </c>
      <c r="C445" s="482" t="str">
        <f t="shared" si="120"/>
        <v/>
      </c>
      <c r="D445" s="482" t="str">
        <f t="shared" si="120"/>
        <v/>
      </c>
      <c r="E445" s="52" t="str">
        <f t="shared" si="120"/>
        <v/>
      </c>
      <c r="F445" s="52"/>
      <c r="G445" s="52"/>
      <c r="H445" s="52"/>
      <c r="I445" s="52"/>
      <c r="J445" s="52"/>
      <c r="K445" s="33">
        <f t="shared" ref="K445:X445" si="130">ROUND(K400*ZUS,0)</f>
        <v>0</v>
      </c>
      <c r="L445" s="33">
        <f t="shared" si="130"/>
        <v>0</v>
      </c>
      <c r="M445" s="33">
        <f t="shared" si="130"/>
        <v>0</v>
      </c>
      <c r="N445" s="33">
        <f t="shared" si="130"/>
        <v>0</v>
      </c>
      <c r="O445" s="33">
        <f t="shared" si="130"/>
        <v>0</v>
      </c>
      <c r="P445" s="33">
        <f t="shared" si="130"/>
        <v>0</v>
      </c>
      <c r="Q445" s="33">
        <f t="shared" si="130"/>
        <v>0</v>
      </c>
      <c r="R445" s="33">
        <f t="shared" si="130"/>
        <v>0</v>
      </c>
      <c r="S445" s="33">
        <f t="shared" si="130"/>
        <v>0</v>
      </c>
      <c r="T445" s="33">
        <f t="shared" si="130"/>
        <v>0</v>
      </c>
      <c r="U445" s="33">
        <f t="shared" si="130"/>
        <v>0</v>
      </c>
      <c r="V445" s="33">
        <f t="shared" si="130"/>
        <v>0</v>
      </c>
      <c r="W445" s="33">
        <f t="shared" si="130"/>
        <v>0</v>
      </c>
      <c r="X445" s="33">
        <f t="shared" si="130"/>
        <v>0</v>
      </c>
    </row>
    <row r="446" spans="2:24">
      <c r="B446" s="52" t="str">
        <f t="shared" si="120"/>
        <v/>
      </c>
      <c r="C446" s="482" t="str">
        <f t="shared" si="120"/>
        <v/>
      </c>
      <c r="D446" s="482" t="str">
        <f t="shared" si="120"/>
        <v/>
      </c>
      <c r="E446" s="52" t="str">
        <f t="shared" si="120"/>
        <v/>
      </c>
      <c r="F446" s="52"/>
      <c r="G446" s="52"/>
      <c r="H446" s="52"/>
      <c r="I446" s="52"/>
      <c r="J446" s="52"/>
      <c r="K446" s="33">
        <f t="shared" ref="K446:X446" si="131">ROUND(K401*ZUS,0)</f>
        <v>0</v>
      </c>
      <c r="L446" s="33">
        <f t="shared" si="131"/>
        <v>0</v>
      </c>
      <c r="M446" s="33">
        <f t="shared" si="131"/>
        <v>0</v>
      </c>
      <c r="N446" s="33">
        <f t="shared" si="131"/>
        <v>0</v>
      </c>
      <c r="O446" s="33">
        <f t="shared" si="131"/>
        <v>0</v>
      </c>
      <c r="P446" s="33">
        <f t="shared" si="131"/>
        <v>0</v>
      </c>
      <c r="Q446" s="33">
        <f t="shared" si="131"/>
        <v>0</v>
      </c>
      <c r="R446" s="33">
        <f t="shared" si="131"/>
        <v>0</v>
      </c>
      <c r="S446" s="33">
        <f t="shared" si="131"/>
        <v>0</v>
      </c>
      <c r="T446" s="33">
        <f t="shared" si="131"/>
        <v>0</v>
      </c>
      <c r="U446" s="33">
        <f t="shared" si="131"/>
        <v>0</v>
      </c>
      <c r="V446" s="33">
        <f t="shared" si="131"/>
        <v>0</v>
      </c>
      <c r="W446" s="33">
        <f t="shared" si="131"/>
        <v>0</v>
      </c>
      <c r="X446" s="33">
        <f t="shared" si="131"/>
        <v>0</v>
      </c>
    </row>
    <row r="447" spans="2:24">
      <c r="B447" s="52" t="str">
        <f t="shared" si="120"/>
        <v/>
      </c>
      <c r="C447" s="482" t="str">
        <f t="shared" si="120"/>
        <v/>
      </c>
      <c r="D447" s="482" t="str">
        <f t="shared" si="120"/>
        <v/>
      </c>
      <c r="E447" s="52" t="str">
        <f t="shared" si="120"/>
        <v/>
      </c>
      <c r="F447" s="52"/>
      <c r="G447" s="52"/>
      <c r="H447" s="52"/>
      <c r="I447" s="52"/>
      <c r="J447" s="52"/>
      <c r="K447" s="33">
        <f t="shared" ref="K447:X447" si="132">ROUND(K402*ZUS,0)</f>
        <v>0</v>
      </c>
      <c r="L447" s="33">
        <f t="shared" si="132"/>
        <v>0</v>
      </c>
      <c r="M447" s="33">
        <f t="shared" si="132"/>
        <v>0</v>
      </c>
      <c r="N447" s="33">
        <f t="shared" si="132"/>
        <v>0</v>
      </c>
      <c r="O447" s="33">
        <f t="shared" si="132"/>
        <v>0</v>
      </c>
      <c r="P447" s="33">
        <f t="shared" si="132"/>
        <v>0</v>
      </c>
      <c r="Q447" s="33">
        <f t="shared" si="132"/>
        <v>0</v>
      </c>
      <c r="R447" s="33">
        <f t="shared" si="132"/>
        <v>0</v>
      </c>
      <c r="S447" s="33">
        <f t="shared" si="132"/>
        <v>0</v>
      </c>
      <c r="T447" s="33">
        <f t="shared" si="132"/>
        <v>0</v>
      </c>
      <c r="U447" s="33">
        <f t="shared" si="132"/>
        <v>0</v>
      </c>
      <c r="V447" s="33">
        <f t="shared" si="132"/>
        <v>0</v>
      </c>
      <c r="W447" s="33">
        <f t="shared" si="132"/>
        <v>0</v>
      </c>
      <c r="X447" s="33">
        <f t="shared" si="132"/>
        <v>0</v>
      </c>
    </row>
    <row r="448" spans="2:24">
      <c r="B448" s="52" t="str">
        <f t="shared" si="120"/>
        <v/>
      </c>
      <c r="C448" s="482" t="str">
        <f t="shared" si="120"/>
        <v/>
      </c>
      <c r="D448" s="482" t="str">
        <f t="shared" si="120"/>
        <v/>
      </c>
      <c r="E448" s="52" t="str">
        <f t="shared" si="120"/>
        <v/>
      </c>
      <c r="F448" s="52"/>
      <c r="G448" s="52"/>
      <c r="H448" s="52"/>
      <c r="I448" s="52"/>
      <c r="J448" s="52"/>
      <c r="K448" s="33">
        <f t="shared" ref="K448:X448" si="133">ROUND(K403*ZUS,0)</f>
        <v>0</v>
      </c>
      <c r="L448" s="33">
        <f t="shared" si="133"/>
        <v>0</v>
      </c>
      <c r="M448" s="33">
        <f t="shared" si="133"/>
        <v>0</v>
      </c>
      <c r="N448" s="33">
        <f t="shared" si="133"/>
        <v>0</v>
      </c>
      <c r="O448" s="33">
        <f t="shared" si="133"/>
        <v>0</v>
      </c>
      <c r="P448" s="33">
        <f t="shared" si="133"/>
        <v>0</v>
      </c>
      <c r="Q448" s="33">
        <f t="shared" si="133"/>
        <v>0</v>
      </c>
      <c r="R448" s="33">
        <f t="shared" si="133"/>
        <v>0</v>
      </c>
      <c r="S448" s="33">
        <f t="shared" si="133"/>
        <v>0</v>
      </c>
      <c r="T448" s="33">
        <f t="shared" si="133"/>
        <v>0</v>
      </c>
      <c r="U448" s="33">
        <f t="shared" si="133"/>
        <v>0</v>
      </c>
      <c r="V448" s="33">
        <f t="shared" si="133"/>
        <v>0</v>
      </c>
      <c r="W448" s="33">
        <f t="shared" si="133"/>
        <v>0</v>
      </c>
      <c r="X448" s="33">
        <f t="shared" si="133"/>
        <v>0</v>
      </c>
    </row>
    <row r="449" spans="2:24">
      <c r="B449" s="52" t="str">
        <f t="shared" si="120"/>
        <v/>
      </c>
      <c r="C449" s="482" t="str">
        <f t="shared" si="120"/>
        <v/>
      </c>
      <c r="D449" s="482" t="str">
        <f t="shared" si="120"/>
        <v/>
      </c>
      <c r="E449" s="52" t="str">
        <f t="shared" si="120"/>
        <v/>
      </c>
      <c r="F449" s="52"/>
      <c r="G449" s="52"/>
      <c r="H449" s="52"/>
      <c r="I449" s="52"/>
      <c r="J449" s="52"/>
      <c r="K449" s="33">
        <f t="shared" ref="K449:X449" si="134">ROUND(K404*ZUS,0)</f>
        <v>0</v>
      </c>
      <c r="L449" s="33">
        <f t="shared" si="134"/>
        <v>0</v>
      </c>
      <c r="M449" s="33">
        <f t="shared" si="134"/>
        <v>0</v>
      </c>
      <c r="N449" s="33">
        <f t="shared" si="134"/>
        <v>0</v>
      </c>
      <c r="O449" s="33">
        <f t="shared" si="134"/>
        <v>0</v>
      </c>
      <c r="P449" s="33">
        <f t="shared" si="134"/>
        <v>0</v>
      </c>
      <c r="Q449" s="33">
        <f t="shared" si="134"/>
        <v>0</v>
      </c>
      <c r="R449" s="33">
        <f t="shared" si="134"/>
        <v>0</v>
      </c>
      <c r="S449" s="33">
        <f t="shared" si="134"/>
        <v>0</v>
      </c>
      <c r="T449" s="33">
        <f t="shared" si="134"/>
        <v>0</v>
      </c>
      <c r="U449" s="33">
        <f t="shared" si="134"/>
        <v>0</v>
      </c>
      <c r="V449" s="33">
        <f t="shared" si="134"/>
        <v>0</v>
      </c>
      <c r="W449" s="33">
        <f t="shared" si="134"/>
        <v>0</v>
      </c>
      <c r="X449" s="33">
        <f t="shared" si="134"/>
        <v>0</v>
      </c>
    </row>
    <row r="450" spans="2:24">
      <c r="B450" s="52" t="str">
        <f t="shared" si="120"/>
        <v/>
      </c>
      <c r="C450" s="482" t="str">
        <f t="shared" si="120"/>
        <v/>
      </c>
      <c r="D450" s="482" t="str">
        <f t="shared" si="120"/>
        <v/>
      </c>
      <c r="E450" s="52" t="str">
        <f t="shared" si="120"/>
        <v/>
      </c>
      <c r="F450" s="52"/>
      <c r="G450" s="52"/>
      <c r="H450" s="52"/>
      <c r="I450" s="52"/>
      <c r="J450" s="52"/>
      <c r="K450" s="33">
        <f t="shared" ref="K450:X450" si="135">ROUND(K405*ZUS,0)</f>
        <v>0</v>
      </c>
      <c r="L450" s="33">
        <f t="shared" si="135"/>
        <v>0</v>
      </c>
      <c r="M450" s="33">
        <f t="shared" si="135"/>
        <v>0</v>
      </c>
      <c r="N450" s="33">
        <f t="shared" si="135"/>
        <v>0</v>
      </c>
      <c r="O450" s="33">
        <f t="shared" si="135"/>
        <v>0</v>
      </c>
      <c r="P450" s="33">
        <f t="shared" si="135"/>
        <v>0</v>
      </c>
      <c r="Q450" s="33">
        <f t="shared" si="135"/>
        <v>0</v>
      </c>
      <c r="R450" s="33">
        <f t="shared" si="135"/>
        <v>0</v>
      </c>
      <c r="S450" s="33">
        <f t="shared" si="135"/>
        <v>0</v>
      </c>
      <c r="T450" s="33">
        <f t="shared" si="135"/>
        <v>0</v>
      </c>
      <c r="U450" s="33">
        <f t="shared" si="135"/>
        <v>0</v>
      </c>
      <c r="V450" s="33">
        <f t="shared" si="135"/>
        <v>0</v>
      </c>
      <c r="W450" s="33">
        <f t="shared" si="135"/>
        <v>0</v>
      </c>
      <c r="X450" s="33">
        <f t="shared" si="135"/>
        <v>0</v>
      </c>
    </row>
    <row r="451" spans="2:24">
      <c r="B451" s="52" t="str">
        <f t="shared" si="120"/>
        <v/>
      </c>
      <c r="C451" s="482" t="str">
        <f t="shared" si="120"/>
        <v/>
      </c>
      <c r="D451" s="482" t="str">
        <f t="shared" si="120"/>
        <v/>
      </c>
      <c r="E451" s="52" t="str">
        <f t="shared" si="120"/>
        <v/>
      </c>
      <c r="F451" s="52"/>
      <c r="G451" s="52"/>
      <c r="H451" s="52"/>
      <c r="I451" s="52"/>
      <c r="J451" s="52"/>
      <c r="K451" s="33">
        <f t="shared" ref="K451:X451" si="136">ROUND(K406*ZUS,0)</f>
        <v>0</v>
      </c>
      <c r="L451" s="33">
        <f t="shared" si="136"/>
        <v>0</v>
      </c>
      <c r="M451" s="33">
        <f t="shared" si="136"/>
        <v>0</v>
      </c>
      <c r="N451" s="33">
        <f t="shared" si="136"/>
        <v>0</v>
      </c>
      <c r="O451" s="33">
        <f t="shared" si="136"/>
        <v>0</v>
      </c>
      <c r="P451" s="33">
        <f t="shared" si="136"/>
        <v>0</v>
      </c>
      <c r="Q451" s="33">
        <f t="shared" si="136"/>
        <v>0</v>
      </c>
      <c r="R451" s="33">
        <f t="shared" si="136"/>
        <v>0</v>
      </c>
      <c r="S451" s="33">
        <f t="shared" si="136"/>
        <v>0</v>
      </c>
      <c r="T451" s="33">
        <f t="shared" si="136"/>
        <v>0</v>
      </c>
      <c r="U451" s="33">
        <f t="shared" si="136"/>
        <v>0</v>
      </c>
      <c r="V451" s="33">
        <f t="shared" si="136"/>
        <v>0</v>
      </c>
      <c r="W451" s="33">
        <f t="shared" si="136"/>
        <v>0</v>
      </c>
      <c r="X451" s="33">
        <f t="shared" si="136"/>
        <v>0</v>
      </c>
    </row>
    <row r="452" spans="2:24">
      <c r="B452" s="52" t="str">
        <f t="shared" si="120"/>
        <v/>
      </c>
      <c r="C452" s="482" t="str">
        <f t="shared" si="120"/>
        <v/>
      </c>
      <c r="D452" s="482" t="str">
        <f t="shared" si="120"/>
        <v/>
      </c>
      <c r="E452" s="52" t="str">
        <f t="shared" si="120"/>
        <v/>
      </c>
      <c r="F452" s="52"/>
      <c r="G452" s="52"/>
      <c r="H452" s="52"/>
      <c r="I452" s="52"/>
      <c r="J452" s="52"/>
      <c r="K452" s="33">
        <f t="shared" ref="K452:X452" si="137">ROUND(K407*ZUS,0)</f>
        <v>0</v>
      </c>
      <c r="L452" s="33">
        <f t="shared" si="137"/>
        <v>0</v>
      </c>
      <c r="M452" s="33">
        <f t="shared" si="137"/>
        <v>0</v>
      </c>
      <c r="N452" s="33">
        <f t="shared" si="137"/>
        <v>0</v>
      </c>
      <c r="O452" s="33">
        <f t="shared" si="137"/>
        <v>0</v>
      </c>
      <c r="P452" s="33">
        <f t="shared" si="137"/>
        <v>0</v>
      </c>
      <c r="Q452" s="33">
        <f t="shared" si="137"/>
        <v>0</v>
      </c>
      <c r="R452" s="33">
        <f t="shared" si="137"/>
        <v>0</v>
      </c>
      <c r="S452" s="33">
        <f t="shared" si="137"/>
        <v>0</v>
      </c>
      <c r="T452" s="33">
        <f t="shared" si="137"/>
        <v>0</v>
      </c>
      <c r="U452" s="33">
        <f t="shared" si="137"/>
        <v>0</v>
      </c>
      <c r="V452" s="33">
        <f t="shared" si="137"/>
        <v>0</v>
      </c>
      <c r="W452" s="33">
        <f t="shared" si="137"/>
        <v>0</v>
      </c>
      <c r="X452" s="33">
        <f t="shared" si="137"/>
        <v>0</v>
      </c>
    </row>
    <row r="453" spans="2:24">
      <c r="B453" s="52" t="str">
        <f t="shared" si="120"/>
        <v/>
      </c>
      <c r="C453" s="482" t="str">
        <f t="shared" si="120"/>
        <v/>
      </c>
      <c r="D453" s="482" t="str">
        <f t="shared" si="120"/>
        <v/>
      </c>
      <c r="E453" s="52" t="str">
        <f t="shared" si="120"/>
        <v/>
      </c>
      <c r="F453" s="52"/>
      <c r="G453" s="52"/>
      <c r="H453" s="52"/>
      <c r="I453" s="52"/>
      <c r="J453" s="52"/>
      <c r="K453" s="33">
        <f t="shared" ref="K453:X453" si="138">ROUND(K408*ZUS,0)</f>
        <v>0</v>
      </c>
      <c r="L453" s="33">
        <f t="shared" si="138"/>
        <v>0</v>
      </c>
      <c r="M453" s="33">
        <f t="shared" si="138"/>
        <v>0</v>
      </c>
      <c r="N453" s="33">
        <f t="shared" si="138"/>
        <v>0</v>
      </c>
      <c r="O453" s="33">
        <f t="shared" si="138"/>
        <v>0</v>
      </c>
      <c r="P453" s="33">
        <f t="shared" si="138"/>
        <v>0</v>
      </c>
      <c r="Q453" s="33">
        <f t="shared" si="138"/>
        <v>0</v>
      </c>
      <c r="R453" s="33">
        <f t="shared" si="138"/>
        <v>0</v>
      </c>
      <c r="S453" s="33">
        <f t="shared" si="138"/>
        <v>0</v>
      </c>
      <c r="T453" s="33">
        <f t="shared" si="138"/>
        <v>0</v>
      </c>
      <c r="U453" s="33">
        <f t="shared" si="138"/>
        <v>0</v>
      </c>
      <c r="V453" s="33">
        <f t="shared" si="138"/>
        <v>0</v>
      </c>
      <c r="W453" s="33">
        <f t="shared" si="138"/>
        <v>0</v>
      </c>
      <c r="X453" s="33">
        <f t="shared" si="138"/>
        <v>0</v>
      </c>
    </row>
    <row r="454" spans="2:24">
      <c r="B454" s="52" t="str">
        <f t="shared" si="120"/>
        <v/>
      </c>
      <c r="C454" s="482" t="str">
        <f t="shared" si="120"/>
        <v/>
      </c>
      <c r="D454" s="482" t="str">
        <f t="shared" si="120"/>
        <v/>
      </c>
      <c r="E454" s="52" t="str">
        <f t="shared" si="120"/>
        <v/>
      </c>
      <c r="F454" s="52"/>
      <c r="G454" s="52"/>
      <c r="H454" s="52"/>
      <c r="I454" s="52"/>
      <c r="J454" s="52"/>
      <c r="K454" s="33">
        <f t="shared" ref="K454:X454" si="139">ROUND(K409*ZUS,0)</f>
        <v>0</v>
      </c>
      <c r="L454" s="33">
        <f t="shared" si="139"/>
        <v>0</v>
      </c>
      <c r="M454" s="33">
        <f t="shared" si="139"/>
        <v>0</v>
      </c>
      <c r="N454" s="33">
        <f t="shared" si="139"/>
        <v>0</v>
      </c>
      <c r="O454" s="33">
        <f t="shared" si="139"/>
        <v>0</v>
      </c>
      <c r="P454" s="33">
        <f t="shared" si="139"/>
        <v>0</v>
      </c>
      <c r="Q454" s="33">
        <f t="shared" si="139"/>
        <v>0</v>
      </c>
      <c r="R454" s="33">
        <f t="shared" si="139"/>
        <v>0</v>
      </c>
      <c r="S454" s="33">
        <f t="shared" si="139"/>
        <v>0</v>
      </c>
      <c r="T454" s="33">
        <f t="shared" si="139"/>
        <v>0</v>
      </c>
      <c r="U454" s="33">
        <f t="shared" si="139"/>
        <v>0</v>
      </c>
      <c r="V454" s="33">
        <f t="shared" si="139"/>
        <v>0</v>
      </c>
      <c r="W454" s="33">
        <f t="shared" si="139"/>
        <v>0</v>
      </c>
      <c r="X454" s="33">
        <f t="shared" si="139"/>
        <v>0</v>
      </c>
    </row>
    <row r="455" spans="2:24">
      <c r="B455" s="52" t="str">
        <f t="shared" si="120"/>
        <v/>
      </c>
      <c r="C455" s="482" t="str">
        <f t="shared" si="120"/>
        <v/>
      </c>
      <c r="D455" s="482" t="str">
        <f t="shared" si="120"/>
        <v/>
      </c>
      <c r="E455" s="52" t="str">
        <f t="shared" si="120"/>
        <v/>
      </c>
      <c r="F455" s="52"/>
      <c r="G455" s="52"/>
      <c r="H455" s="52"/>
      <c r="I455" s="52"/>
      <c r="J455" s="52"/>
      <c r="K455" s="33">
        <f t="shared" ref="K455:X455" si="140">ROUND(K410*ZUS,0)</f>
        <v>0</v>
      </c>
      <c r="L455" s="33">
        <f t="shared" si="140"/>
        <v>0</v>
      </c>
      <c r="M455" s="33">
        <f t="shared" si="140"/>
        <v>0</v>
      </c>
      <c r="N455" s="33">
        <f t="shared" si="140"/>
        <v>0</v>
      </c>
      <c r="O455" s="33">
        <f t="shared" si="140"/>
        <v>0</v>
      </c>
      <c r="P455" s="33">
        <f t="shared" si="140"/>
        <v>0</v>
      </c>
      <c r="Q455" s="33">
        <f t="shared" si="140"/>
        <v>0</v>
      </c>
      <c r="R455" s="33">
        <f t="shared" si="140"/>
        <v>0</v>
      </c>
      <c r="S455" s="33">
        <f t="shared" si="140"/>
        <v>0</v>
      </c>
      <c r="T455" s="33">
        <f t="shared" si="140"/>
        <v>0</v>
      </c>
      <c r="U455" s="33">
        <f t="shared" si="140"/>
        <v>0</v>
      </c>
      <c r="V455" s="33">
        <f t="shared" si="140"/>
        <v>0</v>
      </c>
      <c r="W455" s="33">
        <f t="shared" si="140"/>
        <v>0</v>
      </c>
      <c r="X455" s="33">
        <f t="shared" si="140"/>
        <v>0</v>
      </c>
    </row>
    <row r="456" spans="2:24">
      <c r="B456" s="52" t="str">
        <f t="shared" ref="B456:E475" si="141">IF(ISBLANK(B243),"",B243)</f>
        <v/>
      </c>
      <c r="C456" s="482" t="str">
        <f t="shared" si="141"/>
        <v/>
      </c>
      <c r="D456" s="482" t="str">
        <f t="shared" si="141"/>
        <v/>
      </c>
      <c r="E456" s="52" t="str">
        <f t="shared" si="141"/>
        <v/>
      </c>
      <c r="F456" s="52"/>
      <c r="G456" s="52"/>
      <c r="H456" s="52"/>
      <c r="I456" s="52"/>
      <c r="J456" s="52"/>
      <c r="K456" s="33">
        <f t="shared" ref="K456:X456" si="142">ROUND(K411*ZUS,0)</f>
        <v>0</v>
      </c>
      <c r="L456" s="33">
        <f t="shared" si="142"/>
        <v>0</v>
      </c>
      <c r="M456" s="33">
        <f t="shared" si="142"/>
        <v>0</v>
      </c>
      <c r="N456" s="33">
        <f t="shared" si="142"/>
        <v>0</v>
      </c>
      <c r="O456" s="33">
        <f t="shared" si="142"/>
        <v>0</v>
      </c>
      <c r="P456" s="33">
        <f t="shared" si="142"/>
        <v>0</v>
      </c>
      <c r="Q456" s="33">
        <f t="shared" si="142"/>
        <v>0</v>
      </c>
      <c r="R456" s="33">
        <f t="shared" si="142"/>
        <v>0</v>
      </c>
      <c r="S456" s="33">
        <f t="shared" si="142"/>
        <v>0</v>
      </c>
      <c r="T456" s="33">
        <f t="shared" si="142"/>
        <v>0</v>
      </c>
      <c r="U456" s="33">
        <f t="shared" si="142"/>
        <v>0</v>
      </c>
      <c r="V456" s="33">
        <f t="shared" si="142"/>
        <v>0</v>
      </c>
      <c r="W456" s="33">
        <f t="shared" si="142"/>
        <v>0</v>
      </c>
      <c r="X456" s="33">
        <f t="shared" si="142"/>
        <v>0</v>
      </c>
    </row>
    <row r="457" spans="2:24">
      <c r="B457" s="52" t="str">
        <f t="shared" si="141"/>
        <v/>
      </c>
      <c r="C457" s="482" t="str">
        <f t="shared" si="141"/>
        <v/>
      </c>
      <c r="D457" s="482" t="str">
        <f t="shared" si="141"/>
        <v/>
      </c>
      <c r="E457" s="52" t="str">
        <f t="shared" si="141"/>
        <v/>
      </c>
      <c r="F457" s="52"/>
      <c r="G457" s="52"/>
      <c r="H457" s="52"/>
      <c r="I457" s="52"/>
      <c r="J457" s="52"/>
      <c r="K457" s="33">
        <f t="shared" ref="K457:X457" si="143">ROUND(K412*ZUS,0)</f>
        <v>0</v>
      </c>
      <c r="L457" s="33">
        <f t="shared" si="143"/>
        <v>0</v>
      </c>
      <c r="M457" s="33">
        <f t="shared" si="143"/>
        <v>0</v>
      </c>
      <c r="N457" s="33">
        <f t="shared" si="143"/>
        <v>0</v>
      </c>
      <c r="O457" s="33">
        <f t="shared" si="143"/>
        <v>0</v>
      </c>
      <c r="P457" s="33">
        <f t="shared" si="143"/>
        <v>0</v>
      </c>
      <c r="Q457" s="33">
        <f t="shared" si="143"/>
        <v>0</v>
      </c>
      <c r="R457" s="33">
        <f t="shared" si="143"/>
        <v>0</v>
      </c>
      <c r="S457" s="33">
        <f t="shared" si="143"/>
        <v>0</v>
      </c>
      <c r="T457" s="33">
        <f t="shared" si="143"/>
        <v>0</v>
      </c>
      <c r="U457" s="33">
        <f t="shared" si="143"/>
        <v>0</v>
      </c>
      <c r="V457" s="33">
        <f t="shared" si="143"/>
        <v>0</v>
      </c>
      <c r="W457" s="33">
        <f t="shared" si="143"/>
        <v>0</v>
      </c>
      <c r="X457" s="33">
        <f t="shared" si="143"/>
        <v>0</v>
      </c>
    </row>
    <row r="458" spans="2:24">
      <c r="B458" s="52" t="str">
        <f t="shared" si="141"/>
        <v/>
      </c>
      <c r="C458" s="482" t="str">
        <f t="shared" si="141"/>
        <v/>
      </c>
      <c r="D458" s="482" t="str">
        <f t="shared" si="141"/>
        <v/>
      </c>
      <c r="E458" s="52" t="str">
        <f t="shared" si="141"/>
        <v/>
      </c>
      <c r="F458" s="52"/>
      <c r="G458" s="52"/>
      <c r="H458" s="52"/>
      <c r="I458" s="52"/>
      <c r="J458" s="52"/>
      <c r="K458" s="33">
        <f t="shared" ref="K458:X458" si="144">ROUND(K413*ZUS,0)</f>
        <v>0</v>
      </c>
      <c r="L458" s="33">
        <f t="shared" si="144"/>
        <v>0</v>
      </c>
      <c r="M458" s="33">
        <f t="shared" si="144"/>
        <v>0</v>
      </c>
      <c r="N458" s="33">
        <f t="shared" si="144"/>
        <v>0</v>
      </c>
      <c r="O458" s="33">
        <f t="shared" si="144"/>
        <v>0</v>
      </c>
      <c r="P458" s="33">
        <f t="shared" si="144"/>
        <v>0</v>
      </c>
      <c r="Q458" s="33">
        <f t="shared" si="144"/>
        <v>0</v>
      </c>
      <c r="R458" s="33">
        <f t="shared" si="144"/>
        <v>0</v>
      </c>
      <c r="S458" s="33">
        <f t="shared" si="144"/>
        <v>0</v>
      </c>
      <c r="T458" s="33">
        <f t="shared" si="144"/>
        <v>0</v>
      </c>
      <c r="U458" s="33">
        <f t="shared" si="144"/>
        <v>0</v>
      </c>
      <c r="V458" s="33">
        <f t="shared" si="144"/>
        <v>0</v>
      </c>
      <c r="W458" s="33">
        <f t="shared" si="144"/>
        <v>0</v>
      </c>
      <c r="X458" s="33">
        <f t="shared" si="144"/>
        <v>0</v>
      </c>
    </row>
    <row r="459" spans="2:24">
      <c r="B459" s="52" t="str">
        <f t="shared" si="141"/>
        <v/>
      </c>
      <c r="C459" s="482" t="str">
        <f t="shared" si="141"/>
        <v/>
      </c>
      <c r="D459" s="482" t="str">
        <f t="shared" si="141"/>
        <v/>
      </c>
      <c r="E459" s="52" t="str">
        <f t="shared" si="141"/>
        <v/>
      </c>
      <c r="F459" s="52"/>
      <c r="G459" s="52"/>
      <c r="H459" s="52"/>
      <c r="I459" s="52"/>
      <c r="J459" s="52"/>
      <c r="K459" s="33">
        <f t="shared" ref="K459:X459" si="145">ROUND(K414*ZUS,0)</f>
        <v>0</v>
      </c>
      <c r="L459" s="33">
        <f t="shared" si="145"/>
        <v>0</v>
      </c>
      <c r="M459" s="33">
        <f t="shared" si="145"/>
        <v>0</v>
      </c>
      <c r="N459" s="33">
        <f t="shared" si="145"/>
        <v>0</v>
      </c>
      <c r="O459" s="33">
        <f t="shared" si="145"/>
        <v>0</v>
      </c>
      <c r="P459" s="33">
        <f t="shared" si="145"/>
        <v>0</v>
      </c>
      <c r="Q459" s="33">
        <f t="shared" si="145"/>
        <v>0</v>
      </c>
      <c r="R459" s="33">
        <f t="shared" si="145"/>
        <v>0</v>
      </c>
      <c r="S459" s="33">
        <f t="shared" si="145"/>
        <v>0</v>
      </c>
      <c r="T459" s="33">
        <f t="shared" si="145"/>
        <v>0</v>
      </c>
      <c r="U459" s="33">
        <f t="shared" si="145"/>
        <v>0</v>
      </c>
      <c r="V459" s="33">
        <f t="shared" si="145"/>
        <v>0</v>
      </c>
      <c r="W459" s="33">
        <f t="shared" si="145"/>
        <v>0</v>
      </c>
      <c r="X459" s="33">
        <f t="shared" si="145"/>
        <v>0</v>
      </c>
    </row>
    <row r="460" spans="2:24">
      <c r="B460" s="52" t="str">
        <f t="shared" si="141"/>
        <v/>
      </c>
      <c r="C460" s="482" t="str">
        <f t="shared" si="141"/>
        <v/>
      </c>
      <c r="D460" s="482" t="str">
        <f t="shared" si="141"/>
        <v/>
      </c>
      <c r="E460" s="52" t="str">
        <f t="shared" si="141"/>
        <v/>
      </c>
      <c r="F460" s="52"/>
      <c r="G460" s="52"/>
      <c r="H460" s="52"/>
      <c r="I460" s="52"/>
      <c r="J460" s="52"/>
      <c r="K460" s="33">
        <f t="shared" ref="K460:X460" si="146">ROUND(K415*ZUS,0)</f>
        <v>0</v>
      </c>
      <c r="L460" s="33">
        <f t="shared" si="146"/>
        <v>0</v>
      </c>
      <c r="M460" s="33">
        <f t="shared" si="146"/>
        <v>0</v>
      </c>
      <c r="N460" s="33">
        <f t="shared" si="146"/>
        <v>0</v>
      </c>
      <c r="O460" s="33">
        <f t="shared" si="146"/>
        <v>0</v>
      </c>
      <c r="P460" s="33">
        <f t="shared" si="146"/>
        <v>0</v>
      </c>
      <c r="Q460" s="33">
        <f t="shared" si="146"/>
        <v>0</v>
      </c>
      <c r="R460" s="33">
        <f t="shared" si="146"/>
        <v>0</v>
      </c>
      <c r="S460" s="33">
        <f t="shared" si="146"/>
        <v>0</v>
      </c>
      <c r="T460" s="33">
        <f t="shared" si="146"/>
        <v>0</v>
      </c>
      <c r="U460" s="33">
        <f t="shared" si="146"/>
        <v>0</v>
      </c>
      <c r="V460" s="33">
        <f t="shared" si="146"/>
        <v>0</v>
      </c>
      <c r="W460" s="33">
        <f t="shared" si="146"/>
        <v>0</v>
      </c>
      <c r="X460" s="33">
        <f t="shared" si="146"/>
        <v>0</v>
      </c>
    </row>
    <row r="461" spans="2:24">
      <c r="B461" s="52" t="str">
        <f t="shared" si="141"/>
        <v/>
      </c>
      <c r="C461" s="482" t="str">
        <f t="shared" si="141"/>
        <v/>
      </c>
      <c r="D461" s="482" t="str">
        <f t="shared" si="141"/>
        <v/>
      </c>
      <c r="E461" s="52" t="str">
        <f t="shared" si="141"/>
        <v/>
      </c>
      <c r="F461" s="52"/>
      <c r="G461" s="52"/>
      <c r="H461" s="52"/>
      <c r="I461" s="52"/>
      <c r="J461" s="52"/>
      <c r="K461" s="33">
        <f t="shared" ref="K461:X461" si="147">ROUND(K416*ZUS,0)</f>
        <v>0</v>
      </c>
      <c r="L461" s="33">
        <f t="shared" si="147"/>
        <v>0</v>
      </c>
      <c r="M461" s="33">
        <f t="shared" si="147"/>
        <v>0</v>
      </c>
      <c r="N461" s="33">
        <f t="shared" si="147"/>
        <v>0</v>
      </c>
      <c r="O461" s="33">
        <f t="shared" si="147"/>
        <v>0</v>
      </c>
      <c r="P461" s="33">
        <f t="shared" si="147"/>
        <v>0</v>
      </c>
      <c r="Q461" s="33">
        <f t="shared" si="147"/>
        <v>0</v>
      </c>
      <c r="R461" s="33">
        <f t="shared" si="147"/>
        <v>0</v>
      </c>
      <c r="S461" s="33">
        <f t="shared" si="147"/>
        <v>0</v>
      </c>
      <c r="T461" s="33">
        <f t="shared" si="147"/>
        <v>0</v>
      </c>
      <c r="U461" s="33">
        <f t="shared" si="147"/>
        <v>0</v>
      </c>
      <c r="V461" s="33">
        <f t="shared" si="147"/>
        <v>0</v>
      </c>
      <c r="W461" s="33">
        <f t="shared" si="147"/>
        <v>0</v>
      </c>
      <c r="X461" s="33">
        <f t="shared" si="147"/>
        <v>0</v>
      </c>
    </row>
    <row r="462" spans="2:24">
      <c r="B462" s="52" t="str">
        <f t="shared" si="141"/>
        <v/>
      </c>
      <c r="C462" s="482" t="str">
        <f t="shared" si="141"/>
        <v/>
      </c>
      <c r="D462" s="482" t="str">
        <f t="shared" si="141"/>
        <v/>
      </c>
      <c r="E462" s="52" t="str">
        <f t="shared" si="141"/>
        <v/>
      </c>
      <c r="F462" s="52"/>
      <c r="G462" s="52"/>
      <c r="H462" s="52"/>
      <c r="I462" s="52"/>
      <c r="J462" s="52"/>
      <c r="K462" s="33">
        <f t="shared" ref="K462:X462" si="148">ROUND(K417*ZUS,0)</f>
        <v>0</v>
      </c>
      <c r="L462" s="33">
        <f t="shared" si="148"/>
        <v>0</v>
      </c>
      <c r="M462" s="33">
        <f t="shared" si="148"/>
        <v>0</v>
      </c>
      <c r="N462" s="33">
        <f t="shared" si="148"/>
        <v>0</v>
      </c>
      <c r="O462" s="33">
        <f t="shared" si="148"/>
        <v>0</v>
      </c>
      <c r="P462" s="33">
        <f t="shared" si="148"/>
        <v>0</v>
      </c>
      <c r="Q462" s="33">
        <f t="shared" si="148"/>
        <v>0</v>
      </c>
      <c r="R462" s="33">
        <f t="shared" si="148"/>
        <v>0</v>
      </c>
      <c r="S462" s="33">
        <f t="shared" si="148"/>
        <v>0</v>
      </c>
      <c r="T462" s="33">
        <f t="shared" si="148"/>
        <v>0</v>
      </c>
      <c r="U462" s="33">
        <f t="shared" si="148"/>
        <v>0</v>
      </c>
      <c r="V462" s="33">
        <f t="shared" si="148"/>
        <v>0</v>
      </c>
      <c r="W462" s="33">
        <f t="shared" si="148"/>
        <v>0</v>
      </c>
      <c r="X462" s="33">
        <f t="shared" si="148"/>
        <v>0</v>
      </c>
    </row>
    <row r="463" spans="2:24">
      <c r="B463" s="52" t="str">
        <f t="shared" si="141"/>
        <v/>
      </c>
      <c r="C463" s="482" t="str">
        <f t="shared" si="141"/>
        <v/>
      </c>
      <c r="D463" s="482" t="str">
        <f t="shared" si="141"/>
        <v/>
      </c>
      <c r="E463" s="52" t="str">
        <f t="shared" si="141"/>
        <v/>
      </c>
      <c r="F463" s="52"/>
      <c r="G463" s="52"/>
      <c r="H463" s="52"/>
      <c r="I463" s="52"/>
      <c r="J463" s="52"/>
      <c r="K463" s="33">
        <f t="shared" ref="K463:X463" si="149">ROUND(K418*ZUS,0)</f>
        <v>0</v>
      </c>
      <c r="L463" s="33">
        <f t="shared" si="149"/>
        <v>0</v>
      </c>
      <c r="M463" s="33">
        <f t="shared" si="149"/>
        <v>0</v>
      </c>
      <c r="N463" s="33">
        <f t="shared" si="149"/>
        <v>0</v>
      </c>
      <c r="O463" s="33">
        <f t="shared" si="149"/>
        <v>0</v>
      </c>
      <c r="P463" s="33">
        <f t="shared" si="149"/>
        <v>0</v>
      </c>
      <c r="Q463" s="33">
        <f t="shared" si="149"/>
        <v>0</v>
      </c>
      <c r="R463" s="33">
        <f t="shared" si="149"/>
        <v>0</v>
      </c>
      <c r="S463" s="33">
        <f t="shared" si="149"/>
        <v>0</v>
      </c>
      <c r="T463" s="33">
        <f t="shared" si="149"/>
        <v>0</v>
      </c>
      <c r="U463" s="33">
        <f t="shared" si="149"/>
        <v>0</v>
      </c>
      <c r="V463" s="33">
        <f t="shared" si="149"/>
        <v>0</v>
      </c>
      <c r="W463" s="33">
        <f t="shared" si="149"/>
        <v>0</v>
      </c>
      <c r="X463" s="33">
        <f t="shared" si="149"/>
        <v>0</v>
      </c>
    </row>
    <row r="464" spans="2:24">
      <c r="B464" s="52" t="str">
        <f t="shared" si="141"/>
        <v/>
      </c>
      <c r="C464" s="482" t="str">
        <f t="shared" si="141"/>
        <v/>
      </c>
      <c r="D464" s="482" t="str">
        <f t="shared" si="141"/>
        <v/>
      </c>
      <c r="E464" s="52" t="str">
        <f t="shared" si="141"/>
        <v/>
      </c>
      <c r="F464" s="52"/>
      <c r="G464" s="52"/>
      <c r="H464" s="52"/>
      <c r="I464" s="52"/>
      <c r="J464" s="52"/>
      <c r="K464" s="33">
        <f t="shared" ref="K464:X464" si="150">ROUND(K419*ZUS,0)</f>
        <v>0</v>
      </c>
      <c r="L464" s="33">
        <f t="shared" si="150"/>
        <v>0</v>
      </c>
      <c r="M464" s="33">
        <f t="shared" si="150"/>
        <v>0</v>
      </c>
      <c r="N464" s="33">
        <f t="shared" si="150"/>
        <v>0</v>
      </c>
      <c r="O464" s="33">
        <f t="shared" si="150"/>
        <v>0</v>
      </c>
      <c r="P464" s="33">
        <f t="shared" si="150"/>
        <v>0</v>
      </c>
      <c r="Q464" s="33">
        <f t="shared" si="150"/>
        <v>0</v>
      </c>
      <c r="R464" s="33">
        <f t="shared" si="150"/>
        <v>0</v>
      </c>
      <c r="S464" s="33">
        <f t="shared" si="150"/>
        <v>0</v>
      </c>
      <c r="T464" s="33">
        <f t="shared" si="150"/>
        <v>0</v>
      </c>
      <c r="U464" s="33">
        <f t="shared" si="150"/>
        <v>0</v>
      </c>
      <c r="V464" s="33">
        <f t="shared" si="150"/>
        <v>0</v>
      </c>
      <c r="W464" s="33">
        <f t="shared" si="150"/>
        <v>0</v>
      </c>
      <c r="X464" s="33">
        <f t="shared" si="150"/>
        <v>0</v>
      </c>
    </row>
    <row r="465" spans="2:24">
      <c r="B465" s="52" t="str">
        <f t="shared" si="141"/>
        <v/>
      </c>
      <c r="C465" s="482" t="str">
        <f t="shared" si="141"/>
        <v/>
      </c>
      <c r="D465" s="482" t="str">
        <f t="shared" si="141"/>
        <v/>
      </c>
      <c r="E465" s="52" t="str">
        <f t="shared" si="141"/>
        <v/>
      </c>
      <c r="F465" s="52"/>
      <c r="G465" s="52"/>
      <c r="H465" s="52"/>
      <c r="I465" s="52"/>
      <c r="J465" s="52"/>
      <c r="K465" s="33">
        <f t="shared" ref="K465:X465" si="151">ROUND(K420*ZUS,0)</f>
        <v>0</v>
      </c>
      <c r="L465" s="33">
        <f t="shared" si="151"/>
        <v>0</v>
      </c>
      <c r="M465" s="33">
        <f t="shared" si="151"/>
        <v>0</v>
      </c>
      <c r="N465" s="33">
        <f t="shared" si="151"/>
        <v>0</v>
      </c>
      <c r="O465" s="33">
        <f t="shared" si="151"/>
        <v>0</v>
      </c>
      <c r="P465" s="33">
        <f t="shared" si="151"/>
        <v>0</v>
      </c>
      <c r="Q465" s="33">
        <f t="shared" si="151"/>
        <v>0</v>
      </c>
      <c r="R465" s="33">
        <f t="shared" si="151"/>
        <v>0</v>
      </c>
      <c r="S465" s="33">
        <f t="shared" si="151"/>
        <v>0</v>
      </c>
      <c r="T465" s="33">
        <f t="shared" si="151"/>
        <v>0</v>
      </c>
      <c r="U465" s="33">
        <f t="shared" si="151"/>
        <v>0</v>
      </c>
      <c r="V465" s="33">
        <f t="shared" si="151"/>
        <v>0</v>
      </c>
      <c r="W465" s="33">
        <f t="shared" si="151"/>
        <v>0</v>
      </c>
      <c r="X465" s="33">
        <f t="shared" si="151"/>
        <v>0</v>
      </c>
    </row>
    <row r="466" spans="2:24">
      <c r="B466" s="52" t="str">
        <f t="shared" si="141"/>
        <v/>
      </c>
      <c r="C466" s="482" t="str">
        <f t="shared" si="141"/>
        <v/>
      </c>
      <c r="D466" s="482" t="str">
        <f t="shared" si="141"/>
        <v/>
      </c>
      <c r="E466" s="52" t="str">
        <f t="shared" si="141"/>
        <v/>
      </c>
      <c r="F466" s="52"/>
      <c r="G466" s="52"/>
      <c r="H466" s="52"/>
      <c r="I466" s="52"/>
      <c r="J466" s="52"/>
      <c r="K466" s="33">
        <f t="shared" ref="K466:X466" si="152">ROUND(K421*ZUS,0)</f>
        <v>0</v>
      </c>
      <c r="L466" s="33">
        <f t="shared" si="152"/>
        <v>0</v>
      </c>
      <c r="M466" s="33">
        <f t="shared" si="152"/>
        <v>0</v>
      </c>
      <c r="N466" s="33">
        <f t="shared" si="152"/>
        <v>0</v>
      </c>
      <c r="O466" s="33">
        <f t="shared" si="152"/>
        <v>0</v>
      </c>
      <c r="P466" s="33">
        <f t="shared" si="152"/>
        <v>0</v>
      </c>
      <c r="Q466" s="33">
        <f t="shared" si="152"/>
        <v>0</v>
      </c>
      <c r="R466" s="33">
        <f t="shared" si="152"/>
        <v>0</v>
      </c>
      <c r="S466" s="33">
        <f t="shared" si="152"/>
        <v>0</v>
      </c>
      <c r="T466" s="33">
        <f t="shared" si="152"/>
        <v>0</v>
      </c>
      <c r="U466" s="33">
        <f t="shared" si="152"/>
        <v>0</v>
      </c>
      <c r="V466" s="33">
        <f t="shared" si="152"/>
        <v>0</v>
      </c>
      <c r="W466" s="33">
        <f t="shared" si="152"/>
        <v>0</v>
      </c>
      <c r="X466" s="33">
        <f t="shared" si="152"/>
        <v>0</v>
      </c>
    </row>
    <row r="467" spans="2:24">
      <c r="B467" s="52" t="str">
        <f t="shared" si="141"/>
        <v/>
      </c>
      <c r="C467" s="482" t="str">
        <f t="shared" si="141"/>
        <v/>
      </c>
      <c r="D467" s="482" t="str">
        <f t="shared" si="141"/>
        <v/>
      </c>
      <c r="E467" s="52" t="str">
        <f t="shared" si="141"/>
        <v/>
      </c>
      <c r="F467" s="52"/>
      <c r="G467" s="52"/>
      <c r="H467" s="52"/>
      <c r="I467" s="52"/>
      <c r="J467" s="52"/>
      <c r="K467" s="33">
        <f t="shared" ref="K467:X467" si="153">ROUND(K422*ZUS,0)</f>
        <v>0</v>
      </c>
      <c r="L467" s="33">
        <f t="shared" si="153"/>
        <v>0</v>
      </c>
      <c r="M467" s="33">
        <f t="shared" si="153"/>
        <v>0</v>
      </c>
      <c r="N467" s="33">
        <f t="shared" si="153"/>
        <v>0</v>
      </c>
      <c r="O467" s="33">
        <f t="shared" si="153"/>
        <v>0</v>
      </c>
      <c r="P467" s="33">
        <f t="shared" si="153"/>
        <v>0</v>
      </c>
      <c r="Q467" s="33">
        <f t="shared" si="153"/>
        <v>0</v>
      </c>
      <c r="R467" s="33">
        <f t="shared" si="153"/>
        <v>0</v>
      </c>
      <c r="S467" s="33">
        <f t="shared" si="153"/>
        <v>0</v>
      </c>
      <c r="T467" s="33">
        <f t="shared" si="153"/>
        <v>0</v>
      </c>
      <c r="U467" s="33">
        <f t="shared" si="153"/>
        <v>0</v>
      </c>
      <c r="V467" s="33">
        <f t="shared" si="153"/>
        <v>0</v>
      </c>
      <c r="W467" s="33">
        <f t="shared" si="153"/>
        <v>0</v>
      </c>
      <c r="X467" s="33">
        <f t="shared" si="153"/>
        <v>0</v>
      </c>
    </row>
    <row r="468" spans="2:24">
      <c r="B468" s="52" t="str">
        <f t="shared" si="141"/>
        <v/>
      </c>
      <c r="C468" s="482" t="str">
        <f t="shared" si="141"/>
        <v/>
      </c>
      <c r="D468" s="482" t="str">
        <f t="shared" si="141"/>
        <v/>
      </c>
      <c r="E468" s="52" t="str">
        <f t="shared" si="141"/>
        <v/>
      </c>
      <c r="F468" s="52"/>
      <c r="G468" s="52"/>
      <c r="H468" s="52"/>
      <c r="I468" s="52"/>
      <c r="J468" s="52"/>
      <c r="K468" s="33">
        <f t="shared" ref="K468:X468" si="154">ROUND(K423*ZUS,0)</f>
        <v>0</v>
      </c>
      <c r="L468" s="33">
        <f t="shared" si="154"/>
        <v>0</v>
      </c>
      <c r="M468" s="33">
        <f t="shared" si="154"/>
        <v>0</v>
      </c>
      <c r="N468" s="33">
        <f t="shared" si="154"/>
        <v>0</v>
      </c>
      <c r="O468" s="33">
        <f t="shared" si="154"/>
        <v>0</v>
      </c>
      <c r="P468" s="33">
        <f t="shared" si="154"/>
        <v>0</v>
      </c>
      <c r="Q468" s="33">
        <f t="shared" si="154"/>
        <v>0</v>
      </c>
      <c r="R468" s="33">
        <f t="shared" si="154"/>
        <v>0</v>
      </c>
      <c r="S468" s="33">
        <f t="shared" si="154"/>
        <v>0</v>
      </c>
      <c r="T468" s="33">
        <f t="shared" si="154"/>
        <v>0</v>
      </c>
      <c r="U468" s="33">
        <f t="shared" si="154"/>
        <v>0</v>
      </c>
      <c r="V468" s="33">
        <f t="shared" si="154"/>
        <v>0</v>
      </c>
      <c r="W468" s="33">
        <f t="shared" si="154"/>
        <v>0</v>
      </c>
      <c r="X468" s="33">
        <f t="shared" si="154"/>
        <v>0</v>
      </c>
    </row>
    <row r="469" spans="2:24">
      <c r="B469" s="52" t="str">
        <f t="shared" si="141"/>
        <v/>
      </c>
      <c r="C469" s="482" t="str">
        <f t="shared" si="141"/>
        <v/>
      </c>
      <c r="D469" s="482" t="str">
        <f t="shared" si="141"/>
        <v/>
      </c>
      <c r="E469" s="52" t="str">
        <f t="shared" si="141"/>
        <v/>
      </c>
      <c r="F469" s="52"/>
      <c r="G469" s="52"/>
      <c r="H469" s="52"/>
      <c r="I469" s="52"/>
      <c r="J469" s="52"/>
      <c r="K469" s="33">
        <f t="shared" ref="K469:X469" si="155">ROUND(K424*ZUS,0)</f>
        <v>0</v>
      </c>
      <c r="L469" s="33">
        <f t="shared" si="155"/>
        <v>0</v>
      </c>
      <c r="M469" s="33">
        <f t="shared" si="155"/>
        <v>0</v>
      </c>
      <c r="N469" s="33">
        <f t="shared" si="155"/>
        <v>0</v>
      </c>
      <c r="O469" s="33">
        <f t="shared" si="155"/>
        <v>0</v>
      </c>
      <c r="P469" s="33">
        <f t="shared" si="155"/>
        <v>0</v>
      </c>
      <c r="Q469" s="33">
        <f t="shared" si="155"/>
        <v>0</v>
      </c>
      <c r="R469" s="33">
        <f t="shared" si="155"/>
        <v>0</v>
      </c>
      <c r="S469" s="33">
        <f t="shared" si="155"/>
        <v>0</v>
      </c>
      <c r="T469" s="33">
        <f t="shared" si="155"/>
        <v>0</v>
      </c>
      <c r="U469" s="33">
        <f t="shared" si="155"/>
        <v>0</v>
      </c>
      <c r="V469" s="33">
        <f t="shared" si="155"/>
        <v>0</v>
      </c>
      <c r="W469" s="33">
        <f t="shared" si="155"/>
        <v>0</v>
      </c>
      <c r="X469" s="33">
        <f t="shared" si="155"/>
        <v>0</v>
      </c>
    </row>
    <row r="470" spans="2:24">
      <c r="B470" s="52" t="str">
        <f t="shared" si="141"/>
        <v/>
      </c>
      <c r="C470" s="482" t="str">
        <f t="shared" si="141"/>
        <v/>
      </c>
      <c r="D470" s="482" t="str">
        <f t="shared" si="141"/>
        <v/>
      </c>
      <c r="E470" s="52" t="str">
        <f t="shared" si="141"/>
        <v/>
      </c>
      <c r="F470" s="52"/>
      <c r="G470" s="52"/>
      <c r="H470" s="52"/>
      <c r="I470" s="52"/>
      <c r="J470" s="52"/>
      <c r="K470" s="33">
        <f t="shared" ref="K470:X470" si="156">ROUND(K425*ZUS,0)</f>
        <v>0</v>
      </c>
      <c r="L470" s="33">
        <f t="shared" si="156"/>
        <v>0</v>
      </c>
      <c r="M470" s="33">
        <f t="shared" si="156"/>
        <v>0</v>
      </c>
      <c r="N470" s="33">
        <f t="shared" si="156"/>
        <v>0</v>
      </c>
      <c r="O470" s="33">
        <f t="shared" si="156"/>
        <v>0</v>
      </c>
      <c r="P470" s="33">
        <f t="shared" si="156"/>
        <v>0</v>
      </c>
      <c r="Q470" s="33">
        <f t="shared" si="156"/>
        <v>0</v>
      </c>
      <c r="R470" s="33">
        <f t="shared" si="156"/>
        <v>0</v>
      </c>
      <c r="S470" s="33">
        <f t="shared" si="156"/>
        <v>0</v>
      </c>
      <c r="T470" s="33">
        <f t="shared" si="156"/>
        <v>0</v>
      </c>
      <c r="U470" s="33">
        <f t="shared" si="156"/>
        <v>0</v>
      </c>
      <c r="V470" s="33">
        <f t="shared" si="156"/>
        <v>0</v>
      </c>
      <c r="W470" s="33">
        <f t="shared" si="156"/>
        <v>0</v>
      </c>
      <c r="X470" s="33">
        <f t="shared" si="156"/>
        <v>0</v>
      </c>
    </row>
    <row r="471" spans="2:24">
      <c r="B471" s="52" t="str">
        <f t="shared" si="141"/>
        <v/>
      </c>
      <c r="C471" s="482" t="str">
        <f t="shared" si="141"/>
        <v/>
      </c>
      <c r="D471" s="482" t="str">
        <f t="shared" si="141"/>
        <v/>
      </c>
      <c r="E471" s="52" t="str">
        <f t="shared" si="141"/>
        <v/>
      </c>
      <c r="F471" s="52"/>
      <c r="G471" s="52"/>
      <c r="H471" s="52"/>
      <c r="I471" s="52"/>
      <c r="J471" s="52"/>
      <c r="K471" s="33">
        <f t="shared" ref="K471:X471" si="157">ROUND(K426*ZUS,0)</f>
        <v>0</v>
      </c>
      <c r="L471" s="33">
        <f t="shared" si="157"/>
        <v>0</v>
      </c>
      <c r="M471" s="33">
        <f t="shared" si="157"/>
        <v>0</v>
      </c>
      <c r="N471" s="33">
        <f t="shared" si="157"/>
        <v>0</v>
      </c>
      <c r="O471" s="33">
        <f t="shared" si="157"/>
        <v>0</v>
      </c>
      <c r="P471" s="33">
        <f t="shared" si="157"/>
        <v>0</v>
      </c>
      <c r="Q471" s="33">
        <f t="shared" si="157"/>
        <v>0</v>
      </c>
      <c r="R471" s="33">
        <f t="shared" si="157"/>
        <v>0</v>
      </c>
      <c r="S471" s="33">
        <f t="shared" si="157"/>
        <v>0</v>
      </c>
      <c r="T471" s="33">
        <f t="shared" si="157"/>
        <v>0</v>
      </c>
      <c r="U471" s="33">
        <f t="shared" si="157"/>
        <v>0</v>
      </c>
      <c r="V471" s="33">
        <f t="shared" si="157"/>
        <v>0</v>
      </c>
      <c r="W471" s="33">
        <f t="shared" si="157"/>
        <v>0</v>
      </c>
      <c r="X471" s="33">
        <f t="shared" si="157"/>
        <v>0</v>
      </c>
    </row>
    <row r="472" spans="2:24">
      <c r="B472" s="52" t="str">
        <f t="shared" si="141"/>
        <v/>
      </c>
      <c r="C472" s="482" t="str">
        <f t="shared" si="141"/>
        <v/>
      </c>
      <c r="D472" s="482" t="str">
        <f t="shared" si="141"/>
        <v/>
      </c>
      <c r="E472" s="52" t="str">
        <f t="shared" si="141"/>
        <v/>
      </c>
      <c r="F472" s="52"/>
      <c r="G472" s="52"/>
      <c r="H472" s="52"/>
      <c r="I472" s="52"/>
      <c r="J472" s="52"/>
      <c r="K472" s="33">
        <f t="shared" ref="K472:X472" si="158">ROUND(K427*ZUS,0)</f>
        <v>0</v>
      </c>
      <c r="L472" s="33">
        <f t="shared" si="158"/>
        <v>0</v>
      </c>
      <c r="M472" s="33">
        <f t="shared" si="158"/>
        <v>0</v>
      </c>
      <c r="N472" s="33">
        <f t="shared" si="158"/>
        <v>0</v>
      </c>
      <c r="O472" s="33">
        <f t="shared" si="158"/>
        <v>0</v>
      </c>
      <c r="P472" s="33">
        <f t="shared" si="158"/>
        <v>0</v>
      </c>
      <c r="Q472" s="33">
        <f t="shared" si="158"/>
        <v>0</v>
      </c>
      <c r="R472" s="33">
        <f t="shared" si="158"/>
        <v>0</v>
      </c>
      <c r="S472" s="33">
        <f t="shared" si="158"/>
        <v>0</v>
      </c>
      <c r="T472" s="33">
        <f t="shared" si="158"/>
        <v>0</v>
      </c>
      <c r="U472" s="33">
        <f t="shared" si="158"/>
        <v>0</v>
      </c>
      <c r="V472" s="33">
        <f t="shared" si="158"/>
        <v>0</v>
      </c>
      <c r="W472" s="33">
        <f t="shared" si="158"/>
        <v>0</v>
      </c>
      <c r="X472" s="33">
        <f t="shared" si="158"/>
        <v>0</v>
      </c>
    </row>
    <row r="473" spans="2:24">
      <c r="B473" s="52" t="str">
        <f t="shared" si="141"/>
        <v/>
      </c>
      <c r="C473" s="482" t="str">
        <f t="shared" si="141"/>
        <v/>
      </c>
      <c r="D473" s="482" t="str">
        <f t="shared" si="141"/>
        <v/>
      </c>
      <c r="E473" s="52" t="str">
        <f t="shared" si="141"/>
        <v/>
      </c>
      <c r="F473" s="52"/>
      <c r="G473" s="52"/>
      <c r="H473" s="52"/>
      <c r="I473" s="52"/>
      <c r="J473" s="52"/>
      <c r="K473" s="33">
        <f t="shared" ref="K473:X473" si="159">ROUND(K428*ZUS,0)</f>
        <v>0</v>
      </c>
      <c r="L473" s="33">
        <f t="shared" si="159"/>
        <v>0</v>
      </c>
      <c r="M473" s="33">
        <f t="shared" si="159"/>
        <v>0</v>
      </c>
      <c r="N473" s="33">
        <f t="shared" si="159"/>
        <v>0</v>
      </c>
      <c r="O473" s="33">
        <f t="shared" si="159"/>
        <v>0</v>
      </c>
      <c r="P473" s="33">
        <f t="shared" si="159"/>
        <v>0</v>
      </c>
      <c r="Q473" s="33">
        <f t="shared" si="159"/>
        <v>0</v>
      </c>
      <c r="R473" s="33">
        <f t="shared" si="159"/>
        <v>0</v>
      </c>
      <c r="S473" s="33">
        <f t="shared" si="159"/>
        <v>0</v>
      </c>
      <c r="T473" s="33">
        <f t="shared" si="159"/>
        <v>0</v>
      </c>
      <c r="U473" s="33">
        <f t="shared" si="159"/>
        <v>0</v>
      </c>
      <c r="V473" s="33">
        <f t="shared" si="159"/>
        <v>0</v>
      </c>
      <c r="W473" s="33">
        <f t="shared" si="159"/>
        <v>0</v>
      </c>
      <c r="X473" s="33">
        <f t="shared" si="159"/>
        <v>0</v>
      </c>
    </row>
    <row r="474" spans="2:24">
      <c r="B474" s="52" t="str">
        <f t="shared" si="141"/>
        <v/>
      </c>
      <c r="C474" s="482" t="str">
        <f t="shared" si="141"/>
        <v/>
      </c>
      <c r="D474" s="482" t="str">
        <f t="shared" si="141"/>
        <v/>
      </c>
      <c r="E474" s="52" t="str">
        <f t="shared" si="141"/>
        <v/>
      </c>
      <c r="F474" s="52"/>
      <c r="G474" s="52"/>
      <c r="H474" s="52"/>
      <c r="I474" s="52"/>
      <c r="J474" s="52"/>
      <c r="K474" s="33">
        <f t="shared" ref="K474:X474" si="160">ROUND(K429*ZUS,0)</f>
        <v>0</v>
      </c>
      <c r="L474" s="33">
        <f t="shared" si="160"/>
        <v>0</v>
      </c>
      <c r="M474" s="33">
        <f t="shared" si="160"/>
        <v>0</v>
      </c>
      <c r="N474" s="33">
        <f t="shared" si="160"/>
        <v>0</v>
      </c>
      <c r="O474" s="33">
        <f t="shared" si="160"/>
        <v>0</v>
      </c>
      <c r="P474" s="33">
        <f t="shared" si="160"/>
        <v>0</v>
      </c>
      <c r="Q474" s="33">
        <f t="shared" si="160"/>
        <v>0</v>
      </c>
      <c r="R474" s="33">
        <f t="shared" si="160"/>
        <v>0</v>
      </c>
      <c r="S474" s="33">
        <f t="shared" si="160"/>
        <v>0</v>
      </c>
      <c r="T474" s="33">
        <f t="shared" si="160"/>
        <v>0</v>
      </c>
      <c r="U474" s="33">
        <f t="shared" si="160"/>
        <v>0</v>
      </c>
      <c r="V474" s="33">
        <f t="shared" si="160"/>
        <v>0</v>
      </c>
      <c r="W474" s="33">
        <f t="shared" si="160"/>
        <v>0</v>
      </c>
      <c r="X474" s="33">
        <f t="shared" si="160"/>
        <v>0</v>
      </c>
    </row>
    <row r="475" spans="2:24">
      <c r="B475" s="52" t="str">
        <f t="shared" si="141"/>
        <v/>
      </c>
      <c r="C475" s="482" t="str">
        <f t="shared" si="141"/>
        <v/>
      </c>
      <c r="D475" s="482" t="str">
        <f t="shared" si="141"/>
        <v/>
      </c>
      <c r="E475" s="52" t="str">
        <f t="shared" si="141"/>
        <v/>
      </c>
      <c r="F475" s="52"/>
      <c r="G475" s="52"/>
      <c r="H475" s="52"/>
      <c r="I475" s="52"/>
      <c r="J475" s="52"/>
      <c r="K475" s="33">
        <f t="shared" ref="K475:X475" si="161">ROUND(K430*ZUS,0)</f>
        <v>0</v>
      </c>
      <c r="L475" s="33">
        <f t="shared" si="161"/>
        <v>0</v>
      </c>
      <c r="M475" s="33">
        <f t="shared" si="161"/>
        <v>0</v>
      </c>
      <c r="N475" s="33">
        <f t="shared" si="161"/>
        <v>0</v>
      </c>
      <c r="O475" s="33">
        <f t="shared" si="161"/>
        <v>0</v>
      </c>
      <c r="P475" s="33">
        <f t="shared" si="161"/>
        <v>0</v>
      </c>
      <c r="Q475" s="33">
        <f t="shared" si="161"/>
        <v>0</v>
      </c>
      <c r="R475" s="33">
        <f t="shared" si="161"/>
        <v>0</v>
      </c>
      <c r="S475" s="33">
        <f t="shared" si="161"/>
        <v>0</v>
      </c>
      <c r="T475" s="33">
        <f t="shared" si="161"/>
        <v>0</v>
      </c>
      <c r="U475" s="33">
        <f t="shared" si="161"/>
        <v>0</v>
      </c>
      <c r="V475" s="33">
        <f t="shared" si="161"/>
        <v>0</v>
      </c>
      <c r="W475" s="33">
        <f t="shared" si="161"/>
        <v>0</v>
      </c>
      <c r="X475" s="33">
        <f t="shared" si="161"/>
        <v>0</v>
      </c>
    </row>
    <row r="476" spans="2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2">IF(LataProjekcji&lt;=Koniec,ROUND(SUM(K436:K475),0),0)</f>
        <v>0</v>
      </c>
      <c r="L476" s="180">
        <f t="shared" si="162"/>
        <v>0</v>
      </c>
      <c r="M476" s="180">
        <f t="shared" si="162"/>
        <v>0</v>
      </c>
      <c r="N476" s="180">
        <f t="shared" si="162"/>
        <v>0</v>
      </c>
      <c r="O476" s="180">
        <f t="shared" si="162"/>
        <v>0</v>
      </c>
      <c r="P476" s="180">
        <f t="shared" si="162"/>
        <v>0</v>
      </c>
      <c r="Q476" s="180">
        <f t="shared" si="162"/>
        <v>0</v>
      </c>
      <c r="R476" s="180">
        <f t="shared" si="162"/>
        <v>0</v>
      </c>
      <c r="S476" s="180">
        <f t="shared" si="162"/>
        <v>0</v>
      </c>
      <c r="T476" s="180">
        <f t="shared" si="162"/>
        <v>0</v>
      </c>
      <c r="U476" s="180">
        <f t="shared" si="162"/>
        <v>0</v>
      </c>
      <c r="V476" s="180">
        <f t="shared" si="162"/>
        <v>0</v>
      </c>
      <c r="W476" s="180">
        <f t="shared" si="162"/>
        <v>0</v>
      </c>
      <c r="X476" s="180">
        <f t="shared" si="162"/>
        <v>0</v>
      </c>
    </row>
    <row r="477" spans="2:24" ht="26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567" t="s">
        <v>349</v>
      </c>
      <c r="L477" s="567"/>
      <c r="M477" s="567"/>
      <c r="N477" s="567"/>
      <c r="O477" s="567"/>
      <c r="P477" s="567"/>
      <c r="Q477" s="567"/>
      <c r="R477" s="567"/>
      <c r="S477" s="567"/>
      <c r="T477" s="567"/>
      <c r="U477" s="567"/>
      <c r="V477" s="567"/>
      <c r="W477" s="567"/>
      <c r="X477" s="567"/>
    </row>
    <row r="478" spans="2:24">
      <c r="B478" s="19" t="str">
        <f t="shared" ref="B478:B517" si="163">IF(ISBLANK(B265),"",B265)</f>
        <v/>
      </c>
      <c r="C478" s="491" t="str">
        <f t="shared" ref="C478:E497" si="164">IF(ISBLANK(C265),"",C265)</f>
        <v/>
      </c>
      <c r="D478" s="491" t="str">
        <f t="shared" si="164"/>
        <v/>
      </c>
      <c r="E478" s="19" t="str">
        <f t="shared" si="164"/>
        <v/>
      </c>
      <c r="F478" s="19"/>
      <c r="G478" s="19"/>
      <c r="H478" s="19"/>
      <c r="I478" s="19"/>
      <c r="J478" s="19"/>
      <c r="K478" s="328">
        <f t="shared" ref="K478:X478" si="165">K349</f>
        <v>0</v>
      </c>
      <c r="L478" s="328">
        <f t="shared" si="165"/>
        <v>0</v>
      </c>
      <c r="M478" s="328">
        <f t="shared" si="165"/>
        <v>0</v>
      </c>
      <c r="N478" s="328">
        <f t="shared" si="165"/>
        <v>0</v>
      </c>
      <c r="O478" s="328">
        <f t="shared" si="165"/>
        <v>0</v>
      </c>
      <c r="P478" s="328">
        <f t="shared" si="165"/>
        <v>0</v>
      </c>
      <c r="Q478" s="328">
        <f t="shared" si="165"/>
        <v>0</v>
      </c>
      <c r="R478" s="328">
        <f t="shared" si="165"/>
        <v>0</v>
      </c>
      <c r="S478" s="328">
        <f t="shared" si="165"/>
        <v>0</v>
      </c>
      <c r="T478" s="328">
        <f t="shared" si="165"/>
        <v>0</v>
      </c>
      <c r="U478" s="328">
        <f t="shared" si="165"/>
        <v>0</v>
      </c>
      <c r="V478" s="328">
        <f t="shared" si="165"/>
        <v>0</v>
      </c>
      <c r="W478" s="328">
        <f t="shared" si="165"/>
        <v>0</v>
      </c>
      <c r="X478" s="328">
        <f t="shared" si="165"/>
        <v>0</v>
      </c>
    </row>
    <row r="479" spans="2:24">
      <c r="B479" s="19" t="str">
        <f t="shared" si="163"/>
        <v/>
      </c>
      <c r="C479" s="491" t="str">
        <f t="shared" si="164"/>
        <v/>
      </c>
      <c r="D479" s="491" t="str">
        <f t="shared" si="164"/>
        <v/>
      </c>
      <c r="E479" s="19" t="str">
        <f t="shared" si="164"/>
        <v/>
      </c>
      <c r="F479" s="52"/>
      <c r="G479" s="52"/>
      <c r="H479" s="52"/>
      <c r="I479" s="52"/>
      <c r="J479" s="52"/>
      <c r="K479" s="328">
        <f t="shared" ref="K479:X479" si="166">K350</f>
        <v>0</v>
      </c>
      <c r="L479" s="328">
        <f t="shared" si="166"/>
        <v>0</v>
      </c>
      <c r="M479" s="328">
        <f t="shared" si="166"/>
        <v>0</v>
      </c>
      <c r="N479" s="328">
        <f t="shared" si="166"/>
        <v>0</v>
      </c>
      <c r="O479" s="328">
        <f t="shared" si="166"/>
        <v>0</v>
      </c>
      <c r="P479" s="328">
        <f t="shared" si="166"/>
        <v>0</v>
      </c>
      <c r="Q479" s="328">
        <f t="shared" si="166"/>
        <v>0</v>
      </c>
      <c r="R479" s="328">
        <f t="shared" si="166"/>
        <v>0</v>
      </c>
      <c r="S479" s="328">
        <f t="shared" si="166"/>
        <v>0</v>
      </c>
      <c r="T479" s="328">
        <f t="shared" si="166"/>
        <v>0</v>
      </c>
      <c r="U479" s="328">
        <f t="shared" si="166"/>
        <v>0</v>
      </c>
      <c r="V479" s="328">
        <f t="shared" si="166"/>
        <v>0</v>
      </c>
      <c r="W479" s="328">
        <f t="shared" si="166"/>
        <v>0</v>
      </c>
      <c r="X479" s="328">
        <f t="shared" si="166"/>
        <v>0</v>
      </c>
    </row>
    <row r="480" spans="2:24">
      <c r="B480" s="19" t="str">
        <f t="shared" si="163"/>
        <v/>
      </c>
      <c r="C480" s="491" t="str">
        <f t="shared" si="164"/>
        <v/>
      </c>
      <c r="D480" s="491" t="str">
        <f t="shared" si="164"/>
        <v/>
      </c>
      <c r="E480" s="19" t="str">
        <f t="shared" si="164"/>
        <v/>
      </c>
      <c r="F480" s="52"/>
      <c r="G480" s="52"/>
      <c r="H480" s="52"/>
      <c r="I480" s="52"/>
      <c r="J480" s="52"/>
      <c r="K480" s="328">
        <f t="shared" ref="K480:X480" si="167">K351</f>
        <v>0</v>
      </c>
      <c r="L480" s="328">
        <f t="shared" si="167"/>
        <v>0</v>
      </c>
      <c r="M480" s="328">
        <f t="shared" si="167"/>
        <v>0</v>
      </c>
      <c r="N480" s="328">
        <f t="shared" si="167"/>
        <v>0</v>
      </c>
      <c r="O480" s="328">
        <f t="shared" si="167"/>
        <v>0</v>
      </c>
      <c r="P480" s="328">
        <f t="shared" si="167"/>
        <v>0</v>
      </c>
      <c r="Q480" s="328">
        <f t="shared" si="167"/>
        <v>0</v>
      </c>
      <c r="R480" s="328">
        <f t="shared" si="167"/>
        <v>0</v>
      </c>
      <c r="S480" s="328">
        <f t="shared" si="167"/>
        <v>0</v>
      </c>
      <c r="T480" s="328">
        <f t="shared" si="167"/>
        <v>0</v>
      </c>
      <c r="U480" s="328">
        <f t="shared" si="167"/>
        <v>0</v>
      </c>
      <c r="V480" s="328">
        <f t="shared" si="167"/>
        <v>0</v>
      </c>
      <c r="W480" s="328">
        <f t="shared" si="167"/>
        <v>0</v>
      </c>
      <c r="X480" s="328">
        <f t="shared" si="167"/>
        <v>0</v>
      </c>
    </row>
    <row r="481" spans="2:24">
      <c r="B481" s="19" t="str">
        <f t="shared" si="163"/>
        <v/>
      </c>
      <c r="C481" s="491" t="str">
        <f t="shared" si="164"/>
        <v/>
      </c>
      <c r="D481" s="491" t="str">
        <f t="shared" si="164"/>
        <v/>
      </c>
      <c r="E481" s="19" t="str">
        <f t="shared" si="164"/>
        <v/>
      </c>
      <c r="F481" s="52"/>
      <c r="G481" s="52"/>
      <c r="H481" s="52"/>
      <c r="I481" s="52"/>
      <c r="J481" s="52"/>
      <c r="K481" s="328">
        <f t="shared" ref="K481:X481" si="168">K352</f>
        <v>0</v>
      </c>
      <c r="L481" s="328">
        <f t="shared" si="168"/>
        <v>0</v>
      </c>
      <c r="M481" s="328">
        <f t="shared" si="168"/>
        <v>0</v>
      </c>
      <c r="N481" s="328">
        <f t="shared" si="168"/>
        <v>0</v>
      </c>
      <c r="O481" s="328">
        <f t="shared" si="168"/>
        <v>0</v>
      </c>
      <c r="P481" s="328">
        <f t="shared" si="168"/>
        <v>0</v>
      </c>
      <c r="Q481" s="328">
        <f t="shared" si="168"/>
        <v>0</v>
      </c>
      <c r="R481" s="328">
        <f t="shared" si="168"/>
        <v>0</v>
      </c>
      <c r="S481" s="328">
        <f t="shared" si="168"/>
        <v>0</v>
      </c>
      <c r="T481" s="328">
        <f t="shared" si="168"/>
        <v>0</v>
      </c>
      <c r="U481" s="328">
        <f t="shared" si="168"/>
        <v>0</v>
      </c>
      <c r="V481" s="328">
        <f t="shared" si="168"/>
        <v>0</v>
      </c>
      <c r="W481" s="328">
        <f t="shared" si="168"/>
        <v>0</v>
      </c>
      <c r="X481" s="328">
        <f t="shared" si="168"/>
        <v>0</v>
      </c>
    </row>
    <row r="482" spans="2:24">
      <c r="B482" s="19" t="str">
        <f t="shared" si="163"/>
        <v/>
      </c>
      <c r="C482" s="491" t="str">
        <f t="shared" si="164"/>
        <v/>
      </c>
      <c r="D482" s="491" t="str">
        <f t="shared" si="164"/>
        <v/>
      </c>
      <c r="E482" s="19" t="str">
        <f t="shared" si="164"/>
        <v/>
      </c>
      <c r="F482" s="52"/>
      <c r="G482" s="52"/>
      <c r="H482" s="52"/>
      <c r="I482" s="52"/>
      <c r="J482" s="52"/>
      <c r="K482" s="328">
        <f t="shared" ref="K482:X482" si="169">K353</f>
        <v>0</v>
      </c>
      <c r="L482" s="328">
        <f t="shared" si="169"/>
        <v>0</v>
      </c>
      <c r="M482" s="328">
        <f t="shared" si="169"/>
        <v>0</v>
      </c>
      <c r="N482" s="328">
        <f t="shared" si="169"/>
        <v>0</v>
      </c>
      <c r="O482" s="328">
        <f t="shared" si="169"/>
        <v>0</v>
      </c>
      <c r="P482" s="328">
        <f t="shared" si="169"/>
        <v>0</v>
      </c>
      <c r="Q482" s="328">
        <f t="shared" si="169"/>
        <v>0</v>
      </c>
      <c r="R482" s="328">
        <f t="shared" si="169"/>
        <v>0</v>
      </c>
      <c r="S482" s="328">
        <f t="shared" si="169"/>
        <v>0</v>
      </c>
      <c r="T482" s="328">
        <f t="shared" si="169"/>
        <v>0</v>
      </c>
      <c r="U482" s="328">
        <f t="shared" si="169"/>
        <v>0</v>
      </c>
      <c r="V482" s="328">
        <f t="shared" si="169"/>
        <v>0</v>
      </c>
      <c r="W482" s="328">
        <f t="shared" si="169"/>
        <v>0</v>
      </c>
      <c r="X482" s="328">
        <f t="shared" si="169"/>
        <v>0</v>
      </c>
    </row>
    <row r="483" spans="2:24">
      <c r="B483" s="19" t="str">
        <f t="shared" si="163"/>
        <v/>
      </c>
      <c r="C483" s="491" t="str">
        <f t="shared" si="164"/>
        <v/>
      </c>
      <c r="D483" s="491" t="str">
        <f t="shared" si="164"/>
        <v/>
      </c>
      <c r="E483" s="19" t="str">
        <f t="shared" si="164"/>
        <v/>
      </c>
      <c r="F483" s="52"/>
      <c r="G483" s="52"/>
      <c r="H483" s="52"/>
      <c r="I483" s="52"/>
      <c r="J483" s="52"/>
      <c r="K483" s="328">
        <f t="shared" ref="K483:X483" si="170">K354</f>
        <v>0</v>
      </c>
      <c r="L483" s="328">
        <f t="shared" si="170"/>
        <v>0</v>
      </c>
      <c r="M483" s="328">
        <f t="shared" si="170"/>
        <v>0</v>
      </c>
      <c r="N483" s="328">
        <f t="shared" si="170"/>
        <v>0</v>
      </c>
      <c r="O483" s="328">
        <f t="shared" si="170"/>
        <v>0</v>
      </c>
      <c r="P483" s="328">
        <f t="shared" si="170"/>
        <v>0</v>
      </c>
      <c r="Q483" s="328">
        <f t="shared" si="170"/>
        <v>0</v>
      </c>
      <c r="R483" s="328">
        <f t="shared" si="170"/>
        <v>0</v>
      </c>
      <c r="S483" s="328">
        <f t="shared" si="170"/>
        <v>0</v>
      </c>
      <c r="T483" s="328">
        <f t="shared" si="170"/>
        <v>0</v>
      </c>
      <c r="U483" s="328">
        <f t="shared" si="170"/>
        <v>0</v>
      </c>
      <c r="V483" s="328">
        <f t="shared" si="170"/>
        <v>0</v>
      </c>
      <c r="W483" s="328">
        <f t="shared" si="170"/>
        <v>0</v>
      </c>
      <c r="X483" s="328">
        <f t="shared" si="170"/>
        <v>0</v>
      </c>
    </row>
    <row r="484" spans="2:24">
      <c r="B484" s="19" t="str">
        <f t="shared" si="163"/>
        <v/>
      </c>
      <c r="C484" s="491" t="str">
        <f t="shared" si="164"/>
        <v/>
      </c>
      <c r="D484" s="491" t="str">
        <f t="shared" si="164"/>
        <v/>
      </c>
      <c r="E484" s="19" t="str">
        <f t="shared" si="164"/>
        <v/>
      </c>
      <c r="F484" s="52"/>
      <c r="G484" s="52"/>
      <c r="H484" s="52"/>
      <c r="I484" s="52"/>
      <c r="J484" s="52"/>
      <c r="K484" s="328">
        <f t="shared" ref="K484:X484" si="171">K355</f>
        <v>0</v>
      </c>
      <c r="L484" s="328">
        <f t="shared" si="171"/>
        <v>0</v>
      </c>
      <c r="M484" s="328">
        <f t="shared" si="171"/>
        <v>0</v>
      </c>
      <c r="N484" s="328">
        <f t="shared" si="171"/>
        <v>0</v>
      </c>
      <c r="O484" s="328">
        <f t="shared" si="171"/>
        <v>0</v>
      </c>
      <c r="P484" s="328">
        <f t="shared" si="171"/>
        <v>0</v>
      </c>
      <c r="Q484" s="328">
        <f t="shared" si="171"/>
        <v>0</v>
      </c>
      <c r="R484" s="328">
        <f t="shared" si="171"/>
        <v>0</v>
      </c>
      <c r="S484" s="328">
        <f t="shared" si="171"/>
        <v>0</v>
      </c>
      <c r="T484" s="328">
        <f t="shared" si="171"/>
        <v>0</v>
      </c>
      <c r="U484" s="328">
        <f t="shared" si="171"/>
        <v>0</v>
      </c>
      <c r="V484" s="328">
        <f t="shared" si="171"/>
        <v>0</v>
      </c>
      <c r="W484" s="328">
        <f t="shared" si="171"/>
        <v>0</v>
      </c>
      <c r="X484" s="328">
        <f t="shared" si="171"/>
        <v>0</v>
      </c>
    </row>
    <row r="485" spans="2:24">
      <c r="B485" s="19" t="str">
        <f t="shared" si="163"/>
        <v/>
      </c>
      <c r="C485" s="491" t="str">
        <f t="shared" si="164"/>
        <v/>
      </c>
      <c r="D485" s="491" t="str">
        <f t="shared" si="164"/>
        <v/>
      </c>
      <c r="E485" s="19" t="str">
        <f t="shared" si="164"/>
        <v/>
      </c>
      <c r="F485" s="52"/>
      <c r="G485" s="52"/>
      <c r="H485" s="52"/>
      <c r="I485" s="52"/>
      <c r="J485" s="52"/>
      <c r="K485" s="328">
        <f t="shared" ref="K485:X485" si="172">K356</f>
        <v>0</v>
      </c>
      <c r="L485" s="328">
        <f t="shared" si="172"/>
        <v>0</v>
      </c>
      <c r="M485" s="328">
        <f t="shared" si="172"/>
        <v>0</v>
      </c>
      <c r="N485" s="328">
        <f t="shared" si="172"/>
        <v>0</v>
      </c>
      <c r="O485" s="328">
        <f t="shared" si="172"/>
        <v>0</v>
      </c>
      <c r="P485" s="328">
        <f t="shared" si="172"/>
        <v>0</v>
      </c>
      <c r="Q485" s="328">
        <f t="shared" si="172"/>
        <v>0</v>
      </c>
      <c r="R485" s="328">
        <f t="shared" si="172"/>
        <v>0</v>
      </c>
      <c r="S485" s="328">
        <f t="shared" si="172"/>
        <v>0</v>
      </c>
      <c r="T485" s="328">
        <f t="shared" si="172"/>
        <v>0</v>
      </c>
      <c r="U485" s="328">
        <f t="shared" si="172"/>
        <v>0</v>
      </c>
      <c r="V485" s="328">
        <f t="shared" si="172"/>
        <v>0</v>
      </c>
      <c r="W485" s="328">
        <f t="shared" si="172"/>
        <v>0</v>
      </c>
      <c r="X485" s="328">
        <f t="shared" si="172"/>
        <v>0</v>
      </c>
    </row>
    <row r="486" spans="2:24">
      <c r="B486" s="19" t="str">
        <f t="shared" si="163"/>
        <v/>
      </c>
      <c r="C486" s="491" t="str">
        <f t="shared" si="164"/>
        <v/>
      </c>
      <c r="D486" s="491" t="str">
        <f t="shared" si="164"/>
        <v/>
      </c>
      <c r="E486" s="19" t="str">
        <f t="shared" si="164"/>
        <v/>
      </c>
      <c r="F486" s="52"/>
      <c r="G486" s="52"/>
      <c r="H486" s="52"/>
      <c r="I486" s="52"/>
      <c r="J486" s="52"/>
      <c r="K486" s="328">
        <f t="shared" ref="K486:X486" si="173">K357</f>
        <v>0</v>
      </c>
      <c r="L486" s="328">
        <f t="shared" si="173"/>
        <v>0</v>
      </c>
      <c r="M486" s="328">
        <f t="shared" si="173"/>
        <v>0</v>
      </c>
      <c r="N486" s="328">
        <f t="shared" si="173"/>
        <v>0</v>
      </c>
      <c r="O486" s="328">
        <f t="shared" si="173"/>
        <v>0</v>
      </c>
      <c r="P486" s="328">
        <f t="shared" si="173"/>
        <v>0</v>
      </c>
      <c r="Q486" s="328">
        <f t="shared" si="173"/>
        <v>0</v>
      </c>
      <c r="R486" s="328">
        <f t="shared" si="173"/>
        <v>0</v>
      </c>
      <c r="S486" s="328">
        <f t="shared" si="173"/>
        <v>0</v>
      </c>
      <c r="T486" s="328">
        <f t="shared" si="173"/>
        <v>0</v>
      </c>
      <c r="U486" s="328">
        <f t="shared" si="173"/>
        <v>0</v>
      </c>
      <c r="V486" s="328">
        <f t="shared" si="173"/>
        <v>0</v>
      </c>
      <c r="W486" s="328">
        <f t="shared" si="173"/>
        <v>0</v>
      </c>
      <c r="X486" s="328">
        <f t="shared" si="173"/>
        <v>0</v>
      </c>
    </row>
    <row r="487" spans="2:24">
      <c r="B487" s="19" t="str">
        <f t="shared" si="163"/>
        <v/>
      </c>
      <c r="C487" s="491" t="str">
        <f t="shared" si="164"/>
        <v/>
      </c>
      <c r="D487" s="491" t="str">
        <f t="shared" si="164"/>
        <v/>
      </c>
      <c r="E487" s="19" t="str">
        <f t="shared" si="164"/>
        <v/>
      </c>
      <c r="F487" s="52"/>
      <c r="G487" s="52"/>
      <c r="H487" s="52"/>
      <c r="I487" s="52"/>
      <c r="J487" s="52"/>
      <c r="K487" s="328">
        <f t="shared" ref="K487:X487" si="174">K358</f>
        <v>0</v>
      </c>
      <c r="L487" s="328">
        <f t="shared" si="174"/>
        <v>0</v>
      </c>
      <c r="M487" s="328">
        <f t="shared" si="174"/>
        <v>0</v>
      </c>
      <c r="N487" s="328">
        <f t="shared" si="174"/>
        <v>0</v>
      </c>
      <c r="O487" s="328">
        <f t="shared" si="174"/>
        <v>0</v>
      </c>
      <c r="P487" s="328">
        <f t="shared" si="174"/>
        <v>0</v>
      </c>
      <c r="Q487" s="328">
        <f t="shared" si="174"/>
        <v>0</v>
      </c>
      <c r="R487" s="328">
        <f t="shared" si="174"/>
        <v>0</v>
      </c>
      <c r="S487" s="328">
        <f t="shared" si="174"/>
        <v>0</v>
      </c>
      <c r="T487" s="328">
        <f t="shared" si="174"/>
        <v>0</v>
      </c>
      <c r="U487" s="328">
        <f t="shared" si="174"/>
        <v>0</v>
      </c>
      <c r="V487" s="328">
        <f t="shared" si="174"/>
        <v>0</v>
      </c>
      <c r="W487" s="328">
        <f t="shared" si="174"/>
        <v>0</v>
      </c>
      <c r="X487" s="328">
        <f t="shared" si="174"/>
        <v>0</v>
      </c>
    </row>
    <row r="488" spans="2:24">
      <c r="B488" s="19" t="str">
        <f t="shared" si="163"/>
        <v/>
      </c>
      <c r="C488" s="491" t="str">
        <f t="shared" si="164"/>
        <v/>
      </c>
      <c r="D488" s="491" t="str">
        <f t="shared" si="164"/>
        <v/>
      </c>
      <c r="E488" s="19" t="str">
        <f t="shared" si="164"/>
        <v/>
      </c>
      <c r="F488" s="52"/>
      <c r="G488" s="52"/>
      <c r="H488" s="52"/>
      <c r="I488" s="52"/>
      <c r="J488" s="52"/>
      <c r="K488" s="328">
        <f t="shared" ref="K488:X488" si="175">K359</f>
        <v>0</v>
      </c>
      <c r="L488" s="328">
        <f t="shared" si="175"/>
        <v>0</v>
      </c>
      <c r="M488" s="328">
        <f t="shared" si="175"/>
        <v>0</v>
      </c>
      <c r="N488" s="328">
        <f t="shared" si="175"/>
        <v>0</v>
      </c>
      <c r="O488" s="328">
        <f t="shared" si="175"/>
        <v>0</v>
      </c>
      <c r="P488" s="328">
        <f t="shared" si="175"/>
        <v>0</v>
      </c>
      <c r="Q488" s="328">
        <f t="shared" si="175"/>
        <v>0</v>
      </c>
      <c r="R488" s="328">
        <f t="shared" si="175"/>
        <v>0</v>
      </c>
      <c r="S488" s="328">
        <f t="shared" si="175"/>
        <v>0</v>
      </c>
      <c r="T488" s="328">
        <f t="shared" si="175"/>
        <v>0</v>
      </c>
      <c r="U488" s="328">
        <f t="shared" si="175"/>
        <v>0</v>
      </c>
      <c r="V488" s="328">
        <f t="shared" si="175"/>
        <v>0</v>
      </c>
      <c r="W488" s="328">
        <f t="shared" si="175"/>
        <v>0</v>
      </c>
      <c r="X488" s="328">
        <f t="shared" si="175"/>
        <v>0</v>
      </c>
    </row>
    <row r="489" spans="2:24">
      <c r="B489" s="19" t="str">
        <f t="shared" si="163"/>
        <v/>
      </c>
      <c r="C489" s="491" t="str">
        <f t="shared" si="164"/>
        <v/>
      </c>
      <c r="D489" s="491" t="str">
        <f t="shared" si="164"/>
        <v/>
      </c>
      <c r="E489" s="19" t="str">
        <f t="shared" si="164"/>
        <v/>
      </c>
      <c r="F489" s="52"/>
      <c r="G489" s="52"/>
      <c r="H489" s="52"/>
      <c r="I489" s="52"/>
      <c r="J489" s="52"/>
      <c r="K489" s="328">
        <f t="shared" ref="K489:X489" si="176">K360</f>
        <v>0</v>
      </c>
      <c r="L489" s="328">
        <f t="shared" si="176"/>
        <v>0</v>
      </c>
      <c r="M489" s="328">
        <f t="shared" si="176"/>
        <v>0</v>
      </c>
      <c r="N489" s="328">
        <f t="shared" si="176"/>
        <v>0</v>
      </c>
      <c r="O489" s="328">
        <f t="shared" si="176"/>
        <v>0</v>
      </c>
      <c r="P489" s="328">
        <f t="shared" si="176"/>
        <v>0</v>
      </c>
      <c r="Q489" s="328">
        <f t="shared" si="176"/>
        <v>0</v>
      </c>
      <c r="R489" s="328">
        <f t="shared" si="176"/>
        <v>0</v>
      </c>
      <c r="S489" s="328">
        <f t="shared" si="176"/>
        <v>0</v>
      </c>
      <c r="T489" s="328">
        <f t="shared" si="176"/>
        <v>0</v>
      </c>
      <c r="U489" s="328">
        <f t="shared" si="176"/>
        <v>0</v>
      </c>
      <c r="V489" s="328">
        <f t="shared" si="176"/>
        <v>0</v>
      </c>
      <c r="W489" s="328">
        <f t="shared" si="176"/>
        <v>0</v>
      </c>
      <c r="X489" s="328">
        <f t="shared" si="176"/>
        <v>0</v>
      </c>
    </row>
    <row r="490" spans="2:24">
      <c r="B490" s="19" t="str">
        <f t="shared" si="163"/>
        <v/>
      </c>
      <c r="C490" s="491" t="str">
        <f t="shared" si="164"/>
        <v/>
      </c>
      <c r="D490" s="491" t="str">
        <f t="shared" si="164"/>
        <v/>
      </c>
      <c r="E490" s="19" t="str">
        <f t="shared" si="164"/>
        <v/>
      </c>
      <c r="F490" s="52"/>
      <c r="G490" s="52"/>
      <c r="H490" s="52"/>
      <c r="I490" s="52"/>
      <c r="J490" s="52"/>
      <c r="K490" s="328">
        <f t="shared" ref="K490:X490" si="177">K361</f>
        <v>0</v>
      </c>
      <c r="L490" s="328">
        <f t="shared" si="177"/>
        <v>0</v>
      </c>
      <c r="M490" s="328">
        <f t="shared" si="177"/>
        <v>0</v>
      </c>
      <c r="N490" s="328">
        <f t="shared" si="177"/>
        <v>0</v>
      </c>
      <c r="O490" s="328">
        <f t="shared" si="177"/>
        <v>0</v>
      </c>
      <c r="P490" s="328">
        <f t="shared" si="177"/>
        <v>0</v>
      </c>
      <c r="Q490" s="328">
        <f t="shared" si="177"/>
        <v>0</v>
      </c>
      <c r="R490" s="328">
        <f t="shared" si="177"/>
        <v>0</v>
      </c>
      <c r="S490" s="328">
        <f t="shared" si="177"/>
        <v>0</v>
      </c>
      <c r="T490" s="328">
        <f t="shared" si="177"/>
        <v>0</v>
      </c>
      <c r="U490" s="328">
        <f t="shared" si="177"/>
        <v>0</v>
      </c>
      <c r="V490" s="328">
        <f t="shared" si="177"/>
        <v>0</v>
      </c>
      <c r="W490" s="328">
        <f t="shared" si="177"/>
        <v>0</v>
      </c>
      <c r="X490" s="328">
        <f t="shared" si="177"/>
        <v>0</v>
      </c>
    </row>
    <row r="491" spans="2:24">
      <c r="B491" s="19" t="str">
        <f t="shared" si="163"/>
        <v/>
      </c>
      <c r="C491" s="491" t="str">
        <f t="shared" si="164"/>
        <v/>
      </c>
      <c r="D491" s="491" t="str">
        <f t="shared" si="164"/>
        <v/>
      </c>
      <c r="E491" s="19" t="str">
        <f t="shared" si="164"/>
        <v/>
      </c>
      <c r="F491" s="52"/>
      <c r="G491" s="52"/>
      <c r="H491" s="52"/>
      <c r="I491" s="52"/>
      <c r="J491" s="52"/>
      <c r="K491" s="328">
        <f t="shared" ref="K491:X491" si="178">K362</f>
        <v>0</v>
      </c>
      <c r="L491" s="328">
        <f t="shared" si="178"/>
        <v>0</v>
      </c>
      <c r="M491" s="328">
        <f t="shared" si="178"/>
        <v>0</v>
      </c>
      <c r="N491" s="328">
        <f t="shared" si="178"/>
        <v>0</v>
      </c>
      <c r="O491" s="328">
        <f t="shared" si="178"/>
        <v>0</v>
      </c>
      <c r="P491" s="328">
        <f t="shared" si="178"/>
        <v>0</v>
      </c>
      <c r="Q491" s="328">
        <f t="shared" si="178"/>
        <v>0</v>
      </c>
      <c r="R491" s="328">
        <f t="shared" si="178"/>
        <v>0</v>
      </c>
      <c r="S491" s="328">
        <f t="shared" si="178"/>
        <v>0</v>
      </c>
      <c r="T491" s="328">
        <f t="shared" si="178"/>
        <v>0</v>
      </c>
      <c r="U491" s="328">
        <f t="shared" si="178"/>
        <v>0</v>
      </c>
      <c r="V491" s="328">
        <f t="shared" si="178"/>
        <v>0</v>
      </c>
      <c r="W491" s="328">
        <f t="shared" si="178"/>
        <v>0</v>
      </c>
      <c r="X491" s="328">
        <f t="shared" si="178"/>
        <v>0</v>
      </c>
    </row>
    <row r="492" spans="2:24">
      <c r="B492" s="19" t="str">
        <f t="shared" si="163"/>
        <v/>
      </c>
      <c r="C492" s="491" t="str">
        <f t="shared" si="164"/>
        <v/>
      </c>
      <c r="D492" s="491" t="str">
        <f t="shared" si="164"/>
        <v/>
      </c>
      <c r="E492" s="19" t="str">
        <f t="shared" si="164"/>
        <v/>
      </c>
      <c r="F492" s="52"/>
      <c r="G492" s="52"/>
      <c r="H492" s="52"/>
      <c r="I492" s="52"/>
      <c r="J492" s="52"/>
      <c r="K492" s="328">
        <f t="shared" ref="K492:X492" si="179">K363</f>
        <v>0</v>
      </c>
      <c r="L492" s="328">
        <f t="shared" si="179"/>
        <v>0</v>
      </c>
      <c r="M492" s="328">
        <f t="shared" si="179"/>
        <v>0</v>
      </c>
      <c r="N492" s="328">
        <f t="shared" si="179"/>
        <v>0</v>
      </c>
      <c r="O492" s="328">
        <f t="shared" si="179"/>
        <v>0</v>
      </c>
      <c r="P492" s="328">
        <f t="shared" si="179"/>
        <v>0</v>
      </c>
      <c r="Q492" s="328">
        <f t="shared" si="179"/>
        <v>0</v>
      </c>
      <c r="R492" s="328">
        <f t="shared" si="179"/>
        <v>0</v>
      </c>
      <c r="S492" s="328">
        <f t="shared" si="179"/>
        <v>0</v>
      </c>
      <c r="T492" s="328">
        <f t="shared" si="179"/>
        <v>0</v>
      </c>
      <c r="U492" s="328">
        <f t="shared" si="179"/>
        <v>0</v>
      </c>
      <c r="V492" s="328">
        <f t="shared" si="179"/>
        <v>0</v>
      </c>
      <c r="W492" s="328">
        <f t="shared" si="179"/>
        <v>0</v>
      </c>
      <c r="X492" s="328">
        <f t="shared" si="179"/>
        <v>0</v>
      </c>
    </row>
    <row r="493" spans="2:24">
      <c r="B493" s="19" t="str">
        <f t="shared" si="163"/>
        <v/>
      </c>
      <c r="C493" s="491" t="str">
        <f t="shared" si="164"/>
        <v/>
      </c>
      <c r="D493" s="491" t="str">
        <f t="shared" si="164"/>
        <v/>
      </c>
      <c r="E493" s="19" t="str">
        <f t="shared" si="164"/>
        <v/>
      </c>
      <c r="F493" s="52"/>
      <c r="G493" s="52"/>
      <c r="H493" s="52"/>
      <c r="I493" s="52"/>
      <c r="J493" s="52"/>
      <c r="K493" s="328">
        <f t="shared" ref="K493:X493" si="180">K364</f>
        <v>0</v>
      </c>
      <c r="L493" s="328">
        <f t="shared" si="180"/>
        <v>0</v>
      </c>
      <c r="M493" s="328">
        <f t="shared" si="180"/>
        <v>0</v>
      </c>
      <c r="N493" s="328">
        <f t="shared" si="180"/>
        <v>0</v>
      </c>
      <c r="O493" s="328">
        <f t="shared" si="180"/>
        <v>0</v>
      </c>
      <c r="P493" s="328">
        <f t="shared" si="180"/>
        <v>0</v>
      </c>
      <c r="Q493" s="328">
        <f t="shared" si="180"/>
        <v>0</v>
      </c>
      <c r="R493" s="328">
        <f t="shared" si="180"/>
        <v>0</v>
      </c>
      <c r="S493" s="328">
        <f t="shared" si="180"/>
        <v>0</v>
      </c>
      <c r="T493" s="328">
        <f t="shared" si="180"/>
        <v>0</v>
      </c>
      <c r="U493" s="328">
        <f t="shared" si="180"/>
        <v>0</v>
      </c>
      <c r="V493" s="328">
        <f t="shared" si="180"/>
        <v>0</v>
      </c>
      <c r="W493" s="328">
        <f t="shared" si="180"/>
        <v>0</v>
      </c>
      <c r="X493" s="328">
        <f t="shared" si="180"/>
        <v>0</v>
      </c>
    </row>
    <row r="494" spans="2:24">
      <c r="B494" s="19" t="str">
        <f t="shared" si="163"/>
        <v/>
      </c>
      <c r="C494" s="491" t="str">
        <f t="shared" si="164"/>
        <v/>
      </c>
      <c r="D494" s="491" t="str">
        <f t="shared" si="164"/>
        <v/>
      </c>
      <c r="E494" s="19" t="str">
        <f t="shared" si="164"/>
        <v/>
      </c>
      <c r="F494" s="52"/>
      <c r="G494" s="52"/>
      <c r="H494" s="52"/>
      <c r="I494" s="52"/>
      <c r="J494" s="52"/>
      <c r="K494" s="328">
        <f t="shared" ref="K494:X494" si="181">K365</f>
        <v>0</v>
      </c>
      <c r="L494" s="328">
        <f t="shared" si="181"/>
        <v>0</v>
      </c>
      <c r="M494" s="328">
        <f t="shared" si="181"/>
        <v>0</v>
      </c>
      <c r="N494" s="328">
        <f t="shared" si="181"/>
        <v>0</v>
      </c>
      <c r="O494" s="328">
        <f t="shared" si="181"/>
        <v>0</v>
      </c>
      <c r="P494" s="328">
        <f t="shared" si="181"/>
        <v>0</v>
      </c>
      <c r="Q494" s="328">
        <f t="shared" si="181"/>
        <v>0</v>
      </c>
      <c r="R494" s="328">
        <f t="shared" si="181"/>
        <v>0</v>
      </c>
      <c r="S494" s="328">
        <f t="shared" si="181"/>
        <v>0</v>
      </c>
      <c r="T494" s="328">
        <f t="shared" si="181"/>
        <v>0</v>
      </c>
      <c r="U494" s="328">
        <f t="shared" si="181"/>
        <v>0</v>
      </c>
      <c r="V494" s="328">
        <f t="shared" si="181"/>
        <v>0</v>
      </c>
      <c r="W494" s="328">
        <f t="shared" si="181"/>
        <v>0</v>
      </c>
      <c r="X494" s="328">
        <f t="shared" si="181"/>
        <v>0</v>
      </c>
    </row>
    <row r="495" spans="2:24">
      <c r="B495" s="19" t="str">
        <f t="shared" si="163"/>
        <v/>
      </c>
      <c r="C495" s="491" t="str">
        <f t="shared" si="164"/>
        <v/>
      </c>
      <c r="D495" s="491" t="str">
        <f t="shared" si="164"/>
        <v/>
      </c>
      <c r="E495" s="19" t="str">
        <f t="shared" si="164"/>
        <v/>
      </c>
      <c r="F495" s="52"/>
      <c r="G495" s="52"/>
      <c r="H495" s="52"/>
      <c r="I495" s="52"/>
      <c r="J495" s="52"/>
      <c r="K495" s="328">
        <f t="shared" ref="K495:X495" si="182">K366</f>
        <v>0</v>
      </c>
      <c r="L495" s="328">
        <f t="shared" si="182"/>
        <v>0</v>
      </c>
      <c r="M495" s="328">
        <f t="shared" si="182"/>
        <v>0</v>
      </c>
      <c r="N495" s="328">
        <f t="shared" si="182"/>
        <v>0</v>
      </c>
      <c r="O495" s="328">
        <f t="shared" si="182"/>
        <v>0</v>
      </c>
      <c r="P495" s="328">
        <f t="shared" si="182"/>
        <v>0</v>
      </c>
      <c r="Q495" s="328">
        <f t="shared" si="182"/>
        <v>0</v>
      </c>
      <c r="R495" s="328">
        <f t="shared" si="182"/>
        <v>0</v>
      </c>
      <c r="S495" s="328">
        <f t="shared" si="182"/>
        <v>0</v>
      </c>
      <c r="T495" s="328">
        <f t="shared" si="182"/>
        <v>0</v>
      </c>
      <c r="U495" s="328">
        <f t="shared" si="182"/>
        <v>0</v>
      </c>
      <c r="V495" s="328">
        <f t="shared" si="182"/>
        <v>0</v>
      </c>
      <c r="W495" s="328">
        <f t="shared" si="182"/>
        <v>0</v>
      </c>
      <c r="X495" s="328">
        <f t="shared" si="182"/>
        <v>0</v>
      </c>
    </row>
    <row r="496" spans="2:24">
      <c r="B496" s="19" t="str">
        <f t="shared" si="163"/>
        <v/>
      </c>
      <c r="C496" s="491" t="str">
        <f t="shared" si="164"/>
        <v/>
      </c>
      <c r="D496" s="491" t="str">
        <f t="shared" si="164"/>
        <v/>
      </c>
      <c r="E496" s="19" t="str">
        <f t="shared" si="164"/>
        <v/>
      </c>
      <c r="F496" s="52"/>
      <c r="G496" s="52"/>
      <c r="H496" s="52"/>
      <c r="I496" s="52"/>
      <c r="J496" s="52"/>
      <c r="K496" s="328">
        <f t="shared" ref="K496:X496" si="183">K367</f>
        <v>0</v>
      </c>
      <c r="L496" s="328">
        <f t="shared" si="183"/>
        <v>0</v>
      </c>
      <c r="M496" s="328">
        <f t="shared" si="183"/>
        <v>0</v>
      </c>
      <c r="N496" s="328">
        <f t="shared" si="183"/>
        <v>0</v>
      </c>
      <c r="O496" s="328">
        <f t="shared" si="183"/>
        <v>0</v>
      </c>
      <c r="P496" s="328">
        <f t="shared" si="183"/>
        <v>0</v>
      </c>
      <c r="Q496" s="328">
        <f t="shared" si="183"/>
        <v>0</v>
      </c>
      <c r="R496" s="328">
        <f t="shared" si="183"/>
        <v>0</v>
      </c>
      <c r="S496" s="328">
        <f t="shared" si="183"/>
        <v>0</v>
      </c>
      <c r="T496" s="328">
        <f t="shared" si="183"/>
        <v>0</v>
      </c>
      <c r="U496" s="328">
        <f t="shared" si="183"/>
        <v>0</v>
      </c>
      <c r="V496" s="328">
        <f t="shared" si="183"/>
        <v>0</v>
      </c>
      <c r="W496" s="328">
        <f t="shared" si="183"/>
        <v>0</v>
      </c>
      <c r="X496" s="328">
        <f t="shared" si="183"/>
        <v>0</v>
      </c>
    </row>
    <row r="497" spans="2:24">
      <c r="B497" s="19" t="str">
        <f t="shared" si="163"/>
        <v/>
      </c>
      <c r="C497" s="491" t="str">
        <f t="shared" si="164"/>
        <v/>
      </c>
      <c r="D497" s="491" t="str">
        <f t="shared" si="164"/>
        <v/>
      </c>
      <c r="E497" s="19" t="str">
        <f t="shared" si="164"/>
        <v/>
      </c>
      <c r="F497" s="52"/>
      <c r="G497" s="52"/>
      <c r="H497" s="52"/>
      <c r="I497" s="52"/>
      <c r="J497" s="52"/>
      <c r="K497" s="328">
        <f t="shared" ref="K497:X497" si="184">K368</f>
        <v>0</v>
      </c>
      <c r="L497" s="328">
        <f t="shared" si="184"/>
        <v>0</v>
      </c>
      <c r="M497" s="328">
        <f t="shared" si="184"/>
        <v>0</v>
      </c>
      <c r="N497" s="328">
        <f t="shared" si="184"/>
        <v>0</v>
      </c>
      <c r="O497" s="328">
        <f t="shared" si="184"/>
        <v>0</v>
      </c>
      <c r="P497" s="328">
        <f t="shared" si="184"/>
        <v>0</v>
      </c>
      <c r="Q497" s="328">
        <f t="shared" si="184"/>
        <v>0</v>
      </c>
      <c r="R497" s="328">
        <f t="shared" si="184"/>
        <v>0</v>
      </c>
      <c r="S497" s="328">
        <f t="shared" si="184"/>
        <v>0</v>
      </c>
      <c r="T497" s="328">
        <f t="shared" si="184"/>
        <v>0</v>
      </c>
      <c r="U497" s="328">
        <f t="shared" si="184"/>
        <v>0</v>
      </c>
      <c r="V497" s="328">
        <f t="shared" si="184"/>
        <v>0</v>
      </c>
      <c r="W497" s="328">
        <f t="shared" si="184"/>
        <v>0</v>
      </c>
      <c r="X497" s="328">
        <f t="shared" si="184"/>
        <v>0</v>
      </c>
    </row>
    <row r="498" spans="2:24">
      <c r="B498" s="19" t="str">
        <f t="shared" si="163"/>
        <v/>
      </c>
      <c r="C498" s="491" t="str">
        <f t="shared" ref="C498:E517" si="185">IF(ISBLANK(C285),"",C285)</f>
        <v/>
      </c>
      <c r="D498" s="491" t="str">
        <f t="shared" si="185"/>
        <v/>
      </c>
      <c r="E498" s="19" t="str">
        <f t="shared" si="185"/>
        <v/>
      </c>
      <c r="F498" s="52"/>
      <c r="G498" s="52"/>
      <c r="H498" s="52"/>
      <c r="I498" s="52"/>
      <c r="J498" s="52"/>
      <c r="K498" s="328">
        <f t="shared" ref="K498:X498" si="186">K369</f>
        <v>0</v>
      </c>
      <c r="L498" s="328">
        <f t="shared" si="186"/>
        <v>0</v>
      </c>
      <c r="M498" s="328">
        <f t="shared" si="186"/>
        <v>0</v>
      </c>
      <c r="N498" s="328">
        <f t="shared" si="186"/>
        <v>0</v>
      </c>
      <c r="O498" s="328">
        <f t="shared" si="186"/>
        <v>0</v>
      </c>
      <c r="P498" s="328">
        <f t="shared" si="186"/>
        <v>0</v>
      </c>
      <c r="Q498" s="328">
        <f t="shared" si="186"/>
        <v>0</v>
      </c>
      <c r="R498" s="328">
        <f t="shared" si="186"/>
        <v>0</v>
      </c>
      <c r="S498" s="328">
        <f t="shared" si="186"/>
        <v>0</v>
      </c>
      <c r="T498" s="328">
        <f t="shared" si="186"/>
        <v>0</v>
      </c>
      <c r="U498" s="328">
        <f t="shared" si="186"/>
        <v>0</v>
      </c>
      <c r="V498" s="328">
        <f t="shared" si="186"/>
        <v>0</v>
      </c>
      <c r="W498" s="328">
        <f t="shared" si="186"/>
        <v>0</v>
      </c>
      <c r="X498" s="328">
        <f t="shared" si="186"/>
        <v>0</v>
      </c>
    </row>
    <row r="499" spans="2:24">
      <c r="B499" s="19" t="str">
        <f t="shared" si="163"/>
        <v/>
      </c>
      <c r="C499" s="491" t="str">
        <f t="shared" si="185"/>
        <v/>
      </c>
      <c r="D499" s="491" t="str">
        <f t="shared" si="185"/>
        <v/>
      </c>
      <c r="E499" s="19" t="str">
        <f t="shared" si="185"/>
        <v/>
      </c>
      <c r="F499" s="52"/>
      <c r="G499" s="52"/>
      <c r="H499" s="52"/>
      <c r="I499" s="52"/>
      <c r="J499" s="52"/>
      <c r="K499" s="328">
        <f t="shared" ref="K499:X499" si="187">K370</f>
        <v>0</v>
      </c>
      <c r="L499" s="328">
        <f t="shared" si="187"/>
        <v>0</v>
      </c>
      <c r="M499" s="328">
        <f t="shared" si="187"/>
        <v>0</v>
      </c>
      <c r="N499" s="328">
        <f t="shared" si="187"/>
        <v>0</v>
      </c>
      <c r="O499" s="328">
        <f t="shared" si="187"/>
        <v>0</v>
      </c>
      <c r="P499" s="328">
        <f t="shared" si="187"/>
        <v>0</v>
      </c>
      <c r="Q499" s="328">
        <f t="shared" si="187"/>
        <v>0</v>
      </c>
      <c r="R499" s="328">
        <f t="shared" si="187"/>
        <v>0</v>
      </c>
      <c r="S499" s="328">
        <f t="shared" si="187"/>
        <v>0</v>
      </c>
      <c r="T499" s="328">
        <f t="shared" si="187"/>
        <v>0</v>
      </c>
      <c r="U499" s="328">
        <f t="shared" si="187"/>
        <v>0</v>
      </c>
      <c r="V499" s="328">
        <f t="shared" si="187"/>
        <v>0</v>
      </c>
      <c r="W499" s="328">
        <f t="shared" si="187"/>
        <v>0</v>
      </c>
      <c r="X499" s="328">
        <f t="shared" si="187"/>
        <v>0</v>
      </c>
    </row>
    <row r="500" spans="2:24">
      <c r="B500" s="19" t="str">
        <f t="shared" si="163"/>
        <v/>
      </c>
      <c r="C500" s="491" t="str">
        <f t="shared" si="185"/>
        <v/>
      </c>
      <c r="D500" s="491" t="str">
        <f t="shared" si="185"/>
        <v/>
      </c>
      <c r="E500" s="19" t="str">
        <f t="shared" si="185"/>
        <v/>
      </c>
      <c r="F500" s="52"/>
      <c r="G500" s="52"/>
      <c r="H500" s="52"/>
      <c r="I500" s="52"/>
      <c r="J500" s="52"/>
      <c r="K500" s="328">
        <f t="shared" ref="K500:X500" si="188">K371</f>
        <v>0</v>
      </c>
      <c r="L500" s="328">
        <f t="shared" si="188"/>
        <v>0</v>
      </c>
      <c r="M500" s="328">
        <f t="shared" si="188"/>
        <v>0</v>
      </c>
      <c r="N500" s="328">
        <f t="shared" si="188"/>
        <v>0</v>
      </c>
      <c r="O500" s="328">
        <f t="shared" si="188"/>
        <v>0</v>
      </c>
      <c r="P500" s="328">
        <f t="shared" si="188"/>
        <v>0</v>
      </c>
      <c r="Q500" s="328">
        <f t="shared" si="188"/>
        <v>0</v>
      </c>
      <c r="R500" s="328">
        <f t="shared" si="188"/>
        <v>0</v>
      </c>
      <c r="S500" s="328">
        <f t="shared" si="188"/>
        <v>0</v>
      </c>
      <c r="T500" s="328">
        <f t="shared" si="188"/>
        <v>0</v>
      </c>
      <c r="U500" s="328">
        <f t="shared" si="188"/>
        <v>0</v>
      </c>
      <c r="V500" s="328">
        <f t="shared" si="188"/>
        <v>0</v>
      </c>
      <c r="W500" s="328">
        <f t="shared" si="188"/>
        <v>0</v>
      </c>
      <c r="X500" s="328">
        <f t="shared" si="188"/>
        <v>0</v>
      </c>
    </row>
    <row r="501" spans="2:24">
      <c r="B501" s="19" t="str">
        <f t="shared" si="163"/>
        <v/>
      </c>
      <c r="C501" s="491" t="str">
        <f t="shared" si="185"/>
        <v/>
      </c>
      <c r="D501" s="491" t="str">
        <f t="shared" si="185"/>
        <v/>
      </c>
      <c r="E501" s="19" t="str">
        <f t="shared" si="185"/>
        <v/>
      </c>
      <c r="F501" s="52"/>
      <c r="G501" s="52"/>
      <c r="H501" s="52"/>
      <c r="I501" s="52"/>
      <c r="J501" s="52"/>
      <c r="K501" s="328">
        <f t="shared" ref="K501:X501" si="189">K372</f>
        <v>0</v>
      </c>
      <c r="L501" s="328">
        <f t="shared" si="189"/>
        <v>0</v>
      </c>
      <c r="M501" s="328">
        <f t="shared" si="189"/>
        <v>0</v>
      </c>
      <c r="N501" s="328">
        <f t="shared" si="189"/>
        <v>0</v>
      </c>
      <c r="O501" s="328">
        <f t="shared" si="189"/>
        <v>0</v>
      </c>
      <c r="P501" s="328">
        <f t="shared" si="189"/>
        <v>0</v>
      </c>
      <c r="Q501" s="328">
        <f t="shared" si="189"/>
        <v>0</v>
      </c>
      <c r="R501" s="328">
        <f t="shared" si="189"/>
        <v>0</v>
      </c>
      <c r="S501" s="328">
        <f t="shared" si="189"/>
        <v>0</v>
      </c>
      <c r="T501" s="328">
        <f t="shared" si="189"/>
        <v>0</v>
      </c>
      <c r="U501" s="328">
        <f t="shared" si="189"/>
        <v>0</v>
      </c>
      <c r="V501" s="328">
        <f t="shared" si="189"/>
        <v>0</v>
      </c>
      <c r="W501" s="328">
        <f t="shared" si="189"/>
        <v>0</v>
      </c>
      <c r="X501" s="328">
        <f t="shared" si="189"/>
        <v>0</v>
      </c>
    </row>
    <row r="502" spans="2:24">
      <c r="B502" s="19" t="str">
        <f t="shared" si="163"/>
        <v/>
      </c>
      <c r="C502" s="491" t="str">
        <f t="shared" si="185"/>
        <v/>
      </c>
      <c r="D502" s="491" t="str">
        <f t="shared" si="185"/>
        <v/>
      </c>
      <c r="E502" s="19" t="str">
        <f t="shared" si="185"/>
        <v/>
      </c>
      <c r="F502" s="52"/>
      <c r="G502" s="52"/>
      <c r="H502" s="52"/>
      <c r="I502" s="52"/>
      <c r="J502" s="52"/>
      <c r="K502" s="328">
        <f t="shared" ref="K502:X502" si="190">K373</f>
        <v>0</v>
      </c>
      <c r="L502" s="328">
        <f t="shared" si="190"/>
        <v>0</v>
      </c>
      <c r="M502" s="328">
        <f t="shared" si="190"/>
        <v>0</v>
      </c>
      <c r="N502" s="328">
        <f t="shared" si="190"/>
        <v>0</v>
      </c>
      <c r="O502" s="328">
        <f t="shared" si="190"/>
        <v>0</v>
      </c>
      <c r="P502" s="328">
        <f t="shared" si="190"/>
        <v>0</v>
      </c>
      <c r="Q502" s="328">
        <f t="shared" si="190"/>
        <v>0</v>
      </c>
      <c r="R502" s="328">
        <f t="shared" si="190"/>
        <v>0</v>
      </c>
      <c r="S502" s="328">
        <f t="shared" si="190"/>
        <v>0</v>
      </c>
      <c r="T502" s="328">
        <f t="shared" si="190"/>
        <v>0</v>
      </c>
      <c r="U502" s="328">
        <f t="shared" si="190"/>
        <v>0</v>
      </c>
      <c r="V502" s="328">
        <f t="shared" si="190"/>
        <v>0</v>
      </c>
      <c r="W502" s="328">
        <f t="shared" si="190"/>
        <v>0</v>
      </c>
      <c r="X502" s="328">
        <f t="shared" si="190"/>
        <v>0</v>
      </c>
    </row>
    <row r="503" spans="2:24">
      <c r="B503" s="19" t="str">
        <f t="shared" si="163"/>
        <v/>
      </c>
      <c r="C503" s="491" t="str">
        <f t="shared" si="185"/>
        <v/>
      </c>
      <c r="D503" s="491" t="str">
        <f t="shared" si="185"/>
        <v/>
      </c>
      <c r="E503" s="19" t="str">
        <f t="shared" si="185"/>
        <v/>
      </c>
      <c r="F503" s="52"/>
      <c r="G503" s="52"/>
      <c r="H503" s="52"/>
      <c r="I503" s="52"/>
      <c r="J503" s="52"/>
      <c r="K503" s="328">
        <f t="shared" ref="K503:X503" si="191">K374</f>
        <v>0</v>
      </c>
      <c r="L503" s="328">
        <f t="shared" si="191"/>
        <v>0</v>
      </c>
      <c r="M503" s="328">
        <f t="shared" si="191"/>
        <v>0</v>
      </c>
      <c r="N503" s="328">
        <f t="shared" si="191"/>
        <v>0</v>
      </c>
      <c r="O503" s="328">
        <f t="shared" si="191"/>
        <v>0</v>
      </c>
      <c r="P503" s="328">
        <f t="shared" si="191"/>
        <v>0</v>
      </c>
      <c r="Q503" s="328">
        <f t="shared" si="191"/>
        <v>0</v>
      </c>
      <c r="R503" s="328">
        <f t="shared" si="191"/>
        <v>0</v>
      </c>
      <c r="S503" s="328">
        <f t="shared" si="191"/>
        <v>0</v>
      </c>
      <c r="T503" s="328">
        <f t="shared" si="191"/>
        <v>0</v>
      </c>
      <c r="U503" s="328">
        <f t="shared" si="191"/>
        <v>0</v>
      </c>
      <c r="V503" s="328">
        <f t="shared" si="191"/>
        <v>0</v>
      </c>
      <c r="W503" s="328">
        <f t="shared" si="191"/>
        <v>0</v>
      </c>
      <c r="X503" s="328">
        <f t="shared" si="191"/>
        <v>0</v>
      </c>
    </row>
    <row r="504" spans="2:24">
      <c r="B504" s="19" t="str">
        <f t="shared" si="163"/>
        <v/>
      </c>
      <c r="C504" s="491" t="str">
        <f t="shared" si="185"/>
        <v/>
      </c>
      <c r="D504" s="491" t="str">
        <f t="shared" si="185"/>
        <v/>
      </c>
      <c r="E504" s="19" t="str">
        <f t="shared" si="185"/>
        <v/>
      </c>
      <c r="F504" s="52"/>
      <c r="G504" s="52"/>
      <c r="H504" s="52"/>
      <c r="I504" s="52"/>
      <c r="J504" s="52"/>
      <c r="K504" s="328">
        <f t="shared" ref="K504:X504" si="192">K375</f>
        <v>0</v>
      </c>
      <c r="L504" s="328">
        <f t="shared" si="192"/>
        <v>0</v>
      </c>
      <c r="M504" s="328">
        <f t="shared" si="192"/>
        <v>0</v>
      </c>
      <c r="N504" s="328">
        <f t="shared" si="192"/>
        <v>0</v>
      </c>
      <c r="O504" s="328">
        <f t="shared" si="192"/>
        <v>0</v>
      </c>
      <c r="P504" s="328">
        <f t="shared" si="192"/>
        <v>0</v>
      </c>
      <c r="Q504" s="328">
        <f t="shared" si="192"/>
        <v>0</v>
      </c>
      <c r="R504" s="328">
        <f t="shared" si="192"/>
        <v>0</v>
      </c>
      <c r="S504" s="328">
        <f t="shared" si="192"/>
        <v>0</v>
      </c>
      <c r="T504" s="328">
        <f t="shared" si="192"/>
        <v>0</v>
      </c>
      <c r="U504" s="328">
        <f t="shared" si="192"/>
        <v>0</v>
      </c>
      <c r="V504" s="328">
        <f t="shared" si="192"/>
        <v>0</v>
      </c>
      <c r="W504" s="328">
        <f t="shared" si="192"/>
        <v>0</v>
      </c>
      <c r="X504" s="328">
        <f t="shared" si="192"/>
        <v>0</v>
      </c>
    </row>
    <row r="505" spans="2:24">
      <c r="B505" s="19" t="str">
        <f t="shared" si="163"/>
        <v/>
      </c>
      <c r="C505" s="491" t="str">
        <f t="shared" si="185"/>
        <v/>
      </c>
      <c r="D505" s="491" t="str">
        <f t="shared" si="185"/>
        <v/>
      </c>
      <c r="E505" s="19" t="str">
        <f t="shared" si="185"/>
        <v/>
      </c>
      <c r="F505" s="52"/>
      <c r="G505" s="52"/>
      <c r="H505" s="52"/>
      <c r="I505" s="52"/>
      <c r="J505" s="52"/>
      <c r="K505" s="328">
        <f t="shared" ref="K505:X505" si="193">K376</f>
        <v>0</v>
      </c>
      <c r="L505" s="328">
        <f t="shared" si="193"/>
        <v>0</v>
      </c>
      <c r="M505" s="328">
        <f t="shared" si="193"/>
        <v>0</v>
      </c>
      <c r="N505" s="328">
        <f t="shared" si="193"/>
        <v>0</v>
      </c>
      <c r="O505" s="328">
        <f t="shared" si="193"/>
        <v>0</v>
      </c>
      <c r="P505" s="328">
        <f t="shared" si="193"/>
        <v>0</v>
      </c>
      <c r="Q505" s="328">
        <f t="shared" si="193"/>
        <v>0</v>
      </c>
      <c r="R505" s="328">
        <f t="shared" si="193"/>
        <v>0</v>
      </c>
      <c r="S505" s="328">
        <f t="shared" si="193"/>
        <v>0</v>
      </c>
      <c r="T505" s="328">
        <f t="shared" si="193"/>
        <v>0</v>
      </c>
      <c r="U505" s="328">
        <f t="shared" si="193"/>
        <v>0</v>
      </c>
      <c r="V505" s="328">
        <f t="shared" si="193"/>
        <v>0</v>
      </c>
      <c r="W505" s="328">
        <f t="shared" si="193"/>
        <v>0</v>
      </c>
      <c r="X505" s="328">
        <f t="shared" si="193"/>
        <v>0</v>
      </c>
    </row>
    <row r="506" spans="2:24">
      <c r="B506" s="19" t="str">
        <f t="shared" si="163"/>
        <v/>
      </c>
      <c r="C506" s="491" t="str">
        <f t="shared" si="185"/>
        <v/>
      </c>
      <c r="D506" s="491" t="str">
        <f t="shared" si="185"/>
        <v/>
      </c>
      <c r="E506" s="19" t="str">
        <f t="shared" si="185"/>
        <v/>
      </c>
      <c r="F506" s="52"/>
      <c r="G506" s="52"/>
      <c r="H506" s="52"/>
      <c r="I506" s="52"/>
      <c r="J506" s="52"/>
      <c r="K506" s="328">
        <f t="shared" ref="K506:X506" si="194">K377</f>
        <v>0</v>
      </c>
      <c r="L506" s="328">
        <f t="shared" si="194"/>
        <v>0</v>
      </c>
      <c r="M506" s="328">
        <f t="shared" si="194"/>
        <v>0</v>
      </c>
      <c r="N506" s="328">
        <f t="shared" si="194"/>
        <v>0</v>
      </c>
      <c r="O506" s="328">
        <f t="shared" si="194"/>
        <v>0</v>
      </c>
      <c r="P506" s="328">
        <f t="shared" si="194"/>
        <v>0</v>
      </c>
      <c r="Q506" s="328">
        <f t="shared" si="194"/>
        <v>0</v>
      </c>
      <c r="R506" s="328">
        <f t="shared" si="194"/>
        <v>0</v>
      </c>
      <c r="S506" s="328">
        <f t="shared" si="194"/>
        <v>0</v>
      </c>
      <c r="T506" s="328">
        <f t="shared" si="194"/>
        <v>0</v>
      </c>
      <c r="U506" s="328">
        <f t="shared" si="194"/>
        <v>0</v>
      </c>
      <c r="V506" s="328">
        <f t="shared" si="194"/>
        <v>0</v>
      </c>
      <c r="W506" s="328">
        <f t="shared" si="194"/>
        <v>0</v>
      </c>
      <c r="X506" s="328">
        <f t="shared" si="194"/>
        <v>0</v>
      </c>
    </row>
    <row r="507" spans="2:24">
      <c r="B507" s="19" t="str">
        <f t="shared" si="163"/>
        <v/>
      </c>
      <c r="C507" s="491" t="str">
        <f t="shared" si="185"/>
        <v/>
      </c>
      <c r="D507" s="491" t="str">
        <f t="shared" si="185"/>
        <v/>
      </c>
      <c r="E507" s="19" t="str">
        <f t="shared" si="185"/>
        <v/>
      </c>
      <c r="F507" s="52"/>
      <c r="G507" s="52"/>
      <c r="H507" s="52"/>
      <c r="I507" s="52"/>
      <c r="J507" s="52"/>
      <c r="K507" s="328">
        <f t="shared" ref="K507:X507" si="195">K378</f>
        <v>0</v>
      </c>
      <c r="L507" s="328">
        <f t="shared" si="195"/>
        <v>0</v>
      </c>
      <c r="M507" s="328">
        <f t="shared" si="195"/>
        <v>0</v>
      </c>
      <c r="N507" s="328">
        <f t="shared" si="195"/>
        <v>0</v>
      </c>
      <c r="O507" s="328">
        <f t="shared" si="195"/>
        <v>0</v>
      </c>
      <c r="P507" s="328">
        <f t="shared" si="195"/>
        <v>0</v>
      </c>
      <c r="Q507" s="328">
        <f t="shared" si="195"/>
        <v>0</v>
      </c>
      <c r="R507" s="328">
        <f t="shared" si="195"/>
        <v>0</v>
      </c>
      <c r="S507" s="328">
        <f t="shared" si="195"/>
        <v>0</v>
      </c>
      <c r="T507" s="328">
        <f t="shared" si="195"/>
        <v>0</v>
      </c>
      <c r="U507" s="328">
        <f t="shared" si="195"/>
        <v>0</v>
      </c>
      <c r="V507" s="328">
        <f t="shared" si="195"/>
        <v>0</v>
      </c>
      <c r="W507" s="328">
        <f t="shared" si="195"/>
        <v>0</v>
      </c>
      <c r="X507" s="328">
        <f t="shared" si="195"/>
        <v>0</v>
      </c>
    </row>
    <row r="508" spans="2:24">
      <c r="B508" s="19" t="str">
        <f t="shared" si="163"/>
        <v/>
      </c>
      <c r="C508" s="491" t="str">
        <f t="shared" si="185"/>
        <v/>
      </c>
      <c r="D508" s="491" t="str">
        <f t="shared" si="185"/>
        <v/>
      </c>
      <c r="E508" s="19" t="str">
        <f t="shared" si="185"/>
        <v/>
      </c>
      <c r="F508" s="52"/>
      <c r="G508" s="52"/>
      <c r="H508" s="52"/>
      <c r="I508" s="52"/>
      <c r="J508" s="52"/>
      <c r="K508" s="328">
        <f t="shared" ref="K508:X508" si="196">K379</f>
        <v>0</v>
      </c>
      <c r="L508" s="328">
        <f t="shared" si="196"/>
        <v>0</v>
      </c>
      <c r="M508" s="328">
        <f t="shared" si="196"/>
        <v>0</v>
      </c>
      <c r="N508" s="328">
        <f t="shared" si="196"/>
        <v>0</v>
      </c>
      <c r="O508" s="328">
        <f t="shared" si="196"/>
        <v>0</v>
      </c>
      <c r="P508" s="328">
        <f t="shared" si="196"/>
        <v>0</v>
      </c>
      <c r="Q508" s="328">
        <f t="shared" si="196"/>
        <v>0</v>
      </c>
      <c r="R508" s="328">
        <f t="shared" si="196"/>
        <v>0</v>
      </c>
      <c r="S508" s="328">
        <f t="shared" si="196"/>
        <v>0</v>
      </c>
      <c r="T508" s="328">
        <f t="shared" si="196"/>
        <v>0</v>
      </c>
      <c r="U508" s="328">
        <f t="shared" si="196"/>
        <v>0</v>
      </c>
      <c r="V508" s="328">
        <f t="shared" si="196"/>
        <v>0</v>
      </c>
      <c r="W508" s="328">
        <f t="shared" si="196"/>
        <v>0</v>
      </c>
      <c r="X508" s="328">
        <f t="shared" si="196"/>
        <v>0</v>
      </c>
    </row>
    <row r="509" spans="2:24">
      <c r="B509" s="19" t="str">
        <f t="shared" si="163"/>
        <v/>
      </c>
      <c r="C509" s="491" t="str">
        <f t="shared" si="185"/>
        <v/>
      </c>
      <c r="D509" s="491" t="str">
        <f t="shared" si="185"/>
        <v/>
      </c>
      <c r="E509" s="19" t="str">
        <f t="shared" si="185"/>
        <v/>
      </c>
      <c r="F509" s="52"/>
      <c r="G509" s="52"/>
      <c r="H509" s="52"/>
      <c r="I509" s="52"/>
      <c r="J509" s="52"/>
      <c r="K509" s="328">
        <f t="shared" ref="K509:X509" si="197">K380</f>
        <v>0</v>
      </c>
      <c r="L509" s="328">
        <f t="shared" si="197"/>
        <v>0</v>
      </c>
      <c r="M509" s="328">
        <f t="shared" si="197"/>
        <v>0</v>
      </c>
      <c r="N509" s="328">
        <f t="shared" si="197"/>
        <v>0</v>
      </c>
      <c r="O509" s="328">
        <f t="shared" si="197"/>
        <v>0</v>
      </c>
      <c r="P509" s="328">
        <f t="shared" si="197"/>
        <v>0</v>
      </c>
      <c r="Q509" s="328">
        <f t="shared" si="197"/>
        <v>0</v>
      </c>
      <c r="R509" s="328">
        <f t="shared" si="197"/>
        <v>0</v>
      </c>
      <c r="S509" s="328">
        <f t="shared" si="197"/>
        <v>0</v>
      </c>
      <c r="T509" s="328">
        <f t="shared" si="197"/>
        <v>0</v>
      </c>
      <c r="U509" s="328">
        <f t="shared" si="197"/>
        <v>0</v>
      </c>
      <c r="V509" s="328">
        <f t="shared" si="197"/>
        <v>0</v>
      </c>
      <c r="W509" s="328">
        <f t="shared" si="197"/>
        <v>0</v>
      </c>
      <c r="X509" s="328">
        <f t="shared" si="197"/>
        <v>0</v>
      </c>
    </row>
    <row r="510" spans="2:24">
      <c r="B510" s="19" t="str">
        <f t="shared" si="163"/>
        <v/>
      </c>
      <c r="C510" s="491" t="str">
        <f t="shared" si="185"/>
        <v/>
      </c>
      <c r="D510" s="491" t="str">
        <f t="shared" si="185"/>
        <v/>
      </c>
      <c r="E510" s="19" t="str">
        <f t="shared" si="185"/>
        <v/>
      </c>
      <c r="F510" s="52"/>
      <c r="G510" s="52"/>
      <c r="H510" s="52"/>
      <c r="I510" s="52"/>
      <c r="J510" s="52"/>
      <c r="K510" s="328">
        <f t="shared" ref="K510:X510" si="198">K381</f>
        <v>0</v>
      </c>
      <c r="L510" s="328">
        <f t="shared" si="198"/>
        <v>0</v>
      </c>
      <c r="M510" s="328">
        <f t="shared" si="198"/>
        <v>0</v>
      </c>
      <c r="N510" s="328">
        <f t="shared" si="198"/>
        <v>0</v>
      </c>
      <c r="O510" s="328">
        <f t="shared" si="198"/>
        <v>0</v>
      </c>
      <c r="P510" s="328">
        <f t="shared" si="198"/>
        <v>0</v>
      </c>
      <c r="Q510" s="328">
        <f t="shared" si="198"/>
        <v>0</v>
      </c>
      <c r="R510" s="328">
        <f t="shared" si="198"/>
        <v>0</v>
      </c>
      <c r="S510" s="328">
        <f t="shared" si="198"/>
        <v>0</v>
      </c>
      <c r="T510" s="328">
        <f t="shared" si="198"/>
        <v>0</v>
      </c>
      <c r="U510" s="328">
        <f t="shared" si="198"/>
        <v>0</v>
      </c>
      <c r="V510" s="328">
        <f t="shared" si="198"/>
        <v>0</v>
      </c>
      <c r="W510" s="328">
        <f t="shared" si="198"/>
        <v>0</v>
      </c>
      <c r="X510" s="328">
        <f t="shared" si="198"/>
        <v>0</v>
      </c>
    </row>
    <row r="511" spans="2:24">
      <c r="B511" s="19" t="str">
        <f t="shared" si="163"/>
        <v/>
      </c>
      <c r="C511" s="491" t="str">
        <f t="shared" si="185"/>
        <v/>
      </c>
      <c r="D511" s="491" t="str">
        <f t="shared" si="185"/>
        <v/>
      </c>
      <c r="E511" s="19" t="str">
        <f t="shared" si="185"/>
        <v/>
      </c>
      <c r="F511" s="52"/>
      <c r="G511" s="52"/>
      <c r="H511" s="52"/>
      <c r="I511" s="52"/>
      <c r="J511" s="52"/>
      <c r="K511" s="328">
        <f t="shared" ref="K511:X511" si="199">K382</f>
        <v>0</v>
      </c>
      <c r="L511" s="328">
        <f t="shared" si="199"/>
        <v>0</v>
      </c>
      <c r="M511" s="328">
        <f t="shared" si="199"/>
        <v>0</v>
      </c>
      <c r="N511" s="328">
        <f t="shared" si="199"/>
        <v>0</v>
      </c>
      <c r="O511" s="328">
        <f t="shared" si="199"/>
        <v>0</v>
      </c>
      <c r="P511" s="328">
        <f t="shared" si="199"/>
        <v>0</v>
      </c>
      <c r="Q511" s="328">
        <f t="shared" si="199"/>
        <v>0</v>
      </c>
      <c r="R511" s="328">
        <f t="shared" si="199"/>
        <v>0</v>
      </c>
      <c r="S511" s="328">
        <f t="shared" si="199"/>
        <v>0</v>
      </c>
      <c r="T511" s="328">
        <f t="shared" si="199"/>
        <v>0</v>
      </c>
      <c r="U511" s="328">
        <f t="shared" si="199"/>
        <v>0</v>
      </c>
      <c r="V511" s="328">
        <f t="shared" si="199"/>
        <v>0</v>
      </c>
      <c r="W511" s="328">
        <f t="shared" si="199"/>
        <v>0</v>
      </c>
      <c r="X511" s="328">
        <f t="shared" si="199"/>
        <v>0</v>
      </c>
    </row>
    <row r="512" spans="2:24">
      <c r="B512" s="19" t="str">
        <f t="shared" si="163"/>
        <v/>
      </c>
      <c r="C512" s="491" t="str">
        <f t="shared" si="185"/>
        <v/>
      </c>
      <c r="D512" s="491" t="str">
        <f t="shared" si="185"/>
        <v/>
      </c>
      <c r="E512" s="19" t="str">
        <f t="shared" si="185"/>
        <v/>
      </c>
      <c r="F512" s="52"/>
      <c r="G512" s="52"/>
      <c r="H512" s="52"/>
      <c r="I512" s="52"/>
      <c r="J512" s="52"/>
      <c r="K512" s="328">
        <f t="shared" ref="K512:X512" si="200">K383</f>
        <v>0</v>
      </c>
      <c r="L512" s="328">
        <f t="shared" si="200"/>
        <v>0</v>
      </c>
      <c r="M512" s="328">
        <f t="shared" si="200"/>
        <v>0</v>
      </c>
      <c r="N512" s="328">
        <f t="shared" si="200"/>
        <v>0</v>
      </c>
      <c r="O512" s="328">
        <f t="shared" si="200"/>
        <v>0</v>
      </c>
      <c r="P512" s="328">
        <f t="shared" si="200"/>
        <v>0</v>
      </c>
      <c r="Q512" s="328">
        <f t="shared" si="200"/>
        <v>0</v>
      </c>
      <c r="R512" s="328">
        <f t="shared" si="200"/>
        <v>0</v>
      </c>
      <c r="S512" s="328">
        <f t="shared" si="200"/>
        <v>0</v>
      </c>
      <c r="T512" s="328">
        <f t="shared" si="200"/>
        <v>0</v>
      </c>
      <c r="U512" s="328">
        <f t="shared" si="200"/>
        <v>0</v>
      </c>
      <c r="V512" s="328">
        <f t="shared" si="200"/>
        <v>0</v>
      </c>
      <c r="W512" s="328">
        <f t="shared" si="200"/>
        <v>0</v>
      </c>
      <c r="X512" s="328">
        <f t="shared" si="200"/>
        <v>0</v>
      </c>
    </row>
    <row r="513" spans="2:38">
      <c r="B513" s="19" t="str">
        <f t="shared" si="163"/>
        <v/>
      </c>
      <c r="C513" s="491" t="str">
        <f t="shared" si="185"/>
        <v/>
      </c>
      <c r="D513" s="491" t="str">
        <f t="shared" si="185"/>
        <v/>
      </c>
      <c r="E513" s="19" t="str">
        <f t="shared" si="185"/>
        <v/>
      </c>
      <c r="F513" s="52"/>
      <c r="G513" s="52"/>
      <c r="H513" s="52"/>
      <c r="I513" s="52"/>
      <c r="J513" s="52"/>
      <c r="K513" s="328">
        <f t="shared" ref="K513:X513" si="201">K384</f>
        <v>0</v>
      </c>
      <c r="L513" s="328">
        <f t="shared" si="201"/>
        <v>0</v>
      </c>
      <c r="M513" s="328">
        <f t="shared" si="201"/>
        <v>0</v>
      </c>
      <c r="N513" s="328">
        <f t="shared" si="201"/>
        <v>0</v>
      </c>
      <c r="O513" s="328">
        <f t="shared" si="201"/>
        <v>0</v>
      </c>
      <c r="P513" s="328">
        <f t="shared" si="201"/>
        <v>0</v>
      </c>
      <c r="Q513" s="328">
        <f t="shared" si="201"/>
        <v>0</v>
      </c>
      <c r="R513" s="328">
        <f t="shared" si="201"/>
        <v>0</v>
      </c>
      <c r="S513" s="328">
        <f t="shared" si="201"/>
        <v>0</v>
      </c>
      <c r="T513" s="328">
        <f t="shared" si="201"/>
        <v>0</v>
      </c>
      <c r="U513" s="328">
        <f t="shared" si="201"/>
        <v>0</v>
      </c>
      <c r="V513" s="328">
        <f t="shared" si="201"/>
        <v>0</v>
      </c>
      <c r="W513" s="328">
        <f t="shared" si="201"/>
        <v>0</v>
      </c>
      <c r="X513" s="328">
        <f t="shared" si="201"/>
        <v>0</v>
      </c>
    </row>
    <row r="514" spans="2:38">
      <c r="B514" s="19" t="str">
        <f t="shared" si="163"/>
        <v/>
      </c>
      <c r="C514" s="491" t="str">
        <f t="shared" si="185"/>
        <v/>
      </c>
      <c r="D514" s="491" t="str">
        <f t="shared" si="185"/>
        <v/>
      </c>
      <c r="E514" s="19" t="str">
        <f t="shared" si="185"/>
        <v/>
      </c>
      <c r="F514" s="52"/>
      <c r="G514" s="52"/>
      <c r="H514" s="52"/>
      <c r="I514" s="52"/>
      <c r="J514" s="52"/>
      <c r="K514" s="328">
        <f t="shared" ref="K514:X514" si="202">K385</f>
        <v>0</v>
      </c>
      <c r="L514" s="328">
        <f t="shared" si="202"/>
        <v>0</v>
      </c>
      <c r="M514" s="328">
        <f t="shared" si="202"/>
        <v>0</v>
      </c>
      <c r="N514" s="328">
        <f t="shared" si="202"/>
        <v>0</v>
      </c>
      <c r="O514" s="328">
        <f t="shared" si="202"/>
        <v>0</v>
      </c>
      <c r="P514" s="328">
        <f t="shared" si="202"/>
        <v>0</v>
      </c>
      <c r="Q514" s="328">
        <f t="shared" si="202"/>
        <v>0</v>
      </c>
      <c r="R514" s="328">
        <f t="shared" si="202"/>
        <v>0</v>
      </c>
      <c r="S514" s="328">
        <f t="shared" si="202"/>
        <v>0</v>
      </c>
      <c r="T514" s="328">
        <f t="shared" si="202"/>
        <v>0</v>
      </c>
      <c r="U514" s="328">
        <f t="shared" si="202"/>
        <v>0</v>
      </c>
      <c r="V514" s="328">
        <f t="shared" si="202"/>
        <v>0</v>
      </c>
      <c r="W514" s="328">
        <f t="shared" si="202"/>
        <v>0</v>
      </c>
      <c r="X514" s="328">
        <f t="shared" si="202"/>
        <v>0</v>
      </c>
    </row>
    <row r="515" spans="2:38">
      <c r="B515" s="19" t="str">
        <f t="shared" si="163"/>
        <v/>
      </c>
      <c r="C515" s="491" t="str">
        <f t="shared" si="185"/>
        <v/>
      </c>
      <c r="D515" s="491" t="str">
        <f t="shared" si="185"/>
        <v/>
      </c>
      <c r="E515" s="19" t="str">
        <f t="shared" si="185"/>
        <v/>
      </c>
      <c r="F515" s="52"/>
      <c r="G515" s="52"/>
      <c r="H515" s="52"/>
      <c r="I515" s="52"/>
      <c r="J515" s="52"/>
      <c r="K515" s="328">
        <f t="shared" ref="K515:X515" si="203">K386</f>
        <v>0</v>
      </c>
      <c r="L515" s="328">
        <f t="shared" si="203"/>
        <v>0</v>
      </c>
      <c r="M515" s="328">
        <f t="shared" si="203"/>
        <v>0</v>
      </c>
      <c r="N515" s="328">
        <f t="shared" si="203"/>
        <v>0</v>
      </c>
      <c r="O515" s="328">
        <f t="shared" si="203"/>
        <v>0</v>
      </c>
      <c r="P515" s="328">
        <f t="shared" si="203"/>
        <v>0</v>
      </c>
      <c r="Q515" s="328">
        <f t="shared" si="203"/>
        <v>0</v>
      </c>
      <c r="R515" s="328">
        <f t="shared" si="203"/>
        <v>0</v>
      </c>
      <c r="S515" s="328">
        <f t="shared" si="203"/>
        <v>0</v>
      </c>
      <c r="T515" s="328">
        <f t="shared" si="203"/>
        <v>0</v>
      </c>
      <c r="U515" s="328">
        <f t="shared" si="203"/>
        <v>0</v>
      </c>
      <c r="V515" s="328">
        <f t="shared" si="203"/>
        <v>0</v>
      </c>
      <c r="W515" s="328">
        <f t="shared" si="203"/>
        <v>0</v>
      </c>
      <c r="X515" s="328">
        <f t="shared" si="203"/>
        <v>0</v>
      </c>
    </row>
    <row r="516" spans="2:38">
      <c r="B516" s="19" t="str">
        <f t="shared" si="163"/>
        <v/>
      </c>
      <c r="C516" s="491" t="str">
        <f t="shared" si="185"/>
        <v/>
      </c>
      <c r="D516" s="491" t="str">
        <f t="shared" si="185"/>
        <v/>
      </c>
      <c r="E516" s="19" t="str">
        <f t="shared" si="185"/>
        <v/>
      </c>
      <c r="F516" s="52"/>
      <c r="G516" s="52"/>
      <c r="H516" s="52"/>
      <c r="I516" s="52"/>
      <c r="J516" s="52"/>
      <c r="K516" s="328">
        <f t="shared" ref="K516:X516" si="204">K387</f>
        <v>0</v>
      </c>
      <c r="L516" s="328">
        <f t="shared" si="204"/>
        <v>0</v>
      </c>
      <c r="M516" s="328">
        <f t="shared" si="204"/>
        <v>0</v>
      </c>
      <c r="N516" s="328">
        <f t="shared" si="204"/>
        <v>0</v>
      </c>
      <c r="O516" s="328">
        <f t="shared" si="204"/>
        <v>0</v>
      </c>
      <c r="P516" s="328">
        <f t="shared" si="204"/>
        <v>0</v>
      </c>
      <c r="Q516" s="328">
        <f t="shared" si="204"/>
        <v>0</v>
      </c>
      <c r="R516" s="328">
        <f t="shared" si="204"/>
        <v>0</v>
      </c>
      <c r="S516" s="328">
        <f t="shared" si="204"/>
        <v>0</v>
      </c>
      <c r="T516" s="328">
        <f t="shared" si="204"/>
        <v>0</v>
      </c>
      <c r="U516" s="328">
        <f t="shared" si="204"/>
        <v>0</v>
      </c>
      <c r="V516" s="328">
        <f t="shared" si="204"/>
        <v>0</v>
      </c>
      <c r="W516" s="328">
        <f t="shared" si="204"/>
        <v>0</v>
      </c>
      <c r="X516" s="328">
        <f t="shared" si="204"/>
        <v>0</v>
      </c>
    </row>
    <row r="517" spans="2:38">
      <c r="B517" s="19" t="str">
        <f t="shared" si="163"/>
        <v/>
      </c>
      <c r="C517" s="491" t="str">
        <f t="shared" si="185"/>
        <v/>
      </c>
      <c r="D517" s="491" t="str">
        <f t="shared" si="185"/>
        <v/>
      </c>
      <c r="E517" s="19" t="str">
        <f t="shared" si="185"/>
        <v/>
      </c>
      <c r="F517" s="52"/>
      <c r="G517" s="52"/>
      <c r="H517" s="52"/>
      <c r="I517" s="52"/>
      <c r="J517" s="52"/>
      <c r="K517" s="328">
        <f t="shared" ref="K517:X517" si="205">K388</f>
        <v>0</v>
      </c>
      <c r="L517" s="328">
        <f t="shared" si="205"/>
        <v>0</v>
      </c>
      <c r="M517" s="328">
        <f t="shared" si="205"/>
        <v>0</v>
      </c>
      <c r="N517" s="328">
        <f t="shared" si="205"/>
        <v>0</v>
      </c>
      <c r="O517" s="328">
        <f t="shared" si="205"/>
        <v>0</v>
      </c>
      <c r="P517" s="328">
        <f t="shared" si="205"/>
        <v>0</v>
      </c>
      <c r="Q517" s="328">
        <f t="shared" si="205"/>
        <v>0</v>
      </c>
      <c r="R517" s="328">
        <f t="shared" si="205"/>
        <v>0</v>
      </c>
      <c r="S517" s="328">
        <f t="shared" si="205"/>
        <v>0</v>
      </c>
      <c r="T517" s="328">
        <f t="shared" si="205"/>
        <v>0</v>
      </c>
      <c r="U517" s="328">
        <f t="shared" si="205"/>
        <v>0</v>
      </c>
      <c r="V517" s="328">
        <f t="shared" si="205"/>
        <v>0</v>
      </c>
      <c r="W517" s="328">
        <f t="shared" si="205"/>
        <v>0</v>
      </c>
      <c r="X517" s="328">
        <f t="shared" si="205"/>
        <v>0</v>
      </c>
    </row>
    <row r="518" spans="2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38">
      <c r="B520" s="349" t="s">
        <v>323</v>
      </c>
      <c r="C520" s="348" t="str">
        <f>C$114</f>
        <v>Moduł</v>
      </c>
      <c r="D520" s="348" t="str">
        <f t="shared" ref="D520:X520" si="206">D$114</f>
        <v>Kwalifikowalne</v>
      </c>
      <c r="E520" s="348" t="str">
        <f t="shared" si="206"/>
        <v>Koszty B+R</v>
      </c>
      <c r="F520" s="348"/>
      <c r="G520" s="348">
        <f t="shared" ca="1" si="206"/>
        <v>0</v>
      </c>
      <c r="H520" s="348">
        <f t="shared" ca="1" si="206"/>
        <v>0</v>
      </c>
      <c r="I520" s="348">
        <f t="shared" ca="1" si="206"/>
        <v>0</v>
      </c>
      <c r="J520" s="348" t="str">
        <f t="shared" si="206"/>
        <v/>
      </c>
      <c r="K520" s="348" t="str">
        <f t="shared" si="206"/>
        <v>Uzupełnij dane</v>
      </c>
      <c r="L520" s="348" t="str">
        <f t="shared" si="206"/>
        <v/>
      </c>
      <c r="M520" s="348" t="str">
        <f t="shared" si="206"/>
        <v/>
      </c>
      <c r="N520" s="348" t="str">
        <f t="shared" si="206"/>
        <v/>
      </c>
      <c r="O520" s="348" t="str">
        <f t="shared" si="206"/>
        <v/>
      </c>
      <c r="P520" s="348" t="str">
        <f t="shared" si="206"/>
        <v/>
      </c>
      <c r="Q520" s="348" t="str">
        <f t="shared" si="206"/>
        <v/>
      </c>
      <c r="R520" s="348" t="str">
        <f t="shared" si="206"/>
        <v/>
      </c>
      <c r="S520" s="348" t="str">
        <f t="shared" si="206"/>
        <v/>
      </c>
      <c r="T520" s="348" t="str">
        <f t="shared" si="206"/>
        <v/>
      </c>
      <c r="U520" s="348" t="str">
        <f t="shared" si="206"/>
        <v/>
      </c>
      <c r="V520" s="348" t="str">
        <f t="shared" si="206"/>
        <v/>
      </c>
      <c r="W520" s="348" t="str">
        <f t="shared" si="206"/>
        <v/>
      </c>
      <c r="X520" s="348" t="str">
        <f t="shared" si="206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2:38"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2:38"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2:38"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2:38"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2:38"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2:38"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2:28"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2:28"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2:28"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2:28"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2:28"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2:28"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2:28"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2:28"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2:28"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2:28"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2:28"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2:28"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2:28"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2:28"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2:28"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2:28"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2:28"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2:28"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2:28"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2:28"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2:28"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2:28"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2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07">IF(LataProjekcji&lt;=Koniec,ROUND(SUM(K521:K550),0),0)</f>
        <v>0</v>
      </c>
      <c r="L551" s="180">
        <f t="shared" si="207"/>
        <v>0</v>
      </c>
      <c r="M551" s="180">
        <f t="shared" si="207"/>
        <v>0</v>
      </c>
      <c r="N551" s="180">
        <f t="shared" si="207"/>
        <v>0</v>
      </c>
      <c r="O551" s="180">
        <f t="shared" si="207"/>
        <v>0</v>
      </c>
      <c r="P551" s="180">
        <f t="shared" si="207"/>
        <v>0</v>
      </c>
      <c r="Q551" s="180">
        <f t="shared" si="207"/>
        <v>0</v>
      </c>
      <c r="R551" s="180">
        <f t="shared" si="207"/>
        <v>0</v>
      </c>
      <c r="S551" s="180">
        <f t="shared" si="207"/>
        <v>0</v>
      </c>
      <c r="T551" s="180">
        <f t="shared" si="207"/>
        <v>0</v>
      </c>
      <c r="U551" s="180">
        <f t="shared" si="207"/>
        <v>0</v>
      </c>
      <c r="V551" s="180">
        <f t="shared" si="207"/>
        <v>0</v>
      </c>
      <c r="W551" s="180">
        <f t="shared" si="207"/>
        <v>0</v>
      </c>
      <c r="X551" s="180">
        <f t="shared" si="207"/>
        <v>0</v>
      </c>
      <c r="Y551"/>
      <c r="Z551"/>
      <c r="AA551"/>
      <c r="AB551"/>
    </row>
    <row r="552" spans="2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565" t="s">
        <v>341</v>
      </c>
      <c r="L552" s="566"/>
      <c r="M552" s="566"/>
      <c r="N552" s="566"/>
      <c r="O552" s="566"/>
      <c r="P552" s="566"/>
      <c r="Q552" s="566"/>
      <c r="R552" s="566"/>
      <c r="S552" s="566"/>
      <c r="T552" s="566"/>
      <c r="U552" s="566"/>
      <c r="V552" s="566"/>
      <c r="W552" s="566"/>
      <c r="X552" s="566"/>
      <c r="Y552"/>
      <c r="Z552"/>
      <c r="AA552"/>
      <c r="AB552"/>
    </row>
    <row r="553" spans="2:28">
      <c r="B553" s="187" t="str">
        <f t="shared" ref="B553:E582" si="208">IF(ISBLANK(B521),"",B521)</f>
        <v/>
      </c>
      <c r="C553" s="492" t="str">
        <f t="shared" si="208"/>
        <v/>
      </c>
      <c r="D553" s="492" t="str">
        <f t="shared" si="208"/>
        <v/>
      </c>
      <c r="E553" s="187" t="str">
        <f t="shared" si="208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2:28">
      <c r="B554" s="187" t="str">
        <f t="shared" si="208"/>
        <v/>
      </c>
      <c r="C554" s="492" t="str">
        <f t="shared" si="208"/>
        <v/>
      </c>
      <c r="D554" s="492" t="str">
        <f t="shared" si="208"/>
        <v/>
      </c>
      <c r="E554" s="187" t="str">
        <f t="shared" si="208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2:28">
      <c r="B555" s="187" t="str">
        <f t="shared" si="208"/>
        <v/>
      </c>
      <c r="C555" s="492" t="str">
        <f t="shared" si="208"/>
        <v/>
      </c>
      <c r="D555" s="492" t="str">
        <f t="shared" si="208"/>
        <v/>
      </c>
      <c r="E555" s="187" t="str">
        <f t="shared" si="208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2:28">
      <c r="B556" s="187" t="str">
        <f t="shared" si="208"/>
        <v/>
      </c>
      <c r="C556" s="492" t="str">
        <f t="shared" si="208"/>
        <v/>
      </c>
      <c r="D556" s="492" t="str">
        <f t="shared" si="208"/>
        <v/>
      </c>
      <c r="E556" s="187" t="str">
        <f t="shared" si="208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2:28">
      <c r="B557" s="187" t="str">
        <f t="shared" si="208"/>
        <v/>
      </c>
      <c r="C557" s="492" t="str">
        <f t="shared" si="208"/>
        <v/>
      </c>
      <c r="D557" s="492" t="str">
        <f t="shared" si="208"/>
        <v/>
      </c>
      <c r="E557" s="187" t="str">
        <f t="shared" si="208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2:28">
      <c r="B558" s="187" t="str">
        <f t="shared" si="208"/>
        <v/>
      </c>
      <c r="C558" s="492" t="str">
        <f t="shared" si="208"/>
        <v/>
      </c>
      <c r="D558" s="492" t="str">
        <f t="shared" si="208"/>
        <v/>
      </c>
      <c r="E558" s="187" t="str">
        <f t="shared" si="208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2:28">
      <c r="B559" s="187" t="str">
        <f t="shared" si="208"/>
        <v/>
      </c>
      <c r="C559" s="492" t="str">
        <f t="shared" si="208"/>
        <v/>
      </c>
      <c r="D559" s="492" t="str">
        <f t="shared" si="208"/>
        <v/>
      </c>
      <c r="E559" s="187" t="str">
        <f t="shared" si="208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2:28">
      <c r="B560" s="187" t="str">
        <f t="shared" si="208"/>
        <v/>
      </c>
      <c r="C560" s="492" t="str">
        <f t="shared" si="208"/>
        <v/>
      </c>
      <c r="D560" s="492" t="str">
        <f t="shared" si="208"/>
        <v/>
      </c>
      <c r="E560" s="187" t="str">
        <f t="shared" si="208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08"/>
        <v/>
      </c>
      <c r="C561" s="492" t="str">
        <f t="shared" si="208"/>
        <v/>
      </c>
      <c r="D561" s="492" t="str">
        <f t="shared" si="208"/>
        <v/>
      </c>
      <c r="E561" s="187" t="str">
        <f t="shared" si="208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08"/>
        <v/>
      </c>
      <c r="C562" s="492" t="str">
        <f t="shared" si="208"/>
        <v/>
      </c>
      <c r="D562" s="492" t="str">
        <f t="shared" si="208"/>
        <v/>
      </c>
      <c r="E562" s="187" t="str">
        <f t="shared" si="208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08"/>
        <v/>
      </c>
      <c r="C563" s="492" t="str">
        <f t="shared" si="208"/>
        <v/>
      </c>
      <c r="D563" s="492" t="str">
        <f t="shared" si="208"/>
        <v/>
      </c>
      <c r="E563" s="187" t="str">
        <f t="shared" si="208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08"/>
        <v/>
      </c>
      <c r="C564" s="492" t="str">
        <f t="shared" si="208"/>
        <v/>
      </c>
      <c r="D564" s="492" t="str">
        <f t="shared" si="208"/>
        <v/>
      </c>
      <c r="E564" s="187" t="str">
        <f t="shared" si="208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08"/>
        <v/>
      </c>
      <c r="C565" s="492" t="str">
        <f t="shared" si="208"/>
        <v/>
      </c>
      <c r="D565" s="492" t="str">
        <f t="shared" si="208"/>
        <v/>
      </c>
      <c r="E565" s="187" t="str">
        <f t="shared" si="208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08"/>
        <v/>
      </c>
      <c r="C566" s="492" t="str">
        <f t="shared" si="208"/>
        <v/>
      </c>
      <c r="D566" s="492" t="str">
        <f t="shared" si="208"/>
        <v/>
      </c>
      <c r="E566" s="187" t="str">
        <f t="shared" si="208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08"/>
        <v/>
      </c>
      <c r="C567" s="492" t="str">
        <f t="shared" si="208"/>
        <v/>
      </c>
      <c r="D567" s="492" t="str">
        <f t="shared" si="208"/>
        <v/>
      </c>
      <c r="E567" s="187" t="str">
        <f t="shared" si="208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08"/>
        <v/>
      </c>
      <c r="C568" s="492" t="str">
        <f t="shared" si="208"/>
        <v/>
      </c>
      <c r="D568" s="492" t="str">
        <f t="shared" si="208"/>
        <v/>
      </c>
      <c r="E568" s="187" t="str">
        <f t="shared" si="208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08"/>
        <v/>
      </c>
      <c r="C569" s="492" t="str">
        <f t="shared" si="208"/>
        <v/>
      </c>
      <c r="D569" s="492" t="str">
        <f t="shared" si="208"/>
        <v/>
      </c>
      <c r="E569" s="187" t="str">
        <f t="shared" si="208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08"/>
        <v/>
      </c>
      <c r="C570" s="492" t="str">
        <f t="shared" si="208"/>
        <v/>
      </c>
      <c r="D570" s="492" t="str">
        <f t="shared" si="208"/>
        <v/>
      </c>
      <c r="E570" s="187" t="str">
        <f t="shared" si="208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08"/>
        <v/>
      </c>
      <c r="C571" s="492" t="str">
        <f t="shared" si="208"/>
        <v/>
      </c>
      <c r="D571" s="492" t="str">
        <f t="shared" si="208"/>
        <v/>
      </c>
      <c r="E571" s="187" t="str">
        <f t="shared" si="208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08"/>
        <v/>
      </c>
      <c r="C572" s="492" t="str">
        <f t="shared" si="208"/>
        <v/>
      </c>
      <c r="D572" s="492" t="str">
        <f t="shared" si="208"/>
        <v/>
      </c>
      <c r="E572" s="187" t="str">
        <f t="shared" si="208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08"/>
        <v/>
      </c>
      <c r="C573" s="492" t="str">
        <f t="shared" si="208"/>
        <v/>
      </c>
      <c r="D573" s="492" t="str">
        <f t="shared" si="208"/>
        <v/>
      </c>
      <c r="E573" s="187" t="str">
        <f t="shared" si="208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08"/>
        <v/>
      </c>
      <c r="C574" s="492" t="str">
        <f t="shared" si="208"/>
        <v/>
      </c>
      <c r="D574" s="492" t="str">
        <f t="shared" si="208"/>
        <v/>
      </c>
      <c r="E574" s="187" t="str">
        <f t="shared" si="208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08"/>
        <v/>
      </c>
      <c r="C575" s="492" t="str">
        <f t="shared" si="208"/>
        <v/>
      </c>
      <c r="D575" s="492" t="str">
        <f t="shared" si="208"/>
        <v/>
      </c>
      <c r="E575" s="187" t="str">
        <f t="shared" si="208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08"/>
        <v/>
      </c>
      <c r="C576" s="492" t="str">
        <f t="shared" si="208"/>
        <v/>
      </c>
      <c r="D576" s="492" t="str">
        <f t="shared" si="208"/>
        <v/>
      </c>
      <c r="E576" s="187" t="str">
        <f t="shared" si="208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2:24">
      <c r="B577" s="187" t="str">
        <f t="shared" si="208"/>
        <v/>
      </c>
      <c r="C577" s="492" t="str">
        <f t="shared" si="208"/>
        <v/>
      </c>
      <c r="D577" s="492" t="str">
        <f t="shared" si="208"/>
        <v/>
      </c>
      <c r="E577" s="187" t="str">
        <f t="shared" si="208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2:24">
      <c r="B578" s="187" t="str">
        <f t="shared" si="208"/>
        <v/>
      </c>
      <c r="C578" s="492" t="str">
        <f t="shared" si="208"/>
        <v/>
      </c>
      <c r="D578" s="492" t="str">
        <f t="shared" si="208"/>
        <v/>
      </c>
      <c r="E578" s="187" t="str">
        <f t="shared" si="208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2:24">
      <c r="B579" s="187" t="str">
        <f t="shared" si="208"/>
        <v/>
      </c>
      <c r="C579" s="492" t="str">
        <f t="shared" si="208"/>
        <v/>
      </c>
      <c r="D579" s="492" t="str">
        <f t="shared" si="208"/>
        <v/>
      </c>
      <c r="E579" s="187" t="str">
        <f t="shared" si="208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2:24">
      <c r="B580" s="187" t="str">
        <f t="shared" si="208"/>
        <v/>
      </c>
      <c r="C580" s="492" t="str">
        <f t="shared" si="208"/>
        <v/>
      </c>
      <c r="D580" s="492" t="str">
        <f t="shared" si="208"/>
        <v/>
      </c>
      <c r="E580" s="187" t="str">
        <f t="shared" si="208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2:24">
      <c r="B581" s="187" t="str">
        <f t="shared" si="208"/>
        <v/>
      </c>
      <c r="C581" s="492" t="str">
        <f t="shared" si="208"/>
        <v/>
      </c>
      <c r="D581" s="492" t="str">
        <f t="shared" si="208"/>
        <v/>
      </c>
      <c r="E581" s="187" t="str">
        <f t="shared" si="208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2:24">
      <c r="B582" s="187" t="str">
        <f t="shared" si="208"/>
        <v/>
      </c>
      <c r="C582" s="492" t="str">
        <f t="shared" si="208"/>
        <v/>
      </c>
      <c r="D582" s="492" t="str">
        <f t="shared" si="208"/>
        <v/>
      </c>
      <c r="E582" s="187" t="str">
        <f t="shared" si="208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2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>
      <c r="B585" s="349" t="s">
        <v>325</v>
      </c>
      <c r="C585" s="348" t="str">
        <f>C$114</f>
        <v>Moduł</v>
      </c>
      <c r="D585" s="348" t="str">
        <f t="shared" ref="D585:X585" si="209">D$114</f>
        <v>Kwalifikowalne</v>
      </c>
      <c r="E585" s="348" t="str">
        <f t="shared" si="209"/>
        <v>Koszty B+R</v>
      </c>
      <c r="F585" s="348"/>
      <c r="G585" s="348">
        <f t="shared" ca="1" si="209"/>
        <v>0</v>
      </c>
      <c r="H585" s="348">
        <f t="shared" ca="1" si="209"/>
        <v>0</v>
      </c>
      <c r="I585" s="348">
        <f t="shared" ca="1" si="209"/>
        <v>0</v>
      </c>
      <c r="J585" s="348" t="str">
        <f t="shared" si="209"/>
        <v/>
      </c>
      <c r="K585" s="348" t="str">
        <f t="shared" si="209"/>
        <v>Uzupełnij dane</v>
      </c>
      <c r="L585" s="348" t="str">
        <f t="shared" si="209"/>
        <v/>
      </c>
      <c r="M585" s="348" t="str">
        <f t="shared" si="209"/>
        <v/>
      </c>
      <c r="N585" s="348" t="str">
        <f t="shared" si="209"/>
        <v/>
      </c>
      <c r="O585" s="348" t="str">
        <f t="shared" si="209"/>
        <v/>
      </c>
      <c r="P585" s="348" t="str">
        <f t="shared" si="209"/>
        <v/>
      </c>
      <c r="Q585" s="348" t="str">
        <f t="shared" si="209"/>
        <v/>
      </c>
      <c r="R585" s="348" t="str">
        <f t="shared" si="209"/>
        <v/>
      </c>
      <c r="S585" s="348" t="str">
        <f t="shared" si="209"/>
        <v/>
      </c>
      <c r="T585" s="348" t="str">
        <f t="shared" si="209"/>
        <v/>
      </c>
      <c r="U585" s="348" t="str">
        <f t="shared" si="209"/>
        <v/>
      </c>
      <c r="V585" s="348" t="str">
        <f t="shared" si="209"/>
        <v/>
      </c>
      <c r="W585" s="348" t="str">
        <f t="shared" si="209"/>
        <v/>
      </c>
      <c r="X585" s="348" t="str">
        <f t="shared" si="209"/>
        <v/>
      </c>
    </row>
    <row r="586" spans="2:24"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2:24"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2:24"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2:24"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2:24"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2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0">IF(LataProjekcji&lt;=Koniec,ROUND(SUM(K586:K590),0),0)</f>
        <v>0</v>
      </c>
      <c r="L591" s="180">
        <f t="shared" si="210"/>
        <v>0</v>
      </c>
      <c r="M591" s="180">
        <f t="shared" si="210"/>
        <v>0</v>
      </c>
      <c r="N591" s="180">
        <f t="shared" si="210"/>
        <v>0</v>
      </c>
      <c r="O591" s="180">
        <f t="shared" si="210"/>
        <v>0</v>
      </c>
      <c r="P591" s="180">
        <f t="shared" si="210"/>
        <v>0</v>
      </c>
      <c r="Q591" s="180">
        <f t="shared" si="210"/>
        <v>0</v>
      </c>
      <c r="R591" s="180">
        <f t="shared" si="210"/>
        <v>0</v>
      </c>
      <c r="S591" s="180">
        <f t="shared" si="210"/>
        <v>0</v>
      </c>
      <c r="T591" s="180">
        <f t="shared" si="210"/>
        <v>0</v>
      </c>
      <c r="U591" s="180">
        <f t="shared" si="210"/>
        <v>0</v>
      </c>
      <c r="V591" s="180">
        <f t="shared" si="210"/>
        <v>0</v>
      </c>
      <c r="W591" s="180">
        <f t="shared" si="210"/>
        <v>0</v>
      </c>
      <c r="X591" s="180">
        <f t="shared" si="210"/>
        <v>0</v>
      </c>
    </row>
    <row r="592" spans="2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5">
      <c r="B594" s="349" t="s">
        <v>327</v>
      </c>
      <c r="C594" s="348" t="str">
        <f>C$114</f>
        <v>Moduł</v>
      </c>
      <c r="D594" s="348" t="str">
        <f t="shared" ref="D594:X594" si="211">D$114</f>
        <v>Kwalifikowalne</v>
      </c>
      <c r="E594" s="348" t="str">
        <f t="shared" si="211"/>
        <v>Koszty B+R</v>
      </c>
      <c r="F594" s="348"/>
      <c r="G594" s="348">
        <f t="shared" ca="1" si="211"/>
        <v>0</v>
      </c>
      <c r="H594" s="348">
        <f t="shared" ca="1" si="211"/>
        <v>0</v>
      </c>
      <c r="I594" s="348">
        <f t="shared" ca="1" si="211"/>
        <v>0</v>
      </c>
      <c r="J594" s="348" t="str">
        <f t="shared" si="211"/>
        <v/>
      </c>
      <c r="K594" s="348" t="str">
        <f t="shared" si="211"/>
        <v>Uzupełnij dane</v>
      </c>
      <c r="L594" s="348" t="str">
        <f t="shared" si="211"/>
        <v/>
      </c>
      <c r="M594" s="348" t="str">
        <f t="shared" si="211"/>
        <v/>
      </c>
      <c r="N594" s="348" t="str">
        <f t="shared" si="211"/>
        <v/>
      </c>
      <c r="O594" s="348" t="str">
        <f t="shared" si="211"/>
        <v/>
      </c>
      <c r="P594" s="348" t="str">
        <f t="shared" si="211"/>
        <v/>
      </c>
      <c r="Q594" s="348" t="str">
        <f t="shared" si="211"/>
        <v/>
      </c>
      <c r="R594" s="348" t="str">
        <f t="shared" si="211"/>
        <v/>
      </c>
      <c r="S594" s="348" t="str">
        <f t="shared" si="211"/>
        <v/>
      </c>
      <c r="T594" s="348" t="str">
        <f t="shared" si="211"/>
        <v/>
      </c>
      <c r="U594" s="348" t="str">
        <f t="shared" si="211"/>
        <v/>
      </c>
      <c r="V594" s="348" t="str">
        <f t="shared" si="211"/>
        <v/>
      </c>
      <c r="W594" s="348" t="str">
        <f t="shared" si="211"/>
        <v/>
      </c>
      <c r="X594" s="348" t="str">
        <f t="shared" si="211"/>
        <v/>
      </c>
    </row>
    <row r="595" spans="2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2:25"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2:25"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2:25"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2:25"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2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2">IF(LataProjekcji&lt;=Koniec,ROUND(SUM(K595:K599),0),0)</f>
        <v>0</v>
      </c>
      <c r="L600" s="180">
        <f t="shared" si="212"/>
        <v>0</v>
      </c>
      <c r="M600" s="180">
        <f t="shared" si="212"/>
        <v>0</v>
      </c>
      <c r="N600" s="180">
        <f t="shared" si="212"/>
        <v>0</v>
      </c>
      <c r="O600" s="180">
        <f t="shared" si="212"/>
        <v>0</v>
      </c>
      <c r="P600" s="180">
        <f t="shared" si="212"/>
        <v>0</v>
      </c>
      <c r="Q600" s="180">
        <f t="shared" si="212"/>
        <v>0</v>
      </c>
      <c r="R600" s="180">
        <f t="shared" si="212"/>
        <v>0</v>
      </c>
      <c r="S600" s="180">
        <f t="shared" si="212"/>
        <v>0</v>
      </c>
      <c r="T600" s="180">
        <f t="shared" si="212"/>
        <v>0</v>
      </c>
      <c r="U600" s="180">
        <f t="shared" si="212"/>
        <v>0</v>
      </c>
      <c r="V600" s="180">
        <f t="shared" si="212"/>
        <v>0</v>
      </c>
      <c r="W600" s="180">
        <f t="shared" si="212"/>
        <v>0</v>
      </c>
      <c r="X600" s="180">
        <f t="shared" si="212"/>
        <v>0</v>
      </c>
    </row>
    <row r="601" spans="2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3">LataProjekcji</f>
        <v>Uzupełnij dane</v>
      </c>
      <c r="L603" s="155" t="str">
        <f t="shared" si="213"/>
        <v/>
      </c>
      <c r="M603" s="155" t="str">
        <f t="shared" si="213"/>
        <v/>
      </c>
      <c r="N603" s="155" t="str">
        <f t="shared" si="213"/>
        <v/>
      </c>
      <c r="O603" s="155" t="str">
        <f t="shared" si="213"/>
        <v/>
      </c>
      <c r="P603" s="155" t="str">
        <f t="shared" si="213"/>
        <v/>
      </c>
      <c r="Q603" s="155" t="str">
        <f t="shared" si="213"/>
        <v/>
      </c>
      <c r="R603" s="155" t="str">
        <f t="shared" si="213"/>
        <v/>
      </c>
      <c r="S603" s="184" t="str">
        <f t="shared" si="213"/>
        <v/>
      </c>
      <c r="T603" s="184" t="str">
        <f t="shared" si="213"/>
        <v/>
      </c>
      <c r="U603" s="184" t="str">
        <f t="shared" si="213"/>
        <v/>
      </c>
      <c r="V603" s="184" t="str">
        <f t="shared" si="213"/>
        <v/>
      </c>
      <c r="W603" s="184" t="str">
        <f t="shared" si="213"/>
        <v/>
      </c>
      <c r="X603" s="184" t="str">
        <f t="shared" si="213"/>
        <v/>
      </c>
      <c r="Y603" s="191"/>
    </row>
    <row r="604" spans="2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2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4">IF(LataProjekcji&lt;=Koniec,ROUND(K137,0),0)</f>
        <v>0</v>
      </c>
      <c r="L605" s="33">
        <f t="shared" si="214"/>
        <v>0</v>
      </c>
      <c r="M605" s="33">
        <f t="shared" si="214"/>
        <v>0</v>
      </c>
      <c r="N605" s="33">
        <f t="shared" si="214"/>
        <v>0</v>
      </c>
      <c r="O605" s="33">
        <f t="shared" si="214"/>
        <v>0</v>
      </c>
      <c r="P605" s="33">
        <f t="shared" si="214"/>
        <v>0</v>
      </c>
      <c r="Q605" s="33">
        <f t="shared" si="214"/>
        <v>0</v>
      </c>
      <c r="R605" s="33">
        <f t="shared" si="214"/>
        <v>0</v>
      </c>
      <c r="S605" s="33">
        <f t="shared" si="214"/>
        <v>0</v>
      </c>
      <c r="T605" s="33">
        <f t="shared" si="214"/>
        <v>0</v>
      </c>
      <c r="U605" s="33">
        <f t="shared" si="214"/>
        <v>0</v>
      </c>
      <c r="V605" s="33">
        <f t="shared" si="214"/>
        <v>0</v>
      </c>
      <c r="W605" s="33">
        <f t="shared" si="214"/>
        <v>0</v>
      </c>
      <c r="X605" s="33">
        <f t="shared" si="214"/>
        <v>0</v>
      </c>
      <c r="Y605" s="192"/>
    </row>
    <row r="606" spans="2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5">IF(LataProjekcji&lt;=Koniec,ROUND(K182,0),0)</f>
        <v>0</v>
      </c>
      <c r="L606" s="33">
        <f t="shared" si="215"/>
        <v>0</v>
      </c>
      <c r="M606" s="33">
        <f t="shared" si="215"/>
        <v>0</v>
      </c>
      <c r="N606" s="33">
        <f t="shared" si="215"/>
        <v>0</v>
      </c>
      <c r="O606" s="33">
        <f t="shared" si="215"/>
        <v>0</v>
      </c>
      <c r="P606" s="33">
        <f t="shared" si="215"/>
        <v>0</v>
      </c>
      <c r="Q606" s="33">
        <f t="shared" si="215"/>
        <v>0</v>
      </c>
      <c r="R606" s="33">
        <f t="shared" si="215"/>
        <v>0</v>
      </c>
      <c r="S606" s="33">
        <f t="shared" si="215"/>
        <v>0</v>
      </c>
      <c r="T606" s="33">
        <f t="shared" si="215"/>
        <v>0</v>
      </c>
      <c r="U606" s="33">
        <f t="shared" si="215"/>
        <v>0</v>
      </c>
      <c r="V606" s="33">
        <f t="shared" si="215"/>
        <v>0</v>
      </c>
      <c r="W606" s="33">
        <f t="shared" si="215"/>
        <v>0</v>
      </c>
      <c r="X606" s="33">
        <f t="shared" si="215"/>
        <v>0</v>
      </c>
      <c r="Y606" s="192"/>
    </row>
    <row r="607" spans="2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16">IF(LataProjekcji&lt;=Koniec,ROUND(K212,0),0)</f>
        <v>0</v>
      </c>
      <c r="L607" s="33">
        <f t="shared" si="216"/>
        <v>0</v>
      </c>
      <c r="M607" s="33">
        <f>IF(LataProjekcji&lt;=Koniec,ROUND(M212,0),0)</f>
        <v>0</v>
      </c>
      <c r="N607" s="33">
        <f t="shared" si="216"/>
        <v>0</v>
      </c>
      <c r="O607" s="33">
        <f t="shared" si="216"/>
        <v>0</v>
      </c>
      <c r="P607" s="33">
        <f t="shared" si="216"/>
        <v>0</v>
      </c>
      <c r="Q607" s="33">
        <f t="shared" si="216"/>
        <v>0</v>
      </c>
      <c r="R607" s="33">
        <f t="shared" si="216"/>
        <v>0</v>
      </c>
      <c r="S607" s="33">
        <f t="shared" si="216"/>
        <v>0</v>
      </c>
      <c r="T607" s="33">
        <f t="shared" si="216"/>
        <v>0</v>
      </c>
      <c r="U607" s="33">
        <f t="shared" si="216"/>
        <v>0</v>
      </c>
      <c r="V607" s="33">
        <f t="shared" si="216"/>
        <v>0</v>
      </c>
      <c r="W607" s="33">
        <f t="shared" si="216"/>
        <v>0</v>
      </c>
      <c r="X607" s="33">
        <f t="shared" si="216"/>
        <v>0</v>
      </c>
      <c r="Y607" s="5"/>
    </row>
    <row r="608" spans="2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17">IF(LataProjekcji&lt;=Koniec,ROUND(K431,0),0)</f>
        <v>0</v>
      </c>
      <c r="L608" s="33">
        <f t="shared" si="217"/>
        <v>0</v>
      </c>
      <c r="M608" s="33">
        <f t="shared" si="217"/>
        <v>0</v>
      </c>
      <c r="N608" s="33">
        <f t="shared" si="217"/>
        <v>0</v>
      </c>
      <c r="O608" s="33">
        <f t="shared" si="217"/>
        <v>0</v>
      </c>
      <c r="P608" s="33">
        <f t="shared" si="217"/>
        <v>0</v>
      </c>
      <c r="Q608" s="33">
        <f t="shared" si="217"/>
        <v>0</v>
      </c>
      <c r="R608" s="33">
        <f t="shared" si="217"/>
        <v>0</v>
      </c>
      <c r="S608" s="33">
        <f t="shared" si="217"/>
        <v>0</v>
      </c>
      <c r="T608" s="33">
        <f t="shared" si="217"/>
        <v>0</v>
      </c>
      <c r="U608" s="33">
        <f t="shared" si="217"/>
        <v>0</v>
      </c>
      <c r="V608" s="33">
        <f t="shared" si="217"/>
        <v>0</v>
      </c>
      <c r="W608" s="33">
        <f t="shared" si="217"/>
        <v>0</v>
      </c>
      <c r="X608" s="33">
        <f t="shared" si="217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18">IF(LataProjekcji&lt;=Koniec,ROUND(K476,0),0)</f>
        <v>0</v>
      </c>
      <c r="L609" s="33">
        <f t="shared" si="218"/>
        <v>0</v>
      </c>
      <c r="M609" s="33">
        <f t="shared" si="218"/>
        <v>0</v>
      </c>
      <c r="N609" s="33">
        <f t="shared" si="218"/>
        <v>0</v>
      </c>
      <c r="O609" s="33">
        <f t="shared" si="218"/>
        <v>0</v>
      </c>
      <c r="P609" s="33">
        <f t="shared" si="218"/>
        <v>0</v>
      </c>
      <c r="Q609" s="33">
        <f t="shared" si="218"/>
        <v>0</v>
      </c>
      <c r="R609" s="33">
        <f t="shared" si="218"/>
        <v>0</v>
      </c>
      <c r="S609" s="33">
        <f t="shared" si="218"/>
        <v>0</v>
      </c>
      <c r="T609" s="33">
        <f t="shared" si="218"/>
        <v>0</v>
      </c>
      <c r="U609" s="33">
        <f t="shared" si="218"/>
        <v>0</v>
      </c>
      <c r="V609" s="33">
        <f t="shared" si="218"/>
        <v>0</v>
      </c>
      <c r="W609" s="33">
        <f t="shared" si="218"/>
        <v>0</v>
      </c>
      <c r="X609" s="33">
        <f t="shared" si="218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19">IF(LataProjekcji&lt;=Koniec,ROUND(K551,0),0)</f>
        <v>0</v>
      </c>
      <c r="L610" s="33">
        <f t="shared" si="219"/>
        <v>0</v>
      </c>
      <c r="M610" s="33">
        <f t="shared" si="219"/>
        <v>0</v>
      </c>
      <c r="N610" s="33">
        <f t="shared" si="219"/>
        <v>0</v>
      </c>
      <c r="O610" s="33">
        <f t="shared" si="219"/>
        <v>0</v>
      </c>
      <c r="P610" s="33">
        <f t="shared" si="219"/>
        <v>0</v>
      </c>
      <c r="Q610" s="33">
        <f t="shared" si="219"/>
        <v>0</v>
      </c>
      <c r="R610" s="33">
        <f t="shared" si="219"/>
        <v>0</v>
      </c>
      <c r="S610" s="33">
        <f t="shared" si="219"/>
        <v>0</v>
      </c>
      <c r="T610" s="33">
        <f t="shared" si="219"/>
        <v>0</v>
      </c>
      <c r="U610" s="33">
        <f t="shared" si="219"/>
        <v>0</v>
      </c>
      <c r="V610" s="33">
        <f t="shared" si="219"/>
        <v>0</v>
      </c>
      <c r="W610" s="33">
        <f t="shared" si="219"/>
        <v>0</v>
      </c>
      <c r="X610" s="33">
        <f t="shared" si="219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0">SUM(L604:L611)</f>
        <v>0</v>
      </c>
      <c r="M612" s="196">
        <f t="shared" ca="1" si="220"/>
        <v>0</v>
      </c>
      <c r="N612" s="196">
        <f t="shared" ca="1" si="220"/>
        <v>0</v>
      </c>
      <c r="O612" s="196">
        <f t="shared" ca="1" si="220"/>
        <v>0</v>
      </c>
      <c r="P612" s="196">
        <f t="shared" ca="1" si="220"/>
        <v>0</v>
      </c>
      <c r="Q612" s="196">
        <f t="shared" ca="1" si="220"/>
        <v>0</v>
      </c>
      <c r="R612" s="196">
        <f t="shared" ca="1" si="220"/>
        <v>0</v>
      </c>
      <c r="S612" s="196">
        <f t="shared" ca="1" si="220"/>
        <v>0</v>
      </c>
      <c r="T612" s="196">
        <f t="shared" ca="1" si="220"/>
        <v>0</v>
      </c>
      <c r="U612" s="196">
        <f t="shared" ca="1" si="220"/>
        <v>0</v>
      </c>
      <c r="V612" s="196">
        <f t="shared" ca="1" si="220"/>
        <v>0</v>
      </c>
      <c r="W612" s="196">
        <f t="shared" ca="1" si="220"/>
        <v>0</v>
      </c>
      <c r="X612" s="196">
        <f t="shared" ca="1" si="220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1">IF(LataProjekcji&lt;=Koniec,ROUND(K591,0),0)</f>
        <v>0</v>
      </c>
      <c r="L613" s="97">
        <f t="shared" si="221"/>
        <v>0</v>
      </c>
      <c r="M613" s="97">
        <f t="shared" si="221"/>
        <v>0</v>
      </c>
      <c r="N613" s="97">
        <f t="shared" si="221"/>
        <v>0</v>
      </c>
      <c r="O613" s="97">
        <f t="shared" si="221"/>
        <v>0</v>
      </c>
      <c r="P613" s="97">
        <f t="shared" si="221"/>
        <v>0</v>
      </c>
      <c r="Q613" s="97">
        <f t="shared" si="221"/>
        <v>0</v>
      </c>
      <c r="R613" s="97">
        <f t="shared" si="221"/>
        <v>0</v>
      </c>
      <c r="S613" s="97">
        <f t="shared" si="221"/>
        <v>0</v>
      </c>
      <c r="T613" s="97">
        <f t="shared" si="221"/>
        <v>0</v>
      </c>
      <c r="U613" s="97">
        <f t="shared" si="221"/>
        <v>0</v>
      </c>
      <c r="V613" s="97">
        <f t="shared" si="221"/>
        <v>0</v>
      </c>
      <c r="W613" s="97">
        <f t="shared" si="221"/>
        <v>0</v>
      </c>
      <c r="X613" s="97">
        <f t="shared" si="221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2">IF(LataProjekcji&lt;=Koniec,ROUND(K600,0),0)</f>
        <v>0</v>
      </c>
      <c r="L614" s="97">
        <f t="shared" si="222"/>
        <v>0</v>
      </c>
      <c r="M614" s="97">
        <f t="shared" si="222"/>
        <v>0</v>
      </c>
      <c r="N614" s="97">
        <f t="shared" si="222"/>
        <v>0</v>
      </c>
      <c r="O614" s="97">
        <f t="shared" si="222"/>
        <v>0</v>
      </c>
      <c r="P614" s="97">
        <f t="shared" si="222"/>
        <v>0</v>
      </c>
      <c r="Q614" s="97">
        <f t="shared" si="222"/>
        <v>0</v>
      </c>
      <c r="R614" s="97">
        <f t="shared" si="222"/>
        <v>0</v>
      </c>
      <c r="S614" s="97">
        <f t="shared" si="222"/>
        <v>0</v>
      </c>
      <c r="T614" s="97">
        <f t="shared" si="222"/>
        <v>0</v>
      </c>
      <c r="U614" s="97">
        <f t="shared" si="222"/>
        <v>0</v>
      </c>
      <c r="V614" s="97">
        <f t="shared" si="222"/>
        <v>0</v>
      </c>
      <c r="W614" s="97">
        <f t="shared" si="222"/>
        <v>0</v>
      </c>
      <c r="X614" s="97">
        <f t="shared" si="222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673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3">LataProjekcji</f>
        <v>Uzupełnij dane</v>
      </c>
      <c r="L617" s="155" t="str">
        <f t="shared" si="223"/>
        <v/>
      </c>
      <c r="M617" s="155" t="str">
        <f t="shared" si="223"/>
        <v/>
      </c>
      <c r="N617" s="155" t="str">
        <f t="shared" si="223"/>
        <v/>
      </c>
      <c r="O617" s="155" t="str">
        <f t="shared" si="223"/>
        <v/>
      </c>
      <c r="P617" s="155" t="str">
        <f t="shared" si="223"/>
        <v/>
      </c>
      <c r="Q617" s="155" t="str">
        <f t="shared" si="223"/>
        <v/>
      </c>
      <c r="R617" s="155" t="str">
        <f t="shared" si="223"/>
        <v/>
      </c>
      <c r="S617" s="184" t="str">
        <f t="shared" si="223"/>
        <v/>
      </c>
      <c r="T617" s="184" t="str">
        <f t="shared" si="223"/>
        <v/>
      </c>
      <c r="U617" s="184" t="str">
        <f t="shared" si="223"/>
        <v/>
      </c>
      <c r="V617" s="184" t="str">
        <f t="shared" si="223"/>
        <v/>
      </c>
      <c r="W617" s="184" t="str">
        <f t="shared" si="223"/>
        <v/>
      </c>
      <c r="X617" s="184" t="str">
        <f t="shared" si="223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4">IF(LataProjekcji&lt;=Koniec,ROUND(K605-K630,0),0)</f>
        <v>0</v>
      </c>
      <c r="L618" s="102">
        <f t="shared" si="224"/>
        <v>0</v>
      </c>
      <c r="M618" s="102">
        <f t="shared" si="224"/>
        <v>0</v>
      </c>
      <c r="N618" s="102">
        <f t="shared" si="224"/>
        <v>0</v>
      </c>
      <c r="O618" s="102">
        <f t="shared" si="224"/>
        <v>0</v>
      </c>
      <c r="P618" s="102">
        <f t="shared" si="224"/>
        <v>0</v>
      </c>
      <c r="Q618" s="102">
        <f t="shared" si="224"/>
        <v>0</v>
      </c>
      <c r="R618" s="102">
        <f t="shared" si="224"/>
        <v>0</v>
      </c>
      <c r="S618" s="102">
        <f t="shared" si="224"/>
        <v>0</v>
      </c>
      <c r="T618" s="102">
        <f t="shared" si="224"/>
        <v>0</v>
      </c>
      <c r="U618" s="102">
        <f t="shared" si="224"/>
        <v>0</v>
      </c>
      <c r="V618" s="102">
        <f t="shared" si="224"/>
        <v>0</v>
      </c>
      <c r="W618" s="102">
        <f t="shared" si="224"/>
        <v>0</v>
      </c>
      <c r="X618" s="102">
        <f t="shared" si="224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5">IF(LataProjekcji&lt;=Koniec,ROUND(K606-K631,0),0)</f>
        <v>0</v>
      </c>
      <c r="L619" s="33">
        <f t="shared" si="225"/>
        <v>0</v>
      </c>
      <c r="M619" s="33">
        <f t="shared" si="225"/>
        <v>0</v>
      </c>
      <c r="N619" s="33">
        <f t="shared" si="225"/>
        <v>0</v>
      </c>
      <c r="O619" s="33">
        <f t="shared" si="225"/>
        <v>0</v>
      </c>
      <c r="P619" s="33">
        <f t="shared" si="225"/>
        <v>0</v>
      </c>
      <c r="Q619" s="33">
        <f t="shared" si="225"/>
        <v>0</v>
      </c>
      <c r="R619" s="33">
        <f t="shared" si="225"/>
        <v>0</v>
      </c>
      <c r="S619" s="33">
        <f t="shared" si="225"/>
        <v>0</v>
      </c>
      <c r="T619" s="33">
        <f t="shared" si="225"/>
        <v>0</v>
      </c>
      <c r="U619" s="33">
        <f t="shared" si="225"/>
        <v>0</v>
      </c>
      <c r="V619" s="33">
        <f t="shared" si="225"/>
        <v>0</v>
      </c>
      <c r="W619" s="33">
        <f t="shared" si="225"/>
        <v>0</v>
      </c>
      <c r="X619" s="33">
        <f t="shared" si="225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26">IF(LataProjekcji&lt;=Koniec,ROUND(K607-K632,0),0)</f>
        <v>0</v>
      </c>
      <c r="L620" s="33">
        <f t="shared" si="226"/>
        <v>0</v>
      </c>
      <c r="M620" s="33">
        <f t="shared" si="226"/>
        <v>0</v>
      </c>
      <c r="N620" s="33">
        <f t="shared" si="226"/>
        <v>0</v>
      </c>
      <c r="O620" s="33">
        <f t="shared" si="226"/>
        <v>0</v>
      </c>
      <c r="P620" s="33">
        <f t="shared" si="226"/>
        <v>0</v>
      </c>
      <c r="Q620" s="33">
        <f t="shared" si="226"/>
        <v>0</v>
      </c>
      <c r="R620" s="33">
        <f t="shared" si="226"/>
        <v>0</v>
      </c>
      <c r="S620" s="33">
        <f t="shared" si="226"/>
        <v>0</v>
      </c>
      <c r="T620" s="33">
        <f t="shared" si="226"/>
        <v>0</v>
      </c>
      <c r="U620" s="33">
        <f t="shared" si="226"/>
        <v>0</v>
      </c>
      <c r="V620" s="33">
        <f t="shared" si="226"/>
        <v>0</v>
      </c>
      <c r="W620" s="33">
        <f t="shared" si="226"/>
        <v>0</v>
      </c>
      <c r="X620" s="33">
        <f t="shared" si="226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27">IF(LataProjekcji&lt;=Koniec,ROUND(K608-K633,0),0)</f>
        <v>0</v>
      </c>
      <c r="L621" s="33">
        <f t="shared" si="227"/>
        <v>0</v>
      </c>
      <c r="M621" s="33">
        <f t="shared" si="227"/>
        <v>0</v>
      </c>
      <c r="N621" s="33">
        <f t="shared" si="227"/>
        <v>0</v>
      </c>
      <c r="O621" s="33">
        <f t="shared" si="227"/>
        <v>0</v>
      </c>
      <c r="P621" s="33">
        <f t="shared" si="227"/>
        <v>0</v>
      </c>
      <c r="Q621" s="33">
        <f t="shared" si="227"/>
        <v>0</v>
      </c>
      <c r="R621" s="33">
        <f t="shared" si="227"/>
        <v>0</v>
      </c>
      <c r="S621" s="33">
        <f t="shared" si="227"/>
        <v>0</v>
      </c>
      <c r="T621" s="33">
        <f t="shared" si="227"/>
        <v>0</v>
      </c>
      <c r="U621" s="33">
        <f t="shared" si="227"/>
        <v>0</v>
      </c>
      <c r="V621" s="33">
        <f t="shared" si="227"/>
        <v>0</v>
      </c>
      <c r="W621" s="33">
        <f t="shared" si="227"/>
        <v>0</v>
      </c>
      <c r="X621" s="33">
        <f t="shared" si="227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28">IF(LataProjekcji&lt;=Koniec,ROUND(K609-K634,0),0)</f>
        <v>0</v>
      </c>
      <c r="L622" s="33">
        <f t="shared" si="228"/>
        <v>0</v>
      </c>
      <c r="M622" s="33">
        <f t="shared" si="228"/>
        <v>0</v>
      </c>
      <c r="N622" s="33">
        <f t="shared" si="228"/>
        <v>0</v>
      </c>
      <c r="O622" s="33">
        <f t="shared" si="228"/>
        <v>0</v>
      </c>
      <c r="P622" s="33">
        <f t="shared" si="228"/>
        <v>0</v>
      </c>
      <c r="Q622" s="33">
        <f t="shared" si="228"/>
        <v>0</v>
      </c>
      <c r="R622" s="33">
        <f t="shared" si="228"/>
        <v>0</v>
      </c>
      <c r="S622" s="33">
        <f t="shared" si="228"/>
        <v>0</v>
      </c>
      <c r="T622" s="33">
        <f t="shared" si="228"/>
        <v>0</v>
      </c>
      <c r="U622" s="33">
        <f t="shared" si="228"/>
        <v>0</v>
      </c>
      <c r="V622" s="33">
        <f t="shared" si="228"/>
        <v>0</v>
      </c>
      <c r="W622" s="33">
        <f t="shared" si="228"/>
        <v>0</v>
      </c>
      <c r="X622" s="33">
        <f t="shared" si="228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29">IF(LataProjekcji&lt;=Koniec,ROUND(K610-K635,0),0)</f>
        <v>0</v>
      </c>
      <c r="L623" s="33">
        <f t="shared" si="229"/>
        <v>0</v>
      </c>
      <c r="M623" s="33">
        <f t="shared" si="229"/>
        <v>0</v>
      </c>
      <c r="N623" s="33">
        <f t="shared" si="229"/>
        <v>0</v>
      </c>
      <c r="O623" s="33">
        <f t="shared" si="229"/>
        <v>0</v>
      </c>
      <c r="P623" s="33">
        <f t="shared" si="229"/>
        <v>0</v>
      </c>
      <c r="Q623" s="33">
        <f t="shared" si="229"/>
        <v>0</v>
      </c>
      <c r="R623" s="33">
        <f t="shared" si="229"/>
        <v>0</v>
      </c>
      <c r="S623" s="33">
        <f t="shared" si="229"/>
        <v>0</v>
      </c>
      <c r="T623" s="33">
        <f t="shared" si="229"/>
        <v>0</v>
      </c>
      <c r="U623" s="33">
        <f t="shared" si="229"/>
        <v>0</v>
      </c>
      <c r="V623" s="33">
        <f t="shared" si="229"/>
        <v>0</v>
      </c>
      <c r="W623" s="33">
        <f t="shared" si="229"/>
        <v>0</v>
      </c>
      <c r="X623" s="33">
        <f t="shared" si="229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0">IF(LataProjekcji&lt;=Koniec,ROUND(K611-K636,0),0)</f>
        <v>0</v>
      </c>
      <c r="L624" s="106">
        <f t="shared" si="230"/>
        <v>0</v>
      </c>
      <c r="M624" s="106">
        <f t="shared" si="230"/>
        <v>0</v>
      </c>
      <c r="N624" s="106">
        <f t="shared" si="230"/>
        <v>0</v>
      </c>
      <c r="O624" s="106">
        <f t="shared" si="230"/>
        <v>0</v>
      </c>
      <c r="P624" s="106">
        <f t="shared" si="230"/>
        <v>0</v>
      </c>
      <c r="Q624" s="106">
        <f t="shared" si="230"/>
        <v>0</v>
      </c>
      <c r="R624" s="106">
        <f t="shared" si="230"/>
        <v>0</v>
      </c>
      <c r="S624" s="106">
        <f t="shared" si="230"/>
        <v>0</v>
      </c>
      <c r="T624" s="106">
        <f t="shared" si="230"/>
        <v>0</v>
      </c>
      <c r="U624" s="106">
        <f t="shared" si="230"/>
        <v>0</v>
      </c>
      <c r="V624" s="106">
        <f t="shared" si="230"/>
        <v>0</v>
      </c>
      <c r="W624" s="106">
        <f t="shared" si="230"/>
        <v>0</v>
      </c>
      <c r="X624" s="106">
        <f t="shared" si="230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1">IF(LataProjekcji&lt;=Koniec,ROUND(K613-K637,0),0)</f>
        <v>0</v>
      </c>
      <c r="L625" s="97">
        <f t="shared" si="231"/>
        <v>0</v>
      </c>
      <c r="M625" s="97">
        <f t="shared" si="231"/>
        <v>0</v>
      </c>
      <c r="N625" s="97">
        <f t="shared" si="231"/>
        <v>0</v>
      </c>
      <c r="O625" s="97">
        <f t="shared" si="231"/>
        <v>0</v>
      </c>
      <c r="P625" s="97">
        <f t="shared" si="231"/>
        <v>0</v>
      </c>
      <c r="Q625" s="97">
        <f t="shared" si="231"/>
        <v>0</v>
      </c>
      <c r="R625" s="97">
        <f t="shared" si="231"/>
        <v>0</v>
      </c>
      <c r="S625" s="97">
        <f t="shared" si="231"/>
        <v>0</v>
      </c>
      <c r="T625" s="97">
        <f t="shared" si="231"/>
        <v>0</v>
      </c>
      <c r="U625" s="97">
        <f t="shared" si="231"/>
        <v>0</v>
      </c>
      <c r="V625" s="97">
        <f t="shared" si="231"/>
        <v>0</v>
      </c>
      <c r="W625" s="97">
        <f t="shared" si="231"/>
        <v>0</v>
      </c>
      <c r="X625" s="97">
        <f t="shared" si="231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2">IF(LataProjekcji&lt;=Koniec,ROUND(K614-K638,0),0)</f>
        <v>0</v>
      </c>
      <c r="L626" s="97">
        <f t="shared" si="232"/>
        <v>0</v>
      </c>
      <c r="M626" s="97">
        <f t="shared" si="232"/>
        <v>0</v>
      </c>
      <c r="N626" s="97">
        <f t="shared" si="232"/>
        <v>0</v>
      </c>
      <c r="O626" s="97">
        <f t="shared" si="232"/>
        <v>0</v>
      </c>
      <c r="P626" s="97">
        <f t="shared" si="232"/>
        <v>0</v>
      </c>
      <c r="Q626" s="97">
        <f t="shared" si="232"/>
        <v>0</v>
      </c>
      <c r="R626" s="97">
        <f t="shared" si="232"/>
        <v>0</v>
      </c>
      <c r="S626" s="97">
        <f t="shared" si="232"/>
        <v>0</v>
      </c>
      <c r="T626" s="97">
        <f t="shared" si="232"/>
        <v>0</v>
      </c>
      <c r="U626" s="97">
        <f t="shared" si="232"/>
        <v>0</v>
      </c>
      <c r="V626" s="97">
        <f t="shared" si="232"/>
        <v>0</v>
      </c>
      <c r="W626" s="97">
        <f t="shared" si="232"/>
        <v>0</v>
      </c>
      <c r="X626" s="97">
        <f t="shared" si="232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672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3">LataProjekcji</f>
        <v>Uzupełnij dane</v>
      </c>
      <c r="L629" s="155" t="str">
        <f t="shared" si="233"/>
        <v/>
      </c>
      <c r="M629" s="155" t="str">
        <f t="shared" si="233"/>
        <v/>
      </c>
      <c r="N629" s="155" t="str">
        <f t="shared" si="233"/>
        <v/>
      </c>
      <c r="O629" s="155" t="str">
        <f t="shared" si="233"/>
        <v/>
      </c>
      <c r="P629" s="155" t="str">
        <f t="shared" si="233"/>
        <v/>
      </c>
      <c r="Q629" s="155" t="str">
        <f t="shared" si="233"/>
        <v/>
      </c>
      <c r="R629" s="155" t="str">
        <f t="shared" si="233"/>
        <v/>
      </c>
      <c r="S629" s="184" t="str">
        <f t="shared" si="233"/>
        <v/>
      </c>
      <c r="T629" s="184" t="str">
        <f t="shared" si="233"/>
        <v/>
      </c>
      <c r="U629" s="184" t="str">
        <f t="shared" si="233"/>
        <v/>
      </c>
      <c r="V629" s="184" t="str">
        <f t="shared" si="233"/>
        <v/>
      </c>
      <c r="W629" s="184" t="str">
        <f t="shared" si="233"/>
        <v/>
      </c>
      <c r="X629" s="184" t="str">
        <f t="shared" si="233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4">IF(LataProjekcji&lt;=Koniec,K909,0)</f>
        <v>0</v>
      </c>
      <c r="L630" s="102">
        <f t="shared" si="234"/>
        <v>0</v>
      </c>
      <c r="M630" s="102">
        <f t="shared" si="234"/>
        <v>0</v>
      </c>
      <c r="N630" s="102">
        <f t="shared" si="234"/>
        <v>0</v>
      </c>
      <c r="O630" s="102">
        <f t="shared" si="234"/>
        <v>0</v>
      </c>
      <c r="P630" s="102">
        <f t="shared" si="234"/>
        <v>0</v>
      </c>
      <c r="Q630" s="102">
        <f t="shared" si="234"/>
        <v>0</v>
      </c>
      <c r="R630" s="102">
        <f t="shared" si="234"/>
        <v>0</v>
      </c>
      <c r="S630" s="102">
        <f t="shared" si="234"/>
        <v>0</v>
      </c>
      <c r="T630" s="102">
        <f t="shared" si="234"/>
        <v>0</v>
      </c>
      <c r="U630" s="102">
        <f t="shared" si="234"/>
        <v>0</v>
      </c>
      <c r="V630" s="102">
        <f t="shared" si="234"/>
        <v>0</v>
      </c>
      <c r="W630" s="102">
        <f t="shared" si="234"/>
        <v>0</v>
      </c>
      <c r="X630" s="102">
        <f t="shared" si="234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5">IF(LataProjekcji&lt;=Koniec,K910,0)</f>
        <v>0</v>
      </c>
      <c r="L631" s="33">
        <f t="shared" si="235"/>
        <v>0</v>
      </c>
      <c r="M631" s="33">
        <f t="shared" si="235"/>
        <v>0</v>
      </c>
      <c r="N631" s="33">
        <f t="shared" si="235"/>
        <v>0</v>
      </c>
      <c r="O631" s="33">
        <f t="shared" si="235"/>
        <v>0</v>
      </c>
      <c r="P631" s="33">
        <f t="shared" si="235"/>
        <v>0</v>
      </c>
      <c r="Q631" s="33">
        <f t="shared" si="235"/>
        <v>0</v>
      </c>
      <c r="R631" s="33">
        <f t="shared" si="235"/>
        <v>0</v>
      </c>
      <c r="S631" s="33">
        <f t="shared" si="235"/>
        <v>0</v>
      </c>
      <c r="T631" s="33">
        <f t="shared" si="235"/>
        <v>0</v>
      </c>
      <c r="U631" s="33">
        <f t="shared" si="235"/>
        <v>0</v>
      </c>
      <c r="V631" s="33">
        <f t="shared" si="235"/>
        <v>0</v>
      </c>
      <c r="W631" s="33">
        <f t="shared" si="235"/>
        <v>0</v>
      </c>
      <c r="X631" s="33">
        <f t="shared" si="235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36">IF(LataProjekcji&lt;=Koniec,K911,0)</f>
        <v>0</v>
      </c>
      <c r="L632" s="33">
        <f t="shared" si="236"/>
        <v>0</v>
      </c>
      <c r="M632" s="33">
        <f t="shared" si="236"/>
        <v>0</v>
      </c>
      <c r="N632" s="33">
        <f t="shared" si="236"/>
        <v>0</v>
      </c>
      <c r="O632" s="33">
        <f t="shared" si="236"/>
        <v>0</v>
      </c>
      <c r="P632" s="33">
        <f t="shared" si="236"/>
        <v>0</v>
      </c>
      <c r="Q632" s="33">
        <f t="shared" si="236"/>
        <v>0</v>
      </c>
      <c r="R632" s="33">
        <f t="shared" si="236"/>
        <v>0</v>
      </c>
      <c r="S632" s="33">
        <f t="shared" si="236"/>
        <v>0</v>
      </c>
      <c r="T632" s="33">
        <f t="shared" si="236"/>
        <v>0</v>
      </c>
      <c r="U632" s="33">
        <f t="shared" si="236"/>
        <v>0</v>
      </c>
      <c r="V632" s="33">
        <f t="shared" si="236"/>
        <v>0</v>
      </c>
      <c r="W632" s="33">
        <f t="shared" si="236"/>
        <v>0</v>
      </c>
      <c r="X632" s="33">
        <f t="shared" si="236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37">IF(LataProjekcji&lt;=Koniec,K912,0)</f>
        <v>0</v>
      </c>
      <c r="L633" s="33">
        <f t="shared" si="237"/>
        <v>0</v>
      </c>
      <c r="M633" s="33">
        <f t="shared" si="237"/>
        <v>0</v>
      </c>
      <c r="N633" s="33">
        <f t="shared" si="237"/>
        <v>0</v>
      </c>
      <c r="O633" s="33">
        <f t="shared" si="237"/>
        <v>0</v>
      </c>
      <c r="P633" s="33">
        <f t="shared" si="237"/>
        <v>0</v>
      </c>
      <c r="Q633" s="33">
        <f t="shared" si="237"/>
        <v>0</v>
      </c>
      <c r="R633" s="33">
        <f t="shared" si="237"/>
        <v>0</v>
      </c>
      <c r="S633" s="33">
        <f t="shared" si="237"/>
        <v>0</v>
      </c>
      <c r="T633" s="33">
        <f t="shared" si="237"/>
        <v>0</v>
      </c>
      <c r="U633" s="33">
        <f t="shared" si="237"/>
        <v>0</v>
      </c>
      <c r="V633" s="33">
        <f t="shared" si="237"/>
        <v>0</v>
      </c>
      <c r="W633" s="33">
        <f t="shared" si="237"/>
        <v>0</v>
      </c>
      <c r="X633" s="33">
        <f t="shared" si="237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38">IF(LataProjekcji&lt;=Koniec,K913,0)</f>
        <v>0</v>
      </c>
      <c r="L634" s="33">
        <f t="shared" si="238"/>
        <v>0</v>
      </c>
      <c r="M634" s="33">
        <f t="shared" si="238"/>
        <v>0</v>
      </c>
      <c r="N634" s="33">
        <f t="shared" si="238"/>
        <v>0</v>
      </c>
      <c r="O634" s="33">
        <f t="shared" si="238"/>
        <v>0</v>
      </c>
      <c r="P634" s="33">
        <f t="shared" si="238"/>
        <v>0</v>
      </c>
      <c r="Q634" s="33">
        <f t="shared" si="238"/>
        <v>0</v>
      </c>
      <c r="R634" s="33">
        <f t="shared" si="238"/>
        <v>0</v>
      </c>
      <c r="S634" s="33">
        <f t="shared" si="238"/>
        <v>0</v>
      </c>
      <c r="T634" s="33">
        <f t="shared" si="238"/>
        <v>0</v>
      </c>
      <c r="U634" s="33">
        <f t="shared" si="238"/>
        <v>0</v>
      </c>
      <c r="V634" s="33">
        <f t="shared" si="238"/>
        <v>0</v>
      </c>
      <c r="W634" s="33">
        <f t="shared" si="238"/>
        <v>0</v>
      </c>
      <c r="X634" s="33">
        <f t="shared" si="238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39">IF(LataProjekcji&lt;=Koniec,L914,0)</f>
        <v>0</v>
      </c>
      <c r="M635" s="33">
        <f t="shared" si="239"/>
        <v>0</v>
      </c>
      <c r="N635" s="33">
        <f t="shared" si="239"/>
        <v>0</v>
      </c>
      <c r="O635" s="33">
        <f t="shared" si="239"/>
        <v>0</v>
      </c>
      <c r="P635" s="33">
        <f t="shared" si="239"/>
        <v>0</v>
      </c>
      <c r="Q635" s="33">
        <f t="shared" si="239"/>
        <v>0</v>
      </c>
      <c r="R635" s="33">
        <f t="shared" si="239"/>
        <v>0</v>
      </c>
      <c r="S635" s="33">
        <f t="shared" si="239"/>
        <v>0</v>
      </c>
      <c r="T635" s="33">
        <f t="shared" si="239"/>
        <v>0</v>
      </c>
      <c r="U635" s="33">
        <f t="shared" si="239"/>
        <v>0</v>
      </c>
      <c r="V635" s="33">
        <f t="shared" si="239"/>
        <v>0</v>
      </c>
      <c r="W635" s="33">
        <f t="shared" si="239"/>
        <v>0</v>
      </c>
      <c r="X635" s="33">
        <f t="shared" si="239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0">IF(LataProjekcji&lt;=Koniec,K915,0)</f>
        <v>0</v>
      </c>
      <c r="L636" s="106">
        <f t="shared" si="240"/>
        <v>0</v>
      </c>
      <c r="M636" s="106">
        <f t="shared" si="240"/>
        <v>0</v>
      </c>
      <c r="N636" s="106">
        <f t="shared" si="240"/>
        <v>0</v>
      </c>
      <c r="O636" s="106">
        <f t="shared" si="240"/>
        <v>0</v>
      </c>
      <c r="P636" s="106">
        <f t="shared" si="240"/>
        <v>0</v>
      </c>
      <c r="Q636" s="106">
        <f t="shared" si="240"/>
        <v>0</v>
      </c>
      <c r="R636" s="106">
        <f t="shared" si="240"/>
        <v>0</v>
      </c>
      <c r="S636" s="106">
        <f t="shared" si="240"/>
        <v>0</v>
      </c>
      <c r="T636" s="106">
        <f t="shared" si="240"/>
        <v>0</v>
      </c>
      <c r="U636" s="106">
        <f t="shared" si="240"/>
        <v>0</v>
      </c>
      <c r="V636" s="106">
        <f t="shared" si="240"/>
        <v>0</v>
      </c>
      <c r="W636" s="106">
        <f t="shared" si="240"/>
        <v>0</v>
      </c>
      <c r="X636" s="106">
        <f t="shared" si="240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1">IF(LataProjekcji&lt;=Koniec,K916,0)</f>
        <v>0</v>
      </c>
      <c r="L637" s="97">
        <f t="shared" si="241"/>
        <v>0</v>
      </c>
      <c r="M637" s="97">
        <f t="shared" si="241"/>
        <v>0</v>
      </c>
      <c r="N637" s="97">
        <f t="shared" si="241"/>
        <v>0</v>
      </c>
      <c r="O637" s="97">
        <f t="shared" si="241"/>
        <v>0</v>
      </c>
      <c r="P637" s="97">
        <f t="shared" si="241"/>
        <v>0</v>
      </c>
      <c r="Q637" s="97">
        <f t="shared" si="241"/>
        <v>0</v>
      </c>
      <c r="R637" s="97">
        <f t="shared" si="241"/>
        <v>0</v>
      </c>
      <c r="S637" s="97">
        <f t="shared" si="241"/>
        <v>0</v>
      </c>
      <c r="T637" s="97">
        <f t="shared" si="241"/>
        <v>0</v>
      </c>
      <c r="U637" s="97">
        <f t="shared" si="241"/>
        <v>0</v>
      </c>
      <c r="V637" s="97">
        <f t="shared" si="241"/>
        <v>0</v>
      </c>
      <c r="W637" s="97">
        <f t="shared" si="241"/>
        <v>0</v>
      </c>
      <c r="X637" s="97">
        <f t="shared" si="241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2">IF(LataProjekcji&lt;=Koniec,K917,0)</f>
        <v>0</v>
      </c>
      <c r="L638" s="97">
        <f t="shared" si="242"/>
        <v>0</v>
      </c>
      <c r="M638" s="97">
        <f t="shared" si="242"/>
        <v>0</v>
      </c>
      <c r="N638" s="97">
        <f t="shared" si="242"/>
        <v>0</v>
      </c>
      <c r="O638" s="97">
        <f t="shared" si="242"/>
        <v>0</v>
      </c>
      <c r="P638" s="97">
        <f t="shared" si="242"/>
        <v>0</v>
      </c>
      <c r="Q638" s="97">
        <f t="shared" si="242"/>
        <v>0</v>
      </c>
      <c r="R638" s="97">
        <f t="shared" si="242"/>
        <v>0</v>
      </c>
      <c r="S638" s="97">
        <f t="shared" si="242"/>
        <v>0</v>
      </c>
      <c r="T638" s="97">
        <f t="shared" si="242"/>
        <v>0</v>
      </c>
      <c r="U638" s="97">
        <f t="shared" si="242"/>
        <v>0</v>
      </c>
      <c r="V638" s="97">
        <f t="shared" si="242"/>
        <v>0</v>
      </c>
      <c r="W638" s="97">
        <f t="shared" si="242"/>
        <v>0</v>
      </c>
      <c r="X638" s="97">
        <f t="shared" si="242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5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98" spans="1:24" hidden="1">
      <c r="B698" s="20" t="s">
        <v>677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3">LataProjekcji</f>
        <v>Uzupełnij dane</v>
      </c>
      <c r="L698" s="63" t="str">
        <f t="shared" si="243"/>
        <v/>
      </c>
      <c r="M698" s="63" t="str">
        <f t="shared" si="243"/>
        <v/>
      </c>
      <c r="N698" s="63" t="str">
        <f t="shared" si="243"/>
        <v/>
      </c>
      <c r="O698" s="63" t="str">
        <f t="shared" si="243"/>
        <v/>
      </c>
      <c r="P698" s="63" t="str">
        <f t="shared" si="243"/>
        <v/>
      </c>
      <c r="Q698" s="63" t="str">
        <f t="shared" si="243"/>
        <v/>
      </c>
      <c r="R698" s="63" t="str">
        <f t="shared" si="243"/>
        <v/>
      </c>
      <c r="S698" s="63" t="str">
        <f t="shared" si="243"/>
        <v/>
      </c>
      <c r="T698" s="63" t="str">
        <f t="shared" si="243"/>
        <v/>
      </c>
      <c r="U698" s="63" t="str">
        <f t="shared" si="243"/>
        <v/>
      </c>
      <c r="V698" s="63" t="str">
        <f t="shared" si="243"/>
        <v/>
      </c>
      <c r="W698" s="63" t="str">
        <f t="shared" si="243"/>
        <v/>
      </c>
      <c r="X698" s="63" t="str">
        <f t="shared" si="243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58" t="str">
        <f t="shared" ref="B701:E720" si="244">IF(ISBLANK(B117),"",B117)</f>
        <v/>
      </c>
      <c r="C701" s="58" t="str">
        <f t="shared" si="244"/>
        <v/>
      </c>
      <c r="D701" s="58" t="str">
        <f t="shared" si="244"/>
        <v/>
      </c>
      <c r="E701" s="58" t="str">
        <f t="shared" si="244"/>
        <v/>
      </c>
      <c r="F701" s="58"/>
      <c r="G701" s="58"/>
      <c r="H701" s="58"/>
      <c r="I701" s="58"/>
      <c r="J701" s="448"/>
      <c r="K701" s="59">
        <f t="shared" ref="K701:X701" si="245">IF(AND($C701="B+R",$E701="prace rozwojowe",LataProjekcji&lt;=Koniec_PR,Modul_badawczo_rozwojowy=tak),ROUND(K117,0),0)</f>
        <v>0</v>
      </c>
      <c r="L701" s="59">
        <f t="shared" si="245"/>
        <v>0</v>
      </c>
      <c r="M701" s="59">
        <f t="shared" si="245"/>
        <v>0</v>
      </c>
      <c r="N701" s="59">
        <f t="shared" si="245"/>
        <v>0</v>
      </c>
      <c r="O701" s="59">
        <f t="shared" si="245"/>
        <v>0</v>
      </c>
      <c r="P701" s="59">
        <f t="shared" si="245"/>
        <v>0</v>
      </c>
      <c r="Q701" s="59">
        <f t="shared" si="245"/>
        <v>0</v>
      </c>
      <c r="R701" s="59">
        <f t="shared" si="245"/>
        <v>0</v>
      </c>
      <c r="S701" s="59">
        <f t="shared" si="245"/>
        <v>0</v>
      </c>
      <c r="T701" s="59">
        <f t="shared" si="245"/>
        <v>0</v>
      </c>
      <c r="U701" s="59">
        <f t="shared" si="245"/>
        <v>0</v>
      </c>
      <c r="V701" s="59">
        <f t="shared" si="245"/>
        <v>0</v>
      </c>
      <c r="W701" s="59">
        <f t="shared" si="245"/>
        <v>0</v>
      </c>
      <c r="X701" s="59">
        <f t="shared" si="245"/>
        <v>0</v>
      </c>
    </row>
    <row r="702" spans="1:24" hidden="1">
      <c r="A702" s="258"/>
      <c r="B702" s="58" t="str">
        <f t="shared" si="244"/>
        <v/>
      </c>
      <c r="C702" s="58" t="str">
        <f t="shared" si="244"/>
        <v/>
      </c>
      <c r="D702" s="58" t="str">
        <f t="shared" si="244"/>
        <v/>
      </c>
      <c r="E702" s="58" t="str">
        <f t="shared" si="244"/>
        <v/>
      </c>
      <c r="F702" s="58"/>
      <c r="G702" s="58"/>
      <c r="H702" s="58"/>
      <c r="I702" s="58"/>
      <c r="J702" s="58"/>
      <c r="K702" s="59">
        <f t="shared" ref="K702:X702" si="246">IF(AND($C702="B+R",$E702="prace rozwojowe",LataProjekcji&lt;=Koniec_PR,Modul_badawczo_rozwojowy=tak),ROUND(K118,0),0)</f>
        <v>0</v>
      </c>
      <c r="L702" s="59">
        <f t="shared" si="246"/>
        <v>0</v>
      </c>
      <c r="M702" s="59">
        <f t="shared" si="246"/>
        <v>0</v>
      </c>
      <c r="N702" s="59">
        <f t="shared" si="246"/>
        <v>0</v>
      </c>
      <c r="O702" s="59">
        <f t="shared" si="246"/>
        <v>0</v>
      </c>
      <c r="P702" s="59">
        <f t="shared" si="246"/>
        <v>0</v>
      </c>
      <c r="Q702" s="59">
        <f t="shared" si="246"/>
        <v>0</v>
      </c>
      <c r="R702" s="59">
        <f t="shared" si="246"/>
        <v>0</v>
      </c>
      <c r="S702" s="59">
        <f t="shared" si="246"/>
        <v>0</v>
      </c>
      <c r="T702" s="59">
        <f t="shared" si="246"/>
        <v>0</v>
      </c>
      <c r="U702" s="59">
        <f t="shared" si="246"/>
        <v>0</v>
      </c>
      <c r="V702" s="59">
        <f t="shared" si="246"/>
        <v>0</v>
      </c>
      <c r="W702" s="59">
        <f t="shared" si="246"/>
        <v>0</v>
      </c>
      <c r="X702" s="59">
        <f t="shared" si="246"/>
        <v>0</v>
      </c>
    </row>
    <row r="703" spans="1:24" hidden="1">
      <c r="A703" s="258"/>
      <c r="B703" s="58" t="str">
        <f t="shared" si="244"/>
        <v/>
      </c>
      <c r="C703" s="58" t="str">
        <f t="shared" si="244"/>
        <v/>
      </c>
      <c r="D703" s="58" t="str">
        <f t="shared" si="244"/>
        <v/>
      </c>
      <c r="E703" s="58" t="str">
        <f t="shared" si="244"/>
        <v/>
      </c>
      <c r="F703" s="58"/>
      <c r="G703" s="58"/>
      <c r="H703" s="58"/>
      <c r="I703" s="58"/>
      <c r="J703" s="58"/>
      <c r="K703" s="59">
        <f t="shared" ref="K703:X703" si="247">IF(AND($C703="B+R",$E703="prace rozwojowe",LataProjekcji&lt;=Koniec_PR,Modul_badawczo_rozwojowy=tak),ROUND(K119,0),0)</f>
        <v>0</v>
      </c>
      <c r="L703" s="59">
        <f t="shared" si="247"/>
        <v>0</v>
      </c>
      <c r="M703" s="59">
        <f t="shared" si="247"/>
        <v>0</v>
      </c>
      <c r="N703" s="59">
        <f t="shared" si="247"/>
        <v>0</v>
      </c>
      <c r="O703" s="59">
        <f t="shared" si="247"/>
        <v>0</v>
      </c>
      <c r="P703" s="59">
        <f t="shared" si="247"/>
        <v>0</v>
      </c>
      <c r="Q703" s="59">
        <f t="shared" si="247"/>
        <v>0</v>
      </c>
      <c r="R703" s="59">
        <f t="shared" si="247"/>
        <v>0</v>
      </c>
      <c r="S703" s="59">
        <f t="shared" si="247"/>
        <v>0</v>
      </c>
      <c r="T703" s="59">
        <f t="shared" si="247"/>
        <v>0</v>
      </c>
      <c r="U703" s="59">
        <f t="shared" si="247"/>
        <v>0</v>
      </c>
      <c r="V703" s="59">
        <f t="shared" si="247"/>
        <v>0</v>
      </c>
      <c r="W703" s="59">
        <f t="shared" si="247"/>
        <v>0</v>
      </c>
      <c r="X703" s="59">
        <f t="shared" si="247"/>
        <v>0</v>
      </c>
    </row>
    <row r="704" spans="1:24" hidden="1">
      <c r="A704" s="258"/>
      <c r="B704" s="58" t="str">
        <f t="shared" si="244"/>
        <v/>
      </c>
      <c r="C704" s="58" t="str">
        <f t="shared" si="244"/>
        <v/>
      </c>
      <c r="D704" s="58" t="str">
        <f t="shared" si="244"/>
        <v/>
      </c>
      <c r="E704" s="58" t="str">
        <f t="shared" si="244"/>
        <v/>
      </c>
      <c r="F704" s="58"/>
      <c r="G704" s="58"/>
      <c r="H704" s="58"/>
      <c r="I704" s="58"/>
      <c r="J704" s="58"/>
      <c r="K704" s="59">
        <f t="shared" ref="K704:X704" si="248">IF(AND($C704="B+R",$E704="prace rozwojowe",LataProjekcji&lt;=Koniec_PR,Modul_badawczo_rozwojowy=tak),ROUND(K120,0),0)</f>
        <v>0</v>
      </c>
      <c r="L704" s="59">
        <f t="shared" si="248"/>
        <v>0</v>
      </c>
      <c r="M704" s="59">
        <f t="shared" si="248"/>
        <v>0</v>
      </c>
      <c r="N704" s="59">
        <f t="shared" si="248"/>
        <v>0</v>
      </c>
      <c r="O704" s="59">
        <f t="shared" si="248"/>
        <v>0</v>
      </c>
      <c r="P704" s="59">
        <f t="shared" si="248"/>
        <v>0</v>
      </c>
      <c r="Q704" s="59">
        <f t="shared" si="248"/>
        <v>0</v>
      </c>
      <c r="R704" s="59">
        <f t="shared" si="248"/>
        <v>0</v>
      </c>
      <c r="S704" s="59">
        <f t="shared" si="248"/>
        <v>0</v>
      </c>
      <c r="T704" s="59">
        <f t="shared" si="248"/>
        <v>0</v>
      </c>
      <c r="U704" s="59">
        <f t="shared" si="248"/>
        <v>0</v>
      </c>
      <c r="V704" s="59">
        <f t="shared" si="248"/>
        <v>0</v>
      </c>
      <c r="W704" s="59">
        <f t="shared" si="248"/>
        <v>0</v>
      </c>
      <c r="X704" s="59">
        <f t="shared" si="248"/>
        <v>0</v>
      </c>
    </row>
    <row r="705" spans="1:24" hidden="1">
      <c r="A705" s="258"/>
      <c r="B705" s="58" t="str">
        <f t="shared" si="244"/>
        <v/>
      </c>
      <c r="C705" s="58" t="str">
        <f t="shared" si="244"/>
        <v/>
      </c>
      <c r="D705" s="58" t="str">
        <f t="shared" si="244"/>
        <v/>
      </c>
      <c r="E705" s="58" t="str">
        <f t="shared" si="244"/>
        <v/>
      </c>
      <c r="F705" s="58"/>
      <c r="G705" s="58"/>
      <c r="H705" s="58"/>
      <c r="I705" s="58"/>
      <c r="J705" s="58"/>
      <c r="K705" s="59">
        <f t="shared" ref="K705:X705" si="249">IF(AND($C705="B+R",$E705="prace rozwojowe",LataProjekcji&lt;=Koniec_PR,Modul_badawczo_rozwojowy=tak),ROUND(K121,0),0)</f>
        <v>0</v>
      </c>
      <c r="L705" s="59">
        <f t="shared" si="249"/>
        <v>0</v>
      </c>
      <c r="M705" s="59">
        <f t="shared" si="249"/>
        <v>0</v>
      </c>
      <c r="N705" s="59">
        <f t="shared" si="249"/>
        <v>0</v>
      </c>
      <c r="O705" s="59">
        <f t="shared" si="249"/>
        <v>0</v>
      </c>
      <c r="P705" s="59">
        <f t="shared" si="249"/>
        <v>0</v>
      </c>
      <c r="Q705" s="59">
        <f t="shared" si="249"/>
        <v>0</v>
      </c>
      <c r="R705" s="59">
        <f t="shared" si="249"/>
        <v>0</v>
      </c>
      <c r="S705" s="59">
        <f t="shared" si="249"/>
        <v>0</v>
      </c>
      <c r="T705" s="59">
        <f t="shared" si="249"/>
        <v>0</v>
      </c>
      <c r="U705" s="59">
        <f t="shared" si="249"/>
        <v>0</v>
      </c>
      <c r="V705" s="59">
        <f t="shared" si="249"/>
        <v>0</v>
      </c>
      <c r="W705" s="59">
        <f t="shared" si="249"/>
        <v>0</v>
      </c>
      <c r="X705" s="59">
        <f t="shared" si="249"/>
        <v>0</v>
      </c>
    </row>
    <row r="706" spans="1:24" hidden="1">
      <c r="A706" s="258"/>
      <c r="B706" s="58" t="str">
        <f t="shared" si="244"/>
        <v/>
      </c>
      <c r="C706" s="58" t="str">
        <f t="shared" si="244"/>
        <v/>
      </c>
      <c r="D706" s="58" t="str">
        <f t="shared" si="244"/>
        <v/>
      </c>
      <c r="E706" s="58" t="str">
        <f t="shared" si="244"/>
        <v/>
      </c>
      <c r="F706" s="58"/>
      <c r="G706" s="58"/>
      <c r="H706" s="58"/>
      <c r="I706" s="58"/>
      <c r="J706" s="58"/>
      <c r="K706" s="59">
        <f t="shared" ref="K706:X706" si="250">IF(AND($C706="B+R",$E706="prace rozwojowe",LataProjekcji&lt;=Koniec_PR,Modul_badawczo_rozwojowy=tak),ROUND(K122,0),0)</f>
        <v>0</v>
      </c>
      <c r="L706" s="59">
        <f t="shared" si="250"/>
        <v>0</v>
      </c>
      <c r="M706" s="59">
        <f t="shared" si="250"/>
        <v>0</v>
      </c>
      <c r="N706" s="59">
        <f t="shared" si="250"/>
        <v>0</v>
      </c>
      <c r="O706" s="59">
        <f t="shared" si="250"/>
        <v>0</v>
      </c>
      <c r="P706" s="59">
        <f t="shared" si="250"/>
        <v>0</v>
      </c>
      <c r="Q706" s="59">
        <f t="shared" si="250"/>
        <v>0</v>
      </c>
      <c r="R706" s="59">
        <f t="shared" si="250"/>
        <v>0</v>
      </c>
      <c r="S706" s="59">
        <f t="shared" si="250"/>
        <v>0</v>
      </c>
      <c r="T706" s="59">
        <f t="shared" si="250"/>
        <v>0</v>
      </c>
      <c r="U706" s="59">
        <f t="shared" si="250"/>
        <v>0</v>
      </c>
      <c r="V706" s="59">
        <f t="shared" si="250"/>
        <v>0</v>
      </c>
      <c r="W706" s="59">
        <f t="shared" si="250"/>
        <v>0</v>
      </c>
      <c r="X706" s="59">
        <f t="shared" si="250"/>
        <v>0</v>
      </c>
    </row>
    <row r="707" spans="1:24" hidden="1">
      <c r="A707" s="258"/>
      <c r="B707" s="58" t="str">
        <f t="shared" si="244"/>
        <v/>
      </c>
      <c r="C707" s="58" t="str">
        <f t="shared" si="244"/>
        <v/>
      </c>
      <c r="D707" s="58" t="str">
        <f t="shared" si="244"/>
        <v/>
      </c>
      <c r="E707" s="58" t="str">
        <f t="shared" si="244"/>
        <v/>
      </c>
      <c r="F707" s="58"/>
      <c r="G707" s="58"/>
      <c r="H707" s="58"/>
      <c r="I707" s="58"/>
      <c r="J707" s="58"/>
      <c r="K707" s="59">
        <f t="shared" ref="K707:X707" si="251">IF(AND($C707="B+R",$E707="prace rozwojowe",LataProjekcji&lt;=Koniec_PR,Modul_badawczo_rozwojowy=tak),ROUND(K123,0),0)</f>
        <v>0</v>
      </c>
      <c r="L707" s="59">
        <f t="shared" si="251"/>
        <v>0</v>
      </c>
      <c r="M707" s="59">
        <f t="shared" si="251"/>
        <v>0</v>
      </c>
      <c r="N707" s="59">
        <f t="shared" si="251"/>
        <v>0</v>
      </c>
      <c r="O707" s="59">
        <f t="shared" si="251"/>
        <v>0</v>
      </c>
      <c r="P707" s="59">
        <f t="shared" si="251"/>
        <v>0</v>
      </c>
      <c r="Q707" s="59">
        <f t="shared" si="251"/>
        <v>0</v>
      </c>
      <c r="R707" s="59">
        <f t="shared" si="251"/>
        <v>0</v>
      </c>
      <c r="S707" s="59">
        <f t="shared" si="251"/>
        <v>0</v>
      </c>
      <c r="T707" s="59">
        <f t="shared" si="251"/>
        <v>0</v>
      </c>
      <c r="U707" s="59">
        <f t="shared" si="251"/>
        <v>0</v>
      </c>
      <c r="V707" s="59">
        <f t="shared" si="251"/>
        <v>0</v>
      </c>
      <c r="W707" s="59">
        <f t="shared" si="251"/>
        <v>0</v>
      </c>
      <c r="X707" s="59">
        <f t="shared" si="251"/>
        <v>0</v>
      </c>
    </row>
    <row r="708" spans="1:24" hidden="1">
      <c r="A708" s="258"/>
      <c r="B708" s="58" t="str">
        <f t="shared" si="244"/>
        <v/>
      </c>
      <c r="C708" s="58" t="str">
        <f t="shared" si="244"/>
        <v/>
      </c>
      <c r="D708" s="58" t="str">
        <f t="shared" si="244"/>
        <v/>
      </c>
      <c r="E708" s="58" t="str">
        <f t="shared" si="244"/>
        <v/>
      </c>
      <c r="F708" s="58"/>
      <c r="G708" s="58"/>
      <c r="H708" s="58"/>
      <c r="I708" s="58"/>
      <c r="J708" s="58"/>
      <c r="K708" s="59">
        <f t="shared" ref="K708:X708" si="252">IF(AND($C708="B+R",$E708="prace rozwojowe",LataProjekcji&lt;=Koniec_PR,Modul_badawczo_rozwojowy=tak),ROUND(K124,0),0)</f>
        <v>0</v>
      </c>
      <c r="L708" s="59">
        <f t="shared" si="252"/>
        <v>0</v>
      </c>
      <c r="M708" s="59">
        <f t="shared" si="252"/>
        <v>0</v>
      </c>
      <c r="N708" s="59">
        <f t="shared" si="252"/>
        <v>0</v>
      </c>
      <c r="O708" s="59">
        <f t="shared" si="252"/>
        <v>0</v>
      </c>
      <c r="P708" s="59">
        <f t="shared" si="252"/>
        <v>0</v>
      </c>
      <c r="Q708" s="59">
        <f t="shared" si="252"/>
        <v>0</v>
      </c>
      <c r="R708" s="59">
        <f t="shared" si="252"/>
        <v>0</v>
      </c>
      <c r="S708" s="59">
        <f t="shared" si="252"/>
        <v>0</v>
      </c>
      <c r="T708" s="59">
        <f t="shared" si="252"/>
        <v>0</v>
      </c>
      <c r="U708" s="59">
        <f t="shared" si="252"/>
        <v>0</v>
      </c>
      <c r="V708" s="59">
        <f t="shared" si="252"/>
        <v>0</v>
      </c>
      <c r="W708" s="59">
        <f t="shared" si="252"/>
        <v>0</v>
      </c>
      <c r="X708" s="59">
        <f t="shared" si="252"/>
        <v>0</v>
      </c>
    </row>
    <row r="709" spans="1:24" hidden="1">
      <c r="A709" s="258"/>
      <c r="B709" s="58" t="str">
        <f t="shared" si="244"/>
        <v/>
      </c>
      <c r="C709" s="58" t="str">
        <f t="shared" si="244"/>
        <v/>
      </c>
      <c r="D709" s="58" t="str">
        <f t="shared" si="244"/>
        <v/>
      </c>
      <c r="E709" s="58" t="str">
        <f t="shared" si="244"/>
        <v/>
      </c>
      <c r="F709" s="58"/>
      <c r="G709" s="58"/>
      <c r="H709" s="58"/>
      <c r="I709" s="58"/>
      <c r="J709" s="58"/>
      <c r="K709" s="59">
        <f t="shared" ref="K709:X709" si="253">IF(AND($C709="B+R",$E709="prace rozwojowe",LataProjekcji&lt;=Koniec_PR,Modul_badawczo_rozwojowy=tak),ROUND(K125,0),0)</f>
        <v>0</v>
      </c>
      <c r="L709" s="59">
        <f t="shared" si="253"/>
        <v>0</v>
      </c>
      <c r="M709" s="59">
        <f t="shared" si="253"/>
        <v>0</v>
      </c>
      <c r="N709" s="59">
        <f t="shared" si="253"/>
        <v>0</v>
      </c>
      <c r="O709" s="59">
        <f t="shared" si="253"/>
        <v>0</v>
      </c>
      <c r="P709" s="59">
        <f t="shared" si="253"/>
        <v>0</v>
      </c>
      <c r="Q709" s="59">
        <f t="shared" si="253"/>
        <v>0</v>
      </c>
      <c r="R709" s="59">
        <f t="shared" si="253"/>
        <v>0</v>
      </c>
      <c r="S709" s="59">
        <f t="shared" si="253"/>
        <v>0</v>
      </c>
      <c r="T709" s="59">
        <f t="shared" si="253"/>
        <v>0</v>
      </c>
      <c r="U709" s="59">
        <f t="shared" si="253"/>
        <v>0</v>
      </c>
      <c r="V709" s="59">
        <f t="shared" si="253"/>
        <v>0</v>
      </c>
      <c r="W709" s="59">
        <f t="shared" si="253"/>
        <v>0</v>
      </c>
      <c r="X709" s="59">
        <f t="shared" si="253"/>
        <v>0</v>
      </c>
    </row>
    <row r="710" spans="1:24" hidden="1">
      <c r="A710" s="258"/>
      <c r="B710" s="58" t="str">
        <f t="shared" si="244"/>
        <v/>
      </c>
      <c r="C710" s="58" t="str">
        <f t="shared" si="244"/>
        <v/>
      </c>
      <c r="D710" s="58" t="str">
        <f t="shared" si="244"/>
        <v/>
      </c>
      <c r="E710" s="58" t="str">
        <f t="shared" si="244"/>
        <v/>
      </c>
      <c r="F710" s="58"/>
      <c r="G710" s="58"/>
      <c r="H710" s="58"/>
      <c r="I710" s="58"/>
      <c r="J710" s="58"/>
      <c r="K710" s="59">
        <f t="shared" ref="K710:X710" si="254">IF(AND($C710="B+R",$E710="prace rozwojowe",LataProjekcji&lt;=Koniec_PR,Modul_badawczo_rozwojowy=tak),ROUND(K126,0),0)</f>
        <v>0</v>
      </c>
      <c r="L710" s="59">
        <f t="shared" si="254"/>
        <v>0</v>
      </c>
      <c r="M710" s="59">
        <f t="shared" si="254"/>
        <v>0</v>
      </c>
      <c r="N710" s="59">
        <f t="shared" si="254"/>
        <v>0</v>
      </c>
      <c r="O710" s="59">
        <f t="shared" si="254"/>
        <v>0</v>
      </c>
      <c r="P710" s="59">
        <f t="shared" si="254"/>
        <v>0</v>
      </c>
      <c r="Q710" s="59">
        <f t="shared" si="254"/>
        <v>0</v>
      </c>
      <c r="R710" s="59">
        <f t="shared" si="254"/>
        <v>0</v>
      </c>
      <c r="S710" s="59">
        <f t="shared" si="254"/>
        <v>0</v>
      </c>
      <c r="T710" s="59">
        <f t="shared" si="254"/>
        <v>0</v>
      </c>
      <c r="U710" s="59">
        <f t="shared" si="254"/>
        <v>0</v>
      </c>
      <c r="V710" s="59">
        <f t="shared" si="254"/>
        <v>0</v>
      </c>
      <c r="W710" s="59">
        <f t="shared" si="254"/>
        <v>0</v>
      </c>
      <c r="X710" s="59">
        <f t="shared" si="254"/>
        <v>0</v>
      </c>
    </row>
    <row r="711" spans="1:24" hidden="1">
      <c r="A711" s="258"/>
      <c r="B711" s="58" t="str">
        <f t="shared" si="244"/>
        <v/>
      </c>
      <c r="C711" s="58" t="str">
        <f t="shared" si="244"/>
        <v/>
      </c>
      <c r="D711" s="58" t="str">
        <f t="shared" si="244"/>
        <v/>
      </c>
      <c r="E711" s="58" t="str">
        <f t="shared" si="244"/>
        <v/>
      </c>
      <c r="F711" s="58"/>
      <c r="G711" s="58"/>
      <c r="H711" s="58"/>
      <c r="I711" s="58"/>
      <c r="J711" s="58"/>
      <c r="K711" s="59">
        <f t="shared" ref="K711:X711" si="255">IF(AND($C711="B+R",$E711="prace rozwojowe",LataProjekcji&lt;=Koniec_PR,Modul_badawczo_rozwojowy=tak),ROUND(K127,0),0)</f>
        <v>0</v>
      </c>
      <c r="L711" s="59">
        <f t="shared" si="255"/>
        <v>0</v>
      </c>
      <c r="M711" s="59">
        <f t="shared" si="255"/>
        <v>0</v>
      </c>
      <c r="N711" s="59">
        <f t="shared" si="255"/>
        <v>0</v>
      </c>
      <c r="O711" s="59">
        <f t="shared" si="255"/>
        <v>0</v>
      </c>
      <c r="P711" s="59">
        <f t="shared" si="255"/>
        <v>0</v>
      </c>
      <c r="Q711" s="59">
        <f t="shared" si="255"/>
        <v>0</v>
      </c>
      <c r="R711" s="59">
        <f t="shared" si="255"/>
        <v>0</v>
      </c>
      <c r="S711" s="59">
        <f t="shared" si="255"/>
        <v>0</v>
      </c>
      <c r="T711" s="59">
        <f t="shared" si="255"/>
        <v>0</v>
      </c>
      <c r="U711" s="59">
        <f t="shared" si="255"/>
        <v>0</v>
      </c>
      <c r="V711" s="59">
        <f t="shared" si="255"/>
        <v>0</v>
      </c>
      <c r="W711" s="59">
        <f t="shared" si="255"/>
        <v>0</v>
      </c>
      <c r="X711" s="59">
        <f t="shared" si="255"/>
        <v>0</v>
      </c>
    </row>
    <row r="712" spans="1:24" hidden="1">
      <c r="A712" s="258"/>
      <c r="B712" s="58" t="str">
        <f t="shared" si="244"/>
        <v/>
      </c>
      <c r="C712" s="58" t="str">
        <f t="shared" si="244"/>
        <v/>
      </c>
      <c r="D712" s="58" t="str">
        <f t="shared" si="244"/>
        <v/>
      </c>
      <c r="E712" s="58" t="str">
        <f t="shared" si="244"/>
        <v/>
      </c>
      <c r="F712" s="58"/>
      <c r="G712" s="58"/>
      <c r="H712" s="58"/>
      <c r="I712" s="58"/>
      <c r="J712" s="58"/>
      <c r="K712" s="59">
        <f t="shared" ref="K712:X712" si="256">IF(AND($C712="B+R",$E712="prace rozwojowe",LataProjekcji&lt;=Koniec_PR,Modul_badawczo_rozwojowy=tak),ROUND(K128,0),0)</f>
        <v>0</v>
      </c>
      <c r="L712" s="59">
        <f t="shared" si="256"/>
        <v>0</v>
      </c>
      <c r="M712" s="59">
        <f t="shared" si="256"/>
        <v>0</v>
      </c>
      <c r="N712" s="59">
        <f t="shared" si="256"/>
        <v>0</v>
      </c>
      <c r="O712" s="59">
        <f t="shared" si="256"/>
        <v>0</v>
      </c>
      <c r="P712" s="59">
        <f t="shared" si="256"/>
        <v>0</v>
      </c>
      <c r="Q712" s="59">
        <f t="shared" si="256"/>
        <v>0</v>
      </c>
      <c r="R712" s="59">
        <f t="shared" si="256"/>
        <v>0</v>
      </c>
      <c r="S712" s="59">
        <f t="shared" si="256"/>
        <v>0</v>
      </c>
      <c r="T712" s="59">
        <f t="shared" si="256"/>
        <v>0</v>
      </c>
      <c r="U712" s="59">
        <f t="shared" si="256"/>
        <v>0</v>
      </c>
      <c r="V712" s="59">
        <f t="shared" si="256"/>
        <v>0</v>
      </c>
      <c r="W712" s="59">
        <f t="shared" si="256"/>
        <v>0</v>
      </c>
      <c r="X712" s="59">
        <f t="shared" si="256"/>
        <v>0</v>
      </c>
    </row>
    <row r="713" spans="1:24" hidden="1">
      <c r="A713" s="258"/>
      <c r="B713" s="58" t="str">
        <f t="shared" si="244"/>
        <v/>
      </c>
      <c r="C713" s="58" t="str">
        <f t="shared" si="244"/>
        <v/>
      </c>
      <c r="D713" s="58" t="str">
        <f t="shared" si="244"/>
        <v/>
      </c>
      <c r="E713" s="58" t="str">
        <f t="shared" si="244"/>
        <v/>
      </c>
      <c r="F713" s="58"/>
      <c r="G713" s="58"/>
      <c r="H713" s="58"/>
      <c r="I713" s="58"/>
      <c r="J713" s="58"/>
      <c r="K713" s="59">
        <f t="shared" ref="K713:X713" si="257">IF(AND($C713="B+R",$E713="prace rozwojowe",LataProjekcji&lt;=Koniec_PR,Modul_badawczo_rozwojowy=tak),ROUND(K129,0),0)</f>
        <v>0</v>
      </c>
      <c r="L713" s="59">
        <f t="shared" si="257"/>
        <v>0</v>
      </c>
      <c r="M713" s="59">
        <f t="shared" si="257"/>
        <v>0</v>
      </c>
      <c r="N713" s="59">
        <f t="shared" si="257"/>
        <v>0</v>
      </c>
      <c r="O713" s="59">
        <f t="shared" si="257"/>
        <v>0</v>
      </c>
      <c r="P713" s="59">
        <f t="shared" si="257"/>
        <v>0</v>
      </c>
      <c r="Q713" s="59">
        <f t="shared" si="257"/>
        <v>0</v>
      </c>
      <c r="R713" s="59">
        <f t="shared" si="257"/>
        <v>0</v>
      </c>
      <c r="S713" s="59">
        <f t="shared" si="257"/>
        <v>0</v>
      </c>
      <c r="T713" s="59">
        <f t="shared" si="257"/>
        <v>0</v>
      </c>
      <c r="U713" s="59">
        <f t="shared" si="257"/>
        <v>0</v>
      </c>
      <c r="V713" s="59">
        <f t="shared" si="257"/>
        <v>0</v>
      </c>
      <c r="W713" s="59">
        <f t="shared" si="257"/>
        <v>0</v>
      </c>
      <c r="X713" s="59">
        <f t="shared" si="257"/>
        <v>0</v>
      </c>
    </row>
    <row r="714" spans="1:24" hidden="1">
      <c r="A714" s="258"/>
      <c r="B714" s="58" t="str">
        <f t="shared" si="244"/>
        <v/>
      </c>
      <c r="C714" s="58" t="str">
        <f t="shared" si="244"/>
        <v/>
      </c>
      <c r="D714" s="58" t="str">
        <f t="shared" si="244"/>
        <v/>
      </c>
      <c r="E714" s="58" t="str">
        <f t="shared" si="244"/>
        <v/>
      </c>
      <c r="F714" s="58"/>
      <c r="G714" s="58"/>
      <c r="H714" s="58"/>
      <c r="I714" s="58"/>
      <c r="J714" s="58"/>
      <c r="K714" s="59">
        <f t="shared" ref="K714:X714" si="258">IF(AND($C714="B+R",$E714="prace rozwojowe",LataProjekcji&lt;=Koniec_PR,Modul_badawczo_rozwojowy=tak),ROUND(K130,0),0)</f>
        <v>0</v>
      </c>
      <c r="L714" s="59">
        <f t="shared" si="258"/>
        <v>0</v>
      </c>
      <c r="M714" s="59">
        <f t="shared" si="258"/>
        <v>0</v>
      </c>
      <c r="N714" s="59">
        <f t="shared" si="258"/>
        <v>0</v>
      </c>
      <c r="O714" s="59">
        <f t="shared" si="258"/>
        <v>0</v>
      </c>
      <c r="P714" s="59">
        <f t="shared" si="258"/>
        <v>0</v>
      </c>
      <c r="Q714" s="59">
        <f t="shared" si="258"/>
        <v>0</v>
      </c>
      <c r="R714" s="59">
        <f t="shared" si="258"/>
        <v>0</v>
      </c>
      <c r="S714" s="59">
        <f t="shared" si="258"/>
        <v>0</v>
      </c>
      <c r="T714" s="59">
        <f t="shared" si="258"/>
        <v>0</v>
      </c>
      <c r="U714" s="59">
        <f t="shared" si="258"/>
        <v>0</v>
      </c>
      <c r="V714" s="59">
        <f t="shared" si="258"/>
        <v>0</v>
      </c>
      <c r="W714" s="59">
        <f t="shared" si="258"/>
        <v>0</v>
      </c>
      <c r="X714" s="59">
        <f t="shared" si="258"/>
        <v>0</v>
      </c>
    </row>
    <row r="715" spans="1:24" hidden="1">
      <c r="A715" s="258"/>
      <c r="B715" s="58" t="str">
        <f t="shared" si="244"/>
        <v/>
      </c>
      <c r="C715" s="58" t="str">
        <f t="shared" si="244"/>
        <v/>
      </c>
      <c r="D715" s="58" t="str">
        <f t="shared" si="244"/>
        <v/>
      </c>
      <c r="E715" s="58" t="str">
        <f t="shared" si="244"/>
        <v/>
      </c>
      <c r="F715" s="58"/>
      <c r="G715" s="58"/>
      <c r="H715" s="58"/>
      <c r="I715" s="58"/>
      <c r="J715" s="58"/>
      <c r="K715" s="59">
        <f t="shared" ref="K715:X715" si="259">IF(AND($C715="B+R",$E715="prace rozwojowe",LataProjekcji&lt;=Koniec_PR,Modul_badawczo_rozwojowy=tak),ROUND(K131,0),0)</f>
        <v>0</v>
      </c>
      <c r="L715" s="59">
        <f t="shared" si="259"/>
        <v>0</v>
      </c>
      <c r="M715" s="59">
        <f t="shared" si="259"/>
        <v>0</v>
      </c>
      <c r="N715" s="59">
        <f t="shared" si="259"/>
        <v>0</v>
      </c>
      <c r="O715" s="59">
        <f t="shared" si="259"/>
        <v>0</v>
      </c>
      <c r="P715" s="59">
        <f t="shared" si="259"/>
        <v>0</v>
      </c>
      <c r="Q715" s="59">
        <f t="shared" si="259"/>
        <v>0</v>
      </c>
      <c r="R715" s="59">
        <f t="shared" si="259"/>
        <v>0</v>
      </c>
      <c r="S715" s="59">
        <f t="shared" si="259"/>
        <v>0</v>
      </c>
      <c r="T715" s="59">
        <f t="shared" si="259"/>
        <v>0</v>
      </c>
      <c r="U715" s="59">
        <f t="shared" si="259"/>
        <v>0</v>
      </c>
      <c r="V715" s="59">
        <f t="shared" si="259"/>
        <v>0</v>
      </c>
      <c r="W715" s="59">
        <f t="shared" si="259"/>
        <v>0</v>
      </c>
      <c r="X715" s="59">
        <f t="shared" si="259"/>
        <v>0</v>
      </c>
    </row>
    <row r="716" spans="1:24" hidden="1">
      <c r="A716" s="258"/>
      <c r="B716" s="58" t="str">
        <f t="shared" si="244"/>
        <v/>
      </c>
      <c r="C716" s="58" t="str">
        <f t="shared" si="244"/>
        <v/>
      </c>
      <c r="D716" s="58" t="str">
        <f t="shared" si="244"/>
        <v/>
      </c>
      <c r="E716" s="58" t="str">
        <f t="shared" si="244"/>
        <v/>
      </c>
      <c r="F716" s="58"/>
      <c r="G716" s="58"/>
      <c r="H716" s="58"/>
      <c r="I716" s="58"/>
      <c r="J716" s="58"/>
      <c r="K716" s="59">
        <f t="shared" ref="K716:X716" si="260">IF(AND($C716="B+R",$E716="prace rozwojowe",LataProjekcji&lt;=Koniec_PR,Modul_badawczo_rozwojowy=tak),ROUND(K132,0),0)</f>
        <v>0</v>
      </c>
      <c r="L716" s="59">
        <f t="shared" si="260"/>
        <v>0</v>
      </c>
      <c r="M716" s="59">
        <f t="shared" si="260"/>
        <v>0</v>
      </c>
      <c r="N716" s="59">
        <f t="shared" si="260"/>
        <v>0</v>
      </c>
      <c r="O716" s="59">
        <f t="shared" si="260"/>
        <v>0</v>
      </c>
      <c r="P716" s="59">
        <f t="shared" si="260"/>
        <v>0</v>
      </c>
      <c r="Q716" s="59">
        <f t="shared" si="260"/>
        <v>0</v>
      </c>
      <c r="R716" s="59">
        <f t="shared" si="260"/>
        <v>0</v>
      </c>
      <c r="S716" s="59">
        <f t="shared" si="260"/>
        <v>0</v>
      </c>
      <c r="T716" s="59">
        <f t="shared" si="260"/>
        <v>0</v>
      </c>
      <c r="U716" s="59">
        <f t="shared" si="260"/>
        <v>0</v>
      </c>
      <c r="V716" s="59">
        <f t="shared" si="260"/>
        <v>0</v>
      </c>
      <c r="W716" s="59">
        <f t="shared" si="260"/>
        <v>0</v>
      </c>
      <c r="X716" s="59">
        <f t="shared" si="260"/>
        <v>0</v>
      </c>
    </row>
    <row r="717" spans="1:24" hidden="1">
      <c r="A717" s="258"/>
      <c r="B717" s="58" t="str">
        <f t="shared" si="244"/>
        <v/>
      </c>
      <c r="C717" s="58" t="str">
        <f t="shared" si="244"/>
        <v/>
      </c>
      <c r="D717" s="58" t="str">
        <f t="shared" si="244"/>
        <v/>
      </c>
      <c r="E717" s="58" t="str">
        <f t="shared" si="244"/>
        <v/>
      </c>
      <c r="F717" s="58"/>
      <c r="G717" s="58"/>
      <c r="H717" s="58"/>
      <c r="I717" s="58"/>
      <c r="J717" s="58"/>
      <c r="K717" s="59">
        <f t="shared" ref="K717:X717" si="261">IF(AND($C717="B+R",$E717="prace rozwojowe",LataProjekcji&lt;=Koniec_PR,Modul_badawczo_rozwojowy=tak),ROUND(K133,0),0)</f>
        <v>0</v>
      </c>
      <c r="L717" s="59">
        <f t="shared" si="261"/>
        <v>0</v>
      </c>
      <c r="M717" s="59">
        <f t="shared" si="261"/>
        <v>0</v>
      </c>
      <c r="N717" s="59">
        <f t="shared" si="261"/>
        <v>0</v>
      </c>
      <c r="O717" s="59">
        <f t="shared" si="261"/>
        <v>0</v>
      </c>
      <c r="P717" s="59">
        <f t="shared" si="261"/>
        <v>0</v>
      </c>
      <c r="Q717" s="59">
        <f t="shared" si="261"/>
        <v>0</v>
      </c>
      <c r="R717" s="59">
        <f t="shared" si="261"/>
        <v>0</v>
      </c>
      <c r="S717" s="59">
        <f t="shared" si="261"/>
        <v>0</v>
      </c>
      <c r="T717" s="59">
        <f t="shared" si="261"/>
        <v>0</v>
      </c>
      <c r="U717" s="59">
        <f t="shared" si="261"/>
        <v>0</v>
      </c>
      <c r="V717" s="59">
        <f t="shared" si="261"/>
        <v>0</v>
      </c>
      <c r="W717" s="59">
        <f t="shared" si="261"/>
        <v>0</v>
      </c>
      <c r="X717" s="59">
        <f t="shared" si="261"/>
        <v>0</v>
      </c>
    </row>
    <row r="718" spans="1:24" hidden="1">
      <c r="A718" s="258"/>
      <c r="B718" s="58" t="str">
        <f t="shared" si="244"/>
        <v/>
      </c>
      <c r="C718" s="58" t="str">
        <f t="shared" si="244"/>
        <v/>
      </c>
      <c r="D718" s="58" t="str">
        <f t="shared" si="244"/>
        <v/>
      </c>
      <c r="E718" s="58" t="str">
        <f t="shared" si="244"/>
        <v/>
      </c>
      <c r="F718" s="58"/>
      <c r="G718" s="58"/>
      <c r="H718" s="58"/>
      <c r="I718" s="58"/>
      <c r="J718" s="58"/>
      <c r="K718" s="59">
        <f t="shared" ref="K718:X718" si="262">IF(AND($C718="B+R",$E718="prace rozwojowe",LataProjekcji&lt;=Koniec_PR,Modul_badawczo_rozwojowy=tak),ROUND(K134,0),0)</f>
        <v>0</v>
      </c>
      <c r="L718" s="59">
        <f t="shared" si="262"/>
        <v>0</v>
      </c>
      <c r="M718" s="59">
        <f t="shared" si="262"/>
        <v>0</v>
      </c>
      <c r="N718" s="59">
        <f t="shared" si="262"/>
        <v>0</v>
      </c>
      <c r="O718" s="59">
        <f t="shared" si="262"/>
        <v>0</v>
      </c>
      <c r="P718" s="59">
        <f t="shared" si="262"/>
        <v>0</v>
      </c>
      <c r="Q718" s="59">
        <f t="shared" si="262"/>
        <v>0</v>
      </c>
      <c r="R718" s="59">
        <f t="shared" si="262"/>
        <v>0</v>
      </c>
      <c r="S718" s="59">
        <f t="shared" si="262"/>
        <v>0</v>
      </c>
      <c r="T718" s="59">
        <f t="shared" si="262"/>
        <v>0</v>
      </c>
      <c r="U718" s="59">
        <f t="shared" si="262"/>
        <v>0</v>
      </c>
      <c r="V718" s="59">
        <f t="shared" si="262"/>
        <v>0</v>
      </c>
      <c r="W718" s="59">
        <f t="shared" si="262"/>
        <v>0</v>
      </c>
      <c r="X718" s="59">
        <f t="shared" si="262"/>
        <v>0</v>
      </c>
    </row>
    <row r="719" spans="1:24" hidden="1">
      <c r="A719" s="258"/>
      <c r="B719" s="58" t="str">
        <f t="shared" si="244"/>
        <v/>
      </c>
      <c r="C719" s="58" t="str">
        <f t="shared" si="244"/>
        <v/>
      </c>
      <c r="D719" s="58" t="str">
        <f t="shared" si="244"/>
        <v/>
      </c>
      <c r="E719" s="58" t="str">
        <f t="shared" si="244"/>
        <v/>
      </c>
      <c r="F719" s="58"/>
      <c r="G719" s="58"/>
      <c r="H719" s="58"/>
      <c r="I719" s="58"/>
      <c r="J719" s="58"/>
      <c r="K719" s="59">
        <f t="shared" ref="K719:X719" si="263">IF(AND($C719="B+R",$E719="prace rozwojowe",LataProjekcji&lt;=Koniec_PR,Modul_badawczo_rozwojowy=tak),ROUND(K135,0),0)</f>
        <v>0</v>
      </c>
      <c r="L719" s="59">
        <f t="shared" si="263"/>
        <v>0</v>
      </c>
      <c r="M719" s="59">
        <f t="shared" si="263"/>
        <v>0</v>
      </c>
      <c r="N719" s="59">
        <f t="shared" si="263"/>
        <v>0</v>
      </c>
      <c r="O719" s="59">
        <f t="shared" si="263"/>
        <v>0</v>
      </c>
      <c r="P719" s="59">
        <f t="shared" si="263"/>
        <v>0</v>
      </c>
      <c r="Q719" s="59">
        <f t="shared" si="263"/>
        <v>0</v>
      </c>
      <c r="R719" s="59">
        <f t="shared" si="263"/>
        <v>0</v>
      </c>
      <c r="S719" s="59">
        <f t="shared" si="263"/>
        <v>0</v>
      </c>
      <c r="T719" s="59">
        <f t="shared" si="263"/>
        <v>0</v>
      </c>
      <c r="U719" s="59">
        <f t="shared" si="263"/>
        <v>0</v>
      </c>
      <c r="V719" s="59">
        <f t="shared" si="263"/>
        <v>0</v>
      </c>
      <c r="W719" s="59">
        <f t="shared" si="263"/>
        <v>0</v>
      </c>
      <c r="X719" s="59">
        <f t="shared" si="263"/>
        <v>0</v>
      </c>
    </row>
    <row r="720" spans="1:24" hidden="1">
      <c r="A720" s="258"/>
      <c r="B720" s="58" t="str">
        <f t="shared" si="244"/>
        <v/>
      </c>
      <c r="C720" s="58" t="str">
        <f t="shared" si="244"/>
        <v/>
      </c>
      <c r="D720" s="58" t="str">
        <f t="shared" si="244"/>
        <v/>
      </c>
      <c r="E720" s="58" t="str">
        <f t="shared" si="244"/>
        <v/>
      </c>
      <c r="F720" s="58"/>
      <c r="G720" s="58"/>
      <c r="H720" s="58"/>
      <c r="I720" s="58"/>
      <c r="J720" s="58"/>
      <c r="K720" s="59">
        <f t="shared" ref="K720:X720" si="264">IF(AND($C720="B+R",$E720="prace rozwojowe",LataProjekcji&lt;=Koniec_PR,Modul_badawczo_rozwojowy=tak),ROUND(K136,0),0)</f>
        <v>0</v>
      </c>
      <c r="L720" s="59">
        <f t="shared" si="264"/>
        <v>0</v>
      </c>
      <c r="M720" s="59">
        <f t="shared" si="264"/>
        <v>0</v>
      </c>
      <c r="N720" s="59">
        <f t="shared" si="264"/>
        <v>0</v>
      </c>
      <c r="O720" s="59">
        <f t="shared" si="264"/>
        <v>0</v>
      </c>
      <c r="P720" s="59">
        <f t="shared" si="264"/>
        <v>0</v>
      </c>
      <c r="Q720" s="59">
        <f t="shared" si="264"/>
        <v>0</v>
      </c>
      <c r="R720" s="59">
        <f t="shared" si="264"/>
        <v>0</v>
      </c>
      <c r="S720" s="59">
        <f t="shared" si="264"/>
        <v>0</v>
      </c>
      <c r="T720" s="59">
        <f t="shared" si="264"/>
        <v>0</v>
      </c>
      <c r="U720" s="59">
        <f t="shared" si="264"/>
        <v>0</v>
      </c>
      <c r="V720" s="59">
        <f t="shared" si="264"/>
        <v>0</v>
      </c>
      <c r="W720" s="59">
        <f t="shared" si="264"/>
        <v>0</v>
      </c>
      <c r="X720" s="59">
        <f t="shared" si="264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5">ROUND(SUM(L701:L720),0)</f>
        <v>0</v>
      </c>
      <c r="M721" s="60">
        <f t="shared" si="265"/>
        <v>0</v>
      </c>
      <c r="N721" s="60">
        <f t="shared" si="265"/>
        <v>0</v>
      </c>
      <c r="O721" s="60">
        <f t="shared" si="265"/>
        <v>0</v>
      </c>
      <c r="P721" s="60">
        <f t="shared" si="265"/>
        <v>0</v>
      </c>
      <c r="Q721" s="60">
        <f t="shared" si="265"/>
        <v>0</v>
      </c>
      <c r="R721" s="60">
        <f t="shared" si="265"/>
        <v>0</v>
      </c>
      <c r="S721" s="60">
        <f t="shared" si="265"/>
        <v>0</v>
      </c>
      <c r="T721" s="60">
        <f t="shared" si="265"/>
        <v>0</v>
      </c>
      <c r="U721" s="60">
        <f t="shared" si="265"/>
        <v>0</v>
      </c>
      <c r="V721" s="60">
        <f t="shared" si="265"/>
        <v>0</v>
      </c>
      <c r="W721" s="60">
        <f t="shared" si="265"/>
        <v>0</v>
      </c>
      <c r="X721" s="60">
        <f t="shared" si="265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66">IF(ISBLANK(B162),"",B162)</f>
        <v/>
      </c>
      <c r="C725" s="58" t="str">
        <f t="shared" si="266"/>
        <v/>
      </c>
      <c r="D725" s="58" t="str">
        <f t="shared" si="266"/>
        <v/>
      </c>
      <c r="E725" s="58" t="str">
        <f t="shared" si="266"/>
        <v/>
      </c>
      <c r="F725" s="58"/>
      <c r="G725" s="58"/>
      <c r="H725" s="58"/>
      <c r="I725" s="58"/>
      <c r="J725" s="58" t="s">
        <v>731</v>
      </c>
      <c r="K725" s="59">
        <f t="shared" ref="K725:X725" si="267">IF(AND($C725="B+R",$E725="prace rozwojowe",LataProjekcji&lt;=Koniec_PR,Modul_badawczo_rozwojowy=tak),ROUND(K162,0),0)</f>
        <v>0</v>
      </c>
      <c r="L725" s="59">
        <f t="shared" si="267"/>
        <v>0</v>
      </c>
      <c r="M725" s="59">
        <f t="shared" si="267"/>
        <v>0</v>
      </c>
      <c r="N725" s="59">
        <f t="shared" si="267"/>
        <v>0</v>
      </c>
      <c r="O725" s="59">
        <f t="shared" si="267"/>
        <v>0</v>
      </c>
      <c r="P725" s="59">
        <f t="shared" si="267"/>
        <v>0</v>
      </c>
      <c r="Q725" s="59">
        <f t="shared" si="267"/>
        <v>0</v>
      </c>
      <c r="R725" s="59">
        <f t="shared" si="267"/>
        <v>0</v>
      </c>
      <c r="S725" s="59">
        <f t="shared" si="267"/>
        <v>0</v>
      </c>
      <c r="T725" s="59">
        <f t="shared" si="267"/>
        <v>0</v>
      </c>
      <c r="U725" s="59">
        <f t="shared" si="267"/>
        <v>0</v>
      </c>
      <c r="V725" s="59">
        <f t="shared" si="267"/>
        <v>0</v>
      </c>
      <c r="W725" s="59">
        <f t="shared" si="267"/>
        <v>0</v>
      </c>
      <c r="X725" s="59">
        <f t="shared" si="267"/>
        <v>0</v>
      </c>
    </row>
    <row r="726" spans="2:24" hidden="1">
      <c r="B726" s="58" t="str">
        <f t="shared" si="266"/>
        <v/>
      </c>
      <c r="C726" s="58" t="str">
        <f t="shared" si="266"/>
        <v/>
      </c>
      <c r="D726" s="58" t="str">
        <f t="shared" si="266"/>
        <v/>
      </c>
      <c r="E726" s="58" t="str">
        <f t="shared" si="266"/>
        <v/>
      </c>
      <c r="F726" s="58"/>
      <c r="G726" s="58"/>
      <c r="H726" s="58"/>
      <c r="I726" s="58"/>
      <c r="J726" s="58"/>
      <c r="K726" s="59">
        <f t="shared" ref="K726:X726" si="268">IF(AND($C726="B+R",$E726="prace rozwojowe",LataProjekcji&lt;=Koniec_PR,Modul_badawczo_rozwojowy=tak),ROUND(K163,0),0)</f>
        <v>0</v>
      </c>
      <c r="L726" s="59">
        <f t="shared" si="268"/>
        <v>0</v>
      </c>
      <c r="M726" s="59">
        <f t="shared" si="268"/>
        <v>0</v>
      </c>
      <c r="N726" s="59">
        <f t="shared" si="268"/>
        <v>0</v>
      </c>
      <c r="O726" s="59">
        <f t="shared" si="268"/>
        <v>0</v>
      </c>
      <c r="P726" s="59">
        <f t="shared" si="268"/>
        <v>0</v>
      </c>
      <c r="Q726" s="59">
        <f t="shared" si="268"/>
        <v>0</v>
      </c>
      <c r="R726" s="59">
        <f t="shared" si="268"/>
        <v>0</v>
      </c>
      <c r="S726" s="59">
        <f t="shared" si="268"/>
        <v>0</v>
      </c>
      <c r="T726" s="59">
        <f t="shared" si="268"/>
        <v>0</v>
      </c>
      <c r="U726" s="59">
        <f t="shared" si="268"/>
        <v>0</v>
      </c>
      <c r="V726" s="59">
        <f t="shared" si="268"/>
        <v>0</v>
      </c>
      <c r="W726" s="59">
        <f t="shared" si="268"/>
        <v>0</v>
      </c>
      <c r="X726" s="59">
        <f t="shared" si="268"/>
        <v>0</v>
      </c>
    </row>
    <row r="727" spans="2:24" hidden="1">
      <c r="B727" s="58" t="str">
        <f t="shared" si="266"/>
        <v/>
      </c>
      <c r="C727" s="58" t="str">
        <f t="shared" si="266"/>
        <v/>
      </c>
      <c r="D727" s="58" t="str">
        <f t="shared" si="266"/>
        <v/>
      </c>
      <c r="E727" s="58" t="str">
        <f t="shared" si="266"/>
        <v/>
      </c>
      <c r="F727" s="58"/>
      <c r="G727" s="58"/>
      <c r="H727" s="58"/>
      <c r="I727" s="58"/>
      <c r="J727" s="58"/>
      <c r="K727" s="59">
        <f t="shared" ref="K727:X727" si="269">IF(AND($C727="B+R",$E727="prace rozwojowe",LataProjekcji&lt;=Koniec_PR,Modul_badawczo_rozwojowy=tak),ROUND(K164,0),0)</f>
        <v>0</v>
      </c>
      <c r="L727" s="59">
        <f t="shared" si="269"/>
        <v>0</v>
      </c>
      <c r="M727" s="59">
        <f t="shared" si="269"/>
        <v>0</v>
      </c>
      <c r="N727" s="59">
        <f t="shared" si="269"/>
        <v>0</v>
      </c>
      <c r="O727" s="59">
        <f t="shared" si="269"/>
        <v>0</v>
      </c>
      <c r="P727" s="59">
        <f t="shared" si="269"/>
        <v>0</v>
      </c>
      <c r="Q727" s="59">
        <f t="shared" si="269"/>
        <v>0</v>
      </c>
      <c r="R727" s="59">
        <f t="shared" si="269"/>
        <v>0</v>
      </c>
      <c r="S727" s="59">
        <f t="shared" si="269"/>
        <v>0</v>
      </c>
      <c r="T727" s="59">
        <f t="shared" si="269"/>
        <v>0</v>
      </c>
      <c r="U727" s="59">
        <f t="shared" si="269"/>
        <v>0</v>
      </c>
      <c r="V727" s="59">
        <f t="shared" si="269"/>
        <v>0</v>
      </c>
      <c r="W727" s="59">
        <f t="shared" si="269"/>
        <v>0</v>
      </c>
      <c r="X727" s="59">
        <f t="shared" si="269"/>
        <v>0</v>
      </c>
    </row>
    <row r="728" spans="2:24" hidden="1">
      <c r="B728" s="58" t="str">
        <f t="shared" si="266"/>
        <v/>
      </c>
      <c r="C728" s="58" t="str">
        <f t="shared" si="266"/>
        <v/>
      </c>
      <c r="D728" s="58" t="str">
        <f t="shared" si="266"/>
        <v/>
      </c>
      <c r="E728" s="58" t="str">
        <f t="shared" si="266"/>
        <v/>
      </c>
      <c r="F728" s="58"/>
      <c r="G728" s="58"/>
      <c r="H728" s="58"/>
      <c r="I728" s="58"/>
      <c r="J728" s="58"/>
      <c r="K728" s="59">
        <f t="shared" ref="K728:X728" si="270">IF(AND($C728="B+R",$E728="prace rozwojowe",LataProjekcji&lt;=Koniec_PR,Modul_badawczo_rozwojowy=tak),ROUND(K165,0),0)</f>
        <v>0</v>
      </c>
      <c r="L728" s="59">
        <f t="shared" si="270"/>
        <v>0</v>
      </c>
      <c r="M728" s="59">
        <f t="shared" si="270"/>
        <v>0</v>
      </c>
      <c r="N728" s="59">
        <f t="shared" si="270"/>
        <v>0</v>
      </c>
      <c r="O728" s="59">
        <f t="shared" si="270"/>
        <v>0</v>
      </c>
      <c r="P728" s="59">
        <f t="shared" si="270"/>
        <v>0</v>
      </c>
      <c r="Q728" s="59">
        <f t="shared" si="270"/>
        <v>0</v>
      </c>
      <c r="R728" s="59">
        <f t="shared" si="270"/>
        <v>0</v>
      </c>
      <c r="S728" s="59">
        <f t="shared" si="270"/>
        <v>0</v>
      </c>
      <c r="T728" s="59">
        <f t="shared" si="270"/>
        <v>0</v>
      </c>
      <c r="U728" s="59">
        <f t="shared" si="270"/>
        <v>0</v>
      </c>
      <c r="V728" s="59">
        <f t="shared" si="270"/>
        <v>0</v>
      </c>
      <c r="W728" s="59">
        <f t="shared" si="270"/>
        <v>0</v>
      </c>
      <c r="X728" s="59">
        <f t="shared" si="270"/>
        <v>0</v>
      </c>
    </row>
    <row r="729" spans="2:24" hidden="1">
      <c r="B729" s="58" t="str">
        <f t="shared" si="266"/>
        <v/>
      </c>
      <c r="C729" s="58" t="str">
        <f t="shared" si="266"/>
        <v/>
      </c>
      <c r="D729" s="58" t="str">
        <f t="shared" si="266"/>
        <v/>
      </c>
      <c r="E729" s="58" t="str">
        <f t="shared" si="266"/>
        <v/>
      </c>
      <c r="F729" s="58"/>
      <c r="G729" s="58"/>
      <c r="H729" s="58"/>
      <c r="I729" s="58"/>
      <c r="J729" s="58"/>
      <c r="K729" s="59">
        <f t="shared" ref="K729:X729" si="271">IF(AND($C729="B+R",$E729="prace rozwojowe",LataProjekcji&lt;=Koniec_PR,Modul_badawczo_rozwojowy=tak),ROUND(K166,0),0)</f>
        <v>0</v>
      </c>
      <c r="L729" s="59">
        <f t="shared" si="271"/>
        <v>0</v>
      </c>
      <c r="M729" s="59">
        <f t="shared" si="271"/>
        <v>0</v>
      </c>
      <c r="N729" s="59">
        <f t="shared" si="271"/>
        <v>0</v>
      </c>
      <c r="O729" s="59">
        <f t="shared" si="271"/>
        <v>0</v>
      </c>
      <c r="P729" s="59">
        <f t="shared" si="271"/>
        <v>0</v>
      </c>
      <c r="Q729" s="59">
        <f t="shared" si="271"/>
        <v>0</v>
      </c>
      <c r="R729" s="59">
        <f t="shared" si="271"/>
        <v>0</v>
      </c>
      <c r="S729" s="59">
        <f t="shared" si="271"/>
        <v>0</v>
      </c>
      <c r="T729" s="59">
        <f t="shared" si="271"/>
        <v>0</v>
      </c>
      <c r="U729" s="59">
        <f t="shared" si="271"/>
        <v>0</v>
      </c>
      <c r="V729" s="59">
        <f t="shared" si="271"/>
        <v>0</v>
      </c>
      <c r="W729" s="59">
        <f t="shared" si="271"/>
        <v>0</v>
      </c>
      <c r="X729" s="59">
        <f t="shared" si="271"/>
        <v>0</v>
      </c>
    </row>
    <row r="730" spans="2:24" hidden="1">
      <c r="B730" s="58" t="str">
        <f t="shared" si="266"/>
        <v/>
      </c>
      <c r="C730" s="58" t="str">
        <f t="shared" si="266"/>
        <v/>
      </c>
      <c r="D730" s="58" t="str">
        <f t="shared" si="266"/>
        <v/>
      </c>
      <c r="E730" s="58" t="str">
        <f t="shared" si="266"/>
        <v/>
      </c>
      <c r="F730" s="58"/>
      <c r="G730" s="58"/>
      <c r="H730" s="58"/>
      <c r="I730" s="58"/>
      <c r="J730" s="58"/>
      <c r="K730" s="59">
        <f t="shared" ref="K730:X730" si="272">IF(AND($C730="B+R",$E730="prace rozwojowe",LataProjekcji&lt;=Koniec_PR,Modul_badawczo_rozwojowy=tak),ROUND(K167,0),0)</f>
        <v>0</v>
      </c>
      <c r="L730" s="59">
        <f t="shared" si="272"/>
        <v>0</v>
      </c>
      <c r="M730" s="59">
        <f t="shared" si="272"/>
        <v>0</v>
      </c>
      <c r="N730" s="59">
        <f t="shared" si="272"/>
        <v>0</v>
      </c>
      <c r="O730" s="59">
        <f t="shared" si="272"/>
        <v>0</v>
      </c>
      <c r="P730" s="59">
        <f t="shared" si="272"/>
        <v>0</v>
      </c>
      <c r="Q730" s="59">
        <f t="shared" si="272"/>
        <v>0</v>
      </c>
      <c r="R730" s="59">
        <f t="shared" si="272"/>
        <v>0</v>
      </c>
      <c r="S730" s="59">
        <f t="shared" si="272"/>
        <v>0</v>
      </c>
      <c r="T730" s="59">
        <f t="shared" si="272"/>
        <v>0</v>
      </c>
      <c r="U730" s="59">
        <f t="shared" si="272"/>
        <v>0</v>
      </c>
      <c r="V730" s="59">
        <f t="shared" si="272"/>
        <v>0</v>
      </c>
      <c r="W730" s="59">
        <f t="shared" si="272"/>
        <v>0</v>
      </c>
      <c r="X730" s="59">
        <f t="shared" si="272"/>
        <v>0</v>
      </c>
    </row>
    <row r="731" spans="2:24" hidden="1">
      <c r="B731" s="58" t="str">
        <f t="shared" si="266"/>
        <v/>
      </c>
      <c r="C731" s="58" t="str">
        <f t="shared" si="266"/>
        <v/>
      </c>
      <c r="D731" s="58" t="str">
        <f t="shared" si="266"/>
        <v/>
      </c>
      <c r="E731" s="58" t="str">
        <f t="shared" si="266"/>
        <v/>
      </c>
      <c r="F731" s="58"/>
      <c r="G731" s="58"/>
      <c r="H731" s="58"/>
      <c r="I731" s="58"/>
      <c r="J731" s="58"/>
      <c r="K731" s="59">
        <f t="shared" ref="K731:X731" si="273">IF(AND($C731="B+R",$E731="prace rozwojowe",LataProjekcji&lt;=Koniec_PR,Modul_badawczo_rozwojowy=tak),ROUND(K168,0),0)</f>
        <v>0</v>
      </c>
      <c r="L731" s="59">
        <f t="shared" si="273"/>
        <v>0</v>
      </c>
      <c r="M731" s="59">
        <f t="shared" si="273"/>
        <v>0</v>
      </c>
      <c r="N731" s="59">
        <f t="shared" si="273"/>
        <v>0</v>
      </c>
      <c r="O731" s="59">
        <f t="shared" si="273"/>
        <v>0</v>
      </c>
      <c r="P731" s="59">
        <f t="shared" si="273"/>
        <v>0</v>
      </c>
      <c r="Q731" s="59">
        <f t="shared" si="273"/>
        <v>0</v>
      </c>
      <c r="R731" s="59">
        <f t="shared" si="273"/>
        <v>0</v>
      </c>
      <c r="S731" s="59">
        <f t="shared" si="273"/>
        <v>0</v>
      </c>
      <c r="T731" s="59">
        <f t="shared" si="273"/>
        <v>0</v>
      </c>
      <c r="U731" s="59">
        <f t="shared" si="273"/>
        <v>0</v>
      </c>
      <c r="V731" s="59">
        <f t="shared" si="273"/>
        <v>0</v>
      </c>
      <c r="W731" s="59">
        <f t="shared" si="273"/>
        <v>0</v>
      </c>
      <c r="X731" s="59">
        <f t="shared" si="273"/>
        <v>0</v>
      </c>
    </row>
    <row r="732" spans="2:24" hidden="1">
      <c r="B732" s="58" t="str">
        <f t="shared" si="266"/>
        <v/>
      </c>
      <c r="C732" s="58" t="str">
        <f t="shared" si="266"/>
        <v/>
      </c>
      <c r="D732" s="58" t="str">
        <f t="shared" si="266"/>
        <v/>
      </c>
      <c r="E732" s="58" t="str">
        <f t="shared" si="266"/>
        <v/>
      </c>
      <c r="F732" s="58"/>
      <c r="G732" s="58"/>
      <c r="H732" s="58"/>
      <c r="I732" s="58"/>
      <c r="J732" s="58"/>
      <c r="K732" s="59">
        <f t="shared" ref="K732:X732" si="274">IF(AND($C732="B+R",$E732="prace rozwojowe",LataProjekcji&lt;=Koniec_PR,Modul_badawczo_rozwojowy=tak),ROUND(K169,0),0)</f>
        <v>0</v>
      </c>
      <c r="L732" s="59">
        <f t="shared" si="274"/>
        <v>0</v>
      </c>
      <c r="M732" s="59">
        <f t="shared" si="274"/>
        <v>0</v>
      </c>
      <c r="N732" s="59">
        <f t="shared" si="274"/>
        <v>0</v>
      </c>
      <c r="O732" s="59">
        <f t="shared" si="274"/>
        <v>0</v>
      </c>
      <c r="P732" s="59">
        <f t="shared" si="274"/>
        <v>0</v>
      </c>
      <c r="Q732" s="59">
        <f t="shared" si="274"/>
        <v>0</v>
      </c>
      <c r="R732" s="59">
        <f t="shared" si="274"/>
        <v>0</v>
      </c>
      <c r="S732" s="59">
        <f t="shared" si="274"/>
        <v>0</v>
      </c>
      <c r="T732" s="59">
        <f t="shared" si="274"/>
        <v>0</v>
      </c>
      <c r="U732" s="59">
        <f t="shared" si="274"/>
        <v>0</v>
      </c>
      <c r="V732" s="59">
        <f t="shared" si="274"/>
        <v>0</v>
      </c>
      <c r="W732" s="59">
        <f t="shared" si="274"/>
        <v>0</v>
      </c>
      <c r="X732" s="59">
        <f t="shared" si="274"/>
        <v>0</v>
      </c>
    </row>
    <row r="733" spans="2:24" hidden="1">
      <c r="B733" s="58" t="str">
        <f t="shared" si="266"/>
        <v/>
      </c>
      <c r="C733" s="58" t="str">
        <f t="shared" si="266"/>
        <v/>
      </c>
      <c r="D733" s="58" t="str">
        <f t="shared" si="266"/>
        <v/>
      </c>
      <c r="E733" s="58" t="str">
        <f t="shared" si="266"/>
        <v/>
      </c>
      <c r="F733" s="58"/>
      <c r="G733" s="58"/>
      <c r="H733" s="58"/>
      <c r="I733" s="58"/>
      <c r="J733" s="58"/>
      <c r="K733" s="59">
        <f t="shared" ref="K733:X733" si="275">IF(AND($C733="B+R",$E733="prace rozwojowe",LataProjekcji&lt;=Koniec_PR,Modul_badawczo_rozwojowy=tak),ROUND(K170,0),0)</f>
        <v>0</v>
      </c>
      <c r="L733" s="59">
        <f t="shared" si="275"/>
        <v>0</v>
      </c>
      <c r="M733" s="59">
        <f t="shared" si="275"/>
        <v>0</v>
      </c>
      <c r="N733" s="59">
        <f t="shared" si="275"/>
        <v>0</v>
      </c>
      <c r="O733" s="59">
        <f t="shared" si="275"/>
        <v>0</v>
      </c>
      <c r="P733" s="59">
        <f t="shared" si="275"/>
        <v>0</v>
      </c>
      <c r="Q733" s="59">
        <f t="shared" si="275"/>
        <v>0</v>
      </c>
      <c r="R733" s="59">
        <f t="shared" si="275"/>
        <v>0</v>
      </c>
      <c r="S733" s="59">
        <f t="shared" si="275"/>
        <v>0</v>
      </c>
      <c r="T733" s="59">
        <f t="shared" si="275"/>
        <v>0</v>
      </c>
      <c r="U733" s="59">
        <f t="shared" si="275"/>
        <v>0</v>
      </c>
      <c r="V733" s="59">
        <f t="shared" si="275"/>
        <v>0</v>
      </c>
      <c r="W733" s="59">
        <f t="shared" si="275"/>
        <v>0</v>
      </c>
      <c r="X733" s="59">
        <f t="shared" si="275"/>
        <v>0</v>
      </c>
    </row>
    <row r="734" spans="2:24" hidden="1">
      <c r="B734" s="58" t="str">
        <f t="shared" si="266"/>
        <v/>
      </c>
      <c r="C734" s="58" t="str">
        <f t="shared" si="266"/>
        <v/>
      </c>
      <c r="D734" s="58" t="str">
        <f t="shared" si="266"/>
        <v/>
      </c>
      <c r="E734" s="58" t="str">
        <f t="shared" si="266"/>
        <v/>
      </c>
      <c r="F734" s="58"/>
      <c r="G734" s="58"/>
      <c r="H734" s="58"/>
      <c r="I734" s="58"/>
      <c r="J734" s="58"/>
      <c r="K734" s="59">
        <f t="shared" ref="K734:X734" si="276">IF(AND($C734="B+R",$E734="prace rozwojowe",LataProjekcji&lt;=Koniec_PR,Modul_badawczo_rozwojowy=tak),ROUND(K171,0),0)</f>
        <v>0</v>
      </c>
      <c r="L734" s="59">
        <f t="shared" si="276"/>
        <v>0</v>
      </c>
      <c r="M734" s="59">
        <f t="shared" si="276"/>
        <v>0</v>
      </c>
      <c r="N734" s="59">
        <f t="shared" si="276"/>
        <v>0</v>
      </c>
      <c r="O734" s="59">
        <f t="shared" si="276"/>
        <v>0</v>
      </c>
      <c r="P734" s="59">
        <f t="shared" si="276"/>
        <v>0</v>
      </c>
      <c r="Q734" s="59">
        <f t="shared" si="276"/>
        <v>0</v>
      </c>
      <c r="R734" s="59">
        <f t="shared" si="276"/>
        <v>0</v>
      </c>
      <c r="S734" s="59">
        <f t="shared" si="276"/>
        <v>0</v>
      </c>
      <c r="T734" s="59">
        <f t="shared" si="276"/>
        <v>0</v>
      </c>
      <c r="U734" s="59">
        <f t="shared" si="276"/>
        <v>0</v>
      </c>
      <c r="V734" s="59">
        <f t="shared" si="276"/>
        <v>0</v>
      </c>
      <c r="W734" s="59">
        <f t="shared" si="276"/>
        <v>0</v>
      </c>
      <c r="X734" s="59">
        <f t="shared" si="276"/>
        <v>0</v>
      </c>
    </row>
    <row r="735" spans="2:24" hidden="1">
      <c r="B735" s="58" t="str">
        <f t="shared" si="266"/>
        <v/>
      </c>
      <c r="C735" s="58" t="str">
        <f t="shared" si="266"/>
        <v/>
      </c>
      <c r="D735" s="58" t="str">
        <f t="shared" si="266"/>
        <v/>
      </c>
      <c r="E735" s="58" t="str">
        <f t="shared" si="266"/>
        <v/>
      </c>
      <c r="F735" s="58"/>
      <c r="G735" s="58"/>
      <c r="H735" s="58"/>
      <c r="I735" s="58"/>
      <c r="J735" s="58"/>
      <c r="K735" s="59">
        <f t="shared" ref="K735:X735" si="277">IF(AND($C735="B+R",$E735="prace rozwojowe",LataProjekcji&lt;=Koniec_PR,Modul_badawczo_rozwojowy=tak),ROUND(K172,0),0)</f>
        <v>0</v>
      </c>
      <c r="L735" s="59">
        <f t="shared" si="277"/>
        <v>0</v>
      </c>
      <c r="M735" s="59">
        <f t="shared" si="277"/>
        <v>0</v>
      </c>
      <c r="N735" s="59">
        <f t="shared" si="277"/>
        <v>0</v>
      </c>
      <c r="O735" s="59">
        <f t="shared" si="277"/>
        <v>0</v>
      </c>
      <c r="P735" s="59">
        <f t="shared" si="277"/>
        <v>0</v>
      </c>
      <c r="Q735" s="59">
        <f t="shared" si="277"/>
        <v>0</v>
      </c>
      <c r="R735" s="59">
        <f t="shared" si="277"/>
        <v>0</v>
      </c>
      <c r="S735" s="59">
        <f t="shared" si="277"/>
        <v>0</v>
      </c>
      <c r="T735" s="59">
        <f t="shared" si="277"/>
        <v>0</v>
      </c>
      <c r="U735" s="59">
        <f t="shared" si="277"/>
        <v>0</v>
      </c>
      <c r="V735" s="59">
        <f t="shared" si="277"/>
        <v>0</v>
      </c>
      <c r="W735" s="59">
        <f t="shared" si="277"/>
        <v>0</v>
      </c>
      <c r="X735" s="59">
        <f t="shared" si="277"/>
        <v>0</v>
      </c>
    </row>
    <row r="736" spans="2:24" hidden="1">
      <c r="B736" s="58" t="str">
        <f t="shared" si="266"/>
        <v/>
      </c>
      <c r="C736" s="58" t="str">
        <f t="shared" si="266"/>
        <v/>
      </c>
      <c r="D736" s="58" t="str">
        <f t="shared" si="266"/>
        <v/>
      </c>
      <c r="E736" s="58" t="str">
        <f t="shared" si="266"/>
        <v/>
      </c>
      <c r="F736" s="58"/>
      <c r="G736" s="58"/>
      <c r="H736" s="58"/>
      <c r="I736" s="58"/>
      <c r="J736" s="58"/>
      <c r="K736" s="59">
        <f t="shared" ref="K736:X736" si="278">IF(AND($C736="B+R",$E736="prace rozwojowe",LataProjekcji&lt;=Koniec_PR,Modul_badawczo_rozwojowy=tak),ROUND(K173,0),0)</f>
        <v>0</v>
      </c>
      <c r="L736" s="59">
        <f t="shared" si="278"/>
        <v>0</v>
      </c>
      <c r="M736" s="59">
        <f t="shared" si="278"/>
        <v>0</v>
      </c>
      <c r="N736" s="59">
        <f t="shared" si="278"/>
        <v>0</v>
      </c>
      <c r="O736" s="59">
        <f t="shared" si="278"/>
        <v>0</v>
      </c>
      <c r="P736" s="59">
        <f t="shared" si="278"/>
        <v>0</v>
      </c>
      <c r="Q736" s="59">
        <f t="shared" si="278"/>
        <v>0</v>
      </c>
      <c r="R736" s="59">
        <f t="shared" si="278"/>
        <v>0</v>
      </c>
      <c r="S736" s="59">
        <f t="shared" si="278"/>
        <v>0</v>
      </c>
      <c r="T736" s="59">
        <f t="shared" si="278"/>
        <v>0</v>
      </c>
      <c r="U736" s="59">
        <f t="shared" si="278"/>
        <v>0</v>
      </c>
      <c r="V736" s="59">
        <f t="shared" si="278"/>
        <v>0</v>
      </c>
      <c r="W736" s="59">
        <f t="shared" si="278"/>
        <v>0</v>
      </c>
      <c r="X736" s="59">
        <f t="shared" si="278"/>
        <v>0</v>
      </c>
    </row>
    <row r="737" spans="2:24" hidden="1">
      <c r="B737" s="58" t="str">
        <f t="shared" si="266"/>
        <v/>
      </c>
      <c r="C737" s="58" t="str">
        <f t="shared" si="266"/>
        <v/>
      </c>
      <c r="D737" s="58" t="str">
        <f t="shared" si="266"/>
        <v/>
      </c>
      <c r="E737" s="58" t="str">
        <f t="shared" si="266"/>
        <v/>
      </c>
      <c r="F737" s="58"/>
      <c r="G737" s="58"/>
      <c r="H737" s="58"/>
      <c r="I737" s="58"/>
      <c r="J737" s="58"/>
      <c r="K737" s="59">
        <f t="shared" ref="K737:X737" si="279">IF(AND($C737="B+R",$E737="prace rozwojowe",LataProjekcji&lt;=Koniec_PR,Modul_badawczo_rozwojowy=tak),ROUND(K174,0),0)</f>
        <v>0</v>
      </c>
      <c r="L737" s="59">
        <f t="shared" si="279"/>
        <v>0</v>
      </c>
      <c r="M737" s="59">
        <f t="shared" si="279"/>
        <v>0</v>
      </c>
      <c r="N737" s="59">
        <f t="shared" si="279"/>
        <v>0</v>
      </c>
      <c r="O737" s="59">
        <f t="shared" si="279"/>
        <v>0</v>
      </c>
      <c r="P737" s="59">
        <f t="shared" si="279"/>
        <v>0</v>
      </c>
      <c r="Q737" s="59">
        <f t="shared" si="279"/>
        <v>0</v>
      </c>
      <c r="R737" s="59">
        <f t="shared" si="279"/>
        <v>0</v>
      </c>
      <c r="S737" s="59">
        <f t="shared" si="279"/>
        <v>0</v>
      </c>
      <c r="T737" s="59">
        <f t="shared" si="279"/>
        <v>0</v>
      </c>
      <c r="U737" s="59">
        <f t="shared" si="279"/>
        <v>0</v>
      </c>
      <c r="V737" s="59">
        <f t="shared" si="279"/>
        <v>0</v>
      </c>
      <c r="W737" s="59">
        <f t="shared" si="279"/>
        <v>0</v>
      </c>
      <c r="X737" s="59">
        <f t="shared" si="279"/>
        <v>0</v>
      </c>
    </row>
    <row r="738" spans="2:24" hidden="1">
      <c r="B738" s="58" t="str">
        <f t="shared" si="266"/>
        <v/>
      </c>
      <c r="C738" s="58" t="str">
        <f t="shared" si="266"/>
        <v/>
      </c>
      <c r="D738" s="58" t="str">
        <f t="shared" si="266"/>
        <v/>
      </c>
      <c r="E738" s="58" t="str">
        <f t="shared" si="266"/>
        <v/>
      </c>
      <c r="F738" s="58"/>
      <c r="G738" s="58"/>
      <c r="H738" s="58"/>
      <c r="I738" s="58"/>
      <c r="J738" s="58"/>
      <c r="K738" s="59">
        <f t="shared" ref="K738:X738" si="280">IF(AND($C738="B+R",$E738="prace rozwojowe",LataProjekcji&lt;=Koniec_PR,Modul_badawczo_rozwojowy=tak),ROUND(K175,0),0)</f>
        <v>0</v>
      </c>
      <c r="L738" s="59">
        <f t="shared" si="280"/>
        <v>0</v>
      </c>
      <c r="M738" s="59">
        <f t="shared" si="280"/>
        <v>0</v>
      </c>
      <c r="N738" s="59">
        <f t="shared" si="280"/>
        <v>0</v>
      </c>
      <c r="O738" s="59">
        <f t="shared" si="280"/>
        <v>0</v>
      </c>
      <c r="P738" s="59">
        <f t="shared" si="280"/>
        <v>0</v>
      </c>
      <c r="Q738" s="59">
        <f t="shared" si="280"/>
        <v>0</v>
      </c>
      <c r="R738" s="59">
        <f t="shared" si="280"/>
        <v>0</v>
      </c>
      <c r="S738" s="59">
        <f t="shared" si="280"/>
        <v>0</v>
      </c>
      <c r="T738" s="59">
        <f t="shared" si="280"/>
        <v>0</v>
      </c>
      <c r="U738" s="59">
        <f t="shared" si="280"/>
        <v>0</v>
      </c>
      <c r="V738" s="59">
        <f t="shared" si="280"/>
        <v>0</v>
      </c>
      <c r="W738" s="59">
        <f t="shared" si="280"/>
        <v>0</v>
      </c>
      <c r="X738" s="59">
        <f t="shared" si="280"/>
        <v>0</v>
      </c>
    </row>
    <row r="739" spans="2:24" hidden="1">
      <c r="B739" s="58" t="str">
        <f t="shared" si="266"/>
        <v/>
      </c>
      <c r="C739" s="58" t="str">
        <f t="shared" si="266"/>
        <v/>
      </c>
      <c r="D739" s="58" t="str">
        <f t="shared" si="266"/>
        <v/>
      </c>
      <c r="E739" s="58" t="str">
        <f t="shared" si="266"/>
        <v/>
      </c>
      <c r="F739" s="58"/>
      <c r="G739" s="58"/>
      <c r="H739" s="58"/>
      <c r="I739" s="58"/>
      <c r="J739" s="58"/>
      <c r="K739" s="59">
        <f t="shared" ref="K739:X739" si="281">IF(AND($C739="B+R",$E739="prace rozwojowe",LataProjekcji&lt;=Koniec_PR,Modul_badawczo_rozwojowy=tak),ROUND(K176,0),0)</f>
        <v>0</v>
      </c>
      <c r="L739" s="59">
        <f t="shared" si="281"/>
        <v>0</v>
      </c>
      <c r="M739" s="59">
        <f t="shared" si="281"/>
        <v>0</v>
      </c>
      <c r="N739" s="59">
        <f t="shared" si="281"/>
        <v>0</v>
      </c>
      <c r="O739" s="59">
        <f t="shared" si="281"/>
        <v>0</v>
      </c>
      <c r="P739" s="59">
        <f t="shared" si="281"/>
        <v>0</v>
      </c>
      <c r="Q739" s="59">
        <f t="shared" si="281"/>
        <v>0</v>
      </c>
      <c r="R739" s="59">
        <f t="shared" si="281"/>
        <v>0</v>
      </c>
      <c r="S739" s="59">
        <f t="shared" si="281"/>
        <v>0</v>
      </c>
      <c r="T739" s="59">
        <f t="shared" si="281"/>
        <v>0</v>
      </c>
      <c r="U739" s="59">
        <f t="shared" si="281"/>
        <v>0</v>
      </c>
      <c r="V739" s="59">
        <f t="shared" si="281"/>
        <v>0</v>
      </c>
      <c r="W739" s="59">
        <f t="shared" si="281"/>
        <v>0</v>
      </c>
      <c r="X739" s="59">
        <f t="shared" si="281"/>
        <v>0</v>
      </c>
    </row>
    <row r="740" spans="2:24" hidden="1">
      <c r="B740" s="58" t="str">
        <f t="shared" si="266"/>
        <v/>
      </c>
      <c r="C740" s="58" t="str">
        <f t="shared" si="266"/>
        <v/>
      </c>
      <c r="D740" s="58" t="str">
        <f t="shared" si="266"/>
        <v/>
      </c>
      <c r="E740" s="58" t="str">
        <f t="shared" si="266"/>
        <v/>
      </c>
      <c r="F740" s="58"/>
      <c r="G740" s="58"/>
      <c r="H740" s="58"/>
      <c r="I740" s="58"/>
      <c r="J740" s="58"/>
      <c r="K740" s="59">
        <f t="shared" ref="K740:X740" si="282">IF(AND($C740="B+R",$E740="prace rozwojowe",LataProjekcji&lt;=Koniec_PR,Modul_badawczo_rozwojowy=tak),ROUND(K177,0),0)</f>
        <v>0</v>
      </c>
      <c r="L740" s="59">
        <f t="shared" si="282"/>
        <v>0</v>
      </c>
      <c r="M740" s="59">
        <f t="shared" si="282"/>
        <v>0</v>
      </c>
      <c r="N740" s="59">
        <f t="shared" si="282"/>
        <v>0</v>
      </c>
      <c r="O740" s="59">
        <f t="shared" si="282"/>
        <v>0</v>
      </c>
      <c r="P740" s="59">
        <f t="shared" si="282"/>
        <v>0</v>
      </c>
      <c r="Q740" s="59">
        <f t="shared" si="282"/>
        <v>0</v>
      </c>
      <c r="R740" s="59">
        <f t="shared" si="282"/>
        <v>0</v>
      </c>
      <c r="S740" s="59">
        <f t="shared" si="282"/>
        <v>0</v>
      </c>
      <c r="T740" s="59">
        <f t="shared" si="282"/>
        <v>0</v>
      </c>
      <c r="U740" s="59">
        <f t="shared" si="282"/>
        <v>0</v>
      </c>
      <c r="V740" s="59">
        <f t="shared" si="282"/>
        <v>0</v>
      </c>
      <c r="W740" s="59">
        <f t="shared" si="282"/>
        <v>0</v>
      </c>
      <c r="X740" s="59">
        <f t="shared" si="282"/>
        <v>0</v>
      </c>
    </row>
    <row r="741" spans="2:24" hidden="1">
      <c r="B741" s="58" t="str">
        <f t="shared" si="266"/>
        <v/>
      </c>
      <c r="C741" s="58" t="str">
        <f t="shared" si="266"/>
        <v/>
      </c>
      <c r="D741" s="58" t="str">
        <f t="shared" si="266"/>
        <v/>
      </c>
      <c r="E741" s="58" t="str">
        <f t="shared" si="266"/>
        <v/>
      </c>
      <c r="F741" s="58"/>
      <c r="G741" s="58"/>
      <c r="H741" s="58"/>
      <c r="I741" s="58"/>
      <c r="J741" s="58"/>
      <c r="K741" s="59">
        <f t="shared" ref="K741:X741" si="283">IF(AND($C741="B+R",$E741="prace rozwojowe",LataProjekcji&lt;=Koniec_PR,Modul_badawczo_rozwojowy=tak),ROUND(K178,0),0)</f>
        <v>0</v>
      </c>
      <c r="L741" s="59">
        <f t="shared" si="283"/>
        <v>0</v>
      </c>
      <c r="M741" s="59">
        <f t="shared" si="283"/>
        <v>0</v>
      </c>
      <c r="N741" s="59">
        <f t="shared" si="283"/>
        <v>0</v>
      </c>
      <c r="O741" s="59">
        <f t="shared" si="283"/>
        <v>0</v>
      </c>
      <c r="P741" s="59">
        <f t="shared" si="283"/>
        <v>0</v>
      </c>
      <c r="Q741" s="59">
        <f t="shared" si="283"/>
        <v>0</v>
      </c>
      <c r="R741" s="59">
        <f t="shared" si="283"/>
        <v>0</v>
      </c>
      <c r="S741" s="59">
        <f t="shared" si="283"/>
        <v>0</v>
      </c>
      <c r="T741" s="59">
        <f t="shared" si="283"/>
        <v>0</v>
      </c>
      <c r="U741" s="59">
        <f t="shared" si="283"/>
        <v>0</v>
      </c>
      <c r="V741" s="59">
        <f t="shared" si="283"/>
        <v>0</v>
      </c>
      <c r="W741" s="59">
        <f t="shared" si="283"/>
        <v>0</v>
      </c>
      <c r="X741" s="59">
        <f t="shared" si="283"/>
        <v>0</v>
      </c>
    </row>
    <row r="742" spans="2:24" hidden="1">
      <c r="B742" s="58" t="str">
        <f t="shared" si="266"/>
        <v/>
      </c>
      <c r="C742" s="58" t="str">
        <f t="shared" si="266"/>
        <v/>
      </c>
      <c r="D742" s="58" t="str">
        <f t="shared" si="266"/>
        <v/>
      </c>
      <c r="E742" s="58" t="str">
        <f t="shared" si="266"/>
        <v/>
      </c>
      <c r="F742" s="58"/>
      <c r="G742" s="58"/>
      <c r="H742" s="58"/>
      <c r="I742" s="58"/>
      <c r="J742" s="58"/>
      <c r="K742" s="59">
        <f t="shared" ref="K742:X742" si="284">IF(AND($C742="B+R",$E742="prace rozwojowe",LataProjekcji&lt;=Koniec_PR,Modul_badawczo_rozwojowy=tak),ROUND(K179,0),0)</f>
        <v>0</v>
      </c>
      <c r="L742" s="59">
        <f t="shared" si="284"/>
        <v>0</v>
      </c>
      <c r="M742" s="59">
        <f t="shared" si="284"/>
        <v>0</v>
      </c>
      <c r="N742" s="59">
        <f t="shared" si="284"/>
        <v>0</v>
      </c>
      <c r="O742" s="59">
        <f t="shared" si="284"/>
        <v>0</v>
      </c>
      <c r="P742" s="59">
        <f t="shared" si="284"/>
        <v>0</v>
      </c>
      <c r="Q742" s="59">
        <f t="shared" si="284"/>
        <v>0</v>
      </c>
      <c r="R742" s="59">
        <f t="shared" si="284"/>
        <v>0</v>
      </c>
      <c r="S742" s="59">
        <f t="shared" si="284"/>
        <v>0</v>
      </c>
      <c r="T742" s="59">
        <f t="shared" si="284"/>
        <v>0</v>
      </c>
      <c r="U742" s="59">
        <f t="shared" si="284"/>
        <v>0</v>
      </c>
      <c r="V742" s="59">
        <f t="shared" si="284"/>
        <v>0</v>
      </c>
      <c r="W742" s="59">
        <f t="shared" si="284"/>
        <v>0</v>
      </c>
      <c r="X742" s="59">
        <f t="shared" si="284"/>
        <v>0</v>
      </c>
    </row>
    <row r="743" spans="2:24" hidden="1">
      <c r="B743" s="58" t="str">
        <f t="shared" si="266"/>
        <v/>
      </c>
      <c r="C743" s="58" t="str">
        <f t="shared" si="266"/>
        <v/>
      </c>
      <c r="D743" s="58" t="str">
        <f t="shared" si="266"/>
        <v/>
      </c>
      <c r="E743" s="58" t="str">
        <f t="shared" si="266"/>
        <v/>
      </c>
      <c r="F743" s="58"/>
      <c r="G743" s="58"/>
      <c r="H743" s="58"/>
      <c r="I743" s="58"/>
      <c r="J743" s="58"/>
      <c r="K743" s="59">
        <f t="shared" ref="K743:X743" si="285">IF(AND($C743="B+R",$E743="prace rozwojowe",LataProjekcji&lt;=Koniec_PR,Modul_badawczo_rozwojowy=tak),ROUND(K180,0),0)</f>
        <v>0</v>
      </c>
      <c r="L743" s="59">
        <f t="shared" si="285"/>
        <v>0</v>
      </c>
      <c r="M743" s="59">
        <f t="shared" si="285"/>
        <v>0</v>
      </c>
      <c r="N743" s="59">
        <f t="shared" si="285"/>
        <v>0</v>
      </c>
      <c r="O743" s="59">
        <f t="shared" si="285"/>
        <v>0</v>
      </c>
      <c r="P743" s="59">
        <f t="shared" si="285"/>
        <v>0</v>
      </c>
      <c r="Q743" s="59">
        <f t="shared" si="285"/>
        <v>0</v>
      </c>
      <c r="R743" s="59">
        <f t="shared" si="285"/>
        <v>0</v>
      </c>
      <c r="S743" s="59">
        <f t="shared" si="285"/>
        <v>0</v>
      </c>
      <c r="T743" s="59">
        <f t="shared" si="285"/>
        <v>0</v>
      </c>
      <c r="U743" s="59">
        <f t="shared" si="285"/>
        <v>0</v>
      </c>
      <c r="V743" s="59">
        <f t="shared" si="285"/>
        <v>0</v>
      </c>
      <c r="W743" s="59">
        <f t="shared" si="285"/>
        <v>0</v>
      </c>
      <c r="X743" s="59">
        <f t="shared" si="285"/>
        <v>0</v>
      </c>
    </row>
    <row r="744" spans="2:24" hidden="1">
      <c r="B744" s="58" t="str">
        <f t="shared" si="266"/>
        <v/>
      </c>
      <c r="C744" s="58" t="str">
        <f t="shared" si="266"/>
        <v/>
      </c>
      <c r="D744" s="58" t="str">
        <f t="shared" si="266"/>
        <v/>
      </c>
      <c r="E744" s="58" t="str">
        <f t="shared" si="266"/>
        <v/>
      </c>
      <c r="F744" s="58"/>
      <c r="G744" s="58"/>
      <c r="H744" s="58"/>
      <c r="I744" s="58"/>
      <c r="J744" s="58"/>
      <c r="K744" s="59">
        <f t="shared" ref="K744:X744" si="286">IF(AND($C744="B+R",$E744="prace rozwojowe",LataProjekcji&lt;=Koniec_PR,Modul_badawczo_rozwojowy=tak),ROUND(K181,0),0)</f>
        <v>0</v>
      </c>
      <c r="L744" s="59">
        <f t="shared" si="286"/>
        <v>0</v>
      </c>
      <c r="M744" s="59">
        <f t="shared" si="286"/>
        <v>0</v>
      </c>
      <c r="N744" s="59">
        <f t="shared" si="286"/>
        <v>0</v>
      </c>
      <c r="O744" s="59">
        <f t="shared" si="286"/>
        <v>0</v>
      </c>
      <c r="P744" s="59">
        <f t="shared" si="286"/>
        <v>0</v>
      </c>
      <c r="Q744" s="59">
        <f t="shared" si="286"/>
        <v>0</v>
      </c>
      <c r="R744" s="59">
        <f t="shared" si="286"/>
        <v>0</v>
      </c>
      <c r="S744" s="59">
        <f t="shared" si="286"/>
        <v>0</v>
      </c>
      <c r="T744" s="59">
        <f t="shared" si="286"/>
        <v>0</v>
      </c>
      <c r="U744" s="59">
        <f t="shared" si="286"/>
        <v>0</v>
      </c>
      <c r="V744" s="59">
        <f t="shared" si="286"/>
        <v>0</v>
      </c>
      <c r="W744" s="59">
        <f t="shared" si="286"/>
        <v>0</v>
      </c>
      <c r="X744" s="59">
        <f t="shared" si="286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87">ROUND(SUM(L725:L744),0)</f>
        <v>0</v>
      </c>
      <c r="M745" s="60">
        <f t="shared" si="287"/>
        <v>0</v>
      </c>
      <c r="N745" s="60">
        <f t="shared" si="287"/>
        <v>0</v>
      </c>
      <c r="O745" s="60">
        <f t="shared" si="287"/>
        <v>0</v>
      </c>
      <c r="P745" s="60">
        <f t="shared" si="287"/>
        <v>0</v>
      </c>
      <c r="Q745" s="60">
        <f t="shared" si="287"/>
        <v>0</v>
      </c>
      <c r="R745" s="60">
        <f t="shared" si="287"/>
        <v>0</v>
      </c>
      <c r="S745" s="60">
        <f t="shared" si="287"/>
        <v>0</v>
      </c>
      <c r="T745" s="60">
        <f t="shared" si="287"/>
        <v>0</v>
      </c>
      <c r="U745" s="60">
        <f t="shared" si="287"/>
        <v>0</v>
      </c>
      <c r="V745" s="60">
        <f t="shared" si="287"/>
        <v>0</v>
      </c>
      <c r="W745" s="60">
        <f t="shared" si="287"/>
        <v>0</v>
      </c>
      <c r="X745" s="60">
        <f t="shared" si="287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88">IF(ISBLANK(B207),"",B207)</f>
        <v/>
      </c>
      <c r="C749" s="58" t="str">
        <f t="shared" si="288"/>
        <v/>
      </c>
      <c r="D749" s="58" t="str">
        <f t="shared" si="288"/>
        <v/>
      </c>
      <c r="E749" s="58" t="str">
        <f t="shared" si="288"/>
        <v/>
      </c>
      <c r="F749" s="58"/>
      <c r="G749" s="58"/>
      <c r="H749" s="58"/>
      <c r="I749" s="58"/>
      <c r="J749" s="58" t="s">
        <v>732</v>
      </c>
      <c r="K749" s="59">
        <f t="shared" ref="K749:X749" si="289">IF(AND($C749="B+R",$E749="prace rozwojowe",LataProjekcji&lt;=Koniec_PR,Modul_badawczo_rozwojowy=tak),ROUND(K207,0),0)</f>
        <v>0</v>
      </c>
      <c r="L749" s="59">
        <f t="shared" si="289"/>
        <v>0</v>
      </c>
      <c r="M749" s="59">
        <f t="shared" si="289"/>
        <v>0</v>
      </c>
      <c r="N749" s="59">
        <f t="shared" si="289"/>
        <v>0</v>
      </c>
      <c r="O749" s="59">
        <f t="shared" si="289"/>
        <v>0</v>
      </c>
      <c r="P749" s="59">
        <f t="shared" si="289"/>
        <v>0</v>
      </c>
      <c r="Q749" s="59">
        <f t="shared" si="289"/>
        <v>0</v>
      </c>
      <c r="R749" s="59">
        <f t="shared" si="289"/>
        <v>0</v>
      </c>
      <c r="S749" s="59">
        <f t="shared" si="289"/>
        <v>0</v>
      </c>
      <c r="T749" s="59">
        <f t="shared" si="289"/>
        <v>0</v>
      </c>
      <c r="U749" s="59">
        <f t="shared" si="289"/>
        <v>0</v>
      </c>
      <c r="V749" s="59">
        <f t="shared" si="289"/>
        <v>0</v>
      </c>
      <c r="W749" s="59">
        <f t="shared" si="289"/>
        <v>0</v>
      </c>
      <c r="X749" s="59">
        <f t="shared" si="289"/>
        <v>0</v>
      </c>
    </row>
    <row r="750" spans="2:24" hidden="1">
      <c r="B750" s="58" t="str">
        <f t="shared" si="288"/>
        <v/>
      </c>
      <c r="C750" s="58" t="str">
        <f t="shared" si="288"/>
        <v/>
      </c>
      <c r="D750" s="58" t="str">
        <f t="shared" si="288"/>
        <v/>
      </c>
      <c r="E750" s="58" t="str">
        <f t="shared" si="288"/>
        <v/>
      </c>
      <c r="F750" s="58"/>
      <c r="G750" s="58"/>
      <c r="H750" s="58"/>
      <c r="I750" s="58"/>
      <c r="J750" s="58"/>
      <c r="K750" s="59">
        <f t="shared" ref="K750:X750" si="290">IF(AND($C750="B+R",$E750="prace rozwojowe",LataProjekcji&lt;=Koniec_PR,Modul_badawczo_rozwojowy=tak),ROUND(K208,0),0)</f>
        <v>0</v>
      </c>
      <c r="L750" s="59">
        <f t="shared" si="290"/>
        <v>0</v>
      </c>
      <c r="M750" s="59">
        <f t="shared" si="290"/>
        <v>0</v>
      </c>
      <c r="N750" s="59">
        <f t="shared" si="290"/>
        <v>0</v>
      </c>
      <c r="O750" s="59">
        <f t="shared" si="290"/>
        <v>0</v>
      </c>
      <c r="P750" s="59">
        <f t="shared" si="290"/>
        <v>0</v>
      </c>
      <c r="Q750" s="59">
        <f t="shared" si="290"/>
        <v>0</v>
      </c>
      <c r="R750" s="59">
        <f t="shared" si="290"/>
        <v>0</v>
      </c>
      <c r="S750" s="59">
        <f t="shared" si="290"/>
        <v>0</v>
      </c>
      <c r="T750" s="59">
        <f t="shared" si="290"/>
        <v>0</v>
      </c>
      <c r="U750" s="59">
        <f t="shared" si="290"/>
        <v>0</v>
      </c>
      <c r="V750" s="59">
        <f t="shared" si="290"/>
        <v>0</v>
      </c>
      <c r="W750" s="59">
        <f t="shared" si="290"/>
        <v>0</v>
      </c>
      <c r="X750" s="59">
        <f t="shared" si="290"/>
        <v>0</v>
      </c>
    </row>
    <row r="751" spans="2:24" hidden="1">
      <c r="B751" s="58" t="str">
        <f t="shared" si="288"/>
        <v/>
      </c>
      <c r="C751" s="58" t="str">
        <f t="shared" si="288"/>
        <v/>
      </c>
      <c r="D751" s="58" t="str">
        <f t="shared" si="288"/>
        <v/>
      </c>
      <c r="E751" s="58" t="str">
        <f t="shared" si="288"/>
        <v/>
      </c>
      <c r="F751" s="58"/>
      <c r="G751" s="58"/>
      <c r="H751" s="58"/>
      <c r="I751" s="58"/>
      <c r="J751" s="58"/>
      <c r="K751" s="59">
        <f t="shared" ref="K751:X751" si="291">IF(AND($C751="B+R",$E751="prace rozwojowe",LataProjekcji&lt;=Koniec_PR,Modul_badawczo_rozwojowy=tak),ROUND(K209,0),0)</f>
        <v>0</v>
      </c>
      <c r="L751" s="59">
        <f t="shared" si="291"/>
        <v>0</v>
      </c>
      <c r="M751" s="59">
        <f t="shared" si="291"/>
        <v>0</v>
      </c>
      <c r="N751" s="59">
        <f t="shared" si="291"/>
        <v>0</v>
      </c>
      <c r="O751" s="59">
        <f t="shared" si="291"/>
        <v>0</v>
      </c>
      <c r="P751" s="59">
        <f t="shared" si="291"/>
        <v>0</v>
      </c>
      <c r="Q751" s="59">
        <f t="shared" si="291"/>
        <v>0</v>
      </c>
      <c r="R751" s="59">
        <f t="shared" si="291"/>
        <v>0</v>
      </c>
      <c r="S751" s="59">
        <f t="shared" si="291"/>
        <v>0</v>
      </c>
      <c r="T751" s="59">
        <f t="shared" si="291"/>
        <v>0</v>
      </c>
      <c r="U751" s="59">
        <f t="shared" si="291"/>
        <v>0</v>
      </c>
      <c r="V751" s="59">
        <f t="shared" si="291"/>
        <v>0</v>
      </c>
      <c r="W751" s="59">
        <f t="shared" si="291"/>
        <v>0</v>
      </c>
      <c r="X751" s="59">
        <f t="shared" si="291"/>
        <v>0</v>
      </c>
    </row>
    <row r="752" spans="2:24" hidden="1">
      <c r="B752" s="58" t="str">
        <f t="shared" si="288"/>
        <v/>
      </c>
      <c r="C752" s="58" t="str">
        <f t="shared" si="288"/>
        <v/>
      </c>
      <c r="D752" s="58" t="str">
        <f t="shared" si="288"/>
        <v/>
      </c>
      <c r="E752" s="58" t="str">
        <f t="shared" si="288"/>
        <v/>
      </c>
      <c r="F752" s="58"/>
      <c r="G752" s="58"/>
      <c r="H752" s="58"/>
      <c r="I752" s="58"/>
      <c r="J752" s="58"/>
      <c r="K752" s="59">
        <f t="shared" ref="K752:X752" si="292">IF(AND($C752="B+R",$E752="prace rozwojowe",LataProjekcji&lt;=Koniec_PR,Modul_badawczo_rozwojowy=tak),ROUND(K210,0),0)</f>
        <v>0</v>
      </c>
      <c r="L752" s="59">
        <f t="shared" si="292"/>
        <v>0</v>
      </c>
      <c r="M752" s="59">
        <f t="shared" si="292"/>
        <v>0</v>
      </c>
      <c r="N752" s="59">
        <f t="shared" si="292"/>
        <v>0</v>
      </c>
      <c r="O752" s="59">
        <f t="shared" si="292"/>
        <v>0</v>
      </c>
      <c r="P752" s="59">
        <f t="shared" si="292"/>
        <v>0</v>
      </c>
      <c r="Q752" s="59">
        <f t="shared" si="292"/>
        <v>0</v>
      </c>
      <c r="R752" s="59">
        <f t="shared" si="292"/>
        <v>0</v>
      </c>
      <c r="S752" s="59">
        <f t="shared" si="292"/>
        <v>0</v>
      </c>
      <c r="T752" s="59">
        <f t="shared" si="292"/>
        <v>0</v>
      </c>
      <c r="U752" s="59">
        <f t="shared" si="292"/>
        <v>0</v>
      </c>
      <c r="V752" s="59">
        <f t="shared" si="292"/>
        <v>0</v>
      </c>
      <c r="W752" s="59">
        <f t="shared" si="292"/>
        <v>0</v>
      </c>
      <c r="X752" s="59">
        <f t="shared" si="292"/>
        <v>0</v>
      </c>
    </row>
    <row r="753" spans="2:24" hidden="1">
      <c r="B753" s="58" t="str">
        <f t="shared" si="288"/>
        <v/>
      </c>
      <c r="C753" s="58" t="str">
        <f t="shared" si="288"/>
        <v/>
      </c>
      <c r="D753" s="58" t="str">
        <f t="shared" si="288"/>
        <v/>
      </c>
      <c r="E753" s="58" t="str">
        <f t="shared" si="288"/>
        <v/>
      </c>
      <c r="F753" s="58"/>
      <c r="G753" s="58"/>
      <c r="H753" s="58"/>
      <c r="I753" s="58"/>
      <c r="J753" s="58"/>
      <c r="K753" s="59">
        <f t="shared" ref="K753:X753" si="293">IF(AND($C753="B+R",$E753="prace rozwojowe",LataProjekcji&lt;=Koniec_PR,Modul_badawczo_rozwojowy=tak),ROUND(K211,0),0)</f>
        <v>0</v>
      </c>
      <c r="L753" s="59">
        <f t="shared" si="293"/>
        <v>0</v>
      </c>
      <c r="M753" s="59">
        <f t="shared" si="293"/>
        <v>0</v>
      </c>
      <c r="N753" s="59">
        <f t="shared" si="293"/>
        <v>0</v>
      </c>
      <c r="O753" s="59">
        <f t="shared" si="293"/>
        <v>0</v>
      </c>
      <c r="P753" s="59">
        <f t="shared" si="293"/>
        <v>0</v>
      </c>
      <c r="Q753" s="59">
        <f t="shared" si="293"/>
        <v>0</v>
      </c>
      <c r="R753" s="59">
        <f t="shared" si="293"/>
        <v>0</v>
      </c>
      <c r="S753" s="59">
        <f t="shared" si="293"/>
        <v>0</v>
      </c>
      <c r="T753" s="59">
        <f t="shared" si="293"/>
        <v>0</v>
      </c>
      <c r="U753" s="59">
        <f t="shared" si="293"/>
        <v>0</v>
      </c>
      <c r="V753" s="59">
        <f t="shared" si="293"/>
        <v>0</v>
      </c>
      <c r="W753" s="59">
        <f t="shared" si="293"/>
        <v>0</v>
      </c>
      <c r="X753" s="59">
        <f t="shared" si="293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4">ROUND(SUM(L749:L753),0)</f>
        <v>0</v>
      </c>
      <c r="M754" s="60">
        <f t="shared" si="294"/>
        <v>0</v>
      </c>
      <c r="N754" s="60">
        <f t="shared" si="294"/>
        <v>0</v>
      </c>
      <c r="O754" s="60">
        <f t="shared" si="294"/>
        <v>0</v>
      </c>
      <c r="P754" s="60">
        <f t="shared" si="294"/>
        <v>0</v>
      </c>
      <c r="Q754" s="60">
        <f t="shared" si="294"/>
        <v>0</v>
      </c>
      <c r="R754" s="60">
        <f t="shared" si="294"/>
        <v>0</v>
      </c>
      <c r="S754" s="60">
        <f t="shared" si="294"/>
        <v>0</v>
      </c>
      <c r="T754" s="60">
        <f t="shared" si="294"/>
        <v>0</v>
      </c>
      <c r="U754" s="60">
        <f t="shared" si="294"/>
        <v>0</v>
      </c>
      <c r="V754" s="60">
        <f t="shared" si="294"/>
        <v>0</v>
      </c>
      <c r="W754" s="60">
        <f t="shared" si="294"/>
        <v>0</v>
      </c>
      <c r="X754" s="60">
        <f t="shared" si="294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5">IF(ISBLANK(B223),"",B223)</f>
        <v/>
      </c>
      <c r="C759" s="58" t="str">
        <f t="shared" si="295"/>
        <v/>
      </c>
      <c r="D759" s="58" t="str">
        <f t="shared" si="295"/>
        <v/>
      </c>
      <c r="E759" s="58" t="str">
        <f t="shared" si="295"/>
        <v/>
      </c>
      <c r="F759" s="58"/>
      <c r="G759" s="58"/>
      <c r="H759" s="58"/>
      <c r="I759" s="58"/>
      <c r="J759" s="58" t="s">
        <v>733</v>
      </c>
      <c r="K759" s="59">
        <f t="shared" ref="K759:X759" si="296">IF(AND($C759="B+R",$E759="prace rozwojowe",LataProjekcji&lt;=Koniec_PR,Modul_badawczo_rozwojowy=tak),ROUND(K391,0),0)</f>
        <v>0</v>
      </c>
      <c r="L759" s="59">
        <f t="shared" si="296"/>
        <v>0</v>
      </c>
      <c r="M759" s="59">
        <f t="shared" si="296"/>
        <v>0</v>
      </c>
      <c r="N759" s="59">
        <f t="shared" si="296"/>
        <v>0</v>
      </c>
      <c r="O759" s="59">
        <f t="shared" si="296"/>
        <v>0</v>
      </c>
      <c r="P759" s="59">
        <f t="shared" si="296"/>
        <v>0</v>
      </c>
      <c r="Q759" s="59">
        <f t="shared" si="296"/>
        <v>0</v>
      </c>
      <c r="R759" s="59">
        <f t="shared" si="296"/>
        <v>0</v>
      </c>
      <c r="S759" s="59">
        <f t="shared" si="296"/>
        <v>0</v>
      </c>
      <c r="T759" s="59">
        <f t="shared" si="296"/>
        <v>0</v>
      </c>
      <c r="U759" s="59">
        <f t="shared" si="296"/>
        <v>0</v>
      </c>
      <c r="V759" s="59">
        <f t="shared" si="296"/>
        <v>0</v>
      </c>
      <c r="W759" s="59">
        <f t="shared" si="296"/>
        <v>0</v>
      </c>
      <c r="X759" s="59">
        <f t="shared" si="296"/>
        <v>0</v>
      </c>
    </row>
    <row r="760" spans="2:24" hidden="1">
      <c r="B760" s="58" t="str">
        <f t="shared" si="295"/>
        <v/>
      </c>
      <c r="C760" s="58" t="str">
        <f t="shared" si="295"/>
        <v/>
      </c>
      <c r="D760" s="58" t="str">
        <f t="shared" si="295"/>
        <v/>
      </c>
      <c r="E760" s="58" t="str">
        <f t="shared" si="295"/>
        <v/>
      </c>
      <c r="F760" s="58"/>
      <c r="G760" s="58"/>
      <c r="H760" s="58"/>
      <c r="I760" s="58"/>
      <c r="J760" s="58"/>
      <c r="K760" s="59">
        <f t="shared" ref="K760:X760" si="297">IF(AND($C760="B+R",$E760="prace rozwojowe",LataProjekcji&lt;=Koniec_PR,Modul_badawczo_rozwojowy=tak),ROUND(K392,0),0)</f>
        <v>0</v>
      </c>
      <c r="L760" s="59">
        <f t="shared" si="297"/>
        <v>0</v>
      </c>
      <c r="M760" s="59">
        <f t="shared" si="297"/>
        <v>0</v>
      </c>
      <c r="N760" s="59">
        <f t="shared" si="297"/>
        <v>0</v>
      </c>
      <c r="O760" s="59">
        <f t="shared" si="297"/>
        <v>0</v>
      </c>
      <c r="P760" s="59">
        <f t="shared" si="297"/>
        <v>0</v>
      </c>
      <c r="Q760" s="59">
        <f t="shared" si="297"/>
        <v>0</v>
      </c>
      <c r="R760" s="59">
        <f t="shared" si="297"/>
        <v>0</v>
      </c>
      <c r="S760" s="59">
        <f t="shared" si="297"/>
        <v>0</v>
      </c>
      <c r="T760" s="59">
        <f t="shared" si="297"/>
        <v>0</v>
      </c>
      <c r="U760" s="59">
        <f t="shared" si="297"/>
        <v>0</v>
      </c>
      <c r="V760" s="59">
        <f t="shared" si="297"/>
        <v>0</v>
      </c>
      <c r="W760" s="59">
        <f t="shared" si="297"/>
        <v>0</v>
      </c>
      <c r="X760" s="59">
        <f t="shared" si="297"/>
        <v>0</v>
      </c>
    </row>
    <row r="761" spans="2:24" hidden="1">
      <c r="B761" s="58" t="str">
        <f t="shared" si="295"/>
        <v/>
      </c>
      <c r="C761" s="58" t="str">
        <f t="shared" si="295"/>
        <v/>
      </c>
      <c r="D761" s="58" t="str">
        <f t="shared" si="295"/>
        <v/>
      </c>
      <c r="E761" s="58" t="str">
        <f t="shared" si="295"/>
        <v/>
      </c>
      <c r="F761" s="58"/>
      <c r="G761" s="58"/>
      <c r="H761" s="58"/>
      <c r="I761" s="58"/>
      <c r="J761" s="58"/>
      <c r="K761" s="59">
        <f t="shared" ref="K761:X761" si="298">IF(AND($C761="B+R",$E761="prace rozwojowe",LataProjekcji&lt;=Koniec_PR,Modul_badawczo_rozwojowy=tak),ROUND(K393,0),0)</f>
        <v>0</v>
      </c>
      <c r="L761" s="59">
        <f t="shared" si="298"/>
        <v>0</v>
      </c>
      <c r="M761" s="59">
        <f t="shared" si="298"/>
        <v>0</v>
      </c>
      <c r="N761" s="59">
        <f t="shared" si="298"/>
        <v>0</v>
      </c>
      <c r="O761" s="59">
        <f t="shared" si="298"/>
        <v>0</v>
      </c>
      <c r="P761" s="59">
        <f t="shared" si="298"/>
        <v>0</v>
      </c>
      <c r="Q761" s="59">
        <f t="shared" si="298"/>
        <v>0</v>
      </c>
      <c r="R761" s="59">
        <f t="shared" si="298"/>
        <v>0</v>
      </c>
      <c r="S761" s="59">
        <f t="shared" si="298"/>
        <v>0</v>
      </c>
      <c r="T761" s="59">
        <f t="shared" si="298"/>
        <v>0</v>
      </c>
      <c r="U761" s="59">
        <f t="shared" si="298"/>
        <v>0</v>
      </c>
      <c r="V761" s="59">
        <f t="shared" si="298"/>
        <v>0</v>
      </c>
      <c r="W761" s="59">
        <f t="shared" si="298"/>
        <v>0</v>
      </c>
      <c r="X761" s="59">
        <f t="shared" si="298"/>
        <v>0</v>
      </c>
    </row>
    <row r="762" spans="2:24" hidden="1">
      <c r="B762" s="58" t="str">
        <f t="shared" si="295"/>
        <v/>
      </c>
      <c r="C762" s="58" t="str">
        <f t="shared" si="295"/>
        <v/>
      </c>
      <c r="D762" s="58" t="str">
        <f t="shared" si="295"/>
        <v/>
      </c>
      <c r="E762" s="58" t="str">
        <f t="shared" si="295"/>
        <v/>
      </c>
      <c r="F762" s="58"/>
      <c r="G762" s="58"/>
      <c r="H762" s="58"/>
      <c r="I762" s="58"/>
      <c r="J762" s="58"/>
      <c r="K762" s="59">
        <f t="shared" ref="K762:X762" si="299">IF(AND($C762="B+R",$E762="prace rozwojowe",LataProjekcji&lt;=Koniec_PR,Modul_badawczo_rozwojowy=tak),ROUND(K394,0),0)</f>
        <v>0</v>
      </c>
      <c r="L762" s="59">
        <f t="shared" si="299"/>
        <v>0</v>
      </c>
      <c r="M762" s="59">
        <f t="shared" si="299"/>
        <v>0</v>
      </c>
      <c r="N762" s="59">
        <f t="shared" si="299"/>
        <v>0</v>
      </c>
      <c r="O762" s="59">
        <f t="shared" si="299"/>
        <v>0</v>
      </c>
      <c r="P762" s="59">
        <f t="shared" si="299"/>
        <v>0</v>
      </c>
      <c r="Q762" s="59">
        <f t="shared" si="299"/>
        <v>0</v>
      </c>
      <c r="R762" s="59">
        <f t="shared" si="299"/>
        <v>0</v>
      </c>
      <c r="S762" s="59">
        <f t="shared" si="299"/>
        <v>0</v>
      </c>
      <c r="T762" s="59">
        <f t="shared" si="299"/>
        <v>0</v>
      </c>
      <c r="U762" s="59">
        <f t="shared" si="299"/>
        <v>0</v>
      </c>
      <c r="V762" s="59">
        <f t="shared" si="299"/>
        <v>0</v>
      </c>
      <c r="W762" s="59">
        <f t="shared" si="299"/>
        <v>0</v>
      </c>
      <c r="X762" s="59">
        <f t="shared" si="299"/>
        <v>0</v>
      </c>
    </row>
    <row r="763" spans="2:24" hidden="1">
      <c r="B763" s="58" t="str">
        <f t="shared" si="295"/>
        <v/>
      </c>
      <c r="C763" s="58" t="str">
        <f t="shared" si="295"/>
        <v/>
      </c>
      <c r="D763" s="58" t="str">
        <f t="shared" si="295"/>
        <v/>
      </c>
      <c r="E763" s="58" t="str">
        <f t="shared" si="295"/>
        <v/>
      </c>
      <c r="F763" s="58"/>
      <c r="G763" s="58"/>
      <c r="H763" s="58"/>
      <c r="I763" s="58"/>
      <c r="J763" s="58"/>
      <c r="K763" s="59">
        <f t="shared" ref="K763:X763" si="300">IF(AND($C763="B+R",$E763="prace rozwojowe",LataProjekcji&lt;=Koniec_PR,Modul_badawczo_rozwojowy=tak),ROUND(K395,0),0)</f>
        <v>0</v>
      </c>
      <c r="L763" s="59">
        <f t="shared" si="300"/>
        <v>0</v>
      </c>
      <c r="M763" s="59">
        <f t="shared" si="300"/>
        <v>0</v>
      </c>
      <c r="N763" s="59">
        <f t="shared" si="300"/>
        <v>0</v>
      </c>
      <c r="O763" s="59">
        <f t="shared" si="300"/>
        <v>0</v>
      </c>
      <c r="P763" s="59">
        <f t="shared" si="300"/>
        <v>0</v>
      </c>
      <c r="Q763" s="59">
        <f t="shared" si="300"/>
        <v>0</v>
      </c>
      <c r="R763" s="59">
        <f t="shared" si="300"/>
        <v>0</v>
      </c>
      <c r="S763" s="59">
        <f t="shared" si="300"/>
        <v>0</v>
      </c>
      <c r="T763" s="59">
        <f t="shared" si="300"/>
        <v>0</v>
      </c>
      <c r="U763" s="59">
        <f t="shared" si="300"/>
        <v>0</v>
      </c>
      <c r="V763" s="59">
        <f t="shared" si="300"/>
        <v>0</v>
      </c>
      <c r="W763" s="59">
        <f t="shared" si="300"/>
        <v>0</v>
      </c>
      <c r="X763" s="59">
        <f t="shared" si="300"/>
        <v>0</v>
      </c>
    </row>
    <row r="764" spans="2:24" hidden="1">
      <c r="B764" s="58" t="str">
        <f t="shared" si="295"/>
        <v/>
      </c>
      <c r="C764" s="58" t="str">
        <f t="shared" si="295"/>
        <v/>
      </c>
      <c r="D764" s="58" t="str">
        <f t="shared" si="295"/>
        <v/>
      </c>
      <c r="E764" s="58" t="str">
        <f t="shared" si="295"/>
        <v/>
      </c>
      <c r="F764" s="58"/>
      <c r="G764" s="58"/>
      <c r="H764" s="58"/>
      <c r="I764" s="58"/>
      <c r="J764" s="58"/>
      <c r="K764" s="59">
        <f t="shared" ref="K764:X764" si="301">IF(AND($C764="B+R",$E764="prace rozwojowe",LataProjekcji&lt;=Koniec_PR,Modul_badawczo_rozwojowy=tak),ROUND(K396,0),0)</f>
        <v>0</v>
      </c>
      <c r="L764" s="59">
        <f t="shared" si="301"/>
        <v>0</v>
      </c>
      <c r="M764" s="59">
        <f t="shared" si="301"/>
        <v>0</v>
      </c>
      <c r="N764" s="59">
        <f t="shared" si="301"/>
        <v>0</v>
      </c>
      <c r="O764" s="59">
        <f t="shared" si="301"/>
        <v>0</v>
      </c>
      <c r="P764" s="59">
        <f t="shared" si="301"/>
        <v>0</v>
      </c>
      <c r="Q764" s="59">
        <f t="shared" si="301"/>
        <v>0</v>
      </c>
      <c r="R764" s="59">
        <f t="shared" si="301"/>
        <v>0</v>
      </c>
      <c r="S764" s="59">
        <f t="shared" si="301"/>
        <v>0</v>
      </c>
      <c r="T764" s="59">
        <f t="shared" si="301"/>
        <v>0</v>
      </c>
      <c r="U764" s="59">
        <f t="shared" si="301"/>
        <v>0</v>
      </c>
      <c r="V764" s="59">
        <f t="shared" si="301"/>
        <v>0</v>
      </c>
      <c r="W764" s="59">
        <f t="shared" si="301"/>
        <v>0</v>
      </c>
      <c r="X764" s="59">
        <f t="shared" si="301"/>
        <v>0</v>
      </c>
    </row>
    <row r="765" spans="2:24" hidden="1">
      <c r="B765" s="58" t="str">
        <f t="shared" si="295"/>
        <v/>
      </c>
      <c r="C765" s="58" t="str">
        <f t="shared" si="295"/>
        <v/>
      </c>
      <c r="D765" s="58" t="str">
        <f t="shared" si="295"/>
        <v/>
      </c>
      <c r="E765" s="58" t="str">
        <f t="shared" si="295"/>
        <v/>
      </c>
      <c r="F765" s="58"/>
      <c r="G765" s="58"/>
      <c r="H765" s="58"/>
      <c r="I765" s="58"/>
      <c r="J765" s="58"/>
      <c r="K765" s="59">
        <f t="shared" ref="K765:X765" si="302">IF(AND($C765="B+R",$E765="prace rozwojowe",LataProjekcji&lt;=Koniec_PR,Modul_badawczo_rozwojowy=tak),ROUND(K397,0),0)</f>
        <v>0</v>
      </c>
      <c r="L765" s="59">
        <f t="shared" si="302"/>
        <v>0</v>
      </c>
      <c r="M765" s="59">
        <f t="shared" si="302"/>
        <v>0</v>
      </c>
      <c r="N765" s="59">
        <f t="shared" si="302"/>
        <v>0</v>
      </c>
      <c r="O765" s="59">
        <f t="shared" si="302"/>
        <v>0</v>
      </c>
      <c r="P765" s="59">
        <f t="shared" si="302"/>
        <v>0</v>
      </c>
      <c r="Q765" s="59">
        <f t="shared" si="302"/>
        <v>0</v>
      </c>
      <c r="R765" s="59">
        <f t="shared" si="302"/>
        <v>0</v>
      </c>
      <c r="S765" s="59">
        <f t="shared" si="302"/>
        <v>0</v>
      </c>
      <c r="T765" s="59">
        <f t="shared" si="302"/>
        <v>0</v>
      </c>
      <c r="U765" s="59">
        <f t="shared" si="302"/>
        <v>0</v>
      </c>
      <c r="V765" s="59">
        <f t="shared" si="302"/>
        <v>0</v>
      </c>
      <c r="W765" s="59">
        <f t="shared" si="302"/>
        <v>0</v>
      </c>
      <c r="X765" s="59">
        <f t="shared" si="302"/>
        <v>0</v>
      </c>
    </row>
    <row r="766" spans="2:24" hidden="1">
      <c r="B766" s="58" t="str">
        <f t="shared" si="295"/>
        <v/>
      </c>
      <c r="C766" s="58" t="str">
        <f t="shared" si="295"/>
        <v/>
      </c>
      <c r="D766" s="58" t="str">
        <f t="shared" si="295"/>
        <v/>
      </c>
      <c r="E766" s="58" t="str">
        <f t="shared" si="295"/>
        <v/>
      </c>
      <c r="F766" s="58"/>
      <c r="G766" s="58"/>
      <c r="H766" s="58"/>
      <c r="I766" s="58"/>
      <c r="J766" s="58"/>
      <c r="K766" s="59">
        <f t="shared" ref="K766:X766" si="303">IF(AND($C766="B+R",$E766="prace rozwojowe",LataProjekcji&lt;=Koniec_PR,Modul_badawczo_rozwojowy=tak),ROUND(K398,0),0)</f>
        <v>0</v>
      </c>
      <c r="L766" s="59">
        <f t="shared" si="303"/>
        <v>0</v>
      </c>
      <c r="M766" s="59">
        <f t="shared" si="303"/>
        <v>0</v>
      </c>
      <c r="N766" s="59">
        <f t="shared" si="303"/>
        <v>0</v>
      </c>
      <c r="O766" s="59">
        <f t="shared" si="303"/>
        <v>0</v>
      </c>
      <c r="P766" s="59">
        <f t="shared" si="303"/>
        <v>0</v>
      </c>
      <c r="Q766" s="59">
        <f t="shared" si="303"/>
        <v>0</v>
      </c>
      <c r="R766" s="59">
        <f t="shared" si="303"/>
        <v>0</v>
      </c>
      <c r="S766" s="59">
        <f t="shared" si="303"/>
        <v>0</v>
      </c>
      <c r="T766" s="59">
        <f t="shared" si="303"/>
        <v>0</v>
      </c>
      <c r="U766" s="59">
        <f t="shared" si="303"/>
        <v>0</v>
      </c>
      <c r="V766" s="59">
        <f t="shared" si="303"/>
        <v>0</v>
      </c>
      <c r="W766" s="59">
        <f t="shared" si="303"/>
        <v>0</v>
      </c>
      <c r="X766" s="59">
        <f t="shared" si="303"/>
        <v>0</v>
      </c>
    </row>
    <row r="767" spans="2:24" hidden="1">
      <c r="B767" s="58" t="str">
        <f t="shared" si="295"/>
        <v/>
      </c>
      <c r="C767" s="58" t="str">
        <f t="shared" si="295"/>
        <v/>
      </c>
      <c r="D767" s="58" t="str">
        <f t="shared" si="295"/>
        <v/>
      </c>
      <c r="E767" s="58" t="str">
        <f t="shared" si="295"/>
        <v/>
      </c>
      <c r="F767" s="58"/>
      <c r="G767" s="58"/>
      <c r="H767" s="58"/>
      <c r="I767" s="58"/>
      <c r="J767" s="58"/>
      <c r="K767" s="59">
        <f t="shared" ref="K767:X767" si="304">IF(AND($C767="B+R",$E767="prace rozwojowe",LataProjekcji&lt;=Koniec_PR,Modul_badawczo_rozwojowy=tak),ROUND(K399,0),0)</f>
        <v>0</v>
      </c>
      <c r="L767" s="59">
        <f t="shared" si="304"/>
        <v>0</v>
      </c>
      <c r="M767" s="59">
        <f t="shared" si="304"/>
        <v>0</v>
      </c>
      <c r="N767" s="59">
        <f t="shared" si="304"/>
        <v>0</v>
      </c>
      <c r="O767" s="59">
        <f t="shared" si="304"/>
        <v>0</v>
      </c>
      <c r="P767" s="59">
        <f t="shared" si="304"/>
        <v>0</v>
      </c>
      <c r="Q767" s="59">
        <f t="shared" si="304"/>
        <v>0</v>
      </c>
      <c r="R767" s="59">
        <f t="shared" si="304"/>
        <v>0</v>
      </c>
      <c r="S767" s="59">
        <f t="shared" si="304"/>
        <v>0</v>
      </c>
      <c r="T767" s="59">
        <f t="shared" si="304"/>
        <v>0</v>
      </c>
      <c r="U767" s="59">
        <f t="shared" si="304"/>
        <v>0</v>
      </c>
      <c r="V767" s="59">
        <f t="shared" si="304"/>
        <v>0</v>
      </c>
      <c r="W767" s="59">
        <f t="shared" si="304"/>
        <v>0</v>
      </c>
      <c r="X767" s="59">
        <f t="shared" si="304"/>
        <v>0</v>
      </c>
    </row>
    <row r="768" spans="2:24" hidden="1">
      <c r="B768" s="58" t="str">
        <f t="shared" si="295"/>
        <v/>
      </c>
      <c r="C768" s="58" t="str">
        <f t="shared" si="295"/>
        <v/>
      </c>
      <c r="D768" s="58" t="str">
        <f t="shared" si="295"/>
        <v/>
      </c>
      <c r="E768" s="58" t="str">
        <f t="shared" si="295"/>
        <v/>
      </c>
      <c r="F768" s="58"/>
      <c r="G768" s="58"/>
      <c r="H768" s="58"/>
      <c r="I768" s="58"/>
      <c r="J768" s="58"/>
      <c r="K768" s="59">
        <f t="shared" ref="K768:X768" si="305">IF(AND($C768="B+R",$E768="prace rozwojowe",LataProjekcji&lt;=Koniec_PR,Modul_badawczo_rozwojowy=tak),ROUND(K400,0),0)</f>
        <v>0</v>
      </c>
      <c r="L768" s="59">
        <f t="shared" si="305"/>
        <v>0</v>
      </c>
      <c r="M768" s="59">
        <f t="shared" si="305"/>
        <v>0</v>
      </c>
      <c r="N768" s="59">
        <f t="shared" si="305"/>
        <v>0</v>
      </c>
      <c r="O768" s="59">
        <f t="shared" si="305"/>
        <v>0</v>
      </c>
      <c r="P768" s="59">
        <f t="shared" si="305"/>
        <v>0</v>
      </c>
      <c r="Q768" s="59">
        <f t="shared" si="305"/>
        <v>0</v>
      </c>
      <c r="R768" s="59">
        <f t="shared" si="305"/>
        <v>0</v>
      </c>
      <c r="S768" s="59">
        <f t="shared" si="305"/>
        <v>0</v>
      </c>
      <c r="T768" s="59">
        <f t="shared" si="305"/>
        <v>0</v>
      </c>
      <c r="U768" s="59">
        <f t="shared" si="305"/>
        <v>0</v>
      </c>
      <c r="V768" s="59">
        <f t="shared" si="305"/>
        <v>0</v>
      </c>
      <c r="W768" s="59">
        <f t="shared" si="305"/>
        <v>0</v>
      </c>
      <c r="X768" s="59">
        <f t="shared" si="305"/>
        <v>0</v>
      </c>
    </row>
    <row r="769" spans="2:24" hidden="1">
      <c r="B769" s="58" t="str">
        <f t="shared" si="295"/>
        <v/>
      </c>
      <c r="C769" s="58" t="str">
        <f t="shared" si="295"/>
        <v/>
      </c>
      <c r="D769" s="58" t="str">
        <f t="shared" si="295"/>
        <v/>
      </c>
      <c r="E769" s="58" t="str">
        <f t="shared" si="295"/>
        <v/>
      </c>
      <c r="F769" s="58"/>
      <c r="G769" s="58"/>
      <c r="H769" s="58"/>
      <c r="I769" s="58"/>
      <c r="J769" s="58"/>
      <c r="K769" s="59">
        <f t="shared" ref="K769:X769" si="306">IF(AND($C769="B+R",$E769="prace rozwojowe",LataProjekcji&lt;=Koniec_PR,Modul_badawczo_rozwojowy=tak),ROUND(K401,0),0)</f>
        <v>0</v>
      </c>
      <c r="L769" s="59">
        <f t="shared" si="306"/>
        <v>0</v>
      </c>
      <c r="M769" s="59">
        <f t="shared" si="306"/>
        <v>0</v>
      </c>
      <c r="N769" s="59">
        <f t="shared" si="306"/>
        <v>0</v>
      </c>
      <c r="O769" s="59">
        <f t="shared" si="306"/>
        <v>0</v>
      </c>
      <c r="P769" s="59">
        <f t="shared" si="306"/>
        <v>0</v>
      </c>
      <c r="Q769" s="59">
        <f t="shared" si="306"/>
        <v>0</v>
      </c>
      <c r="R769" s="59">
        <f t="shared" si="306"/>
        <v>0</v>
      </c>
      <c r="S769" s="59">
        <f t="shared" si="306"/>
        <v>0</v>
      </c>
      <c r="T769" s="59">
        <f t="shared" si="306"/>
        <v>0</v>
      </c>
      <c r="U769" s="59">
        <f t="shared" si="306"/>
        <v>0</v>
      </c>
      <c r="V769" s="59">
        <f t="shared" si="306"/>
        <v>0</v>
      </c>
      <c r="W769" s="59">
        <f t="shared" si="306"/>
        <v>0</v>
      </c>
      <c r="X769" s="59">
        <f t="shared" si="306"/>
        <v>0</v>
      </c>
    </row>
    <row r="770" spans="2:24" hidden="1">
      <c r="B770" s="58" t="str">
        <f t="shared" si="295"/>
        <v/>
      </c>
      <c r="C770" s="58" t="str">
        <f t="shared" si="295"/>
        <v/>
      </c>
      <c r="D770" s="58" t="str">
        <f t="shared" si="295"/>
        <v/>
      </c>
      <c r="E770" s="58" t="str">
        <f t="shared" si="295"/>
        <v/>
      </c>
      <c r="F770" s="58"/>
      <c r="G770" s="58"/>
      <c r="H770" s="58"/>
      <c r="I770" s="58"/>
      <c r="J770" s="58"/>
      <c r="K770" s="59">
        <f t="shared" ref="K770:X770" si="307">IF(AND($C770="B+R",$E770="prace rozwojowe",LataProjekcji&lt;=Koniec_PR,Modul_badawczo_rozwojowy=tak),ROUND(K402,0),0)</f>
        <v>0</v>
      </c>
      <c r="L770" s="59">
        <f t="shared" si="307"/>
        <v>0</v>
      </c>
      <c r="M770" s="59">
        <f t="shared" si="307"/>
        <v>0</v>
      </c>
      <c r="N770" s="59">
        <f t="shared" si="307"/>
        <v>0</v>
      </c>
      <c r="O770" s="59">
        <f t="shared" si="307"/>
        <v>0</v>
      </c>
      <c r="P770" s="59">
        <f t="shared" si="307"/>
        <v>0</v>
      </c>
      <c r="Q770" s="59">
        <f t="shared" si="307"/>
        <v>0</v>
      </c>
      <c r="R770" s="59">
        <f t="shared" si="307"/>
        <v>0</v>
      </c>
      <c r="S770" s="59">
        <f t="shared" si="307"/>
        <v>0</v>
      </c>
      <c r="T770" s="59">
        <f t="shared" si="307"/>
        <v>0</v>
      </c>
      <c r="U770" s="59">
        <f t="shared" si="307"/>
        <v>0</v>
      </c>
      <c r="V770" s="59">
        <f t="shared" si="307"/>
        <v>0</v>
      </c>
      <c r="W770" s="59">
        <f t="shared" si="307"/>
        <v>0</v>
      </c>
      <c r="X770" s="59">
        <f t="shared" si="307"/>
        <v>0</v>
      </c>
    </row>
    <row r="771" spans="2:24" hidden="1">
      <c r="B771" s="58" t="str">
        <f t="shared" si="295"/>
        <v/>
      </c>
      <c r="C771" s="58" t="str">
        <f t="shared" si="295"/>
        <v/>
      </c>
      <c r="D771" s="58" t="str">
        <f t="shared" si="295"/>
        <v/>
      </c>
      <c r="E771" s="58" t="str">
        <f t="shared" si="295"/>
        <v/>
      </c>
      <c r="F771" s="58"/>
      <c r="G771" s="58"/>
      <c r="H771" s="58"/>
      <c r="I771" s="58"/>
      <c r="J771" s="58"/>
      <c r="K771" s="59">
        <f t="shared" ref="K771:X771" si="308">IF(AND($C771="B+R",$E771="prace rozwojowe",LataProjekcji&lt;=Koniec_PR,Modul_badawczo_rozwojowy=tak),ROUND(K403,0),0)</f>
        <v>0</v>
      </c>
      <c r="L771" s="59">
        <f t="shared" si="308"/>
        <v>0</v>
      </c>
      <c r="M771" s="59">
        <f t="shared" si="308"/>
        <v>0</v>
      </c>
      <c r="N771" s="59">
        <f t="shared" si="308"/>
        <v>0</v>
      </c>
      <c r="O771" s="59">
        <f t="shared" si="308"/>
        <v>0</v>
      </c>
      <c r="P771" s="59">
        <f t="shared" si="308"/>
        <v>0</v>
      </c>
      <c r="Q771" s="59">
        <f t="shared" si="308"/>
        <v>0</v>
      </c>
      <c r="R771" s="59">
        <f t="shared" si="308"/>
        <v>0</v>
      </c>
      <c r="S771" s="59">
        <f t="shared" si="308"/>
        <v>0</v>
      </c>
      <c r="T771" s="59">
        <f t="shared" si="308"/>
        <v>0</v>
      </c>
      <c r="U771" s="59">
        <f t="shared" si="308"/>
        <v>0</v>
      </c>
      <c r="V771" s="59">
        <f t="shared" si="308"/>
        <v>0</v>
      </c>
      <c r="W771" s="59">
        <f t="shared" si="308"/>
        <v>0</v>
      </c>
      <c r="X771" s="59">
        <f t="shared" si="308"/>
        <v>0</v>
      </c>
    </row>
    <row r="772" spans="2:24" hidden="1">
      <c r="B772" s="58" t="str">
        <f t="shared" si="295"/>
        <v/>
      </c>
      <c r="C772" s="58" t="str">
        <f t="shared" si="295"/>
        <v/>
      </c>
      <c r="D772" s="58" t="str">
        <f t="shared" si="295"/>
        <v/>
      </c>
      <c r="E772" s="58" t="str">
        <f t="shared" si="295"/>
        <v/>
      </c>
      <c r="F772" s="58"/>
      <c r="G772" s="58"/>
      <c r="H772" s="58"/>
      <c r="I772" s="58"/>
      <c r="J772" s="58"/>
      <c r="K772" s="59">
        <f t="shared" ref="K772:X772" si="309">IF(AND($C772="B+R",$E772="prace rozwojowe",LataProjekcji&lt;=Koniec_PR,Modul_badawczo_rozwojowy=tak),ROUND(K404,0),0)</f>
        <v>0</v>
      </c>
      <c r="L772" s="59">
        <f t="shared" si="309"/>
        <v>0</v>
      </c>
      <c r="M772" s="59">
        <f t="shared" si="309"/>
        <v>0</v>
      </c>
      <c r="N772" s="59">
        <f t="shared" si="309"/>
        <v>0</v>
      </c>
      <c r="O772" s="59">
        <f t="shared" si="309"/>
        <v>0</v>
      </c>
      <c r="P772" s="59">
        <f t="shared" si="309"/>
        <v>0</v>
      </c>
      <c r="Q772" s="59">
        <f t="shared" si="309"/>
        <v>0</v>
      </c>
      <c r="R772" s="59">
        <f t="shared" si="309"/>
        <v>0</v>
      </c>
      <c r="S772" s="59">
        <f t="shared" si="309"/>
        <v>0</v>
      </c>
      <c r="T772" s="59">
        <f t="shared" si="309"/>
        <v>0</v>
      </c>
      <c r="U772" s="59">
        <f t="shared" si="309"/>
        <v>0</v>
      </c>
      <c r="V772" s="59">
        <f t="shared" si="309"/>
        <v>0</v>
      </c>
      <c r="W772" s="59">
        <f t="shared" si="309"/>
        <v>0</v>
      </c>
      <c r="X772" s="59">
        <f t="shared" si="309"/>
        <v>0</v>
      </c>
    </row>
    <row r="773" spans="2:24" hidden="1">
      <c r="B773" s="58" t="str">
        <f t="shared" si="295"/>
        <v/>
      </c>
      <c r="C773" s="58" t="str">
        <f t="shared" si="295"/>
        <v/>
      </c>
      <c r="D773" s="58" t="str">
        <f t="shared" si="295"/>
        <v/>
      </c>
      <c r="E773" s="58" t="str">
        <f t="shared" si="295"/>
        <v/>
      </c>
      <c r="F773" s="58"/>
      <c r="G773" s="58"/>
      <c r="H773" s="58"/>
      <c r="I773" s="58"/>
      <c r="J773" s="58"/>
      <c r="K773" s="59">
        <f t="shared" ref="K773:X773" si="310">IF(AND($C773="B+R",$E773="prace rozwojowe",LataProjekcji&lt;=Koniec_PR,Modul_badawczo_rozwojowy=tak),ROUND(K405,0),0)</f>
        <v>0</v>
      </c>
      <c r="L773" s="59">
        <f t="shared" si="310"/>
        <v>0</v>
      </c>
      <c r="M773" s="59">
        <f t="shared" si="310"/>
        <v>0</v>
      </c>
      <c r="N773" s="59">
        <f t="shared" si="310"/>
        <v>0</v>
      </c>
      <c r="O773" s="59">
        <f t="shared" si="310"/>
        <v>0</v>
      </c>
      <c r="P773" s="59">
        <f t="shared" si="310"/>
        <v>0</v>
      </c>
      <c r="Q773" s="59">
        <f t="shared" si="310"/>
        <v>0</v>
      </c>
      <c r="R773" s="59">
        <f t="shared" si="310"/>
        <v>0</v>
      </c>
      <c r="S773" s="59">
        <f t="shared" si="310"/>
        <v>0</v>
      </c>
      <c r="T773" s="59">
        <f t="shared" si="310"/>
        <v>0</v>
      </c>
      <c r="U773" s="59">
        <f t="shared" si="310"/>
        <v>0</v>
      </c>
      <c r="V773" s="59">
        <f t="shared" si="310"/>
        <v>0</v>
      </c>
      <c r="W773" s="59">
        <f t="shared" si="310"/>
        <v>0</v>
      </c>
      <c r="X773" s="59">
        <f t="shared" si="310"/>
        <v>0</v>
      </c>
    </row>
    <row r="774" spans="2:24" hidden="1">
      <c r="B774" s="58" t="str">
        <f t="shared" si="295"/>
        <v/>
      </c>
      <c r="C774" s="58" t="str">
        <f t="shared" si="295"/>
        <v/>
      </c>
      <c r="D774" s="58" t="str">
        <f t="shared" si="295"/>
        <v/>
      </c>
      <c r="E774" s="58" t="str">
        <f t="shared" si="295"/>
        <v/>
      </c>
      <c r="F774" s="58"/>
      <c r="G774" s="58"/>
      <c r="H774" s="58"/>
      <c r="I774" s="58"/>
      <c r="J774" s="58"/>
      <c r="K774" s="59">
        <f t="shared" ref="K774:X774" si="311">IF(AND($C774="B+R",$E774="prace rozwojowe",LataProjekcji&lt;=Koniec_PR,Modul_badawczo_rozwojowy=tak),ROUND(K406,0),0)</f>
        <v>0</v>
      </c>
      <c r="L774" s="59">
        <f t="shared" si="311"/>
        <v>0</v>
      </c>
      <c r="M774" s="59">
        <f t="shared" si="311"/>
        <v>0</v>
      </c>
      <c r="N774" s="59">
        <f t="shared" si="311"/>
        <v>0</v>
      </c>
      <c r="O774" s="59">
        <f t="shared" si="311"/>
        <v>0</v>
      </c>
      <c r="P774" s="59">
        <f t="shared" si="311"/>
        <v>0</v>
      </c>
      <c r="Q774" s="59">
        <f t="shared" si="311"/>
        <v>0</v>
      </c>
      <c r="R774" s="59">
        <f t="shared" si="311"/>
        <v>0</v>
      </c>
      <c r="S774" s="59">
        <f t="shared" si="311"/>
        <v>0</v>
      </c>
      <c r="T774" s="59">
        <f t="shared" si="311"/>
        <v>0</v>
      </c>
      <c r="U774" s="59">
        <f t="shared" si="311"/>
        <v>0</v>
      </c>
      <c r="V774" s="59">
        <f t="shared" si="311"/>
        <v>0</v>
      </c>
      <c r="W774" s="59">
        <f t="shared" si="311"/>
        <v>0</v>
      </c>
      <c r="X774" s="59">
        <f t="shared" si="311"/>
        <v>0</v>
      </c>
    </row>
    <row r="775" spans="2:24" hidden="1">
      <c r="B775" s="58" t="str">
        <f t="shared" si="295"/>
        <v/>
      </c>
      <c r="C775" s="58" t="str">
        <f t="shared" si="295"/>
        <v/>
      </c>
      <c r="D775" s="58" t="str">
        <f t="shared" si="295"/>
        <v/>
      </c>
      <c r="E775" s="58" t="str">
        <f t="shared" si="295"/>
        <v/>
      </c>
      <c r="F775" s="58"/>
      <c r="G775" s="58"/>
      <c r="H775" s="58"/>
      <c r="I775" s="58"/>
      <c r="J775" s="58"/>
      <c r="K775" s="59">
        <f t="shared" ref="K775:X775" si="312">IF(AND($C775="B+R",$E775="prace rozwojowe",LataProjekcji&lt;=Koniec_PR,Modul_badawczo_rozwojowy=tak),ROUND(K407,0),0)</f>
        <v>0</v>
      </c>
      <c r="L775" s="59">
        <f t="shared" si="312"/>
        <v>0</v>
      </c>
      <c r="M775" s="59">
        <f t="shared" si="312"/>
        <v>0</v>
      </c>
      <c r="N775" s="59">
        <f t="shared" si="312"/>
        <v>0</v>
      </c>
      <c r="O775" s="59">
        <f t="shared" si="312"/>
        <v>0</v>
      </c>
      <c r="P775" s="59">
        <f t="shared" si="312"/>
        <v>0</v>
      </c>
      <c r="Q775" s="59">
        <f t="shared" si="312"/>
        <v>0</v>
      </c>
      <c r="R775" s="59">
        <f t="shared" si="312"/>
        <v>0</v>
      </c>
      <c r="S775" s="59">
        <f t="shared" si="312"/>
        <v>0</v>
      </c>
      <c r="T775" s="59">
        <f t="shared" si="312"/>
        <v>0</v>
      </c>
      <c r="U775" s="59">
        <f t="shared" si="312"/>
        <v>0</v>
      </c>
      <c r="V775" s="59">
        <f t="shared" si="312"/>
        <v>0</v>
      </c>
      <c r="W775" s="59">
        <f t="shared" si="312"/>
        <v>0</v>
      </c>
      <c r="X775" s="59">
        <f t="shared" si="312"/>
        <v>0</v>
      </c>
    </row>
    <row r="776" spans="2:24" hidden="1">
      <c r="B776" s="58" t="str">
        <f t="shared" si="295"/>
        <v/>
      </c>
      <c r="C776" s="58" t="str">
        <f t="shared" si="295"/>
        <v/>
      </c>
      <c r="D776" s="58" t="str">
        <f t="shared" si="295"/>
        <v/>
      </c>
      <c r="E776" s="58" t="str">
        <f t="shared" si="295"/>
        <v/>
      </c>
      <c r="F776" s="58"/>
      <c r="G776" s="58"/>
      <c r="H776" s="58"/>
      <c r="I776" s="58"/>
      <c r="J776" s="58"/>
      <c r="K776" s="59">
        <f t="shared" ref="K776:X776" si="313">IF(AND($C776="B+R",$E776="prace rozwojowe",LataProjekcji&lt;=Koniec_PR,Modul_badawczo_rozwojowy=tak),ROUND(K408,0),0)</f>
        <v>0</v>
      </c>
      <c r="L776" s="59">
        <f t="shared" si="313"/>
        <v>0</v>
      </c>
      <c r="M776" s="59">
        <f t="shared" si="313"/>
        <v>0</v>
      </c>
      <c r="N776" s="59">
        <f t="shared" si="313"/>
        <v>0</v>
      </c>
      <c r="O776" s="59">
        <f t="shared" si="313"/>
        <v>0</v>
      </c>
      <c r="P776" s="59">
        <f t="shared" si="313"/>
        <v>0</v>
      </c>
      <c r="Q776" s="59">
        <f t="shared" si="313"/>
        <v>0</v>
      </c>
      <c r="R776" s="59">
        <f t="shared" si="313"/>
        <v>0</v>
      </c>
      <c r="S776" s="59">
        <f t="shared" si="313"/>
        <v>0</v>
      </c>
      <c r="T776" s="59">
        <f t="shared" si="313"/>
        <v>0</v>
      </c>
      <c r="U776" s="59">
        <f t="shared" si="313"/>
        <v>0</v>
      </c>
      <c r="V776" s="59">
        <f t="shared" si="313"/>
        <v>0</v>
      </c>
      <c r="W776" s="59">
        <f t="shared" si="313"/>
        <v>0</v>
      </c>
      <c r="X776" s="59">
        <f t="shared" si="313"/>
        <v>0</v>
      </c>
    </row>
    <row r="777" spans="2:24" hidden="1">
      <c r="B777" s="58" t="str">
        <f t="shared" si="295"/>
        <v/>
      </c>
      <c r="C777" s="58" t="str">
        <f t="shared" si="295"/>
        <v/>
      </c>
      <c r="D777" s="58" t="str">
        <f t="shared" si="295"/>
        <v/>
      </c>
      <c r="E777" s="58" t="str">
        <f t="shared" si="295"/>
        <v/>
      </c>
      <c r="F777" s="58"/>
      <c r="G777" s="58"/>
      <c r="H777" s="58"/>
      <c r="I777" s="58"/>
      <c r="J777" s="58"/>
      <c r="K777" s="59">
        <f t="shared" ref="K777:X777" si="314">IF(AND($C777="B+R",$E777="prace rozwojowe",LataProjekcji&lt;=Koniec_PR,Modul_badawczo_rozwojowy=tak),ROUND(K409,0),0)</f>
        <v>0</v>
      </c>
      <c r="L777" s="59">
        <f t="shared" si="314"/>
        <v>0</v>
      </c>
      <c r="M777" s="59">
        <f t="shared" si="314"/>
        <v>0</v>
      </c>
      <c r="N777" s="59">
        <f t="shared" si="314"/>
        <v>0</v>
      </c>
      <c r="O777" s="59">
        <f t="shared" si="314"/>
        <v>0</v>
      </c>
      <c r="P777" s="59">
        <f t="shared" si="314"/>
        <v>0</v>
      </c>
      <c r="Q777" s="59">
        <f t="shared" si="314"/>
        <v>0</v>
      </c>
      <c r="R777" s="59">
        <f t="shared" si="314"/>
        <v>0</v>
      </c>
      <c r="S777" s="59">
        <f t="shared" si="314"/>
        <v>0</v>
      </c>
      <c r="T777" s="59">
        <f t="shared" si="314"/>
        <v>0</v>
      </c>
      <c r="U777" s="59">
        <f t="shared" si="314"/>
        <v>0</v>
      </c>
      <c r="V777" s="59">
        <f t="shared" si="314"/>
        <v>0</v>
      </c>
      <c r="W777" s="59">
        <f t="shared" si="314"/>
        <v>0</v>
      </c>
      <c r="X777" s="59">
        <f t="shared" si="314"/>
        <v>0</v>
      </c>
    </row>
    <row r="778" spans="2:24" hidden="1">
      <c r="B778" s="58" t="str">
        <f t="shared" si="295"/>
        <v/>
      </c>
      <c r="C778" s="58" t="str">
        <f t="shared" si="295"/>
        <v/>
      </c>
      <c r="D778" s="58" t="str">
        <f t="shared" si="295"/>
        <v/>
      </c>
      <c r="E778" s="58" t="str">
        <f t="shared" si="295"/>
        <v/>
      </c>
      <c r="F778" s="58"/>
      <c r="G778" s="58"/>
      <c r="H778" s="58"/>
      <c r="I778" s="58"/>
      <c r="J778" s="58"/>
      <c r="K778" s="59">
        <f t="shared" ref="K778:X778" si="315">IF(AND($C778="B+R",$E778="prace rozwojowe",LataProjekcji&lt;=Koniec_PR,Modul_badawczo_rozwojowy=tak),ROUND(K410,0),0)</f>
        <v>0</v>
      </c>
      <c r="L778" s="59">
        <f t="shared" si="315"/>
        <v>0</v>
      </c>
      <c r="M778" s="59">
        <f t="shared" si="315"/>
        <v>0</v>
      </c>
      <c r="N778" s="59">
        <f t="shared" si="315"/>
        <v>0</v>
      </c>
      <c r="O778" s="59">
        <f t="shared" si="315"/>
        <v>0</v>
      </c>
      <c r="P778" s="59">
        <f t="shared" si="315"/>
        <v>0</v>
      </c>
      <c r="Q778" s="59">
        <f t="shared" si="315"/>
        <v>0</v>
      </c>
      <c r="R778" s="59">
        <f t="shared" si="315"/>
        <v>0</v>
      </c>
      <c r="S778" s="59">
        <f t="shared" si="315"/>
        <v>0</v>
      </c>
      <c r="T778" s="59">
        <f t="shared" si="315"/>
        <v>0</v>
      </c>
      <c r="U778" s="59">
        <f t="shared" si="315"/>
        <v>0</v>
      </c>
      <c r="V778" s="59">
        <f t="shared" si="315"/>
        <v>0</v>
      </c>
      <c r="W778" s="59">
        <f t="shared" si="315"/>
        <v>0</v>
      </c>
      <c r="X778" s="59">
        <f t="shared" si="315"/>
        <v>0</v>
      </c>
    </row>
    <row r="779" spans="2:24" hidden="1">
      <c r="B779" s="58" t="str">
        <f t="shared" ref="B779:E798" si="316">IF(ISBLANK(B243),"",B243)</f>
        <v/>
      </c>
      <c r="C779" s="58" t="str">
        <f t="shared" si="316"/>
        <v/>
      </c>
      <c r="D779" s="58" t="str">
        <f t="shared" si="316"/>
        <v/>
      </c>
      <c r="E779" s="58" t="str">
        <f t="shared" si="316"/>
        <v/>
      </c>
      <c r="F779" s="58"/>
      <c r="G779" s="58"/>
      <c r="H779" s="58"/>
      <c r="I779" s="58"/>
      <c r="J779" s="58"/>
      <c r="K779" s="59">
        <f t="shared" ref="K779:X779" si="317">IF(AND($C779="B+R",$E779="prace rozwojowe",LataProjekcji&lt;=Koniec_PR,Modul_badawczo_rozwojowy=tak),ROUND(K411,0),0)</f>
        <v>0</v>
      </c>
      <c r="L779" s="59">
        <f t="shared" si="317"/>
        <v>0</v>
      </c>
      <c r="M779" s="59">
        <f t="shared" si="317"/>
        <v>0</v>
      </c>
      <c r="N779" s="59">
        <f t="shared" si="317"/>
        <v>0</v>
      </c>
      <c r="O779" s="59">
        <f t="shared" si="317"/>
        <v>0</v>
      </c>
      <c r="P779" s="59">
        <f t="shared" si="317"/>
        <v>0</v>
      </c>
      <c r="Q779" s="59">
        <f t="shared" si="317"/>
        <v>0</v>
      </c>
      <c r="R779" s="59">
        <f t="shared" si="317"/>
        <v>0</v>
      </c>
      <c r="S779" s="59">
        <f t="shared" si="317"/>
        <v>0</v>
      </c>
      <c r="T779" s="59">
        <f t="shared" si="317"/>
        <v>0</v>
      </c>
      <c r="U779" s="59">
        <f t="shared" si="317"/>
        <v>0</v>
      </c>
      <c r="V779" s="59">
        <f t="shared" si="317"/>
        <v>0</v>
      </c>
      <c r="W779" s="59">
        <f t="shared" si="317"/>
        <v>0</v>
      </c>
      <c r="X779" s="59">
        <f t="shared" si="317"/>
        <v>0</v>
      </c>
    </row>
    <row r="780" spans="2:24" hidden="1">
      <c r="B780" s="58" t="str">
        <f t="shared" si="316"/>
        <v/>
      </c>
      <c r="C780" s="58" t="str">
        <f t="shared" si="316"/>
        <v/>
      </c>
      <c r="D780" s="58" t="str">
        <f t="shared" si="316"/>
        <v/>
      </c>
      <c r="E780" s="58" t="str">
        <f t="shared" si="316"/>
        <v/>
      </c>
      <c r="F780" s="58"/>
      <c r="G780" s="58"/>
      <c r="H780" s="58"/>
      <c r="I780" s="58"/>
      <c r="J780" s="58"/>
      <c r="K780" s="59">
        <f t="shared" ref="K780:X780" si="318">IF(AND($C780="B+R",$E780="prace rozwojowe",LataProjekcji&lt;=Koniec_PR,Modul_badawczo_rozwojowy=tak),ROUND(K412,0),0)</f>
        <v>0</v>
      </c>
      <c r="L780" s="59">
        <f t="shared" si="318"/>
        <v>0</v>
      </c>
      <c r="M780" s="59">
        <f t="shared" si="318"/>
        <v>0</v>
      </c>
      <c r="N780" s="59">
        <f t="shared" si="318"/>
        <v>0</v>
      </c>
      <c r="O780" s="59">
        <f t="shared" si="318"/>
        <v>0</v>
      </c>
      <c r="P780" s="59">
        <f t="shared" si="318"/>
        <v>0</v>
      </c>
      <c r="Q780" s="59">
        <f t="shared" si="318"/>
        <v>0</v>
      </c>
      <c r="R780" s="59">
        <f t="shared" si="318"/>
        <v>0</v>
      </c>
      <c r="S780" s="59">
        <f t="shared" si="318"/>
        <v>0</v>
      </c>
      <c r="T780" s="59">
        <f t="shared" si="318"/>
        <v>0</v>
      </c>
      <c r="U780" s="59">
        <f t="shared" si="318"/>
        <v>0</v>
      </c>
      <c r="V780" s="59">
        <f t="shared" si="318"/>
        <v>0</v>
      </c>
      <c r="W780" s="59">
        <f t="shared" si="318"/>
        <v>0</v>
      </c>
      <c r="X780" s="59">
        <f t="shared" si="318"/>
        <v>0</v>
      </c>
    </row>
    <row r="781" spans="2:24" hidden="1">
      <c r="B781" s="58" t="str">
        <f t="shared" si="316"/>
        <v/>
      </c>
      <c r="C781" s="58" t="str">
        <f t="shared" si="316"/>
        <v/>
      </c>
      <c r="D781" s="58" t="str">
        <f t="shared" si="316"/>
        <v/>
      </c>
      <c r="E781" s="58" t="str">
        <f t="shared" si="316"/>
        <v/>
      </c>
      <c r="F781" s="58"/>
      <c r="G781" s="58"/>
      <c r="H781" s="58"/>
      <c r="I781" s="58"/>
      <c r="J781" s="58"/>
      <c r="K781" s="59">
        <f t="shared" ref="K781:X781" si="319">IF(AND($C781="B+R",$E781="prace rozwojowe",LataProjekcji&lt;=Koniec_PR,Modul_badawczo_rozwojowy=tak),ROUND(K413,0),0)</f>
        <v>0</v>
      </c>
      <c r="L781" s="59">
        <f t="shared" si="319"/>
        <v>0</v>
      </c>
      <c r="M781" s="59">
        <f t="shared" si="319"/>
        <v>0</v>
      </c>
      <c r="N781" s="59">
        <f t="shared" si="319"/>
        <v>0</v>
      </c>
      <c r="O781" s="59">
        <f t="shared" si="319"/>
        <v>0</v>
      </c>
      <c r="P781" s="59">
        <f t="shared" si="319"/>
        <v>0</v>
      </c>
      <c r="Q781" s="59">
        <f t="shared" si="319"/>
        <v>0</v>
      </c>
      <c r="R781" s="59">
        <f t="shared" si="319"/>
        <v>0</v>
      </c>
      <c r="S781" s="59">
        <f t="shared" si="319"/>
        <v>0</v>
      </c>
      <c r="T781" s="59">
        <f t="shared" si="319"/>
        <v>0</v>
      </c>
      <c r="U781" s="59">
        <f t="shared" si="319"/>
        <v>0</v>
      </c>
      <c r="V781" s="59">
        <f t="shared" si="319"/>
        <v>0</v>
      </c>
      <c r="W781" s="59">
        <f t="shared" si="319"/>
        <v>0</v>
      </c>
      <c r="X781" s="59">
        <f t="shared" si="319"/>
        <v>0</v>
      </c>
    </row>
    <row r="782" spans="2:24" hidden="1">
      <c r="B782" s="58" t="str">
        <f t="shared" si="316"/>
        <v/>
      </c>
      <c r="C782" s="58" t="str">
        <f t="shared" si="316"/>
        <v/>
      </c>
      <c r="D782" s="58" t="str">
        <f t="shared" si="316"/>
        <v/>
      </c>
      <c r="E782" s="58" t="str">
        <f t="shared" si="316"/>
        <v/>
      </c>
      <c r="F782" s="58"/>
      <c r="G782" s="58"/>
      <c r="H782" s="58"/>
      <c r="I782" s="58"/>
      <c r="J782" s="58"/>
      <c r="K782" s="59">
        <f t="shared" ref="K782:X782" si="320">IF(AND($C782="B+R",$E782="prace rozwojowe",LataProjekcji&lt;=Koniec_PR,Modul_badawczo_rozwojowy=tak),ROUND(K414,0),0)</f>
        <v>0</v>
      </c>
      <c r="L782" s="59">
        <f t="shared" si="320"/>
        <v>0</v>
      </c>
      <c r="M782" s="59">
        <f t="shared" si="320"/>
        <v>0</v>
      </c>
      <c r="N782" s="59">
        <f t="shared" si="320"/>
        <v>0</v>
      </c>
      <c r="O782" s="59">
        <f t="shared" si="320"/>
        <v>0</v>
      </c>
      <c r="P782" s="59">
        <f t="shared" si="320"/>
        <v>0</v>
      </c>
      <c r="Q782" s="59">
        <f t="shared" si="320"/>
        <v>0</v>
      </c>
      <c r="R782" s="59">
        <f t="shared" si="320"/>
        <v>0</v>
      </c>
      <c r="S782" s="59">
        <f t="shared" si="320"/>
        <v>0</v>
      </c>
      <c r="T782" s="59">
        <f t="shared" si="320"/>
        <v>0</v>
      </c>
      <c r="U782" s="59">
        <f t="shared" si="320"/>
        <v>0</v>
      </c>
      <c r="V782" s="59">
        <f t="shared" si="320"/>
        <v>0</v>
      </c>
      <c r="W782" s="59">
        <f t="shared" si="320"/>
        <v>0</v>
      </c>
      <c r="X782" s="59">
        <f t="shared" si="320"/>
        <v>0</v>
      </c>
    </row>
    <row r="783" spans="2:24" hidden="1">
      <c r="B783" s="58" t="str">
        <f t="shared" si="316"/>
        <v/>
      </c>
      <c r="C783" s="58" t="str">
        <f t="shared" si="316"/>
        <v/>
      </c>
      <c r="D783" s="58" t="str">
        <f t="shared" si="316"/>
        <v/>
      </c>
      <c r="E783" s="58" t="str">
        <f t="shared" si="316"/>
        <v/>
      </c>
      <c r="F783" s="58"/>
      <c r="G783" s="58"/>
      <c r="H783" s="58"/>
      <c r="I783" s="58"/>
      <c r="J783" s="58"/>
      <c r="K783" s="59">
        <f t="shared" ref="K783:X783" si="321">IF(AND($C783="B+R",$E783="prace rozwojowe",LataProjekcji&lt;=Koniec_PR,Modul_badawczo_rozwojowy=tak),ROUND(K415,0),0)</f>
        <v>0</v>
      </c>
      <c r="L783" s="59">
        <f t="shared" si="321"/>
        <v>0</v>
      </c>
      <c r="M783" s="59">
        <f t="shared" si="321"/>
        <v>0</v>
      </c>
      <c r="N783" s="59">
        <f t="shared" si="321"/>
        <v>0</v>
      </c>
      <c r="O783" s="59">
        <f t="shared" si="321"/>
        <v>0</v>
      </c>
      <c r="P783" s="59">
        <f t="shared" si="321"/>
        <v>0</v>
      </c>
      <c r="Q783" s="59">
        <f t="shared" si="321"/>
        <v>0</v>
      </c>
      <c r="R783" s="59">
        <f t="shared" si="321"/>
        <v>0</v>
      </c>
      <c r="S783" s="59">
        <f t="shared" si="321"/>
        <v>0</v>
      </c>
      <c r="T783" s="59">
        <f t="shared" si="321"/>
        <v>0</v>
      </c>
      <c r="U783" s="59">
        <f t="shared" si="321"/>
        <v>0</v>
      </c>
      <c r="V783" s="59">
        <f t="shared" si="321"/>
        <v>0</v>
      </c>
      <c r="W783" s="59">
        <f t="shared" si="321"/>
        <v>0</v>
      </c>
      <c r="X783" s="59">
        <f t="shared" si="321"/>
        <v>0</v>
      </c>
    </row>
    <row r="784" spans="2:24" hidden="1">
      <c r="B784" s="58" t="str">
        <f t="shared" si="316"/>
        <v/>
      </c>
      <c r="C784" s="58" t="str">
        <f t="shared" si="316"/>
        <v/>
      </c>
      <c r="D784" s="58" t="str">
        <f t="shared" si="316"/>
        <v/>
      </c>
      <c r="E784" s="58" t="str">
        <f t="shared" si="316"/>
        <v/>
      </c>
      <c r="F784" s="58"/>
      <c r="G784" s="58"/>
      <c r="H784" s="58"/>
      <c r="I784" s="58"/>
      <c r="J784" s="58"/>
      <c r="K784" s="59">
        <f t="shared" ref="K784:X784" si="322">IF(AND($C784="B+R",$E784="prace rozwojowe",LataProjekcji&lt;=Koniec_PR,Modul_badawczo_rozwojowy=tak),ROUND(K416,0),0)</f>
        <v>0</v>
      </c>
      <c r="L784" s="59">
        <f t="shared" si="322"/>
        <v>0</v>
      </c>
      <c r="M784" s="59">
        <f t="shared" si="322"/>
        <v>0</v>
      </c>
      <c r="N784" s="59">
        <f t="shared" si="322"/>
        <v>0</v>
      </c>
      <c r="O784" s="59">
        <f t="shared" si="322"/>
        <v>0</v>
      </c>
      <c r="P784" s="59">
        <f t="shared" si="322"/>
        <v>0</v>
      </c>
      <c r="Q784" s="59">
        <f t="shared" si="322"/>
        <v>0</v>
      </c>
      <c r="R784" s="59">
        <f t="shared" si="322"/>
        <v>0</v>
      </c>
      <c r="S784" s="59">
        <f t="shared" si="322"/>
        <v>0</v>
      </c>
      <c r="T784" s="59">
        <f t="shared" si="322"/>
        <v>0</v>
      </c>
      <c r="U784" s="59">
        <f t="shared" si="322"/>
        <v>0</v>
      </c>
      <c r="V784" s="59">
        <f t="shared" si="322"/>
        <v>0</v>
      </c>
      <c r="W784" s="59">
        <f t="shared" si="322"/>
        <v>0</v>
      </c>
      <c r="X784" s="59">
        <f t="shared" si="322"/>
        <v>0</v>
      </c>
    </row>
    <row r="785" spans="2:24" hidden="1">
      <c r="B785" s="58" t="str">
        <f t="shared" si="316"/>
        <v/>
      </c>
      <c r="C785" s="58" t="str">
        <f t="shared" si="316"/>
        <v/>
      </c>
      <c r="D785" s="58" t="str">
        <f t="shared" si="316"/>
        <v/>
      </c>
      <c r="E785" s="58" t="str">
        <f t="shared" si="316"/>
        <v/>
      </c>
      <c r="F785" s="58"/>
      <c r="G785" s="58"/>
      <c r="H785" s="58"/>
      <c r="I785" s="58"/>
      <c r="J785" s="58"/>
      <c r="K785" s="59">
        <f t="shared" ref="K785:X785" si="323">IF(AND($C785="B+R",$E785="prace rozwojowe",LataProjekcji&lt;=Koniec_PR,Modul_badawczo_rozwojowy=tak),ROUND(K417,0),0)</f>
        <v>0</v>
      </c>
      <c r="L785" s="59">
        <f t="shared" si="323"/>
        <v>0</v>
      </c>
      <c r="M785" s="59">
        <f t="shared" si="323"/>
        <v>0</v>
      </c>
      <c r="N785" s="59">
        <f t="shared" si="323"/>
        <v>0</v>
      </c>
      <c r="O785" s="59">
        <f t="shared" si="323"/>
        <v>0</v>
      </c>
      <c r="P785" s="59">
        <f t="shared" si="323"/>
        <v>0</v>
      </c>
      <c r="Q785" s="59">
        <f t="shared" si="323"/>
        <v>0</v>
      </c>
      <c r="R785" s="59">
        <f t="shared" si="323"/>
        <v>0</v>
      </c>
      <c r="S785" s="59">
        <f t="shared" si="323"/>
        <v>0</v>
      </c>
      <c r="T785" s="59">
        <f t="shared" si="323"/>
        <v>0</v>
      </c>
      <c r="U785" s="59">
        <f t="shared" si="323"/>
        <v>0</v>
      </c>
      <c r="V785" s="59">
        <f t="shared" si="323"/>
        <v>0</v>
      </c>
      <c r="W785" s="59">
        <f t="shared" si="323"/>
        <v>0</v>
      </c>
      <c r="X785" s="59">
        <f t="shared" si="323"/>
        <v>0</v>
      </c>
    </row>
    <row r="786" spans="2:24" hidden="1">
      <c r="B786" s="58" t="str">
        <f t="shared" si="316"/>
        <v/>
      </c>
      <c r="C786" s="58" t="str">
        <f t="shared" si="316"/>
        <v/>
      </c>
      <c r="D786" s="58" t="str">
        <f t="shared" si="316"/>
        <v/>
      </c>
      <c r="E786" s="58" t="str">
        <f t="shared" si="316"/>
        <v/>
      </c>
      <c r="F786" s="58"/>
      <c r="G786" s="58"/>
      <c r="H786" s="58"/>
      <c r="I786" s="58"/>
      <c r="J786" s="58"/>
      <c r="K786" s="59">
        <f t="shared" ref="K786:X786" si="324">IF(AND($C786="B+R",$E786="prace rozwojowe",LataProjekcji&lt;=Koniec_PR,Modul_badawczo_rozwojowy=tak),ROUND(K418,0),0)</f>
        <v>0</v>
      </c>
      <c r="L786" s="59">
        <f t="shared" si="324"/>
        <v>0</v>
      </c>
      <c r="M786" s="59">
        <f t="shared" si="324"/>
        <v>0</v>
      </c>
      <c r="N786" s="59">
        <f t="shared" si="324"/>
        <v>0</v>
      </c>
      <c r="O786" s="59">
        <f t="shared" si="324"/>
        <v>0</v>
      </c>
      <c r="P786" s="59">
        <f t="shared" si="324"/>
        <v>0</v>
      </c>
      <c r="Q786" s="59">
        <f t="shared" si="324"/>
        <v>0</v>
      </c>
      <c r="R786" s="59">
        <f t="shared" si="324"/>
        <v>0</v>
      </c>
      <c r="S786" s="59">
        <f t="shared" si="324"/>
        <v>0</v>
      </c>
      <c r="T786" s="59">
        <f t="shared" si="324"/>
        <v>0</v>
      </c>
      <c r="U786" s="59">
        <f t="shared" si="324"/>
        <v>0</v>
      </c>
      <c r="V786" s="59">
        <f t="shared" si="324"/>
        <v>0</v>
      </c>
      <c r="W786" s="59">
        <f t="shared" si="324"/>
        <v>0</v>
      </c>
      <c r="X786" s="59">
        <f t="shared" si="324"/>
        <v>0</v>
      </c>
    </row>
    <row r="787" spans="2:24" hidden="1">
      <c r="B787" s="58" t="str">
        <f t="shared" si="316"/>
        <v/>
      </c>
      <c r="C787" s="58" t="str">
        <f t="shared" si="316"/>
        <v/>
      </c>
      <c r="D787" s="58" t="str">
        <f t="shared" si="316"/>
        <v/>
      </c>
      <c r="E787" s="58" t="str">
        <f t="shared" si="316"/>
        <v/>
      </c>
      <c r="F787" s="58"/>
      <c r="G787" s="58"/>
      <c r="H787" s="58"/>
      <c r="I787" s="58"/>
      <c r="J787" s="58"/>
      <c r="K787" s="59">
        <f t="shared" ref="K787:X787" si="325">IF(AND($C787="B+R",$E787="prace rozwojowe",LataProjekcji&lt;=Koniec_PR,Modul_badawczo_rozwojowy=tak),ROUND(K419,0),0)</f>
        <v>0</v>
      </c>
      <c r="L787" s="59">
        <f t="shared" si="325"/>
        <v>0</v>
      </c>
      <c r="M787" s="59">
        <f t="shared" si="325"/>
        <v>0</v>
      </c>
      <c r="N787" s="59">
        <f t="shared" si="325"/>
        <v>0</v>
      </c>
      <c r="O787" s="59">
        <f t="shared" si="325"/>
        <v>0</v>
      </c>
      <c r="P787" s="59">
        <f t="shared" si="325"/>
        <v>0</v>
      </c>
      <c r="Q787" s="59">
        <f t="shared" si="325"/>
        <v>0</v>
      </c>
      <c r="R787" s="59">
        <f t="shared" si="325"/>
        <v>0</v>
      </c>
      <c r="S787" s="59">
        <f t="shared" si="325"/>
        <v>0</v>
      </c>
      <c r="T787" s="59">
        <f t="shared" si="325"/>
        <v>0</v>
      </c>
      <c r="U787" s="59">
        <f t="shared" si="325"/>
        <v>0</v>
      </c>
      <c r="V787" s="59">
        <f t="shared" si="325"/>
        <v>0</v>
      </c>
      <c r="W787" s="59">
        <f t="shared" si="325"/>
        <v>0</v>
      </c>
      <c r="X787" s="59">
        <f t="shared" si="325"/>
        <v>0</v>
      </c>
    </row>
    <row r="788" spans="2:24" hidden="1">
      <c r="B788" s="58" t="str">
        <f t="shared" si="316"/>
        <v/>
      </c>
      <c r="C788" s="58" t="str">
        <f t="shared" si="316"/>
        <v/>
      </c>
      <c r="D788" s="58" t="str">
        <f t="shared" si="316"/>
        <v/>
      </c>
      <c r="E788" s="58" t="str">
        <f t="shared" si="316"/>
        <v/>
      </c>
      <c r="F788" s="58"/>
      <c r="G788" s="58"/>
      <c r="H788" s="58"/>
      <c r="I788" s="58"/>
      <c r="J788" s="58"/>
      <c r="K788" s="59">
        <f t="shared" ref="K788:X788" si="326">IF(AND($C788="B+R",$E788="prace rozwojowe",LataProjekcji&lt;=Koniec_PR,Modul_badawczo_rozwojowy=tak),ROUND(K420,0),0)</f>
        <v>0</v>
      </c>
      <c r="L788" s="59">
        <f t="shared" si="326"/>
        <v>0</v>
      </c>
      <c r="M788" s="59">
        <f t="shared" si="326"/>
        <v>0</v>
      </c>
      <c r="N788" s="59">
        <f t="shared" si="326"/>
        <v>0</v>
      </c>
      <c r="O788" s="59">
        <f t="shared" si="326"/>
        <v>0</v>
      </c>
      <c r="P788" s="59">
        <f t="shared" si="326"/>
        <v>0</v>
      </c>
      <c r="Q788" s="59">
        <f t="shared" si="326"/>
        <v>0</v>
      </c>
      <c r="R788" s="59">
        <f t="shared" si="326"/>
        <v>0</v>
      </c>
      <c r="S788" s="59">
        <f t="shared" si="326"/>
        <v>0</v>
      </c>
      <c r="T788" s="59">
        <f t="shared" si="326"/>
        <v>0</v>
      </c>
      <c r="U788" s="59">
        <f t="shared" si="326"/>
        <v>0</v>
      </c>
      <c r="V788" s="59">
        <f t="shared" si="326"/>
        <v>0</v>
      </c>
      <c r="W788" s="59">
        <f t="shared" si="326"/>
        <v>0</v>
      </c>
      <c r="X788" s="59">
        <f t="shared" si="326"/>
        <v>0</v>
      </c>
    </row>
    <row r="789" spans="2:24" hidden="1">
      <c r="B789" s="58" t="str">
        <f t="shared" si="316"/>
        <v/>
      </c>
      <c r="C789" s="58" t="str">
        <f t="shared" si="316"/>
        <v/>
      </c>
      <c r="D789" s="58" t="str">
        <f t="shared" si="316"/>
        <v/>
      </c>
      <c r="E789" s="58" t="str">
        <f t="shared" si="316"/>
        <v/>
      </c>
      <c r="F789" s="58"/>
      <c r="G789" s="58"/>
      <c r="H789" s="58"/>
      <c r="I789" s="58"/>
      <c r="J789" s="58"/>
      <c r="K789" s="59">
        <f t="shared" ref="K789:X789" si="327">IF(AND($C789="B+R",$E789="prace rozwojowe",LataProjekcji&lt;=Koniec_PR,Modul_badawczo_rozwojowy=tak),ROUND(K421,0),0)</f>
        <v>0</v>
      </c>
      <c r="L789" s="59">
        <f t="shared" si="327"/>
        <v>0</v>
      </c>
      <c r="M789" s="59">
        <f t="shared" si="327"/>
        <v>0</v>
      </c>
      <c r="N789" s="59">
        <f t="shared" si="327"/>
        <v>0</v>
      </c>
      <c r="O789" s="59">
        <f t="shared" si="327"/>
        <v>0</v>
      </c>
      <c r="P789" s="59">
        <f t="shared" si="327"/>
        <v>0</v>
      </c>
      <c r="Q789" s="59">
        <f t="shared" si="327"/>
        <v>0</v>
      </c>
      <c r="R789" s="59">
        <f t="shared" si="327"/>
        <v>0</v>
      </c>
      <c r="S789" s="59">
        <f t="shared" si="327"/>
        <v>0</v>
      </c>
      <c r="T789" s="59">
        <f t="shared" si="327"/>
        <v>0</v>
      </c>
      <c r="U789" s="59">
        <f t="shared" si="327"/>
        <v>0</v>
      </c>
      <c r="V789" s="59">
        <f t="shared" si="327"/>
        <v>0</v>
      </c>
      <c r="W789" s="59">
        <f t="shared" si="327"/>
        <v>0</v>
      </c>
      <c r="X789" s="59">
        <f t="shared" si="327"/>
        <v>0</v>
      </c>
    </row>
    <row r="790" spans="2:24" hidden="1">
      <c r="B790" s="58" t="str">
        <f t="shared" si="316"/>
        <v/>
      </c>
      <c r="C790" s="58" t="str">
        <f t="shared" si="316"/>
        <v/>
      </c>
      <c r="D790" s="58" t="str">
        <f t="shared" si="316"/>
        <v/>
      </c>
      <c r="E790" s="58" t="str">
        <f t="shared" si="316"/>
        <v/>
      </c>
      <c r="F790" s="58"/>
      <c r="G790" s="58"/>
      <c r="H790" s="58"/>
      <c r="I790" s="58"/>
      <c r="J790" s="58"/>
      <c r="K790" s="59">
        <f t="shared" ref="K790:X790" si="328">IF(AND($C790="B+R",$E790="prace rozwojowe",LataProjekcji&lt;=Koniec_PR,Modul_badawczo_rozwojowy=tak),ROUND(K422,0),0)</f>
        <v>0</v>
      </c>
      <c r="L790" s="59">
        <f t="shared" si="328"/>
        <v>0</v>
      </c>
      <c r="M790" s="59">
        <f t="shared" si="328"/>
        <v>0</v>
      </c>
      <c r="N790" s="59">
        <f t="shared" si="328"/>
        <v>0</v>
      </c>
      <c r="O790" s="59">
        <f t="shared" si="328"/>
        <v>0</v>
      </c>
      <c r="P790" s="59">
        <f t="shared" si="328"/>
        <v>0</v>
      </c>
      <c r="Q790" s="59">
        <f t="shared" si="328"/>
        <v>0</v>
      </c>
      <c r="R790" s="59">
        <f t="shared" si="328"/>
        <v>0</v>
      </c>
      <c r="S790" s="59">
        <f t="shared" si="328"/>
        <v>0</v>
      </c>
      <c r="T790" s="59">
        <f t="shared" si="328"/>
        <v>0</v>
      </c>
      <c r="U790" s="59">
        <f t="shared" si="328"/>
        <v>0</v>
      </c>
      <c r="V790" s="59">
        <f t="shared" si="328"/>
        <v>0</v>
      </c>
      <c r="W790" s="59">
        <f t="shared" si="328"/>
        <v>0</v>
      </c>
      <c r="X790" s="59">
        <f t="shared" si="328"/>
        <v>0</v>
      </c>
    </row>
    <row r="791" spans="2:24" hidden="1">
      <c r="B791" s="58" t="str">
        <f t="shared" si="316"/>
        <v/>
      </c>
      <c r="C791" s="58" t="str">
        <f t="shared" si="316"/>
        <v/>
      </c>
      <c r="D791" s="58" t="str">
        <f t="shared" si="316"/>
        <v/>
      </c>
      <c r="E791" s="58" t="str">
        <f t="shared" si="316"/>
        <v/>
      </c>
      <c r="F791" s="58"/>
      <c r="G791" s="58"/>
      <c r="H791" s="58"/>
      <c r="I791" s="58"/>
      <c r="J791" s="58"/>
      <c r="K791" s="59">
        <f t="shared" ref="K791:X791" si="329">IF(AND($C791="B+R",$E791="prace rozwojowe",LataProjekcji&lt;=Koniec_PR,Modul_badawczo_rozwojowy=tak),ROUND(K423,0),0)</f>
        <v>0</v>
      </c>
      <c r="L791" s="59">
        <f t="shared" si="329"/>
        <v>0</v>
      </c>
      <c r="M791" s="59">
        <f t="shared" si="329"/>
        <v>0</v>
      </c>
      <c r="N791" s="59">
        <f t="shared" si="329"/>
        <v>0</v>
      </c>
      <c r="O791" s="59">
        <f t="shared" si="329"/>
        <v>0</v>
      </c>
      <c r="P791" s="59">
        <f t="shared" si="329"/>
        <v>0</v>
      </c>
      <c r="Q791" s="59">
        <f t="shared" si="329"/>
        <v>0</v>
      </c>
      <c r="R791" s="59">
        <f t="shared" si="329"/>
        <v>0</v>
      </c>
      <c r="S791" s="59">
        <f t="shared" si="329"/>
        <v>0</v>
      </c>
      <c r="T791" s="59">
        <f t="shared" si="329"/>
        <v>0</v>
      </c>
      <c r="U791" s="59">
        <f t="shared" si="329"/>
        <v>0</v>
      </c>
      <c r="V791" s="59">
        <f t="shared" si="329"/>
        <v>0</v>
      </c>
      <c r="W791" s="59">
        <f t="shared" si="329"/>
        <v>0</v>
      </c>
      <c r="X791" s="59">
        <f t="shared" si="329"/>
        <v>0</v>
      </c>
    </row>
    <row r="792" spans="2:24" hidden="1">
      <c r="B792" s="58" t="str">
        <f t="shared" si="316"/>
        <v/>
      </c>
      <c r="C792" s="58" t="str">
        <f t="shared" si="316"/>
        <v/>
      </c>
      <c r="D792" s="58" t="str">
        <f t="shared" si="316"/>
        <v/>
      </c>
      <c r="E792" s="58" t="str">
        <f t="shared" si="316"/>
        <v/>
      </c>
      <c r="F792" s="58"/>
      <c r="G792" s="58"/>
      <c r="H792" s="58"/>
      <c r="I792" s="58"/>
      <c r="J792" s="58"/>
      <c r="K792" s="59">
        <f t="shared" ref="K792:X792" si="330">IF(AND($C792="B+R",$E792="prace rozwojowe",LataProjekcji&lt;=Koniec_PR,Modul_badawczo_rozwojowy=tak),ROUND(K424,0),0)</f>
        <v>0</v>
      </c>
      <c r="L792" s="59">
        <f t="shared" si="330"/>
        <v>0</v>
      </c>
      <c r="M792" s="59">
        <f t="shared" si="330"/>
        <v>0</v>
      </c>
      <c r="N792" s="59">
        <f t="shared" si="330"/>
        <v>0</v>
      </c>
      <c r="O792" s="59">
        <f t="shared" si="330"/>
        <v>0</v>
      </c>
      <c r="P792" s="59">
        <f t="shared" si="330"/>
        <v>0</v>
      </c>
      <c r="Q792" s="59">
        <f t="shared" si="330"/>
        <v>0</v>
      </c>
      <c r="R792" s="59">
        <f t="shared" si="330"/>
        <v>0</v>
      </c>
      <c r="S792" s="59">
        <f t="shared" si="330"/>
        <v>0</v>
      </c>
      <c r="T792" s="59">
        <f t="shared" si="330"/>
        <v>0</v>
      </c>
      <c r="U792" s="59">
        <f t="shared" si="330"/>
        <v>0</v>
      </c>
      <c r="V792" s="59">
        <f t="shared" si="330"/>
        <v>0</v>
      </c>
      <c r="W792" s="59">
        <f t="shared" si="330"/>
        <v>0</v>
      </c>
      <c r="X792" s="59">
        <f t="shared" si="330"/>
        <v>0</v>
      </c>
    </row>
    <row r="793" spans="2:24" hidden="1">
      <c r="B793" s="58" t="str">
        <f t="shared" si="316"/>
        <v/>
      </c>
      <c r="C793" s="58" t="str">
        <f t="shared" si="316"/>
        <v/>
      </c>
      <c r="D793" s="58" t="str">
        <f t="shared" si="316"/>
        <v/>
      </c>
      <c r="E793" s="58" t="str">
        <f t="shared" si="316"/>
        <v/>
      </c>
      <c r="F793" s="58"/>
      <c r="G793" s="58"/>
      <c r="H793" s="58"/>
      <c r="I793" s="58"/>
      <c r="J793" s="58"/>
      <c r="K793" s="59">
        <f t="shared" ref="K793:X793" si="331">IF(AND($C793="B+R",$E793="prace rozwojowe",LataProjekcji&lt;=Koniec_PR,Modul_badawczo_rozwojowy=tak),ROUND(K425,0),0)</f>
        <v>0</v>
      </c>
      <c r="L793" s="59">
        <f t="shared" si="331"/>
        <v>0</v>
      </c>
      <c r="M793" s="59">
        <f t="shared" si="331"/>
        <v>0</v>
      </c>
      <c r="N793" s="59">
        <f t="shared" si="331"/>
        <v>0</v>
      </c>
      <c r="O793" s="59">
        <f t="shared" si="331"/>
        <v>0</v>
      </c>
      <c r="P793" s="59">
        <f t="shared" si="331"/>
        <v>0</v>
      </c>
      <c r="Q793" s="59">
        <f t="shared" si="331"/>
        <v>0</v>
      </c>
      <c r="R793" s="59">
        <f t="shared" si="331"/>
        <v>0</v>
      </c>
      <c r="S793" s="59">
        <f t="shared" si="331"/>
        <v>0</v>
      </c>
      <c r="T793" s="59">
        <f t="shared" si="331"/>
        <v>0</v>
      </c>
      <c r="U793" s="59">
        <f t="shared" si="331"/>
        <v>0</v>
      </c>
      <c r="V793" s="59">
        <f t="shared" si="331"/>
        <v>0</v>
      </c>
      <c r="W793" s="59">
        <f t="shared" si="331"/>
        <v>0</v>
      </c>
      <c r="X793" s="59">
        <f t="shared" si="331"/>
        <v>0</v>
      </c>
    </row>
    <row r="794" spans="2:24" hidden="1">
      <c r="B794" s="58" t="str">
        <f t="shared" si="316"/>
        <v/>
      </c>
      <c r="C794" s="58" t="str">
        <f t="shared" si="316"/>
        <v/>
      </c>
      <c r="D794" s="58" t="str">
        <f t="shared" si="316"/>
        <v/>
      </c>
      <c r="E794" s="58" t="str">
        <f t="shared" si="316"/>
        <v/>
      </c>
      <c r="F794" s="58"/>
      <c r="G794" s="58"/>
      <c r="H794" s="58"/>
      <c r="I794" s="58"/>
      <c r="J794" s="58"/>
      <c r="K794" s="59">
        <f t="shared" ref="K794:X794" si="332">IF(AND($C794="B+R",$E794="prace rozwojowe",LataProjekcji&lt;=Koniec_PR,Modul_badawczo_rozwojowy=tak),ROUND(K426,0),0)</f>
        <v>0</v>
      </c>
      <c r="L794" s="59">
        <f t="shared" si="332"/>
        <v>0</v>
      </c>
      <c r="M794" s="59">
        <f t="shared" si="332"/>
        <v>0</v>
      </c>
      <c r="N794" s="59">
        <f t="shared" si="332"/>
        <v>0</v>
      </c>
      <c r="O794" s="59">
        <f t="shared" si="332"/>
        <v>0</v>
      </c>
      <c r="P794" s="59">
        <f t="shared" si="332"/>
        <v>0</v>
      </c>
      <c r="Q794" s="59">
        <f t="shared" si="332"/>
        <v>0</v>
      </c>
      <c r="R794" s="59">
        <f t="shared" si="332"/>
        <v>0</v>
      </c>
      <c r="S794" s="59">
        <f t="shared" si="332"/>
        <v>0</v>
      </c>
      <c r="T794" s="59">
        <f t="shared" si="332"/>
        <v>0</v>
      </c>
      <c r="U794" s="59">
        <f t="shared" si="332"/>
        <v>0</v>
      </c>
      <c r="V794" s="59">
        <f t="shared" si="332"/>
        <v>0</v>
      </c>
      <c r="W794" s="59">
        <f t="shared" si="332"/>
        <v>0</v>
      </c>
      <c r="X794" s="59">
        <f t="shared" si="332"/>
        <v>0</v>
      </c>
    </row>
    <row r="795" spans="2:24" hidden="1">
      <c r="B795" s="58" t="str">
        <f t="shared" si="316"/>
        <v/>
      </c>
      <c r="C795" s="58" t="str">
        <f t="shared" si="316"/>
        <v/>
      </c>
      <c r="D795" s="58" t="str">
        <f t="shared" si="316"/>
        <v/>
      </c>
      <c r="E795" s="58" t="str">
        <f t="shared" si="316"/>
        <v/>
      </c>
      <c r="F795" s="58"/>
      <c r="G795" s="58"/>
      <c r="H795" s="58"/>
      <c r="I795" s="58"/>
      <c r="J795" s="58"/>
      <c r="K795" s="59">
        <f t="shared" ref="K795:X795" si="333">IF(AND($C795="B+R",$E795="prace rozwojowe",LataProjekcji&lt;=Koniec_PR,Modul_badawczo_rozwojowy=tak),ROUND(K427,0),0)</f>
        <v>0</v>
      </c>
      <c r="L795" s="59">
        <f t="shared" si="333"/>
        <v>0</v>
      </c>
      <c r="M795" s="59">
        <f t="shared" si="333"/>
        <v>0</v>
      </c>
      <c r="N795" s="59">
        <f t="shared" si="333"/>
        <v>0</v>
      </c>
      <c r="O795" s="59">
        <f t="shared" si="333"/>
        <v>0</v>
      </c>
      <c r="P795" s="59">
        <f t="shared" si="333"/>
        <v>0</v>
      </c>
      <c r="Q795" s="59">
        <f t="shared" si="333"/>
        <v>0</v>
      </c>
      <c r="R795" s="59">
        <f t="shared" si="333"/>
        <v>0</v>
      </c>
      <c r="S795" s="59">
        <f t="shared" si="333"/>
        <v>0</v>
      </c>
      <c r="T795" s="59">
        <f t="shared" si="333"/>
        <v>0</v>
      </c>
      <c r="U795" s="59">
        <f t="shared" si="333"/>
        <v>0</v>
      </c>
      <c r="V795" s="59">
        <f t="shared" si="333"/>
        <v>0</v>
      </c>
      <c r="W795" s="59">
        <f t="shared" si="333"/>
        <v>0</v>
      </c>
      <c r="X795" s="59">
        <f t="shared" si="333"/>
        <v>0</v>
      </c>
    </row>
    <row r="796" spans="2:24" hidden="1">
      <c r="B796" s="58" t="str">
        <f t="shared" si="316"/>
        <v/>
      </c>
      <c r="C796" s="58" t="str">
        <f t="shared" si="316"/>
        <v/>
      </c>
      <c r="D796" s="58" t="str">
        <f t="shared" si="316"/>
        <v/>
      </c>
      <c r="E796" s="58" t="str">
        <f t="shared" si="316"/>
        <v/>
      </c>
      <c r="F796" s="58"/>
      <c r="G796" s="58"/>
      <c r="H796" s="58"/>
      <c r="I796" s="58"/>
      <c r="J796" s="58"/>
      <c r="K796" s="59">
        <f t="shared" ref="K796:X796" si="334">IF(AND($C796="B+R",$E796="prace rozwojowe",LataProjekcji&lt;=Koniec_PR,Modul_badawczo_rozwojowy=tak),ROUND(K428,0),0)</f>
        <v>0</v>
      </c>
      <c r="L796" s="59">
        <f t="shared" si="334"/>
        <v>0</v>
      </c>
      <c r="M796" s="59">
        <f t="shared" si="334"/>
        <v>0</v>
      </c>
      <c r="N796" s="59">
        <f t="shared" si="334"/>
        <v>0</v>
      </c>
      <c r="O796" s="59">
        <f t="shared" si="334"/>
        <v>0</v>
      </c>
      <c r="P796" s="59">
        <f t="shared" si="334"/>
        <v>0</v>
      </c>
      <c r="Q796" s="59">
        <f t="shared" si="334"/>
        <v>0</v>
      </c>
      <c r="R796" s="59">
        <f t="shared" si="334"/>
        <v>0</v>
      </c>
      <c r="S796" s="59">
        <f t="shared" si="334"/>
        <v>0</v>
      </c>
      <c r="T796" s="59">
        <f t="shared" si="334"/>
        <v>0</v>
      </c>
      <c r="U796" s="59">
        <f t="shared" si="334"/>
        <v>0</v>
      </c>
      <c r="V796" s="59">
        <f t="shared" si="334"/>
        <v>0</v>
      </c>
      <c r="W796" s="59">
        <f t="shared" si="334"/>
        <v>0</v>
      </c>
      <c r="X796" s="59">
        <f t="shared" si="334"/>
        <v>0</v>
      </c>
    </row>
    <row r="797" spans="2:24" hidden="1">
      <c r="B797" s="58" t="str">
        <f t="shared" si="316"/>
        <v/>
      </c>
      <c r="C797" s="58" t="str">
        <f t="shared" si="316"/>
        <v/>
      </c>
      <c r="D797" s="58" t="str">
        <f t="shared" si="316"/>
        <v/>
      </c>
      <c r="E797" s="58" t="str">
        <f t="shared" si="316"/>
        <v/>
      </c>
      <c r="F797" s="58"/>
      <c r="G797" s="58"/>
      <c r="H797" s="58"/>
      <c r="I797" s="58"/>
      <c r="J797" s="58"/>
      <c r="K797" s="59">
        <f t="shared" ref="K797:X797" si="335">IF(AND($C797="B+R",$E797="prace rozwojowe",LataProjekcji&lt;=Koniec_PR,Modul_badawczo_rozwojowy=tak),ROUND(K429,0),0)</f>
        <v>0</v>
      </c>
      <c r="L797" s="59">
        <f t="shared" si="335"/>
        <v>0</v>
      </c>
      <c r="M797" s="59">
        <f t="shared" si="335"/>
        <v>0</v>
      </c>
      <c r="N797" s="59">
        <f t="shared" si="335"/>
        <v>0</v>
      </c>
      <c r="O797" s="59">
        <f t="shared" si="335"/>
        <v>0</v>
      </c>
      <c r="P797" s="59">
        <f t="shared" si="335"/>
        <v>0</v>
      </c>
      <c r="Q797" s="59">
        <f t="shared" si="335"/>
        <v>0</v>
      </c>
      <c r="R797" s="59">
        <f t="shared" si="335"/>
        <v>0</v>
      </c>
      <c r="S797" s="59">
        <f t="shared" si="335"/>
        <v>0</v>
      </c>
      <c r="T797" s="59">
        <f t="shared" si="335"/>
        <v>0</v>
      </c>
      <c r="U797" s="59">
        <f t="shared" si="335"/>
        <v>0</v>
      </c>
      <c r="V797" s="59">
        <f t="shared" si="335"/>
        <v>0</v>
      </c>
      <c r="W797" s="59">
        <f t="shared" si="335"/>
        <v>0</v>
      </c>
      <c r="X797" s="59">
        <f t="shared" si="335"/>
        <v>0</v>
      </c>
    </row>
    <row r="798" spans="2:24" hidden="1">
      <c r="B798" s="58" t="str">
        <f t="shared" si="316"/>
        <v/>
      </c>
      <c r="C798" s="58" t="str">
        <f t="shared" si="316"/>
        <v/>
      </c>
      <c r="D798" s="58" t="str">
        <f t="shared" si="316"/>
        <v/>
      </c>
      <c r="E798" s="58" t="str">
        <f t="shared" si="316"/>
        <v/>
      </c>
      <c r="F798" s="58"/>
      <c r="G798" s="58"/>
      <c r="H798" s="58"/>
      <c r="I798" s="58"/>
      <c r="J798" s="58"/>
      <c r="K798" s="59">
        <f t="shared" ref="K798:X798" si="336">IF(AND($C798="B+R",$E798="prace rozwojowe",LataProjekcji&lt;=Koniec_PR,Modul_badawczo_rozwojowy=tak),ROUND(K430,0),0)</f>
        <v>0</v>
      </c>
      <c r="L798" s="59">
        <f t="shared" si="336"/>
        <v>0</v>
      </c>
      <c r="M798" s="59">
        <f t="shared" si="336"/>
        <v>0</v>
      </c>
      <c r="N798" s="59">
        <f t="shared" si="336"/>
        <v>0</v>
      </c>
      <c r="O798" s="59">
        <f t="shared" si="336"/>
        <v>0</v>
      </c>
      <c r="P798" s="59">
        <f t="shared" si="336"/>
        <v>0</v>
      </c>
      <c r="Q798" s="59">
        <f t="shared" si="336"/>
        <v>0</v>
      </c>
      <c r="R798" s="59">
        <f t="shared" si="336"/>
        <v>0</v>
      </c>
      <c r="S798" s="59">
        <f t="shared" si="336"/>
        <v>0</v>
      </c>
      <c r="T798" s="59">
        <f t="shared" si="336"/>
        <v>0</v>
      </c>
      <c r="U798" s="59">
        <f t="shared" si="336"/>
        <v>0</v>
      </c>
      <c r="V798" s="59">
        <f t="shared" si="336"/>
        <v>0</v>
      </c>
      <c r="W798" s="59">
        <f t="shared" si="336"/>
        <v>0</v>
      </c>
      <c r="X798" s="59">
        <f t="shared" si="336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37">ROUND(SUM(L759:L798),0)</f>
        <v>0</v>
      </c>
      <c r="M799" s="60">
        <f t="shared" si="337"/>
        <v>0</v>
      </c>
      <c r="N799" s="60">
        <f t="shared" si="337"/>
        <v>0</v>
      </c>
      <c r="O799" s="60">
        <f t="shared" si="337"/>
        <v>0</v>
      </c>
      <c r="P799" s="60">
        <f t="shared" si="337"/>
        <v>0</v>
      </c>
      <c r="Q799" s="60">
        <f t="shared" si="337"/>
        <v>0</v>
      </c>
      <c r="R799" s="60">
        <f t="shared" si="337"/>
        <v>0</v>
      </c>
      <c r="S799" s="60">
        <f t="shared" si="337"/>
        <v>0</v>
      </c>
      <c r="T799" s="60">
        <f t="shared" si="337"/>
        <v>0</v>
      </c>
      <c r="U799" s="60">
        <f t="shared" si="337"/>
        <v>0</v>
      </c>
      <c r="V799" s="60">
        <f t="shared" si="337"/>
        <v>0</v>
      </c>
      <c r="W799" s="60">
        <f t="shared" si="337"/>
        <v>0</v>
      </c>
      <c r="X799" s="60">
        <f t="shared" si="337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38">IF(ISBLANK(B436),"",B436)</f>
        <v/>
      </c>
      <c r="C804" s="58" t="str">
        <f t="shared" si="338"/>
        <v/>
      </c>
      <c r="D804" s="58" t="str">
        <f t="shared" si="338"/>
        <v/>
      </c>
      <c r="E804" s="58" t="str">
        <f t="shared" si="338"/>
        <v/>
      </c>
      <c r="F804" s="58"/>
      <c r="G804" s="58"/>
      <c r="H804" s="58"/>
      <c r="I804" s="58"/>
      <c r="J804" s="58" t="s">
        <v>734</v>
      </c>
      <c r="K804" s="59">
        <f t="shared" ref="K804:X804" si="339">IF(AND($C804="B+R",$E804="prace rozwojowe",LataProjekcji&lt;=Koniec_PR,Modul_badawczo_rozwojowy=tak),ROUND(K436,0),0)</f>
        <v>0</v>
      </c>
      <c r="L804" s="59">
        <f t="shared" si="339"/>
        <v>0</v>
      </c>
      <c r="M804" s="59">
        <f t="shared" si="339"/>
        <v>0</v>
      </c>
      <c r="N804" s="59">
        <f t="shared" si="339"/>
        <v>0</v>
      </c>
      <c r="O804" s="59">
        <f t="shared" si="339"/>
        <v>0</v>
      </c>
      <c r="P804" s="59">
        <f t="shared" si="339"/>
        <v>0</v>
      </c>
      <c r="Q804" s="59">
        <f t="shared" si="339"/>
        <v>0</v>
      </c>
      <c r="R804" s="59">
        <f t="shared" si="339"/>
        <v>0</v>
      </c>
      <c r="S804" s="59">
        <f t="shared" si="339"/>
        <v>0</v>
      </c>
      <c r="T804" s="59">
        <f t="shared" si="339"/>
        <v>0</v>
      </c>
      <c r="U804" s="59">
        <f t="shared" si="339"/>
        <v>0</v>
      </c>
      <c r="V804" s="59">
        <f t="shared" si="339"/>
        <v>0</v>
      </c>
      <c r="W804" s="59">
        <f t="shared" si="339"/>
        <v>0</v>
      </c>
      <c r="X804" s="59">
        <f t="shared" si="339"/>
        <v>0</v>
      </c>
    </row>
    <row r="805" spans="2:24" hidden="1">
      <c r="B805" s="58" t="str">
        <f t="shared" si="338"/>
        <v/>
      </c>
      <c r="C805" s="58" t="str">
        <f t="shared" si="338"/>
        <v/>
      </c>
      <c r="D805" s="58" t="str">
        <f t="shared" si="338"/>
        <v/>
      </c>
      <c r="E805" s="58" t="str">
        <f t="shared" si="338"/>
        <v/>
      </c>
      <c r="F805" s="58"/>
      <c r="G805" s="58"/>
      <c r="H805" s="58"/>
      <c r="I805" s="58"/>
      <c r="J805" s="58"/>
      <c r="K805" s="59">
        <f t="shared" ref="K805:X805" si="340">IF(AND($C805="B+R",$E805="prace rozwojowe",LataProjekcji&lt;=Koniec_PR,Modul_badawczo_rozwojowy=tak),ROUND(K437,0),0)</f>
        <v>0</v>
      </c>
      <c r="L805" s="59">
        <f t="shared" si="340"/>
        <v>0</v>
      </c>
      <c r="M805" s="59">
        <f t="shared" si="340"/>
        <v>0</v>
      </c>
      <c r="N805" s="59">
        <f t="shared" si="340"/>
        <v>0</v>
      </c>
      <c r="O805" s="59">
        <f t="shared" si="340"/>
        <v>0</v>
      </c>
      <c r="P805" s="59">
        <f t="shared" si="340"/>
        <v>0</v>
      </c>
      <c r="Q805" s="59">
        <f t="shared" si="340"/>
        <v>0</v>
      </c>
      <c r="R805" s="59">
        <f t="shared" si="340"/>
        <v>0</v>
      </c>
      <c r="S805" s="59">
        <f t="shared" si="340"/>
        <v>0</v>
      </c>
      <c r="T805" s="59">
        <f t="shared" si="340"/>
        <v>0</v>
      </c>
      <c r="U805" s="59">
        <f t="shared" si="340"/>
        <v>0</v>
      </c>
      <c r="V805" s="59">
        <f t="shared" si="340"/>
        <v>0</v>
      </c>
      <c r="W805" s="59">
        <f t="shared" si="340"/>
        <v>0</v>
      </c>
      <c r="X805" s="59">
        <f t="shared" si="340"/>
        <v>0</v>
      </c>
    </row>
    <row r="806" spans="2:24" hidden="1">
      <c r="B806" s="58" t="str">
        <f t="shared" si="338"/>
        <v/>
      </c>
      <c r="C806" s="58" t="str">
        <f t="shared" si="338"/>
        <v/>
      </c>
      <c r="D806" s="58" t="str">
        <f t="shared" si="338"/>
        <v/>
      </c>
      <c r="E806" s="58" t="str">
        <f t="shared" si="338"/>
        <v/>
      </c>
      <c r="F806" s="58"/>
      <c r="G806" s="58"/>
      <c r="H806" s="58"/>
      <c r="I806" s="58"/>
      <c r="J806" s="58"/>
      <c r="K806" s="59">
        <f t="shared" ref="K806:X806" si="341">IF(AND($C806="B+R",$E806="prace rozwojowe",LataProjekcji&lt;=Koniec_PR,Modul_badawczo_rozwojowy=tak),ROUND(K438,0),0)</f>
        <v>0</v>
      </c>
      <c r="L806" s="59">
        <f t="shared" si="341"/>
        <v>0</v>
      </c>
      <c r="M806" s="59">
        <f t="shared" si="341"/>
        <v>0</v>
      </c>
      <c r="N806" s="59">
        <f t="shared" si="341"/>
        <v>0</v>
      </c>
      <c r="O806" s="59">
        <f t="shared" si="341"/>
        <v>0</v>
      </c>
      <c r="P806" s="59">
        <f t="shared" si="341"/>
        <v>0</v>
      </c>
      <c r="Q806" s="59">
        <f t="shared" si="341"/>
        <v>0</v>
      </c>
      <c r="R806" s="59">
        <f t="shared" si="341"/>
        <v>0</v>
      </c>
      <c r="S806" s="59">
        <f t="shared" si="341"/>
        <v>0</v>
      </c>
      <c r="T806" s="59">
        <f t="shared" si="341"/>
        <v>0</v>
      </c>
      <c r="U806" s="59">
        <f t="shared" si="341"/>
        <v>0</v>
      </c>
      <c r="V806" s="59">
        <f t="shared" si="341"/>
        <v>0</v>
      </c>
      <c r="W806" s="59">
        <f t="shared" si="341"/>
        <v>0</v>
      </c>
      <c r="X806" s="59">
        <f t="shared" si="341"/>
        <v>0</v>
      </c>
    </row>
    <row r="807" spans="2:24" hidden="1">
      <c r="B807" s="58" t="str">
        <f t="shared" si="338"/>
        <v/>
      </c>
      <c r="C807" s="58" t="str">
        <f t="shared" si="338"/>
        <v/>
      </c>
      <c r="D807" s="58" t="str">
        <f t="shared" si="338"/>
        <v/>
      </c>
      <c r="E807" s="58" t="str">
        <f t="shared" si="338"/>
        <v/>
      </c>
      <c r="F807" s="58"/>
      <c r="G807" s="58"/>
      <c r="H807" s="58"/>
      <c r="I807" s="58"/>
      <c r="J807" s="58"/>
      <c r="K807" s="59">
        <f t="shared" ref="K807:X807" si="342">IF(AND($C807="B+R",$E807="prace rozwojowe",LataProjekcji&lt;=Koniec_PR,Modul_badawczo_rozwojowy=tak),ROUND(K439,0),0)</f>
        <v>0</v>
      </c>
      <c r="L807" s="59">
        <f t="shared" si="342"/>
        <v>0</v>
      </c>
      <c r="M807" s="59">
        <f t="shared" si="342"/>
        <v>0</v>
      </c>
      <c r="N807" s="59">
        <f t="shared" si="342"/>
        <v>0</v>
      </c>
      <c r="O807" s="59">
        <f t="shared" si="342"/>
        <v>0</v>
      </c>
      <c r="P807" s="59">
        <f t="shared" si="342"/>
        <v>0</v>
      </c>
      <c r="Q807" s="59">
        <f t="shared" si="342"/>
        <v>0</v>
      </c>
      <c r="R807" s="59">
        <f t="shared" si="342"/>
        <v>0</v>
      </c>
      <c r="S807" s="59">
        <f t="shared" si="342"/>
        <v>0</v>
      </c>
      <c r="T807" s="59">
        <f t="shared" si="342"/>
        <v>0</v>
      </c>
      <c r="U807" s="59">
        <f t="shared" si="342"/>
        <v>0</v>
      </c>
      <c r="V807" s="59">
        <f t="shared" si="342"/>
        <v>0</v>
      </c>
      <c r="W807" s="59">
        <f t="shared" si="342"/>
        <v>0</v>
      </c>
      <c r="X807" s="59">
        <f t="shared" si="342"/>
        <v>0</v>
      </c>
    </row>
    <row r="808" spans="2:24" hidden="1">
      <c r="B808" s="58" t="str">
        <f t="shared" si="338"/>
        <v/>
      </c>
      <c r="C808" s="58" t="str">
        <f t="shared" si="338"/>
        <v/>
      </c>
      <c r="D808" s="58" t="str">
        <f t="shared" si="338"/>
        <v/>
      </c>
      <c r="E808" s="58" t="str">
        <f t="shared" si="338"/>
        <v/>
      </c>
      <c r="F808" s="58"/>
      <c r="G808" s="58"/>
      <c r="H808" s="58"/>
      <c r="I808" s="58"/>
      <c r="J808" s="58"/>
      <c r="K808" s="59">
        <f t="shared" ref="K808:X808" si="343">IF(AND($C808="B+R",$E808="prace rozwojowe",LataProjekcji&lt;=Koniec_PR,Modul_badawczo_rozwojowy=tak),ROUND(K440,0),0)</f>
        <v>0</v>
      </c>
      <c r="L808" s="59">
        <f t="shared" si="343"/>
        <v>0</v>
      </c>
      <c r="M808" s="59">
        <f t="shared" si="343"/>
        <v>0</v>
      </c>
      <c r="N808" s="59">
        <f t="shared" si="343"/>
        <v>0</v>
      </c>
      <c r="O808" s="59">
        <f t="shared" si="343"/>
        <v>0</v>
      </c>
      <c r="P808" s="59">
        <f t="shared" si="343"/>
        <v>0</v>
      </c>
      <c r="Q808" s="59">
        <f t="shared" si="343"/>
        <v>0</v>
      </c>
      <c r="R808" s="59">
        <f t="shared" si="343"/>
        <v>0</v>
      </c>
      <c r="S808" s="59">
        <f t="shared" si="343"/>
        <v>0</v>
      </c>
      <c r="T808" s="59">
        <f t="shared" si="343"/>
        <v>0</v>
      </c>
      <c r="U808" s="59">
        <f t="shared" si="343"/>
        <v>0</v>
      </c>
      <c r="V808" s="59">
        <f t="shared" si="343"/>
        <v>0</v>
      </c>
      <c r="W808" s="59">
        <f t="shared" si="343"/>
        <v>0</v>
      </c>
      <c r="X808" s="59">
        <f t="shared" si="343"/>
        <v>0</v>
      </c>
    </row>
    <row r="809" spans="2:24" hidden="1">
      <c r="B809" s="58" t="str">
        <f t="shared" si="338"/>
        <v/>
      </c>
      <c r="C809" s="58" t="str">
        <f t="shared" si="338"/>
        <v/>
      </c>
      <c r="D809" s="58" t="str">
        <f t="shared" si="338"/>
        <v/>
      </c>
      <c r="E809" s="58" t="str">
        <f t="shared" si="338"/>
        <v/>
      </c>
      <c r="F809" s="58"/>
      <c r="G809" s="58"/>
      <c r="H809" s="58"/>
      <c r="I809" s="58"/>
      <c r="J809" s="58"/>
      <c r="K809" s="59">
        <f t="shared" ref="K809:X809" si="344">IF(AND($C809="B+R",$E809="prace rozwojowe",LataProjekcji&lt;=Koniec_PR,Modul_badawczo_rozwojowy=tak),ROUND(K441,0),0)</f>
        <v>0</v>
      </c>
      <c r="L809" s="59">
        <f t="shared" si="344"/>
        <v>0</v>
      </c>
      <c r="M809" s="59">
        <f t="shared" si="344"/>
        <v>0</v>
      </c>
      <c r="N809" s="59">
        <f t="shared" si="344"/>
        <v>0</v>
      </c>
      <c r="O809" s="59">
        <f t="shared" si="344"/>
        <v>0</v>
      </c>
      <c r="P809" s="59">
        <f t="shared" si="344"/>
        <v>0</v>
      </c>
      <c r="Q809" s="59">
        <f t="shared" si="344"/>
        <v>0</v>
      </c>
      <c r="R809" s="59">
        <f t="shared" si="344"/>
        <v>0</v>
      </c>
      <c r="S809" s="59">
        <f t="shared" si="344"/>
        <v>0</v>
      </c>
      <c r="T809" s="59">
        <f t="shared" si="344"/>
        <v>0</v>
      </c>
      <c r="U809" s="59">
        <f t="shared" si="344"/>
        <v>0</v>
      </c>
      <c r="V809" s="59">
        <f t="shared" si="344"/>
        <v>0</v>
      </c>
      <c r="W809" s="59">
        <f t="shared" si="344"/>
        <v>0</v>
      </c>
      <c r="X809" s="59">
        <f t="shared" si="344"/>
        <v>0</v>
      </c>
    </row>
    <row r="810" spans="2:24" hidden="1">
      <c r="B810" s="58" t="str">
        <f t="shared" si="338"/>
        <v/>
      </c>
      <c r="C810" s="58" t="str">
        <f t="shared" si="338"/>
        <v/>
      </c>
      <c r="D810" s="58" t="str">
        <f t="shared" si="338"/>
        <v/>
      </c>
      <c r="E810" s="58" t="str">
        <f t="shared" si="338"/>
        <v/>
      </c>
      <c r="F810" s="58"/>
      <c r="G810" s="58"/>
      <c r="H810" s="58"/>
      <c r="I810" s="58"/>
      <c r="J810" s="58"/>
      <c r="K810" s="59">
        <f t="shared" ref="K810:X810" si="345">IF(AND($C810="B+R",$E810="prace rozwojowe",LataProjekcji&lt;=Koniec_PR,Modul_badawczo_rozwojowy=tak),ROUND(K442,0),0)</f>
        <v>0</v>
      </c>
      <c r="L810" s="59">
        <f t="shared" si="345"/>
        <v>0</v>
      </c>
      <c r="M810" s="59">
        <f t="shared" si="345"/>
        <v>0</v>
      </c>
      <c r="N810" s="59">
        <f t="shared" si="345"/>
        <v>0</v>
      </c>
      <c r="O810" s="59">
        <f t="shared" si="345"/>
        <v>0</v>
      </c>
      <c r="P810" s="59">
        <f t="shared" si="345"/>
        <v>0</v>
      </c>
      <c r="Q810" s="59">
        <f t="shared" si="345"/>
        <v>0</v>
      </c>
      <c r="R810" s="59">
        <f t="shared" si="345"/>
        <v>0</v>
      </c>
      <c r="S810" s="59">
        <f t="shared" si="345"/>
        <v>0</v>
      </c>
      <c r="T810" s="59">
        <f t="shared" si="345"/>
        <v>0</v>
      </c>
      <c r="U810" s="59">
        <f t="shared" si="345"/>
        <v>0</v>
      </c>
      <c r="V810" s="59">
        <f t="shared" si="345"/>
        <v>0</v>
      </c>
      <c r="W810" s="59">
        <f t="shared" si="345"/>
        <v>0</v>
      </c>
      <c r="X810" s="59">
        <f t="shared" si="345"/>
        <v>0</v>
      </c>
    </row>
    <row r="811" spans="2:24" hidden="1">
      <c r="B811" s="58" t="str">
        <f t="shared" si="338"/>
        <v/>
      </c>
      <c r="C811" s="58" t="str">
        <f t="shared" si="338"/>
        <v/>
      </c>
      <c r="D811" s="58" t="str">
        <f t="shared" si="338"/>
        <v/>
      </c>
      <c r="E811" s="58" t="str">
        <f t="shared" si="338"/>
        <v/>
      </c>
      <c r="F811" s="58"/>
      <c r="G811" s="58"/>
      <c r="H811" s="58"/>
      <c r="I811" s="58"/>
      <c r="J811" s="58"/>
      <c r="K811" s="59">
        <f t="shared" ref="K811:X811" si="346">IF(AND($C811="B+R",$E811="prace rozwojowe",LataProjekcji&lt;=Koniec_PR,Modul_badawczo_rozwojowy=tak),ROUND(K443,0),0)</f>
        <v>0</v>
      </c>
      <c r="L811" s="59">
        <f t="shared" si="346"/>
        <v>0</v>
      </c>
      <c r="M811" s="59">
        <f t="shared" si="346"/>
        <v>0</v>
      </c>
      <c r="N811" s="59">
        <f t="shared" si="346"/>
        <v>0</v>
      </c>
      <c r="O811" s="59">
        <f t="shared" si="346"/>
        <v>0</v>
      </c>
      <c r="P811" s="59">
        <f t="shared" si="346"/>
        <v>0</v>
      </c>
      <c r="Q811" s="59">
        <f t="shared" si="346"/>
        <v>0</v>
      </c>
      <c r="R811" s="59">
        <f t="shared" si="346"/>
        <v>0</v>
      </c>
      <c r="S811" s="59">
        <f t="shared" si="346"/>
        <v>0</v>
      </c>
      <c r="T811" s="59">
        <f t="shared" si="346"/>
        <v>0</v>
      </c>
      <c r="U811" s="59">
        <f t="shared" si="346"/>
        <v>0</v>
      </c>
      <c r="V811" s="59">
        <f t="shared" si="346"/>
        <v>0</v>
      </c>
      <c r="W811" s="59">
        <f t="shared" si="346"/>
        <v>0</v>
      </c>
      <c r="X811" s="59">
        <f t="shared" si="346"/>
        <v>0</v>
      </c>
    </row>
    <row r="812" spans="2:24" hidden="1">
      <c r="B812" s="58" t="str">
        <f t="shared" si="338"/>
        <v/>
      </c>
      <c r="C812" s="58" t="str">
        <f t="shared" si="338"/>
        <v/>
      </c>
      <c r="D812" s="58" t="str">
        <f t="shared" si="338"/>
        <v/>
      </c>
      <c r="E812" s="58" t="str">
        <f t="shared" si="338"/>
        <v/>
      </c>
      <c r="F812" s="58"/>
      <c r="G812" s="58"/>
      <c r="H812" s="58"/>
      <c r="I812" s="58"/>
      <c r="J812" s="58"/>
      <c r="K812" s="59">
        <f t="shared" ref="K812:X812" si="347">IF(AND($C812="B+R",$E812="prace rozwojowe",LataProjekcji&lt;=Koniec_PR,Modul_badawczo_rozwojowy=tak),ROUND(K444,0),0)</f>
        <v>0</v>
      </c>
      <c r="L812" s="59">
        <f t="shared" si="347"/>
        <v>0</v>
      </c>
      <c r="M812" s="59">
        <f t="shared" si="347"/>
        <v>0</v>
      </c>
      <c r="N812" s="59">
        <f t="shared" si="347"/>
        <v>0</v>
      </c>
      <c r="O812" s="59">
        <f t="shared" si="347"/>
        <v>0</v>
      </c>
      <c r="P812" s="59">
        <f t="shared" si="347"/>
        <v>0</v>
      </c>
      <c r="Q812" s="59">
        <f t="shared" si="347"/>
        <v>0</v>
      </c>
      <c r="R812" s="59">
        <f t="shared" si="347"/>
        <v>0</v>
      </c>
      <c r="S812" s="59">
        <f t="shared" si="347"/>
        <v>0</v>
      </c>
      <c r="T812" s="59">
        <f t="shared" si="347"/>
        <v>0</v>
      </c>
      <c r="U812" s="59">
        <f t="shared" si="347"/>
        <v>0</v>
      </c>
      <c r="V812" s="59">
        <f t="shared" si="347"/>
        <v>0</v>
      </c>
      <c r="W812" s="59">
        <f t="shared" si="347"/>
        <v>0</v>
      </c>
      <c r="X812" s="59">
        <f t="shared" si="347"/>
        <v>0</v>
      </c>
    </row>
    <row r="813" spans="2:24" hidden="1">
      <c r="B813" s="58" t="str">
        <f t="shared" si="338"/>
        <v/>
      </c>
      <c r="C813" s="58" t="str">
        <f t="shared" si="338"/>
        <v/>
      </c>
      <c r="D813" s="58" t="str">
        <f t="shared" si="338"/>
        <v/>
      </c>
      <c r="E813" s="58" t="str">
        <f t="shared" si="338"/>
        <v/>
      </c>
      <c r="F813" s="58"/>
      <c r="G813" s="58"/>
      <c r="H813" s="58"/>
      <c r="I813" s="58"/>
      <c r="J813" s="58"/>
      <c r="K813" s="59">
        <f t="shared" ref="K813:X813" si="348">IF(AND($C813="B+R",$E813="prace rozwojowe",LataProjekcji&lt;=Koniec_PR,Modul_badawczo_rozwojowy=tak),ROUND(K445,0),0)</f>
        <v>0</v>
      </c>
      <c r="L813" s="59">
        <f t="shared" si="348"/>
        <v>0</v>
      </c>
      <c r="M813" s="59">
        <f t="shared" si="348"/>
        <v>0</v>
      </c>
      <c r="N813" s="59">
        <f t="shared" si="348"/>
        <v>0</v>
      </c>
      <c r="O813" s="59">
        <f t="shared" si="348"/>
        <v>0</v>
      </c>
      <c r="P813" s="59">
        <f t="shared" si="348"/>
        <v>0</v>
      </c>
      <c r="Q813" s="59">
        <f t="shared" si="348"/>
        <v>0</v>
      </c>
      <c r="R813" s="59">
        <f t="shared" si="348"/>
        <v>0</v>
      </c>
      <c r="S813" s="59">
        <f t="shared" si="348"/>
        <v>0</v>
      </c>
      <c r="T813" s="59">
        <f t="shared" si="348"/>
        <v>0</v>
      </c>
      <c r="U813" s="59">
        <f t="shared" si="348"/>
        <v>0</v>
      </c>
      <c r="V813" s="59">
        <f t="shared" si="348"/>
        <v>0</v>
      </c>
      <c r="W813" s="59">
        <f t="shared" si="348"/>
        <v>0</v>
      </c>
      <c r="X813" s="59">
        <f t="shared" si="348"/>
        <v>0</v>
      </c>
    </row>
    <row r="814" spans="2:24" hidden="1">
      <c r="B814" s="58" t="str">
        <f t="shared" si="338"/>
        <v/>
      </c>
      <c r="C814" s="58" t="str">
        <f t="shared" si="338"/>
        <v/>
      </c>
      <c r="D814" s="58" t="str">
        <f t="shared" si="338"/>
        <v/>
      </c>
      <c r="E814" s="58" t="str">
        <f t="shared" si="338"/>
        <v/>
      </c>
      <c r="F814" s="58"/>
      <c r="G814" s="58"/>
      <c r="H814" s="58"/>
      <c r="I814" s="58"/>
      <c r="J814" s="58"/>
      <c r="K814" s="59">
        <f t="shared" ref="K814:X814" si="349">IF(AND($C814="B+R",$E814="prace rozwojowe",LataProjekcji&lt;=Koniec_PR,Modul_badawczo_rozwojowy=tak),ROUND(K446,0),0)</f>
        <v>0</v>
      </c>
      <c r="L814" s="59">
        <f t="shared" si="349"/>
        <v>0</v>
      </c>
      <c r="M814" s="59">
        <f t="shared" si="349"/>
        <v>0</v>
      </c>
      <c r="N814" s="59">
        <f t="shared" si="349"/>
        <v>0</v>
      </c>
      <c r="O814" s="59">
        <f t="shared" si="349"/>
        <v>0</v>
      </c>
      <c r="P814" s="59">
        <f t="shared" si="349"/>
        <v>0</v>
      </c>
      <c r="Q814" s="59">
        <f t="shared" si="349"/>
        <v>0</v>
      </c>
      <c r="R814" s="59">
        <f t="shared" si="349"/>
        <v>0</v>
      </c>
      <c r="S814" s="59">
        <f t="shared" si="349"/>
        <v>0</v>
      </c>
      <c r="T814" s="59">
        <f t="shared" si="349"/>
        <v>0</v>
      </c>
      <c r="U814" s="59">
        <f t="shared" si="349"/>
        <v>0</v>
      </c>
      <c r="V814" s="59">
        <f t="shared" si="349"/>
        <v>0</v>
      </c>
      <c r="W814" s="59">
        <f t="shared" si="349"/>
        <v>0</v>
      </c>
      <c r="X814" s="59">
        <f t="shared" si="349"/>
        <v>0</v>
      </c>
    </row>
    <row r="815" spans="2:24" hidden="1">
      <c r="B815" s="58" t="str">
        <f t="shared" si="338"/>
        <v/>
      </c>
      <c r="C815" s="58" t="str">
        <f t="shared" si="338"/>
        <v/>
      </c>
      <c r="D815" s="58" t="str">
        <f t="shared" si="338"/>
        <v/>
      </c>
      <c r="E815" s="58" t="str">
        <f t="shared" si="338"/>
        <v/>
      </c>
      <c r="F815" s="58"/>
      <c r="G815" s="58"/>
      <c r="H815" s="58"/>
      <c r="I815" s="58"/>
      <c r="J815" s="58"/>
      <c r="K815" s="59">
        <f t="shared" ref="K815:X815" si="350">IF(AND($C815="B+R",$E815="prace rozwojowe",LataProjekcji&lt;=Koniec_PR,Modul_badawczo_rozwojowy=tak),ROUND(K447,0),0)</f>
        <v>0</v>
      </c>
      <c r="L815" s="59">
        <f t="shared" si="350"/>
        <v>0</v>
      </c>
      <c r="M815" s="59">
        <f t="shared" si="350"/>
        <v>0</v>
      </c>
      <c r="N815" s="59">
        <f t="shared" si="350"/>
        <v>0</v>
      </c>
      <c r="O815" s="59">
        <f t="shared" si="350"/>
        <v>0</v>
      </c>
      <c r="P815" s="59">
        <f t="shared" si="350"/>
        <v>0</v>
      </c>
      <c r="Q815" s="59">
        <f t="shared" si="350"/>
        <v>0</v>
      </c>
      <c r="R815" s="59">
        <f t="shared" si="350"/>
        <v>0</v>
      </c>
      <c r="S815" s="59">
        <f t="shared" si="350"/>
        <v>0</v>
      </c>
      <c r="T815" s="59">
        <f t="shared" si="350"/>
        <v>0</v>
      </c>
      <c r="U815" s="59">
        <f t="shared" si="350"/>
        <v>0</v>
      </c>
      <c r="V815" s="59">
        <f t="shared" si="350"/>
        <v>0</v>
      </c>
      <c r="W815" s="59">
        <f t="shared" si="350"/>
        <v>0</v>
      </c>
      <c r="X815" s="59">
        <f t="shared" si="350"/>
        <v>0</v>
      </c>
    </row>
    <row r="816" spans="2:24" hidden="1">
      <c r="B816" s="58" t="str">
        <f t="shared" si="338"/>
        <v/>
      </c>
      <c r="C816" s="58" t="str">
        <f t="shared" si="338"/>
        <v/>
      </c>
      <c r="D816" s="58" t="str">
        <f t="shared" si="338"/>
        <v/>
      </c>
      <c r="E816" s="58" t="str">
        <f t="shared" si="338"/>
        <v/>
      </c>
      <c r="F816" s="58"/>
      <c r="G816" s="58"/>
      <c r="H816" s="58"/>
      <c r="I816" s="58"/>
      <c r="J816" s="58"/>
      <c r="K816" s="59">
        <f t="shared" ref="K816:X816" si="351">IF(AND($C816="B+R",$E816="prace rozwojowe",LataProjekcji&lt;=Koniec_PR,Modul_badawczo_rozwojowy=tak),ROUND(K448,0),0)</f>
        <v>0</v>
      </c>
      <c r="L816" s="59">
        <f t="shared" si="351"/>
        <v>0</v>
      </c>
      <c r="M816" s="59">
        <f t="shared" si="351"/>
        <v>0</v>
      </c>
      <c r="N816" s="59">
        <f t="shared" si="351"/>
        <v>0</v>
      </c>
      <c r="O816" s="59">
        <f t="shared" si="351"/>
        <v>0</v>
      </c>
      <c r="P816" s="59">
        <f t="shared" si="351"/>
        <v>0</v>
      </c>
      <c r="Q816" s="59">
        <f t="shared" si="351"/>
        <v>0</v>
      </c>
      <c r="R816" s="59">
        <f t="shared" si="351"/>
        <v>0</v>
      </c>
      <c r="S816" s="59">
        <f t="shared" si="351"/>
        <v>0</v>
      </c>
      <c r="T816" s="59">
        <f t="shared" si="351"/>
        <v>0</v>
      </c>
      <c r="U816" s="59">
        <f t="shared" si="351"/>
        <v>0</v>
      </c>
      <c r="V816" s="59">
        <f t="shared" si="351"/>
        <v>0</v>
      </c>
      <c r="W816" s="59">
        <f t="shared" si="351"/>
        <v>0</v>
      </c>
      <c r="X816" s="59">
        <f t="shared" si="351"/>
        <v>0</v>
      </c>
    </row>
    <row r="817" spans="2:24" hidden="1">
      <c r="B817" s="58" t="str">
        <f t="shared" si="338"/>
        <v/>
      </c>
      <c r="C817" s="58" t="str">
        <f t="shared" si="338"/>
        <v/>
      </c>
      <c r="D817" s="58" t="str">
        <f t="shared" si="338"/>
        <v/>
      </c>
      <c r="E817" s="58" t="str">
        <f t="shared" si="338"/>
        <v/>
      </c>
      <c r="F817" s="58"/>
      <c r="G817" s="58"/>
      <c r="H817" s="58"/>
      <c r="I817" s="58"/>
      <c r="J817" s="58"/>
      <c r="K817" s="59">
        <f t="shared" ref="K817:X817" si="352">IF(AND($C817="B+R",$E817="prace rozwojowe",LataProjekcji&lt;=Koniec_PR,Modul_badawczo_rozwojowy=tak),ROUND(K449,0),0)</f>
        <v>0</v>
      </c>
      <c r="L817" s="59">
        <f t="shared" si="352"/>
        <v>0</v>
      </c>
      <c r="M817" s="59">
        <f t="shared" si="352"/>
        <v>0</v>
      </c>
      <c r="N817" s="59">
        <f t="shared" si="352"/>
        <v>0</v>
      </c>
      <c r="O817" s="59">
        <f t="shared" si="352"/>
        <v>0</v>
      </c>
      <c r="P817" s="59">
        <f t="shared" si="352"/>
        <v>0</v>
      </c>
      <c r="Q817" s="59">
        <f t="shared" si="352"/>
        <v>0</v>
      </c>
      <c r="R817" s="59">
        <f t="shared" si="352"/>
        <v>0</v>
      </c>
      <c r="S817" s="59">
        <f t="shared" si="352"/>
        <v>0</v>
      </c>
      <c r="T817" s="59">
        <f t="shared" si="352"/>
        <v>0</v>
      </c>
      <c r="U817" s="59">
        <f t="shared" si="352"/>
        <v>0</v>
      </c>
      <c r="V817" s="59">
        <f t="shared" si="352"/>
        <v>0</v>
      </c>
      <c r="W817" s="59">
        <f t="shared" si="352"/>
        <v>0</v>
      </c>
      <c r="X817" s="59">
        <f t="shared" si="352"/>
        <v>0</v>
      </c>
    </row>
    <row r="818" spans="2:24" hidden="1">
      <c r="B818" s="58" t="str">
        <f t="shared" si="338"/>
        <v/>
      </c>
      <c r="C818" s="58" t="str">
        <f t="shared" si="338"/>
        <v/>
      </c>
      <c r="D818" s="58" t="str">
        <f t="shared" si="338"/>
        <v/>
      </c>
      <c r="E818" s="58" t="str">
        <f t="shared" si="338"/>
        <v/>
      </c>
      <c r="F818" s="58"/>
      <c r="G818" s="58"/>
      <c r="H818" s="58"/>
      <c r="I818" s="58"/>
      <c r="J818" s="58"/>
      <c r="K818" s="59">
        <f t="shared" ref="K818:X818" si="353">IF(AND($C818="B+R",$E818="prace rozwojowe",LataProjekcji&lt;=Koniec_PR,Modul_badawczo_rozwojowy=tak),ROUND(K450,0),0)</f>
        <v>0</v>
      </c>
      <c r="L818" s="59">
        <f t="shared" si="353"/>
        <v>0</v>
      </c>
      <c r="M818" s="59">
        <f t="shared" si="353"/>
        <v>0</v>
      </c>
      <c r="N818" s="59">
        <f t="shared" si="353"/>
        <v>0</v>
      </c>
      <c r="O818" s="59">
        <f t="shared" si="353"/>
        <v>0</v>
      </c>
      <c r="P818" s="59">
        <f t="shared" si="353"/>
        <v>0</v>
      </c>
      <c r="Q818" s="59">
        <f t="shared" si="353"/>
        <v>0</v>
      </c>
      <c r="R818" s="59">
        <f t="shared" si="353"/>
        <v>0</v>
      </c>
      <c r="S818" s="59">
        <f t="shared" si="353"/>
        <v>0</v>
      </c>
      <c r="T818" s="59">
        <f t="shared" si="353"/>
        <v>0</v>
      </c>
      <c r="U818" s="59">
        <f t="shared" si="353"/>
        <v>0</v>
      </c>
      <c r="V818" s="59">
        <f t="shared" si="353"/>
        <v>0</v>
      </c>
      <c r="W818" s="59">
        <f t="shared" si="353"/>
        <v>0</v>
      </c>
      <c r="X818" s="59">
        <f t="shared" si="353"/>
        <v>0</v>
      </c>
    </row>
    <row r="819" spans="2:24" hidden="1">
      <c r="B819" s="58" t="str">
        <f t="shared" si="338"/>
        <v/>
      </c>
      <c r="C819" s="58" t="str">
        <f t="shared" si="338"/>
        <v/>
      </c>
      <c r="D819" s="58" t="str">
        <f t="shared" si="338"/>
        <v/>
      </c>
      <c r="E819" s="58" t="str">
        <f t="shared" si="338"/>
        <v/>
      </c>
      <c r="F819" s="58"/>
      <c r="G819" s="58"/>
      <c r="H819" s="58"/>
      <c r="I819" s="58"/>
      <c r="J819" s="58"/>
      <c r="K819" s="59">
        <f t="shared" ref="K819:X819" si="354">IF(AND($C819="B+R",$E819="prace rozwojowe",LataProjekcji&lt;=Koniec_PR,Modul_badawczo_rozwojowy=tak),ROUND(K451,0),0)</f>
        <v>0</v>
      </c>
      <c r="L819" s="59">
        <f t="shared" si="354"/>
        <v>0</v>
      </c>
      <c r="M819" s="59">
        <f t="shared" si="354"/>
        <v>0</v>
      </c>
      <c r="N819" s="59">
        <f t="shared" si="354"/>
        <v>0</v>
      </c>
      <c r="O819" s="59">
        <f t="shared" si="354"/>
        <v>0</v>
      </c>
      <c r="P819" s="59">
        <f t="shared" si="354"/>
        <v>0</v>
      </c>
      <c r="Q819" s="59">
        <f t="shared" si="354"/>
        <v>0</v>
      </c>
      <c r="R819" s="59">
        <f t="shared" si="354"/>
        <v>0</v>
      </c>
      <c r="S819" s="59">
        <f t="shared" si="354"/>
        <v>0</v>
      </c>
      <c r="T819" s="59">
        <f t="shared" si="354"/>
        <v>0</v>
      </c>
      <c r="U819" s="59">
        <f t="shared" si="354"/>
        <v>0</v>
      </c>
      <c r="V819" s="59">
        <f t="shared" si="354"/>
        <v>0</v>
      </c>
      <c r="W819" s="59">
        <f t="shared" si="354"/>
        <v>0</v>
      </c>
      <c r="X819" s="59">
        <f t="shared" si="354"/>
        <v>0</v>
      </c>
    </row>
    <row r="820" spans="2:24" hidden="1">
      <c r="B820" s="58" t="str">
        <f t="shared" si="338"/>
        <v/>
      </c>
      <c r="C820" s="58" t="str">
        <f t="shared" si="338"/>
        <v/>
      </c>
      <c r="D820" s="58" t="str">
        <f t="shared" si="338"/>
        <v/>
      </c>
      <c r="E820" s="58" t="str">
        <f t="shared" si="338"/>
        <v/>
      </c>
      <c r="F820" s="58"/>
      <c r="G820" s="58"/>
      <c r="H820" s="58"/>
      <c r="I820" s="58"/>
      <c r="J820" s="58"/>
      <c r="K820" s="59">
        <f t="shared" ref="K820:X820" si="355">IF(AND($C820="B+R",$E820="prace rozwojowe",LataProjekcji&lt;=Koniec_PR,Modul_badawczo_rozwojowy=tak),ROUND(K452,0),0)</f>
        <v>0</v>
      </c>
      <c r="L820" s="59">
        <f t="shared" si="355"/>
        <v>0</v>
      </c>
      <c r="M820" s="59">
        <f t="shared" si="355"/>
        <v>0</v>
      </c>
      <c r="N820" s="59">
        <f t="shared" si="355"/>
        <v>0</v>
      </c>
      <c r="O820" s="59">
        <f t="shared" si="355"/>
        <v>0</v>
      </c>
      <c r="P820" s="59">
        <f t="shared" si="355"/>
        <v>0</v>
      </c>
      <c r="Q820" s="59">
        <f t="shared" si="355"/>
        <v>0</v>
      </c>
      <c r="R820" s="59">
        <f t="shared" si="355"/>
        <v>0</v>
      </c>
      <c r="S820" s="59">
        <f t="shared" si="355"/>
        <v>0</v>
      </c>
      <c r="T820" s="59">
        <f t="shared" si="355"/>
        <v>0</v>
      </c>
      <c r="U820" s="59">
        <f t="shared" si="355"/>
        <v>0</v>
      </c>
      <c r="V820" s="59">
        <f t="shared" si="355"/>
        <v>0</v>
      </c>
      <c r="W820" s="59">
        <f t="shared" si="355"/>
        <v>0</v>
      </c>
      <c r="X820" s="59">
        <f t="shared" si="355"/>
        <v>0</v>
      </c>
    </row>
    <row r="821" spans="2:24" hidden="1">
      <c r="B821" s="58" t="str">
        <f t="shared" si="338"/>
        <v/>
      </c>
      <c r="C821" s="58" t="str">
        <f t="shared" si="338"/>
        <v/>
      </c>
      <c r="D821" s="58" t="str">
        <f t="shared" si="338"/>
        <v/>
      </c>
      <c r="E821" s="58" t="str">
        <f t="shared" si="338"/>
        <v/>
      </c>
      <c r="F821" s="58"/>
      <c r="G821" s="58"/>
      <c r="H821" s="58"/>
      <c r="I821" s="58"/>
      <c r="J821" s="58"/>
      <c r="K821" s="59">
        <f t="shared" ref="K821:X821" si="356">IF(AND($C821="B+R",$E821="prace rozwojowe",LataProjekcji&lt;=Koniec_PR,Modul_badawczo_rozwojowy=tak),ROUND(K453,0),0)</f>
        <v>0</v>
      </c>
      <c r="L821" s="59">
        <f t="shared" si="356"/>
        <v>0</v>
      </c>
      <c r="M821" s="59">
        <f t="shared" si="356"/>
        <v>0</v>
      </c>
      <c r="N821" s="59">
        <f t="shared" si="356"/>
        <v>0</v>
      </c>
      <c r="O821" s="59">
        <f t="shared" si="356"/>
        <v>0</v>
      </c>
      <c r="P821" s="59">
        <f t="shared" si="356"/>
        <v>0</v>
      </c>
      <c r="Q821" s="59">
        <f t="shared" si="356"/>
        <v>0</v>
      </c>
      <c r="R821" s="59">
        <f t="shared" si="356"/>
        <v>0</v>
      </c>
      <c r="S821" s="59">
        <f t="shared" si="356"/>
        <v>0</v>
      </c>
      <c r="T821" s="59">
        <f t="shared" si="356"/>
        <v>0</v>
      </c>
      <c r="U821" s="59">
        <f t="shared" si="356"/>
        <v>0</v>
      </c>
      <c r="V821" s="59">
        <f t="shared" si="356"/>
        <v>0</v>
      </c>
      <c r="W821" s="59">
        <f t="shared" si="356"/>
        <v>0</v>
      </c>
      <c r="X821" s="59">
        <f t="shared" si="356"/>
        <v>0</v>
      </c>
    </row>
    <row r="822" spans="2:24" hidden="1">
      <c r="B822" s="58" t="str">
        <f t="shared" si="338"/>
        <v/>
      </c>
      <c r="C822" s="58" t="str">
        <f t="shared" si="338"/>
        <v/>
      </c>
      <c r="D822" s="58" t="str">
        <f t="shared" si="338"/>
        <v/>
      </c>
      <c r="E822" s="58" t="str">
        <f t="shared" si="338"/>
        <v/>
      </c>
      <c r="F822" s="58"/>
      <c r="G822" s="58"/>
      <c r="H822" s="58"/>
      <c r="I822" s="58"/>
      <c r="J822" s="58"/>
      <c r="K822" s="59">
        <f t="shared" ref="K822:X822" si="357">IF(AND($C822="B+R",$E822="prace rozwojowe",LataProjekcji&lt;=Koniec_PR,Modul_badawczo_rozwojowy=tak),ROUND(K454,0),0)</f>
        <v>0</v>
      </c>
      <c r="L822" s="59">
        <f t="shared" si="357"/>
        <v>0</v>
      </c>
      <c r="M822" s="59">
        <f t="shared" si="357"/>
        <v>0</v>
      </c>
      <c r="N822" s="59">
        <f t="shared" si="357"/>
        <v>0</v>
      </c>
      <c r="O822" s="59">
        <f t="shared" si="357"/>
        <v>0</v>
      </c>
      <c r="P822" s="59">
        <f t="shared" si="357"/>
        <v>0</v>
      </c>
      <c r="Q822" s="59">
        <f t="shared" si="357"/>
        <v>0</v>
      </c>
      <c r="R822" s="59">
        <f t="shared" si="357"/>
        <v>0</v>
      </c>
      <c r="S822" s="59">
        <f t="shared" si="357"/>
        <v>0</v>
      </c>
      <c r="T822" s="59">
        <f t="shared" si="357"/>
        <v>0</v>
      </c>
      <c r="U822" s="59">
        <f t="shared" si="357"/>
        <v>0</v>
      </c>
      <c r="V822" s="59">
        <f t="shared" si="357"/>
        <v>0</v>
      </c>
      <c r="W822" s="59">
        <f t="shared" si="357"/>
        <v>0</v>
      </c>
      <c r="X822" s="59">
        <f t="shared" si="357"/>
        <v>0</v>
      </c>
    </row>
    <row r="823" spans="2:24" hidden="1">
      <c r="B823" s="58" t="str">
        <f t="shared" si="338"/>
        <v/>
      </c>
      <c r="C823" s="58" t="str">
        <f t="shared" si="338"/>
        <v/>
      </c>
      <c r="D823" s="58" t="str">
        <f t="shared" si="338"/>
        <v/>
      </c>
      <c r="E823" s="58" t="str">
        <f t="shared" si="338"/>
        <v/>
      </c>
      <c r="F823" s="58"/>
      <c r="G823" s="58"/>
      <c r="H823" s="58"/>
      <c r="I823" s="58"/>
      <c r="J823" s="58"/>
      <c r="K823" s="59">
        <f t="shared" ref="K823:X823" si="358">IF(AND($C823="B+R",$E823="prace rozwojowe",LataProjekcji&lt;=Koniec_PR,Modul_badawczo_rozwojowy=tak),ROUND(K455,0),0)</f>
        <v>0</v>
      </c>
      <c r="L823" s="59">
        <f t="shared" si="358"/>
        <v>0</v>
      </c>
      <c r="M823" s="59">
        <f t="shared" si="358"/>
        <v>0</v>
      </c>
      <c r="N823" s="59">
        <f t="shared" si="358"/>
        <v>0</v>
      </c>
      <c r="O823" s="59">
        <f t="shared" si="358"/>
        <v>0</v>
      </c>
      <c r="P823" s="59">
        <f t="shared" si="358"/>
        <v>0</v>
      </c>
      <c r="Q823" s="59">
        <f t="shared" si="358"/>
        <v>0</v>
      </c>
      <c r="R823" s="59">
        <f t="shared" si="358"/>
        <v>0</v>
      </c>
      <c r="S823" s="59">
        <f t="shared" si="358"/>
        <v>0</v>
      </c>
      <c r="T823" s="59">
        <f t="shared" si="358"/>
        <v>0</v>
      </c>
      <c r="U823" s="59">
        <f t="shared" si="358"/>
        <v>0</v>
      </c>
      <c r="V823" s="59">
        <f t="shared" si="358"/>
        <v>0</v>
      </c>
      <c r="W823" s="59">
        <f t="shared" si="358"/>
        <v>0</v>
      </c>
      <c r="X823" s="59">
        <f t="shared" si="358"/>
        <v>0</v>
      </c>
    </row>
    <row r="824" spans="2:24" hidden="1">
      <c r="B824" s="58" t="str">
        <f t="shared" ref="B824:E843" si="359">IF(ISBLANK(B456),"",B456)</f>
        <v/>
      </c>
      <c r="C824" s="58" t="str">
        <f t="shared" si="359"/>
        <v/>
      </c>
      <c r="D824" s="58" t="str">
        <f t="shared" si="359"/>
        <v/>
      </c>
      <c r="E824" s="58" t="str">
        <f t="shared" si="359"/>
        <v/>
      </c>
      <c r="F824" s="58"/>
      <c r="G824" s="58"/>
      <c r="H824" s="58"/>
      <c r="I824" s="58"/>
      <c r="J824" s="58"/>
      <c r="K824" s="59">
        <f t="shared" ref="K824:X824" si="360">IF(AND($C824="B+R",$E824="prace rozwojowe",LataProjekcji&lt;=Koniec_PR,Modul_badawczo_rozwojowy=tak),ROUND(K456,0),0)</f>
        <v>0</v>
      </c>
      <c r="L824" s="59">
        <f t="shared" si="360"/>
        <v>0</v>
      </c>
      <c r="M824" s="59">
        <f t="shared" si="360"/>
        <v>0</v>
      </c>
      <c r="N824" s="59">
        <f t="shared" si="360"/>
        <v>0</v>
      </c>
      <c r="O824" s="59">
        <f t="shared" si="360"/>
        <v>0</v>
      </c>
      <c r="P824" s="59">
        <f t="shared" si="360"/>
        <v>0</v>
      </c>
      <c r="Q824" s="59">
        <f t="shared" si="360"/>
        <v>0</v>
      </c>
      <c r="R824" s="59">
        <f t="shared" si="360"/>
        <v>0</v>
      </c>
      <c r="S824" s="59">
        <f t="shared" si="360"/>
        <v>0</v>
      </c>
      <c r="T824" s="59">
        <f t="shared" si="360"/>
        <v>0</v>
      </c>
      <c r="U824" s="59">
        <f t="shared" si="360"/>
        <v>0</v>
      </c>
      <c r="V824" s="59">
        <f t="shared" si="360"/>
        <v>0</v>
      </c>
      <c r="W824" s="59">
        <f t="shared" si="360"/>
        <v>0</v>
      </c>
      <c r="X824" s="59">
        <f t="shared" si="360"/>
        <v>0</v>
      </c>
    </row>
    <row r="825" spans="2:24" hidden="1">
      <c r="B825" s="58" t="str">
        <f t="shared" si="359"/>
        <v/>
      </c>
      <c r="C825" s="58" t="str">
        <f t="shared" si="359"/>
        <v/>
      </c>
      <c r="D825" s="58" t="str">
        <f t="shared" si="359"/>
        <v/>
      </c>
      <c r="E825" s="58" t="str">
        <f t="shared" si="359"/>
        <v/>
      </c>
      <c r="F825" s="58"/>
      <c r="G825" s="58"/>
      <c r="H825" s="58"/>
      <c r="I825" s="58"/>
      <c r="J825" s="58"/>
      <c r="K825" s="59">
        <f t="shared" ref="K825:X825" si="361">IF(AND($C825="B+R",$E825="prace rozwojowe",LataProjekcji&lt;=Koniec_PR,Modul_badawczo_rozwojowy=tak),ROUND(K457,0),0)</f>
        <v>0</v>
      </c>
      <c r="L825" s="59">
        <f t="shared" si="361"/>
        <v>0</v>
      </c>
      <c r="M825" s="59">
        <f t="shared" si="361"/>
        <v>0</v>
      </c>
      <c r="N825" s="59">
        <f t="shared" si="361"/>
        <v>0</v>
      </c>
      <c r="O825" s="59">
        <f t="shared" si="361"/>
        <v>0</v>
      </c>
      <c r="P825" s="59">
        <f t="shared" si="361"/>
        <v>0</v>
      </c>
      <c r="Q825" s="59">
        <f t="shared" si="361"/>
        <v>0</v>
      </c>
      <c r="R825" s="59">
        <f t="shared" si="361"/>
        <v>0</v>
      </c>
      <c r="S825" s="59">
        <f t="shared" si="361"/>
        <v>0</v>
      </c>
      <c r="T825" s="59">
        <f t="shared" si="361"/>
        <v>0</v>
      </c>
      <c r="U825" s="59">
        <f t="shared" si="361"/>
        <v>0</v>
      </c>
      <c r="V825" s="59">
        <f t="shared" si="361"/>
        <v>0</v>
      </c>
      <c r="W825" s="59">
        <f t="shared" si="361"/>
        <v>0</v>
      </c>
      <c r="X825" s="59">
        <f t="shared" si="361"/>
        <v>0</v>
      </c>
    </row>
    <row r="826" spans="2:24" hidden="1">
      <c r="B826" s="58" t="str">
        <f t="shared" si="359"/>
        <v/>
      </c>
      <c r="C826" s="58" t="str">
        <f t="shared" si="359"/>
        <v/>
      </c>
      <c r="D826" s="58" t="str">
        <f t="shared" si="359"/>
        <v/>
      </c>
      <c r="E826" s="58" t="str">
        <f t="shared" si="359"/>
        <v/>
      </c>
      <c r="F826" s="58"/>
      <c r="G826" s="58"/>
      <c r="H826" s="58"/>
      <c r="I826" s="58"/>
      <c r="J826" s="58"/>
      <c r="K826" s="59">
        <f t="shared" ref="K826:X826" si="362">IF(AND($C826="B+R",$E826="prace rozwojowe",LataProjekcji&lt;=Koniec_PR,Modul_badawczo_rozwojowy=tak),ROUND(K458,0),0)</f>
        <v>0</v>
      </c>
      <c r="L826" s="59">
        <f t="shared" si="362"/>
        <v>0</v>
      </c>
      <c r="M826" s="59">
        <f t="shared" si="362"/>
        <v>0</v>
      </c>
      <c r="N826" s="59">
        <f t="shared" si="362"/>
        <v>0</v>
      </c>
      <c r="O826" s="59">
        <f t="shared" si="362"/>
        <v>0</v>
      </c>
      <c r="P826" s="59">
        <f t="shared" si="362"/>
        <v>0</v>
      </c>
      <c r="Q826" s="59">
        <f t="shared" si="362"/>
        <v>0</v>
      </c>
      <c r="R826" s="59">
        <f t="shared" si="362"/>
        <v>0</v>
      </c>
      <c r="S826" s="59">
        <f t="shared" si="362"/>
        <v>0</v>
      </c>
      <c r="T826" s="59">
        <f t="shared" si="362"/>
        <v>0</v>
      </c>
      <c r="U826" s="59">
        <f t="shared" si="362"/>
        <v>0</v>
      </c>
      <c r="V826" s="59">
        <f t="shared" si="362"/>
        <v>0</v>
      </c>
      <c r="W826" s="59">
        <f t="shared" si="362"/>
        <v>0</v>
      </c>
      <c r="X826" s="59">
        <f t="shared" si="362"/>
        <v>0</v>
      </c>
    </row>
    <row r="827" spans="2:24" hidden="1">
      <c r="B827" s="58" t="str">
        <f t="shared" si="359"/>
        <v/>
      </c>
      <c r="C827" s="58" t="str">
        <f t="shared" si="359"/>
        <v/>
      </c>
      <c r="D827" s="58" t="str">
        <f t="shared" si="359"/>
        <v/>
      </c>
      <c r="E827" s="58" t="str">
        <f t="shared" si="359"/>
        <v/>
      </c>
      <c r="F827" s="58"/>
      <c r="G827" s="58"/>
      <c r="H827" s="58"/>
      <c r="I827" s="58"/>
      <c r="J827" s="58"/>
      <c r="K827" s="59">
        <f t="shared" ref="K827:X827" si="363">IF(AND($C827="B+R",$E827="prace rozwojowe",LataProjekcji&lt;=Koniec_PR,Modul_badawczo_rozwojowy=tak),ROUND(K459,0),0)</f>
        <v>0</v>
      </c>
      <c r="L827" s="59">
        <f t="shared" si="363"/>
        <v>0</v>
      </c>
      <c r="M827" s="59">
        <f t="shared" si="363"/>
        <v>0</v>
      </c>
      <c r="N827" s="59">
        <f t="shared" si="363"/>
        <v>0</v>
      </c>
      <c r="O827" s="59">
        <f t="shared" si="363"/>
        <v>0</v>
      </c>
      <c r="P827" s="59">
        <f t="shared" si="363"/>
        <v>0</v>
      </c>
      <c r="Q827" s="59">
        <f t="shared" si="363"/>
        <v>0</v>
      </c>
      <c r="R827" s="59">
        <f t="shared" si="363"/>
        <v>0</v>
      </c>
      <c r="S827" s="59">
        <f t="shared" si="363"/>
        <v>0</v>
      </c>
      <c r="T827" s="59">
        <f t="shared" si="363"/>
        <v>0</v>
      </c>
      <c r="U827" s="59">
        <f t="shared" si="363"/>
        <v>0</v>
      </c>
      <c r="V827" s="59">
        <f t="shared" si="363"/>
        <v>0</v>
      </c>
      <c r="W827" s="59">
        <f t="shared" si="363"/>
        <v>0</v>
      </c>
      <c r="X827" s="59">
        <f t="shared" si="363"/>
        <v>0</v>
      </c>
    </row>
    <row r="828" spans="2:24" hidden="1">
      <c r="B828" s="58" t="str">
        <f t="shared" si="359"/>
        <v/>
      </c>
      <c r="C828" s="58" t="str">
        <f t="shared" si="359"/>
        <v/>
      </c>
      <c r="D828" s="58" t="str">
        <f t="shared" si="359"/>
        <v/>
      </c>
      <c r="E828" s="58" t="str">
        <f t="shared" si="359"/>
        <v/>
      </c>
      <c r="F828" s="58"/>
      <c r="G828" s="58"/>
      <c r="H828" s="58"/>
      <c r="I828" s="58"/>
      <c r="J828" s="58"/>
      <c r="K828" s="59">
        <f t="shared" ref="K828:X828" si="364">IF(AND($C828="B+R",$E828="prace rozwojowe",LataProjekcji&lt;=Koniec_PR,Modul_badawczo_rozwojowy=tak),ROUND(K460,0),0)</f>
        <v>0</v>
      </c>
      <c r="L828" s="59">
        <f t="shared" si="364"/>
        <v>0</v>
      </c>
      <c r="M828" s="59">
        <f t="shared" si="364"/>
        <v>0</v>
      </c>
      <c r="N828" s="59">
        <f t="shared" si="364"/>
        <v>0</v>
      </c>
      <c r="O828" s="59">
        <f t="shared" si="364"/>
        <v>0</v>
      </c>
      <c r="P828" s="59">
        <f t="shared" si="364"/>
        <v>0</v>
      </c>
      <c r="Q828" s="59">
        <f t="shared" si="364"/>
        <v>0</v>
      </c>
      <c r="R828" s="59">
        <f t="shared" si="364"/>
        <v>0</v>
      </c>
      <c r="S828" s="59">
        <f t="shared" si="364"/>
        <v>0</v>
      </c>
      <c r="T828" s="59">
        <f t="shared" si="364"/>
        <v>0</v>
      </c>
      <c r="U828" s="59">
        <f t="shared" si="364"/>
        <v>0</v>
      </c>
      <c r="V828" s="59">
        <f t="shared" si="364"/>
        <v>0</v>
      </c>
      <c r="W828" s="59">
        <f t="shared" si="364"/>
        <v>0</v>
      </c>
      <c r="X828" s="59">
        <f t="shared" si="364"/>
        <v>0</v>
      </c>
    </row>
    <row r="829" spans="2:24" hidden="1">
      <c r="B829" s="58" t="str">
        <f t="shared" si="359"/>
        <v/>
      </c>
      <c r="C829" s="58" t="str">
        <f t="shared" si="359"/>
        <v/>
      </c>
      <c r="D829" s="58" t="str">
        <f t="shared" si="359"/>
        <v/>
      </c>
      <c r="E829" s="58" t="str">
        <f t="shared" si="359"/>
        <v/>
      </c>
      <c r="F829" s="58"/>
      <c r="G829" s="58"/>
      <c r="H829" s="58"/>
      <c r="I829" s="58"/>
      <c r="J829" s="58"/>
      <c r="K829" s="59">
        <f t="shared" ref="K829:X829" si="365">IF(AND($C829="B+R",$E829="prace rozwojowe",LataProjekcji&lt;=Koniec_PR,Modul_badawczo_rozwojowy=tak),ROUND(K461,0),0)</f>
        <v>0</v>
      </c>
      <c r="L829" s="59">
        <f t="shared" si="365"/>
        <v>0</v>
      </c>
      <c r="M829" s="59">
        <f t="shared" si="365"/>
        <v>0</v>
      </c>
      <c r="N829" s="59">
        <f t="shared" si="365"/>
        <v>0</v>
      </c>
      <c r="O829" s="59">
        <f t="shared" si="365"/>
        <v>0</v>
      </c>
      <c r="P829" s="59">
        <f t="shared" si="365"/>
        <v>0</v>
      </c>
      <c r="Q829" s="59">
        <f t="shared" si="365"/>
        <v>0</v>
      </c>
      <c r="R829" s="59">
        <f t="shared" si="365"/>
        <v>0</v>
      </c>
      <c r="S829" s="59">
        <f t="shared" si="365"/>
        <v>0</v>
      </c>
      <c r="T829" s="59">
        <f t="shared" si="365"/>
        <v>0</v>
      </c>
      <c r="U829" s="59">
        <f t="shared" si="365"/>
        <v>0</v>
      </c>
      <c r="V829" s="59">
        <f t="shared" si="365"/>
        <v>0</v>
      </c>
      <c r="W829" s="59">
        <f t="shared" si="365"/>
        <v>0</v>
      </c>
      <c r="X829" s="59">
        <f t="shared" si="365"/>
        <v>0</v>
      </c>
    </row>
    <row r="830" spans="2:24" hidden="1">
      <c r="B830" s="58" t="str">
        <f t="shared" si="359"/>
        <v/>
      </c>
      <c r="C830" s="58" t="str">
        <f t="shared" si="359"/>
        <v/>
      </c>
      <c r="D830" s="58" t="str">
        <f t="shared" si="359"/>
        <v/>
      </c>
      <c r="E830" s="58" t="str">
        <f t="shared" si="359"/>
        <v/>
      </c>
      <c r="F830" s="58"/>
      <c r="G830" s="58"/>
      <c r="H830" s="58"/>
      <c r="I830" s="58"/>
      <c r="J830" s="58"/>
      <c r="K830" s="59">
        <f t="shared" ref="K830:X830" si="366">IF(AND($C830="B+R",$E830="prace rozwojowe",LataProjekcji&lt;=Koniec_PR,Modul_badawczo_rozwojowy=tak),ROUND(K462,0),0)</f>
        <v>0</v>
      </c>
      <c r="L830" s="59">
        <f t="shared" si="366"/>
        <v>0</v>
      </c>
      <c r="M830" s="59">
        <f t="shared" si="366"/>
        <v>0</v>
      </c>
      <c r="N830" s="59">
        <f t="shared" si="366"/>
        <v>0</v>
      </c>
      <c r="O830" s="59">
        <f t="shared" si="366"/>
        <v>0</v>
      </c>
      <c r="P830" s="59">
        <f t="shared" si="366"/>
        <v>0</v>
      </c>
      <c r="Q830" s="59">
        <f t="shared" si="366"/>
        <v>0</v>
      </c>
      <c r="R830" s="59">
        <f t="shared" si="366"/>
        <v>0</v>
      </c>
      <c r="S830" s="59">
        <f t="shared" si="366"/>
        <v>0</v>
      </c>
      <c r="T830" s="59">
        <f t="shared" si="366"/>
        <v>0</v>
      </c>
      <c r="U830" s="59">
        <f t="shared" si="366"/>
        <v>0</v>
      </c>
      <c r="V830" s="59">
        <f t="shared" si="366"/>
        <v>0</v>
      </c>
      <c r="W830" s="59">
        <f t="shared" si="366"/>
        <v>0</v>
      </c>
      <c r="X830" s="59">
        <f t="shared" si="366"/>
        <v>0</v>
      </c>
    </row>
    <row r="831" spans="2:24" hidden="1">
      <c r="B831" s="58" t="str">
        <f t="shared" si="359"/>
        <v/>
      </c>
      <c r="C831" s="58" t="str">
        <f t="shared" si="359"/>
        <v/>
      </c>
      <c r="D831" s="58" t="str">
        <f t="shared" si="359"/>
        <v/>
      </c>
      <c r="E831" s="58" t="str">
        <f t="shared" si="359"/>
        <v/>
      </c>
      <c r="F831" s="58"/>
      <c r="G831" s="58"/>
      <c r="H831" s="58"/>
      <c r="I831" s="58"/>
      <c r="J831" s="58"/>
      <c r="K831" s="59">
        <f t="shared" ref="K831:X831" si="367">IF(AND($C831="B+R",$E831="prace rozwojowe",LataProjekcji&lt;=Koniec_PR,Modul_badawczo_rozwojowy=tak),ROUND(K463,0),0)</f>
        <v>0</v>
      </c>
      <c r="L831" s="59">
        <f t="shared" si="367"/>
        <v>0</v>
      </c>
      <c r="M831" s="59">
        <f t="shared" si="367"/>
        <v>0</v>
      </c>
      <c r="N831" s="59">
        <f t="shared" si="367"/>
        <v>0</v>
      </c>
      <c r="O831" s="59">
        <f t="shared" si="367"/>
        <v>0</v>
      </c>
      <c r="P831" s="59">
        <f t="shared" si="367"/>
        <v>0</v>
      </c>
      <c r="Q831" s="59">
        <f t="shared" si="367"/>
        <v>0</v>
      </c>
      <c r="R831" s="59">
        <f t="shared" si="367"/>
        <v>0</v>
      </c>
      <c r="S831" s="59">
        <f t="shared" si="367"/>
        <v>0</v>
      </c>
      <c r="T831" s="59">
        <f t="shared" si="367"/>
        <v>0</v>
      </c>
      <c r="U831" s="59">
        <f t="shared" si="367"/>
        <v>0</v>
      </c>
      <c r="V831" s="59">
        <f t="shared" si="367"/>
        <v>0</v>
      </c>
      <c r="W831" s="59">
        <f t="shared" si="367"/>
        <v>0</v>
      </c>
      <c r="X831" s="59">
        <f t="shared" si="367"/>
        <v>0</v>
      </c>
    </row>
    <row r="832" spans="2:24" hidden="1">
      <c r="B832" s="58" t="str">
        <f t="shared" si="359"/>
        <v/>
      </c>
      <c r="C832" s="58" t="str">
        <f t="shared" si="359"/>
        <v/>
      </c>
      <c r="D832" s="58" t="str">
        <f t="shared" si="359"/>
        <v/>
      </c>
      <c r="E832" s="58" t="str">
        <f t="shared" si="359"/>
        <v/>
      </c>
      <c r="F832" s="58"/>
      <c r="G832" s="58"/>
      <c r="H832" s="58"/>
      <c r="I832" s="58"/>
      <c r="J832" s="58"/>
      <c r="K832" s="59">
        <f t="shared" ref="K832:X832" si="368">IF(AND($C832="B+R",$E832="prace rozwojowe",LataProjekcji&lt;=Koniec_PR,Modul_badawczo_rozwojowy=tak),ROUND(K464,0),0)</f>
        <v>0</v>
      </c>
      <c r="L832" s="59">
        <f t="shared" si="368"/>
        <v>0</v>
      </c>
      <c r="M832" s="59">
        <f t="shared" si="368"/>
        <v>0</v>
      </c>
      <c r="N832" s="59">
        <f t="shared" si="368"/>
        <v>0</v>
      </c>
      <c r="O832" s="59">
        <f t="shared" si="368"/>
        <v>0</v>
      </c>
      <c r="P832" s="59">
        <f t="shared" si="368"/>
        <v>0</v>
      </c>
      <c r="Q832" s="59">
        <f t="shared" si="368"/>
        <v>0</v>
      </c>
      <c r="R832" s="59">
        <f t="shared" si="368"/>
        <v>0</v>
      </c>
      <c r="S832" s="59">
        <f t="shared" si="368"/>
        <v>0</v>
      </c>
      <c r="T832" s="59">
        <f t="shared" si="368"/>
        <v>0</v>
      </c>
      <c r="U832" s="59">
        <f t="shared" si="368"/>
        <v>0</v>
      </c>
      <c r="V832" s="59">
        <f t="shared" si="368"/>
        <v>0</v>
      </c>
      <c r="W832" s="59">
        <f t="shared" si="368"/>
        <v>0</v>
      </c>
      <c r="X832" s="59">
        <f t="shared" si="368"/>
        <v>0</v>
      </c>
    </row>
    <row r="833" spans="2:24" hidden="1">
      <c r="B833" s="58" t="str">
        <f t="shared" si="359"/>
        <v/>
      </c>
      <c r="C833" s="58" t="str">
        <f t="shared" si="359"/>
        <v/>
      </c>
      <c r="D833" s="58" t="str">
        <f t="shared" si="359"/>
        <v/>
      </c>
      <c r="E833" s="58" t="str">
        <f t="shared" si="359"/>
        <v/>
      </c>
      <c r="F833" s="58"/>
      <c r="G833" s="58"/>
      <c r="H833" s="58"/>
      <c r="I833" s="58"/>
      <c r="J833" s="58"/>
      <c r="K833" s="59">
        <f t="shared" ref="K833:X833" si="369">IF(AND($C833="B+R",$E833="prace rozwojowe",LataProjekcji&lt;=Koniec_PR,Modul_badawczo_rozwojowy=tak),ROUND(K465,0),0)</f>
        <v>0</v>
      </c>
      <c r="L833" s="59">
        <f t="shared" si="369"/>
        <v>0</v>
      </c>
      <c r="M833" s="59">
        <f t="shared" si="369"/>
        <v>0</v>
      </c>
      <c r="N833" s="59">
        <f t="shared" si="369"/>
        <v>0</v>
      </c>
      <c r="O833" s="59">
        <f t="shared" si="369"/>
        <v>0</v>
      </c>
      <c r="P833" s="59">
        <f t="shared" si="369"/>
        <v>0</v>
      </c>
      <c r="Q833" s="59">
        <f t="shared" si="369"/>
        <v>0</v>
      </c>
      <c r="R833" s="59">
        <f t="shared" si="369"/>
        <v>0</v>
      </c>
      <c r="S833" s="59">
        <f t="shared" si="369"/>
        <v>0</v>
      </c>
      <c r="T833" s="59">
        <f t="shared" si="369"/>
        <v>0</v>
      </c>
      <c r="U833" s="59">
        <f t="shared" si="369"/>
        <v>0</v>
      </c>
      <c r="V833" s="59">
        <f t="shared" si="369"/>
        <v>0</v>
      </c>
      <c r="W833" s="59">
        <f t="shared" si="369"/>
        <v>0</v>
      </c>
      <c r="X833" s="59">
        <f t="shared" si="369"/>
        <v>0</v>
      </c>
    </row>
    <row r="834" spans="2:24" hidden="1">
      <c r="B834" s="58" t="str">
        <f t="shared" si="359"/>
        <v/>
      </c>
      <c r="C834" s="58" t="str">
        <f t="shared" si="359"/>
        <v/>
      </c>
      <c r="D834" s="58" t="str">
        <f t="shared" si="359"/>
        <v/>
      </c>
      <c r="E834" s="58" t="str">
        <f t="shared" si="359"/>
        <v/>
      </c>
      <c r="F834" s="58"/>
      <c r="G834" s="58"/>
      <c r="H834" s="58"/>
      <c r="I834" s="58"/>
      <c r="J834" s="58"/>
      <c r="K834" s="59">
        <f t="shared" ref="K834:X834" si="370">IF(AND($C834="B+R",$E834="prace rozwojowe",LataProjekcji&lt;=Koniec_PR,Modul_badawczo_rozwojowy=tak),ROUND(K466,0),0)</f>
        <v>0</v>
      </c>
      <c r="L834" s="59">
        <f t="shared" si="370"/>
        <v>0</v>
      </c>
      <c r="M834" s="59">
        <f t="shared" si="370"/>
        <v>0</v>
      </c>
      <c r="N834" s="59">
        <f t="shared" si="370"/>
        <v>0</v>
      </c>
      <c r="O834" s="59">
        <f t="shared" si="370"/>
        <v>0</v>
      </c>
      <c r="P834" s="59">
        <f t="shared" si="370"/>
        <v>0</v>
      </c>
      <c r="Q834" s="59">
        <f t="shared" si="370"/>
        <v>0</v>
      </c>
      <c r="R834" s="59">
        <f t="shared" si="370"/>
        <v>0</v>
      </c>
      <c r="S834" s="59">
        <f t="shared" si="370"/>
        <v>0</v>
      </c>
      <c r="T834" s="59">
        <f t="shared" si="370"/>
        <v>0</v>
      </c>
      <c r="U834" s="59">
        <f t="shared" si="370"/>
        <v>0</v>
      </c>
      <c r="V834" s="59">
        <f t="shared" si="370"/>
        <v>0</v>
      </c>
      <c r="W834" s="59">
        <f t="shared" si="370"/>
        <v>0</v>
      </c>
      <c r="X834" s="59">
        <f t="shared" si="370"/>
        <v>0</v>
      </c>
    </row>
    <row r="835" spans="2:24" hidden="1">
      <c r="B835" s="58" t="str">
        <f t="shared" si="359"/>
        <v/>
      </c>
      <c r="C835" s="58" t="str">
        <f t="shared" si="359"/>
        <v/>
      </c>
      <c r="D835" s="58" t="str">
        <f t="shared" si="359"/>
        <v/>
      </c>
      <c r="E835" s="58" t="str">
        <f t="shared" si="359"/>
        <v/>
      </c>
      <c r="F835" s="58"/>
      <c r="G835" s="58"/>
      <c r="H835" s="58"/>
      <c r="I835" s="58"/>
      <c r="J835" s="58"/>
      <c r="K835" s="59">
        <f t="shared" ref="K835:X835" si="371">IF(AND($C835="B+R",$E835="prace rozwojowe",LataProjekcji&lt;=Koniec_PR,Modul_badawczo_rozwojowy=tak),ROUND(K467,0),0)</f>
        <v>0</v>
      </c>
      <c r="L835" s="59">
        <f t="shared" si="371"/>
        <v>0</v>
      </c>
      <c r="M835" s="59">
        <f t="shared" si="371"/>
        <v>0</v>
      </c>
      <c r="N835" s="59">
        <f t="shared" si="371"/>
        <v>0</v>
      </c>
      <c r="O835" s="59">
        <f t="shared" si="371"/>
        <v>0</v>
      </c>
      <c r="P835" s="59">
        <f t="shared" si="371"/>
        <v>0</v>
      </c>
      <c r="Q835" s="59">
        <f t="shared" si="371"/>
        <v>0</v>
      </c>
      <c r="R835" s="59">
        <f t="shared" si="371"/>
        <v>0</v>
      </c>
      <c r="S835" s="59">
        <f t="shared" si="371"/>
        <v>0</v>
      </c>
      <c r="T835" s="59">
        <f t="shared" si="371"/>
        <v>0</v>
      </c>
      <c r="U835" s="59">
        <f t="shared" si="371"/>
        <v>0</v>
      </c>
      <c r="V835" s="59">
        <f t="shared" si="371"/>
        <v>0</v>
      </c>
      <c r="W835" s="59">
        <f t="shared" si="371"/>
        <v>0</v>
      </c>
      <c r="X835" s="59">
        <f t="shared" si="371"/>
        <v>0</v>
      </c>
    </row>
    <row r="836" spans="2:24" hidden="1">
      <c r="B836" s="58" t="str">
        <f t="shared" si="359"/>
        <v/>
      </c>
      <c r="C836" s="58" t="str">
        <f t="shared" si="359"/>
        <v/>
      </c>
      <c r="D836" s="58" t="str">
        <f t="shared" si="359"/>
        <v/>
      </c>
      <c r="E836" s="58" t="str">
        <f t="shared" si="359"/>
        <v/>
      </c>
      <c r="F836" s="58"/>
      <c r="G836" s="58"/>
      <c r="H836" s="58"/>
      <c r="I836" s="58"/>
      <c r="J836" s="58"/>
      <c r="K836" s="59">
        <f t="shared" ref="K836:X836" si="372">IF(AND($C836="B+R",$E836="prace rozwojowe",LataProjekcji&lt;=Koniec_PR,Modul_badawczo_rozwojowy=tak),ROUND(K468,0),0)</f>
        <v>0</v>
      </c>
      <c r="L836" s="59">
        <f t="shared" si="372"/>
        <v>0</v>
      </c>
      <c r="M836" s="59">
        <f t="shared" si="372"/>
        <v>0</v>
      </c>
      <c r="N836" s="59">
        <f t="shared" si="372"/>
        <v>0</v>
      </c>
      <c r="O836" s="59">
        <f t="shared" si="372"/>
        <v>0</v>
      </c>
      <c r="P836" s="59">
        <f t="shared" si="372"/>
        <v>0</v>
      </c>
      <c r="Q836" s="59">
        <f t="shared" si="372"/>
        <v>0</v>
      </c>
      <c r="R836" s="59">
        <f t="shared" si="372"/>
        <v>0</v>
      </c>
      <c r="S836" s="59">
        <f t="shared" si="372"/>
        <v>0</v>
      </c>
      <c r="T836" s="59">
        <f t="shared" si="372"/>
        <v>0</v>
      </c>
      <c r="U836" s="59">
        <f t="shared" si="372"/>
        <v>0</v>
      </c>
      <c r="V836" s="59">
        <f t="shared" si="372"/>
        <v>0</v>
      </c>
      <c r="W836" s="59">
        <f t="shared" si="372"/>
        <v>0</v>
      </c>
      <c r="X836" s="59">
        <f t="shared" si="372"/>
        <v>0</v>
      </c>
    </row>
    <row r="837" spans="2:24" hidden="1">
      <c r="B837" s="58" t="str">
        <f t="shared" si="359"/>
        <v/>
      </c>
      <c r="C837" s="58" t="str">
        <f t="shared" si="359"/>
        <v/>
      </c>
      <c r="D837" s="58" t="str">
        <f t="shared" si="359"/>
        <v/>
      </c>
      <c r="E837" s="58" t="str">
        <f t="shared" si="359"/>
        <v/>
      </c>
      <c r="F837" s="58"/>
      <c r="G837" s="58"/>
      <c r="H837" s="58"/>
      <c r="I837" s="58"/>
      <c r="J837" s="58"/>
      <c r="K837" s="59">
        <f t="shared" ref="K837:X837" si="373">IF(AND($C837="B+R",$E837="prace rozwojowe",LataProjekcji&lt;=Koniec_PR,Modul_badawczo_rozwojowy=tak),ROUND(K469,0),0)</f>
        <v>0</v>
      </c>
      <c r="L837" s="59">
        <f t="shared" si="373"/>
        <v>0</v>
      </c>
      <c r="M837" s="59">
        <f t="shared" si="373"/>
        <v>0</v>
      </c>
      <c r="N837" s="59">
        <f t="shared" si="373"/>
        <v>0</v>
      </c>
      <c r="O837" s="59">
        <f t="shared" si="373"/>
        <v>0</v>
      </c>
      <c r="P837" s="59">
        <f t="shared" si="373"/>
        <v>0</v>
      </c>
      <c r="Q837" s="59">
        <f t="shared" si="373"/>
        <v>0</v>
      </c>
      <c r="R837" s="59">
        <f t="shared" si="373"/>
        <v>0</v>
      </c>
      <c r="S837" s="59">
        <f t="shared" si="373"/>
        <v>0</v>
      </c>
      <c r="T837" s="59">
        <f t="shared" si="373"/>
        <v>0</v>
      </c>
      <c r="U837" s="59">
        <f t="shared" si="373"/>
        <v>0</v>
      </c>
      <c r="V837" s="59">
        <f t="shared" si="373"/>
        <v>0</v>
      </c>
      <c r="W837" s="59">
        <f t="shared" si="373"/>
        <v>0</v>
      </c>
      <c r="X837" s="59">
        <f t="shared" si="373"/>
        <v>0</v>
      </c>
    </row>
    <row r="838" spans="2:24" hidden="1">
      <c r="B838" s="58" t="str">
        <f t="shared" si="359"/>
        <v/>
      </c>
      <c r="C838" s="58" t="str">
        <f t="shared" si="359"/>
        <v/>
      </c>
      <c r="D838" s="58" t="str">
        <f t="shared" si="359"/>
        <v/>
      </c>
      <c r="E838" s="58" t="str">
        <f t="shared" si="359"/>
        <v/>
      </c>
      <c r="F838" s="58"/>
      <c r="G838" s="58"/>
      <c r="H838" s="58"/>
      <c r="I838" s="58"/>
      <c r="J838" s="58"/>
      <c r="K838" s="59">
        <f t="shared" ref="K838:X838" si="374">IF(AND($C838="B+R",$E838="prace rozwojowe",LataProjekcji&lt;=Koniec_PR,Modul_badawczo_rozwojowy=tak),ROUND(K470,0),0)</f>
        <v>0</v>
      </c>
      <c r="L838" s="59">
        <f t="shared" si="374"/>
        <v>0</v>
      </c>
      <c r="M838" s="59">
        <f t="shared" si="374"/>
        <v>0</v>
      </c>
      <c r="N838" s="59">
        <f t="shared" si="374"/>
        <v>0</v>
      </c>
      <c r="O838" s="59">
        <f t="shared" si="374"/>
        <v>0</v>
      </c>
      <c r="P838" s="59">
        <f t="shared" si="374"/>
        <v>0</v>
      </c>
      <c r="Q838" s="59">
        <f t="shared" si="374"/>
        <v>0</v>
      </c>
      <c r="R838" s="59">
        <f t="shared" si="374"/>
        <v>0</v>
      </c>
      <c r="S838" s="59">
        <f t="shared" si="374"/>
        <v>0</v>
      </c>
      <c r="T838" s="59">
        <f t="shared" si="374"/>
        <v>0</v>
      </c>
      <c r="U838" s="59">
        <f t="shared" si="374"/>
        <v>0</v>
      </c>
      <c r="V838" s="59">
        <f t="shared" si="374"/>
        <v>0</v>
      </c>
      <c r="W838" s="59">
        <f t="shared" si="374"/>
        <v>0</v>
      </c>
      <c r="X838" s="59">
        <f t="shared" si="374"/>
        <v>0</v>
      </c>
    </row>
    <row r="839" spans="2:24" hidden="1">
      <c r="B839" s="58" t="str">
        <f t="shared" si="359"/>
        <v/>
      </c>
      <c r="C839" s="58" t="str">
        <f t="shared" si="359"/>
        <v/>
      </c>
      <c r="D839" s="58" t="str">
        <f t="shared" si="359"/>
        <v/>
      </c>
      <c r="E839" s="58" t="str">
        <f t="shared" si="359"/>
        <v/>
      </c>
      <c r="F839" s="58"/>
      <c r="G839" s="58"/>
      <c r="H839" s="58"/>
      <c r="I839" s="58"/>
      <c r="J839" s="58"/>
      <c r="K839" s="59">
        <f t="shared" ref="K839:X839" si="375">IF(AND($C839="B+R",$E839="prace rozwojowe",LataProjekcji&lt;=Koniec_PR,Modul_badawczo_rozwojowy=tak),ROUND(K471,0),0)</f>
        <v>0</v>
      </c>
      <c r="L839" s="59">
        <f t="shared" si="375"/>
        <v>0</v>
      </c>
      <c r="M839" s="59">
        <f t="shared" si="375"/>
        <v>0</v>
      </c>
      <c r="N839" s="59">
        <f t="shared" si="375"/>
        <v>0</v>
      </c>
      <c r="O839" s="59">
        <f t="shared" si="375"/>
        <v>0</v>
      </c>
      <c r="P839" s="59">
        <f t="shared" si="375"/>
        <v>0</v>
      </c>
      <c r="Q839" s="59">
        <f t="shared" si="375"/>
        <v>0</v>
      </c>
      <c r="R839" s="59">
        <f t="shared" si="375"/>
        <v>0</v>
      </c>
      <c r="S839" s="59">
        <f t="shared" si="375"/>
        <v>0</v>
      </c>
      <c r="T839" s="59">
        <f t="shared" si="375"/>
        <v>0</v>
      </c>
      <c r="U839" s="59">
        <f t="shared" si="375"/>
        <v>0</v>
      </c>
      <c r="V839" s="59">
        <f t="shared" si="375"/>
        <v>0</v>
      </c>
      <c r="W839" s="59">
        <f t="shared" si="375"/>
        <v>0</v>
      </c>
      <c r="X839" s="59">
        <f t="shared" si="375"/>
        <v>0</v>
      </c>
    </row>
    <row r="840" spans="2:24" hidden="1">
      <c r="B840" s="58" t="str">
        <f t="shared" si="359"/>
        <v/>
      </c>
      <c r="C840" s="58" t="str">
        <f t="shared" si="359"/>
        <v/>
      </c>
      <c r="D840" s="58" t="str">
        <f t="shared" si="359"/>
        <v/>
      </c>
      <c r="E840" s="58" t="str">
        <f t="shared" si="359"/>
        <v/>
      </c>
      <c r="F840" s="58"/>
      <c r="G840" s="58"/>
      <c r="H840" s="58"/>
      <c r="I840" s="58"/>
      <c r="J840" s="58"/>
      <c r="K840" s="59">
        <f t="shared" ref="K840:X840" si="376">IF(AND($C840="B+R",$E840="prace rozwojowe",LataProjekcji&lt;=Koniec_PR,Modul_badawczo_rozwojowy=tak),ROUND(K472,0),0)</f>
        <v>0</v>
      </c>
      <c r="L840" s="59">
        <f t="shared" si="376"/>
        <v>0</v>
      </c>
      <c r="M840" s="59">
        <f t="shared" si="376"/>
        <v>0</v>
      </c>
      <c r="N840" s="59">
        <f t="shared" si="376"/>
        <v>0</v>
      </c>
      <c r="O840" s="59">
        <f t="shared" si="376"/>
        <v>0</v>
      </c>
      <c r="P840" s="59">
        <f t="shared" si="376"/>
        <v>0</v>
      </c>
      <c r="Q840" s="59">
        <f t="shared" si="376"/>
        <v>0</v>
      </c>
      <c r="R840" s="59">
        <f t="shared" si="376"/>
        <v>0</v>
      </c>
      <c r="S840" s="59">
        <f t="shared" si="376"/>
        <v>0</v>
      </c>
      <c r="T840" s="59">
        <f t="shared" si="376"/>
        <v>0</v>
      </c>
      <c r="U840" s="59">
        <f t="shared" si="376"/>
        <v>0</v>
      </c>
      <c r="V840" s="59">
        <f t="shared" si="376"/>
        <v>0</v>
      </c>
      <c r="W840" s="59">
        <f t="shared" si="376"/>
        <v>0</v>
      </c>
      <c r="X840" s="59">
        <f t="shared" si="376"/>
        <v>0</v>
      </c>
    </row>
    <row r="841" spans="2:24" hidden="1">
      <c r="B841" s="58" t="str">
        <f t="shared" si="359"/>
        <v/>
      </c>
      <c r="C841" s="58" t="str">
        <f t="shared" si="359"/>
        <v/>
      </c>
      <c r="D841" s="58" t="str">
        <f t="shared" si="359"/>
        <v/>
      </c>
      <c r="E841" s="58" t="str">
        <f t="shared" si="359"/>
        <v/>
      </c>
      <c r="F841" s="58"/>
      <c r="G841" s="58"/>
      <c r="H841" s="58"/>
      <c r="I841" s="58"/>
      <c r="J841" s="58"/>
      <c r="K841" s="59">
        <f t="shared" ref="K841:X841" si="377">IF(AND($C841="B+R",$E841="prace rozwojowe",LataProjekcji&lt;=Koniec_PR,Modul_badawczo_rozwojowy=tak),ROUND(K473,0),0)</f>
        <v>0</v>
      </c>
      <c r="L841" s="59">
        <f t="shared" si="377"/>
        <v>0</v>
      </c>
      <c r="M841" s="59">
        <f t="shared" si="377"/>
        <v>0</v>
      </c>
      <c r="N841" s="59">
        <f t="shared" si="377"/>
        <v>0</v>
      </c>
      <c r="O841" s="59">
        <f t="shared" si="377"/>
        <v>0</v>
      </c>
      <c r="P841" s="59">
        <f t="shared" si="377"/>
        <v>0</v>
      </c>
      <c r="Q841" s="59">
        <f t="shared" si="377"/>
        <v>0</v>
      </c>
      <c r="R841" s="59">
        <f t="shared" si="377"/>
        <v>0</v>
      </c>
      <c r="S841" s="59">
        <f t="shared" si="377"/>
        <v>0</v>
      </c>
      <c r="T841" s="59">
        <f t="shared" si="377"/>
        <v>0</v>
      </c>
      <c r="U841" s="59">
        <f t="shared" si="377"/>
        <v>0</v>
      </c>
      <c r="V841" s="59">
        <f t="shared" si="377"/>
        <v>0</v>
      </c>
      <c r="W841" s="59">
        <f t="shared" si="377"/>
        <v>0</v>
      </c>
      <c r="X841" s="59">
        <f t="shared" si="377"/>
        <v>0</v>
      </c>
    </row>
    <row r="842" spans="2:24" hidden="1">
      <c r="B842" s="58" t="str">
        <f t="shared" si="359"/>
        <v/>
      </c>
      <c r="C842" s="58" t="str">
        <f t="shared" si="359"/>
        <v/>
      </c>
      <c r="D842" s="58" t="str">
        <f t="shared" si="359"/>
        <v/>
      </c>
      <c r="E842" s="58" t="str">
        <f t="shared" si="359"/>
        <v/>
      </c>
      <c r="F842" s="58"/>
      <c r="G842" s="58"/>
      <c r="H842" s="58"/>
      <c r="I842" s="58"/>
      <c r="J842" s="58"/>
      <c r="K842" s="59">
        <f t="shared" ref="K842:X842" si="378">IF(AND($C842="B+R",$E842="prace rozwojowe",LataProjekcji&lt;=Koniec_PR,Modul_badawczo_rozwojowy=tak),ROUND(K474,0),0)</f>
        <v>0</v>
      </c>
      <c r="L842" s="59">
        <f t="shared" si="378"/>
        <v>0</v>
      </c>
      <c r="M842" s="59">
        <f t="shared" si="378"/>
        <v>0</v>
      </c>
      <c r="N842" s="59">
        <f t="shared" si="378"/>
        <v>0</v>
      </c>
      <c r="O842" s="59">
        <f t="shared" si="378"/>
        <v>0</v>
      </c>
      <c r="P842" s="59">
        <f t="shared" si="378"/>
        <v>0</v>
      </c>
      <c r="Q842" s="59">
        <f t="shared" si="378"/>
        <v>0</v>
      </c>
      <c r="R842" s="59">
        <f t="shared" si="378"/>
        <v>0</v>
      </c>
      <c r="S842" s="59">
        <f t="shared" si="378"/>
        <v>0</v>
      </c>
      <c r="T842" s="59">
        <f t="shared" si="378"/>
        <v>0</v>
      </c>
      <c r="U842" s="59">
        <f t="shared" si="378"/>
        <v>0</v>
      </c>
      <c r="V842" s="59">
        <f t="shared" si="378"/>
        <v>0</v>
      </c>
      <c r="W842" s="59">
        <f t="shared" si="378"/>
        <v>0</v>
      </c>
      <c r="X842" s="59">
        <f t="shared" si="378"/>
        <v>0</v>
      </c>
    </row>
    <row r="843" spans="2:24" hidden="1">
      <c r="B843" s="58" t="str">
        <f t="shared" si="359"/>
        <v/>
      </c>
      <c r="C843" s="58" t="str">
        <f t="shared" si="359"/>
        <v/>
      </c>
      <c r="D843" s="58" t="str">
        <f t="shared" si="359"/>
        <v/>
      </c>
      <c r="E843" s="58" t="str">
        <f t="shared" si="359"/>
        <v/>
      </c>
      <c r="F843" s="58"/>
      <c r="G843" s="58"/>
      <c r="H843" s="58"/>
      <c r="I843" s="58"/>
      <c r="J843" s="58"/>
      <c r="K843" s="59">
        <f t="shared" ref="K843:X843" si="379">IF(AND($C843="B+R",$E843="prace rozwojowe",LataProjekcji&lt;=Koniec_PR,Modul_badawczo_rozwojowy=tak),ROUND(K475,0),0)</f>
        <v>0</v>
      </c>
      <c r="L843" s="59">
        <f t="shared" si="379"/>
        <v>0</v>
      </c>
      <c r="M843" s="59">
        <f t="shared" si="379"/>
        <v>0</v>
      </c>
      <c r="N843" s="59">
        <f t="shared" si="379"/>
        <v>0</v>
      </c>
      <c r="O843" s="59">
        <f t="shared" si="379"/>
        <v>0</v>
      </c>
      <c r="P843" s="59">
        <f t="shared" si="379"/>
        <v>0</v>
      </c>
      <c r="Q843" s="59">
        <f t="shared" si="379"/>
        <v>0</v>
      </c>
      <c r="R843" s="59">
        <f t="shared" si="379"/>
        <v>0</v>
      </c>
      <c r="S843" s="59">
        <f t="shared" si="379"/>
        <v>0</v>
      </c>
      <c r="T843" s="59">
        <f t="shared" si="379"/>
        <v>0</v>
      </c>
      <c r="U843" s="59">
        <f t="shared" si="379"/>
        <v>0</v>
      </c>
      <c r="V843" s="59">
        <f t="shared" si="379"/>
        <v>0</v>
      </c>
      <c r="W843" s="59">
        <f t="shared" si="379"/>
        <v>0</v>
      </c>
      <c r="X843" s="59">
        <f t="shared" si="379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0">ROUND(SUM(L804:L843),0)</f>
        <v>0</v>
      </c>
      <c r="M844" s="60">
        <f t="shared" si="380"/>
        <v>0</v>
      </c>
      <c r="N844" s="60">
        <f t="shared" si="380"/>
        <v>0</v>
      </c>
      <c r="O844" s="60">
        <f t="shared" si="380"/>
        <v>0</v>
      </c>
      <c r="P844" s="60">
        <f t="shared" si="380"/>
        <v>0</v>
      </c>
      <c r="Q844" s="60">
        <f t="shared" si="380"/>
        <v>0</v>
      </c>
      <c r="R844" s="60">
        <f t="shared" si="380"/>
        <v>0</v>
      </c>
      <c r="S844" s="60">
        <f t="shared" si="380"/>
        <v>0</v>
      </c>
      <c r="T844" s="60">
        <f t="shared" si="380"/>
        <v>0</v>
      </c>
      <c r="U844" s="60">
        <f t="shared" si="380"/>
        <v>0</v>
      </c>
      <c r="V844" s="60">
        <f t="shared" si="380"/>
        <v>0</v>
      </c>
      <c r="W844" s="60">
        <f t="shared" si="380"/>
        <v>0</v>
      </c>
      <c r="X844" s="60">
        <f t="shared" si="380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1">IF(ISBLANK(B521),"",B521)</f>
        <v/>
      </c>
      <c r="C848" s="58" t="str">
        <f t="shared" si="381"/>
        <v/>
      </c>
      <c r="D848" s="58" t="str">
        <f t="shared" si="381"/>
        <v/>
      </c>
      <c r="E848" s="58" t="str">
        <f t="shared" si="381"/>
        <v/>
      </c>
      <c r="F848" s="58"/>
      <c r="G848" s="58"/>
      <c r="H848" s="58"/>
      <c r="I848" s="58"/>
      <c r="J848" s="59" t="s">
        <v>735</v>
      </c>
      <c r="K848" s="59">
        <f t="shared" ref="K848:X848" si="382">IF(AND($C848="B+R",$E848="prace rozwojowe",LataProjekcji&lt;=Koniec_PR,Modul_badawczo_rozwojowy=tak),ROUND(K521,0),0)</f>
        <v>0</v>
      </c>
      <c r="L848" s="59">
        <f t="shared" si="382"/>
        <v>0</v>
      </c>
      <c r="M848" s="59">
        <f t="shared" si="382"/>
        <v>0</v>
      </c>
      <c r="N848" s="59">
        <f t="shared" si="382"/>
        <v>0</v>
      </c>
      <c r="O848" s="59">
        <f t="shared" si="382"/>
        <v>0</v>
      </c>
      <c r="P848" s="59">
        <f t="shared" si="382"/>
        <v>0</v>
      </c>
      <c r="Q848" s="59">
        <f t="shared" si="382"/>
        <v>0</v>
      </c>
      <c r="R848" s="59">
        <f t="shared" si="382"/>
        <v>0</v>
      </c>
      <c r="S848" s="59">
        <f t="shared" si="382"/>
        <v>0</v>
      </c>
      <c r="T848" s="59">
        <f t="shared" si="382"/>
        <v>0</v>
      </c>
      <c r="U848" s="59">
        <f t="shared" si="382"/>
        <v>0</v>
      </c>
      <c r="V848" s="59">
        <f t="shared" si="382"/>
        <v>0</v>
      </c>
      <c r="W848" s="59">
        <f t="shared" si="382"/>
        <v>0</v>
      </c>
      <c r="X848" s="59">
        <f t="shared" si="382"/>
        <v>0</v>
      </c>
    </row>
    <row r="849" spans="2:24" hidden="1">
      <c r="B849" s="58" t="str">
        <f t="shared" si="381"/>
        <v/>
      </c>
      <c r="C849" s="58" t="str">
        <f t="shared" si="381"/>
        <v/>
      </c>
      <c r="D849" s="58" t="str">
        <f t="shared" si="381"/>
        <v/>
      </c>
      <c r="E849" s="58" t="str">
        <f t="shared" si="381"/>
        <v/>
      </c>
      <c r="F849" s="58"/>
      <c r="G849" s="58"/>
      <c r="H849" s="58"/>
      <c r="I849" s="58"/>
      <c r="J849" s="58"/>
      <c r="K849" s="59">
        <f t="shared" ref="K849:X849" si="383">IF(AND($C849="B+R",$E849="prace rozwojowe",LataProjekcji&lt;=Koniec_PR,Modul_badawczo_rozwojowy=tak),ROUND(K522,0),0)</f>
        <v>0</v>
      </c>
      <c r="L849" s="59">
        <f t="shared" si="383"/>
        <v>0</v>
      </c>
      <c r="M849" s="59">
        <f t="shared" si="383"/>
        <v>0</v>
      </c>
      <c r="N849" s="59">
        <f t="shared" si="383"/>
        <v>0</v>
      </c>
      <c r="O849" s="59">
        <f t="shared" si="383"/>
        <v>0</v>
      </c>
      <c r="P849" s="59">
        <f t="shared" si="383"/>
        <v>0</v>
      </c>
      <c r="Q849" s="59">
        <f t="shared" si="383"/>
        <v>0</v>
      </c>
      <c r="R849" s="59">
        <f t="shared" si="383"/>
        <v>0</v>
      </c>
      <c r="S849" s="59">
        <f t="shared" si="383"/>
        <v>0</v>
      </c>
      <c r="T849" s="59">
        <f t="shared" si="383"/>
        <v>0</v>
      </c>
      <c r="U849" s="59">
        <f t="shared" si="383"/>
        <v>0</v>
      </c>
      <c r="V849" s="59">
        <f t="shared" si="383"/>
        <v>0</v>
      </c>
      <c r="W849" s="59">
        <f t="shared" si="383"/>
        <v>0</v>
      </c>
      <c r="X849" s="59">
        <f t="shared" si="383"/>
        <v>0</v>
      </c>
    </row>
    <row r="850" spans="2:24" hidden="1">
      <c r="B850" s="58" t="str">
        <f t="shared" si="381"/>
        <v/>
      </c>
      <c r="C850" s="58" t="str">
        <f t="shared" si="381"/>
        <v/>
      </c>
      <c r="D850" s="58" t="str">
        <f t="shared" si="381"/>
        <v/>
      </c>
      <c r="E850" s="58" t="str">
        <f t="shared" si="381"/>
        <v/>
      </c>
      <c r="F850" s="58"/>
      <c r="G850" s="58"/>
      <c r="H850" s="58"/>
      <c r="I850" s="58"/>
      <c r="J850" s="58"/>
      <c r="K850" s="59">
        <f t="shared" ref="K850:X850" si="384">IF(AND($C850="B+R",$E850="prace rozwojowe",LataProjekcji&lt;=Koniec_PR,Modul_badawczo_rozwojowy=tak),ROUND(K523,0),0)</f>
        <v>0</v>
      </c>
      <c r="L850" s="59">
        <f t="shared" si="384"/>
        <v>0</v>
      </c>
      <c r="M850" s="59">
        <f t="shared" si="384"/>
        <v>0</v>
      </c>
      <c r="N850" s="59">
        <f t="shared" si="384"/>
        <v>0</v>
      </c>
      <c r="O850" s="59">
        <f t="shared" si="384"/>
        <v>0</v>
      </c>
      <c r="P850" s="59">
        <f t="shared" si="384"/>
        <v>0</v>
      </c>
      <c r="Q850" s="59">
        <f t="shared" si="384"/>
        <v>0</v>
      </c>
      <c r="R850" s="59">
        <f t="shared" si="384"/>
        <v>0</v>
      </c>
      <c r="S850" s="59">
        <f t="shared" si="384"/>
        <v>0</v>
      </c>
      <c r="T850" s="59">
        <f t="shared" si="384"/>
        <v>0</v>
      </c>
      <c r="U850" s="59">
        <f t="shared" si="384"/>
        <v>0</v>
      </c>
      <c r="V850" s="59">
        <f t="shared" si="384"/>
        <v>0</v>
      </c>
      <c r="W850" s="59">
        <f t="shared" si="384"/>
        <v>0</v>
      </c>
      <c r="X850" s="59">
        <f t="shared" si="384"/>
        <v>0</v>
      </c>
    </row>
    <row r="851" spans="2:24" hidden="1">
      <c r="B851" s="58" t="str">
        <f t="shared" si="381"/>
        <v/>
      </c>
      <c r="C851" s="58" t="str">
        <f t="shared" si="381"/>
        <v/>
      </c>
      <c r="D851" s="58" t="str">
        <f t="shared" si="381"/>
        <v/>
      </c>
      <c r="E851" s="58" t="str">
        <f t="shared" si="381"/>
        <v/>
      </c>
      <c r="F851" s="58"/>
      <c r="G851" s="58"/>
      <c r="H851" s="58"/>
      <c r="I851" s="58"/>
      <c r="J851" s="58"/>
      <c r="K851" s="59">
        <f t="shared" ref="K851:X851" si="385">IF(AND($C851="B+R",$E851="prace rozwojowe",LataProjekcji&lt;=Koniec_PR,Modul_badawczo_rozwojowy=tak),ROUND(K524,0),0)</f>
        <v>0</v>
      </c>
      <c r="L851" s="59">
        <f t="shared" si="385"/>
        <v>0</v>
      </c>
      <c r="M851" s="59">
        <f t="shared" si="385"/>
        <v>0</v>
      </c>
      <c r="N851" s="59">
        <f t="shared" si="385"/>
        <v>0</v>
      </c>
      <c r="O851" s="59">
        <f t="shared" si="385"/>
        <v>0</v>
      </c>
      <c r="P851" s="59">
        <f t="shared" si="385"/>
        <v>0</v>
      </c>
      <c r="Q851" s="59">
        <f t="shared" si="385"/>
        <v>0</v>
      </c>
      <c r="R851" s="59">
        <f t="shared" si="385"/>
        <v>0</v>
      </c>
      <c r="S851" s="59">
        <f t="shared" si="385"/>
        <v>0</v>
      </c>
      <c r="T851" s="59">
        <f t="shared" si="385"/>
        <v>0</v>
      </c>
      <c r="U851" s="59">
        <f t="shared" si="385"/>
        <v>0</v>
      </c>
      <c r="V851" s="59">
        <f t="shared" si="385"/>
        <v>0</v>
      </c>
      <c r="W851" s="59">
        <f t="shared" si="385"/>
        <v>0</v>
      </c>
      <c r="X851" s="59">
        <f t="shared" si="385"/>
        <v>0</v>
      </c>
    </row>
    <row r="852" spans="2:24" hidden="1">
      <c r="B852" s="58" t="str">
        <f t="shared" si="381"/>
        <v/>
      </c>
      <c r="C852" s="58" t="str">
        <f t="shared" si="381"/>
        <v/>
      </c>
      <c r="D852" s="58" t="str">
        <f t="shared" si="381"/>
        <v/>
      </c>
      <c r="E852" s="58" t="str">
        <f t="shared" si="381"/>
        <v/>
      </c>
      <c r="F852" s="58"/>
      <c r="G852" s="58"/>
      <c r="H852" s="58"/>
      <c r="I852" s="58"/>
      <c r="J852" s="58"/>
      <c r="K852" s="59">
        <f t="shared" ref="K852:X852" si="386">IF(AND($C852="B+R",$E852="prace rozwojowe",LataProjekcji&lt;=Koniec_PR,Modul_badawczo_rozwojowy=tak),ROUND(K525,0),0)</f>
        <v>0</v>
      </c>
      <c r="L852" s="59">
        <f t="shared" si="386"/>
        <v>0</v>
      </c>
      <c r="M852" s="59">
        <f t="shared" si="386"/>
        <v>0</v>
      </c>
      <c r="N852" s="59">
        <f t="shared" si="386"/>
        <v>0</v>
      </c>
      <c r="O852" s="59">
        <f t="shared" si="386"/>
        <v>0</v>
      </c>
      <c r="P852" s="59">
        <f t="shared" si="386"/>
        <v>0</v>
      </c>
      <c r="Q852" s="59">
        <f t="shared" si="386"/>
        <v>0</v>
      </c>
      <c r="R852" s="59">
        <f t="shared" si="386"/>
        <v>0</v>
      </c>
      <c r="S852" s="59">
        <f t="shared" si="386"/>
        <v>0</v>
      </c>
      <c r="T852" s="59">
        <f t="shared" si="386"/>
        <v>0</v>
      </c>
      <c r="U852" s="59">
        <f t="shared" si="386"/>
        <v>0</v>
      </c>
      <c r="V852" s="59">
        <f t="shared" si="386"/>
        <v>0</v>
      </c>
      <c r="W852" s="59">
        <f t="shared" si="386"/>
        <v>0</v>
      </c>
      <c r="X852" s="59">
        <f t="shared" si="386"/>
        <v>0</v>
      </c>
    </row>
    <row r="853" spans="2:24" hidden="1">
      <c r="B853" s="58" t="str">
        <f t="shared" si="381"/>
        <v/>
      </c>
      <c r="C853" s="58" t="str">
        <f t="shared" si="381"/>
        <v/>
      </c>
      <c r="D853" s="58" t="str">
        <f t="shared" si="381"/>
        <v/>
      </c>
      <c r="E853" s="58" t="str">
        <f t="shared" si="381"/>
        <v/>
      </c>
      <c r="F853" s="58"/>
      <c r="G853" s="58"/>
      <c r="H853" s="58"/>
      <c r="I853" s="58"/>
      <c r="J853" s="58"/>
      <c r="K853" s="59">
        <f t="shared" ref="K853:X853" si="387">IF(AND($C853="B+R",$E853="prace rozwojowe",LataProjekcji&lt;=Koniec_PR,Modul_badawczo_rozwojowy=tak),ROUND(K526,0),0)</f>
        <v>0</v>
      </c>
      <c r="L853" s="59">
        <f t="shared" si="387"/>
        <v>0</v>
      </c>
      <c r="M853" s="59">
        <f t="shared" si="387"/>
        <v>0</v>
      </c>
      <c r="N853" s="59">
        <f t="shared" si="387"/>
        <v>0</v>
      </c>
      <c r="O853" s="59">
        <f t="shared" si="387"/>
        <v>0</v>
      </c>
      <c r="P853" s="59">
        <f t="shared" si="387"/>
        <v>0</v>
      </c>
      <c r="Q853" s="59">
        <f t="shared" si="387"/>
        <v>0</v>
      </c>
      <c r="R853" s="59">
        <f t="shared" si="387"/>
        <v>0</v>
      </c>
      <c r="S853" s="59">
        <f t="shared" si="387"/>
        <v>0</v>
      </c>
      <c r="T853" s="59">
        <f t="shared" si="387"/>
        <v>0</v>
      </c>
      <c r="U853" s="59">
        <f t="shared" si="387"/>
        <v>0</v>
      </c>
      <c r="V853" s="59">
        <f t="shared" si="387"/>
        <v>0</v>
      </c>
      <c r="W853" s="59">
        <f t="shared" si="387"/>
        <v>0</v>
      </c>
      <c r="X853" s="59">
        <f t="shared" si="387"/>
        <v>0</v>
      </c>
    </row>
    <row r="854" spans="2:24" hidden="1">
      <c r="B854" s="58" t="str">
        <f t="shared" si="381"/>
        <v/>
      </c>
      <c r="C854" s="58" t="str">
        <f t="shared" si="381"/>
        <v/>
      </c>
      <c r="D854" s="58" t="str">
        <f t="shared" si="381"/>
        <v/>
      </c>
      <c r="E854" s="58" t="str">
        <f t="shared" si="381"/>
        <v/>
      </c>
      <c r="F854" s="58"/>
      <c r="G854" s="58"/>
      <c r="H854" s="58"/>
      <c r="I854" s="58"/>
      <c r="J854" s="58"/>
      <c r="K854" s="59">
        <f t="shared" ref="K854:X854" si="388">IF(AND($C854="B+R",$E854="prace rozwojowe",LataProjekcji&lt;=Koniec_PR,Modul_badawczo_rozwojowy=tak),ROUND(K527,0),0)</f>
        <v>0</v>
      </c>
      <c r="L854" s="59">
        <f t="shared" si="388"/>
        <v>0</v>
      </c>
      <c r="M854" s="59">
        <f t="shared" si="388"/>
        <v>0</v>
      </c>
      <c r="N854" s="59">
        <f t="shared" si="388"/>
        <v>0</v>
      </c>
      <c r="O854" s="59">
        <f t="shared" si="388"/>
        <v>0</v>
      </c>
      <c r="P854" s="59">
        <f t="shared" si="388"/>
        <v>0</v>
      </c>
      <c r="Q854" s="59">
        <f t="shared" si="388"/>
        <v>0</v>
      </c>
      <c r="R854" s="59">
        <f t="shared" si="388"/>
        <v>0</v>
      </c>
      <c r="S854" s="59">
        <f t="shared" si="388"/>
        <v>0</v>
      </c>
      <c r="T854" s="59">
        <f t="shared" si="388"/>
        <v>0</v>
      </c>
      <c r="U854" s="59">
        <f t="shared" si="388"/>
        <v>0</v>
      </c>
      <c r="V854" s="59">
        <f t="shared" si="388"/>
        <v>0</v>
      </c>
      <c r="W854" s="59">
        <f t="shared" si="388"/>
        <v>0</v>
      </c>
      <c r="X854" s="59">
        <f t="shared" si="388"/>
        <v>0</v>
      </c>
    </row>
    <row r="855" spans="2:24" hidden="1">
      <c r="B855" s="58" t="str">
        <f t="shared" si="381"/>
        <v/>
      </c>
      <c r="C855" s="58" t="str">
        <f t="shared" si="381"/>
        <v/>
      </c>
      <c r="D855" s="58" t="str">
        <f t="shared" si="381"/>
        <v/>
      </c>
      <c r="E855" s="58" t="str">
        <f t="shared" si="381"/>
        <v/>
      </c>
      <c r="F855" s="58"/>
      <c r="G855" s="58"/>
      <c r="H855" s="58"/>
      <c r="I855" s="58"/>
      <c r="J855" s="58"/>
      <c r="K855" s="59">
        <f t="shared" ref="K855:X855" si="389">IF(AND($C855="B+R",$E855="prace rozwojowe",LataProjekcji&lt;=Koniec_PR,Modul_badawczo_rozwojowy=tak),ROUND(K528,0),0)</f>
        <v>0</v>
      </c>
      <c r="L855" s="59">
        <f t="shared" si="389"/>
        <v>0</v>
      </c>
      <c r="M855" s="59">
        <f t="shared" si="389"/>
        <v>0</v>
      </c>
      <c r="N855" s="59">
        <f t="shared" si="389"/>
        <v>0</v>
      </c>
      <c r="O855" s="59">
        <f t="shared" si="389"/>
        <v>0</v>
      </c>
      <c r="P855" s="59">
        <f t="shared" si="389"/>
        <v>0</v>
      </c>
      <c r="Q855" s="59">
        <f t="shared" si="389"/>
        <v>0</v>
      </c>
      <c r="R855" s="59">
        <f t="shared" si="389"/>
        <v>0</v>
      </c>
      <c r="S855" s="59">
        <f t="shared" si="389"/>
        <v>0</v>
      </c>
      <c r="T855" s="59">
        <f t="shared" si="389"/>
        <v>0</v>
      </c>
      <c r="U855" s="59">
        <f t="shared" si="389"/>
        <v>0</v>
      </c>
      <c r="V855" s="59">
        <f t="shared" si="389"/>
        <v>0</v>
      </c>
      <c r="W855" s="59">
        <f t="shared" si="389"/>
        <v>0</v>
      </c>
      <c r="X855" s="59">
        <f t="shared" si="389"/>
        <v>0</v>
      </c>
    </row>
    <row r="856" spans="2:24" hidden="1">
      <c r="B856" s="58" t="str">
        <f t="shared" si="381"/>
        <v/>
      </c>
      <c r="C856" s="58" t="str">
        <f t="shared" si="381"/>
        <v/>
      </c>
      <c r="D856" s="58" t="str">
        <f t="shared" si="381"/>
        <v/>
      </c>
      <c r="E856" s="58" t="str">
        <f t="shared" si="381"/>
        <v/>
      </c>
      <c r="F856" s="58"/>
      <c r="G856" s="58"/>
      <c r="H856" s="58"/>
      <c r="I856" s="58"/>
      <c r="J856" s="58"/>
      <c r="K856" s="59">
        <f t="shared" ref="K856:X856" si="390">IF(AND($C856="B+R",$E856="prace rozwojowe",LataProjekcji&lt;=Koniec_PR,Modul_badawczo_rozwojowy=tak),ROUND(K529,0),0)</f>
        <v>0</v>
      </c>
      <c r="L856" s="59">
        <f t="shared" si="390"/>
        <v>0</v>
      </c>
      <c r="M856" s="59">
        <f t="shared" si="390"/>
        <v>0</v>
      </c>
      <c r="N856" s="59">
        <f t="shared" si="390"/>
        <v>0</v>
      </c>
      <c r="O856" s="59">
        <f t="shared" si="390"/>
        <v>0</v>
      </c>
      <c r="P856" s="59">
        <f t="shared" si="390"/>
        <v>0</v>
      </c>
      <c r="Q856" s="59">
        <f t="shared" si="390"/>
        <v>0</v>
      </c>
      <c r="R856" s="59">
        <f t="shared" si="390"/>
        <v>0</v>
      </c>
      <c r="S856" s="59">
        <f t="shared" si="390"/>
        <v>0</v>
      </c>
      <c r="T856" s="59">
        <f t="shared" si="390"/>
        <v>0</v>
      </c>
      <c r="U856" s="59">
        <f t="shared" si="390"/>
        <v>0</v>
      </c>
      <c r="V856" s="59">
        <f t="shared" si="390"/>
        <v>0</v>
      </c>
      <c r="W856" s="59">
        <f t="shared" si="390"/>
        <v>0</v>
      </c>
      <c r="X856" s="59">
        <f t="shared" si="390"/>
        <v>0</v>
      </c>
    </row>
    <row r="857" spans="2:24" hidden="1">
      <c r="B857" s="58" t="str">
        <f t="shared" si="381"/>
        <v/>
      </c>
      <c r="C857" s="58" t="str">
        <f t="shared" si="381"/>
        <v/>
      </c>
      <c r="D857" s="58" t="str">
        <f t="shared" si="381"/>
        <v/>
      </c>
      <c r="E857" s="58" t="str">
        <f t="shared" si="381"/>
        <v/>
      </c>
      <c r="F857" s="58"/>
      <c r="G857" s="58"/>
      <c r="H857" s="58"/>
      <c r="I857" s="58"/>
      <c r="J857" s="58"/>
      <c r="K857" s="59">
        <f t="shared" ref="K857:X857" si="391">IF(AND($C857="B+R",$E857="prace rozwojowe",LataProjekcji&lt;=Koniec_PR,Modul_badawczo_rozwojowy=tak),ROUND(K530,0),0)</f>
        <v>0</v>
      </c>
      <c r="L857" s="59">
        <f t="shared" si="391"/>
        <v>0</v>
      </c>
      <c r="M857" s="59">
        <f t="shared" si="391"/>
        <v>0</v>
      </c>
      <c r="N857" s="59">
        <f t="shared" si="391"/>
        <v>0</v>
      </c>
      <c r="O857" s="59">
        <f t="shared" si="391"/>
        <v>0</v>
      </c>
      <c r="P857" s="59">
        <f t="shared" si="391"/>
        <v>0</v>
      </c>
      <c r="Q857" s="59">
        <f t="shared" si="391"/>
        <v>0</v>
      </c>
      <c r="R857" s="59">
        <f t="shared" si="391"/>
        <v>0</v>
      </c>
      <c r="S857" s="59">
        <f t="shared" si="391"/>
        <v>0</v>
      </c>
      <c r="T857" s="59">
        <f t="shared" si="391"/>
        <v>0</v>
      </c>
      <c r="U857" s="59">
        <f t="shared" si="391"/>
        <v>0</v>
      </c>
      <c r="V857" s="59">
        <f t="shared" si="391"/>
        <v>0</v>
      </c>
      <c r="W857" s="59">
        <f t="shared" si="391"/>
        <v>0</v>
      </c>
      <c r="X857" s="59">
        <f t="shared" si="391"/>
        <v>0</v>
      </c>
    </row>
    <row r="858" spans="2:24" hidden="1">
      <c r="B858" s="58" t="str">
        <f t="shared" si="381"/>
        <v/>
      </c>
      <c r="C858" s="58" t="str">
        <f t="shared" si="381"/>
        <v/>
      </c>
      <c r="D858" s="58" t="str">
        <f t="shared" si="381"/>
        <v/>
      </c>
      <c r="E858" s="58" t="str">
        <f t="shared" si="381"/>
        <v/>
      </c>
      <c r="F858" s="58"/>
      <c r="G858" s="58"/>
      <c r="H858" s="58"/>
      <c r="I858" s="58"/>
      <c r="J858" s="58"/>
      <c r="K858" s="59">
        <f t="shared" ref="K858:X858" si="392">IF(AND($C858="B+R",$E858="prace rozwojowe",LataProjekcji&lt;=Koniec_PR,Modul_badawczo_rozwojowy=tak),ROUND(K531,0),0)</f>
        <v>0</v>
      </c>
      <c r="L858" s="59">
        <f t="shared" si="392"/>
        <v>0</v>
      </c>
      <c r="M858" s="59">
        <f t="shared" si="392"/>
        <v>0</v>
      </c>
      <c r="N858" s="59">
        <f t="shared" si="392"/>
        <v>0</v>
      </c>
      <c r="O858" s="59">
        <f t="shared" si="392"/>
        <v>0</v>
      </c>
      <c r="P858" s="59">
        <f t="shared" si="392"/>
        <v>0</v>
      </c>
      <c r="Q858" s="59">
        <f t="shared" si="392"/>
        <v>0</v>
      </c>
      <c r="R858" s="59">
        <f t="shared" si="392"/>
        <v>0</v>
      </c>
      <c r="S858" s="59">
        <f t="shared" si="392"/>
        <v>0</v>
      </c>
      <c r="T858" s="59">
        <f t="shared" si="392"/>
        <v>0</v>
      </c>
      <c r="U858" s="59">
        <f t="shared" si="392"/>
        <v>0</v>
      </c>
      <c r="V858" s="59">
        <f t="shared" si="392"/>
        <v>0</v>
      </c>
      <c r="W858" s="59">
        <f t="shared" si="392"/>
        <v>0</v>
      </c>
      <c r="X858" s="59">
        <f t="shared" si="392"/>
        <v>0</v>
      </c>
    </row>
    <row r="859" spans="2:24" hidden="1">
      <c r="B859" s="58" t="str">
        <f t="shared" si="381"/>
        <v/>
      </c>
      <c r="C859" s="58" t="str">
        <f t="shared" si="381"/>
        <v/>
      </c>
      <c r="D859" s="58" t="str">
        <f t="shared" si="381"/>
        <v/>
      </c>
      <c r="E859" s="58" t="str">
        <f t="shared" si="381"/>
        <v/>
      </c>
      <c r="F859" s="58"/>
      <c r="G859" s="58"/>
      <c r="H859" s="58"/>
      <c r="I859" s="58"/>
      <c r="J859" s="58"/>
      <c r="K859" s="59">
        <f t="shared" ref="K859:X859" si="393">IF(AND($C859="B+R",$E859="prace rozwojowe",LataProjekcji&lt;=Koniec_PR,Modul_badawczo_rozwojowy=tak),ROUND(K532,0),0)</f>
        <v>0</v>
      </c>
      <c r="L859" s="59">
        <f t="shared" si="393"/>
        <v>0</v>
      </c>
      <c r="M859" s="59">
        <f t="shared" si="393"/>
        <v>0</v>
      </c>
      <c r="N859" s="59">
        <f t="shared" si="393"/>
        <v>0</v>
      </c>
      <c r="O859" s="59">
        <f t="shared" si="393"/>
        <v>0</v>
      </c>
      <c r="P859" s="59">
        <f t="shared" si="393"/>
        <v>0</v>
      </c>
      <c r="Q859" s="59">
        <f t="shared" si="393"/>
        <v>0</v>
      </c>
      <c r="R859" s="59">
        <f t="shared" si="393"/>
        <v>0</v>
      </c>
      <c r="S859" s="59">
        <f t="shared" si="393"/>
        <v>0</v>
      </c>
      <c r="T859" s="59">
        <f t="shared" si="393"/>
        <v>0</v>
      </c>
      <c r="U859" s="59">
        <f t="shared" si="393"/>
        <v>0</v>
      </c>
      <c r="V859" s="59">
        <f t="shared" si="393"/>
        <v>0</v>
      </c>
      <c r="W859" s="59">
        <f t="shared" si="393"/>
        <v>0</v>
      </c>
      <c r="X859" s="59">
        <f t="shared" si="393"/>
        <v>0</v>
      </c>
    </row>
    <row r="860" spans="2:24" hidden="1">
      <c r="B860" s="58" t="str">
        <f t="shared" si="381"/>
        <v/>
      </c>
      <c r="C860" s="58" t="str">
        <f t="shared" si="381"/>
        <v/>
      </c>
      <c r="D860" s="58" t="str">
        <f t="shared" si="381"/>
        <v/>
      </c>
      <c r="E860" s="58" t="str">
        <f t="shared" si="381"/>
        <v/>
      </c>
      <c r="F860" s="58"/>
      <c r="G860" s="58"/>
      <c r="H860" s="58"/>
      <c r="I860" s="58"/>
      <c r="J860" s="58"/>
      <c r="K860" s="59">
        <f t="shared" ref="K860:X860" si="394">IF(AND($C860="B+R",$E860="prace rozwojowe",LataProjekcji&lt;=Koniec_PR,Modul_badawczo_rozwojowy=tak),ROUND(K533,0),0)</f>
        <v>0</v>
      </c>
      <c r="L860" s="59">
        <f t="shared" si="394"/>
        <v>0</v>
      </c>
      <c r="M860" s="59">
        <f t="shared" si="394"/>
        <v>0</v>
      </c>
      <c r="N860" s="59">
        <f t="shared" si="394"/>
        <v>0</v>
      </c>
      <c r="O860" s="59">
        <f t="shared" si="394"/>
        <v>0</v>
      </c>
      <c r="P860" s="59">
        <f t="shared" si="394"/>
        <v>0</v>
      </c>
      <c r="Q860" s="59">
        <f t="shared" si="394"/>
        <v>0</v>
      </c>
      <c r="R860" s="59">
        <f t="shared" si="394"/>
        <v>0</v>
      </c>
      <c r="S860" s="59">
        <f t="shared" si="394"/>
        <v>0</v>
      </c>
      <c r="T860" s="59">
        <f t="shared" si="394"/>
        <v>0</v>
      </c>
      <c r="U860" s="59">
        <f t="shared" si="394"/>
        <v>0</v>
      </c>
      <c r="V860" s="59">
        <f t="shared" si="394"/>
        <v>0</v>
      </c>
      <c r="W860" s="59">
        <f t="shared" si="394"/>
        <v>0</v>
      </c>
      <c r="X860" s="59">
        <f t="shared" si="394"/>
        <v>0</v>
      </c>
    </row>
    <row r="861" spans="2:24" hidden="1">
      <c r="B861" s="58" t="str">
        <f t="shared" si="381"/>
        <v/>
      </c>
      <c r="C861" s="58" t="str">
        <f t="shared" si="381"/>
        <v/>
      </c>
      <c r="D861" s="58" t="str">
        <f t="shared" si="381"/>
        <v/>
      </c>
      <c r="E861" s="58" t="str">
        <f t="shared" si="381"/>
        <v/>
      </c>
      <c r="F861" s="58"/>
      <c r="G861" s="58"/>
      <c r="H861" s="58"/>
      <c r="I861" s="58"/>
      <c r="J861" s="58"/>
      <c r="K861" s="59">
        <f t="shared" ref="K861:X861" si="395">IF(AND($C861="B+R",$E861="prace rozwojowe",LataProjekcji&lt;=Koniec_PR,Modul_badawczo_rozwojowy=tak),ROUND(K534,0),0)</f>
        <v>0</v>
      </c>
      <c r="L861" s="59">
        <f t="shared" si="395"/>
        <v>0</v>
      </c>
      <c r="M861" s="59">
        <f t="shared" si="395"/>
        <v>0</v>
      </c>
      <c r="N861" s="59">
        <f t="shared" si="395"/>
        <v>0</v>
      </c>
      <c r="O861" s="59">
        <f t="shared" si="395"/>
        <v>0</v>
      </c>
      <c r="P861" s="59">
        <f t="shared" si="395"/>
        <v>0</v>
      </c>
      <c r="Q861" s="59">
        <f t="shared" si="395"/>
        <v>0</v>
      </c>
      <c r="R861" s="59">
        <f t="shared" si="395"/>
        <v>0</v>
      </c>
      <c r="S861" s="59">
        <f t="shared" si="395"/>
        <v>0</v>
      </c>
      <c r="T861" s="59">
        <f t="shared" si="395"/>
        <v>0</v>
      </c>
      <c r="U861" s="59">
        <f t="shared" si="395"/>
        <v>0</v>
      </c>
      <c r="V861" s="59">
        <f t="shared" si="395"/>
        <v>0</v>
      </c>
      <c r="W861" s="59">
        <f t="shared" si="395"/>
        <v>0</v>
      </c>
      <c r="X861" s="59">
        <f t="shared" si="395"/>
        <v>0</v>
      </c>
    </row>
    <row r="862" spans="2:24" hidden="1">
      <c r="B862" s="58" t="str">
        <f t="shared" si="381"/>
        <v/>
      </c>
      <c r="C862" s="58" t="str">
        <f t="shared" si="381"/>
        <v/>
      </c>
      <c r="D862" s="58" t="str">
        <f t="shared" si="381"/>
        <v/>
      </c>
      <c r="E862" s="58" t="str">
        <f t="shared" si="381"/>
        <v/>
      </c>
      <c r="F862" s="58"/>
      <c r="G862" s="58"/>
      <c r="H862" s="58"/>
      <c r="I862" s="58"/>
      <c r="J862" s="58"/>
      <c r="K862" s="59">
        <f t="shared" ref="K862:X862" si="396">IF(AND($C862="B+R",$E862="prace rozwojowe",LataProjekcji&lt;=Koniec_PR,Modul_badawczo_rozwojowy=tak),ROUND(K535,0),0)</f>
        <v>0</v>
      </c>
      <c r="L862" s="59">
        <f t="shared" si="396"/>
        <v>0</v>
      </c>
      <c r="M862" s="59">
        <f t="shared" si="396"/>
        <v>0</v>
      </c>
      <c r="N862" s="59">
        <f t="shared" si="396"/>
        <v>0</v>
      </c>
      <c r="O862" s="59">
        <f t="shared" si="396"/>
        <v>0</v>
      </c>
      <c r="P862" s="59">
        <f t="shared" si="396"/>
        <v>0</v>
      </c>
      <c r="Q862" s="59">
        <f t="shared" si="396"/>
        <v>0</v>
      </c>
      <c r="R862" s="59">
        <f t="shared" si="396"/>
        <v>0</v>
      </c>
      <c r="S862" s="59">
        <f t="shared" si="396"/>
        <v>0</v>
      </c>
      <c r="T862" s="59">
        <f t="shared" si="396"/>
        <v>0</v>
      </c>
      <c r="U862" s="59">
        <f t="shared" si="396"/>
        <v>0</v>
      </c>
      <c r="V862" s="59">
        <f t="shared" si="396"/>
        <v>0</v>
      </c>
      <c r="W862" s="59">
        <f t="shared" si="396"/>
        <v>0</v>
      </c>
      <c r="X862" s="59">
        <f t="shared" si="396"/>
        <v>0</v>
      </c>
    </row>
    <row r="863" spans="2:24" hidden="1">
      <c r="B863" s="58" t="str">
        <f t="shared" si="381"/>
        <v/>
      </c>
      <c r="C863" s="58" t="str">
        <f t="shared" si="381"/>
        <v/>
      </c>
      <c r="D863" s="58" t="str">
        <f t="shared" si="381"/>
        <v/>
      </c>
      <c r="E863" s="58" t="str">
        <f t="shared" si="381"/>
        <v/>
      </c>
      <c r="F863" s="58"/>
      <c r="G863" s="58"/>
      <c r="H863" s="58"/>
      <c r="I863" s="58"/>
      <c r="J863" s="58"/>
      <c r="K863" s="59">
        <f t="shared" ref="K863:X863" si="397">IF(AND($C863="B+R",$E863="prace rozwojowe",LataProjekcji&lt;=Koniec_PR,Modul_badawczo_rozwojowy=tak),ROUND(K536,0),0)</f>
        <v>0</v>
      </c>
      <c r="L863" s="59">
        <f t="shared" si="397"/>
        <v>0</v>
      </c>
      <c r="M863" s="59">
        <f t="shared" si="397"/>
        <v>0</v>
      </c>
      <c r="N863" s="59">
        <f t="shared" si="397"/>
        <v>0</v>
      </c>
      <c r="O863" s="59">
        <f t="shared" si="397"/>
        <v>0</v>
      </c>
      <c r="P863" s="59">
        <f t="shared" si="397"/>
        <v>0</v>
      </c>
      <c r="Q863" s="59">
        <f t="shared" si="397"/>
        <v>0</v>
      </c>
      <c r="R863" s="59">
        <f t="shared" si="397"/>
        <v>0</v>
      </c>
      <c r="S863" s="59">
        <f t="shared" si="397"/>
        <v>0</v>
      </c>
      <c r="T863" s="59">
        <f t="shared" si="397"/>
        <v>0</v>
      </c>
      <c r="U863" s="59">
        <f t="shared" si="397"/>
        <v>0</v>
      </c>
      <c r="V863" s="59">
        <f t="shared" si="397"/>
        <v>0</v>
      </c>
      <c r="W863" s="59">
        <f t="shared" si="397"/>
        <v>0</v>
      </c>
      <c r="X863" s="59">
        <f t="shared" si="397"/>
        <v>0</v>
      </c>
    </row>
    <row r="864" spans="2:24" hidden="1">
      <c r="B864" s="58" t="str">
        <f t="shared" si="381"/>
        <v/>
      </c>
      <c r="C864" s="58" t="str">
        <f t="shared" si="381"/>
        <v/>
      </c>
      <c r="D864" s="58" t="str">
        <f t="shared" si="381"/>
        <v/>
      </c>
      <c r="E864" s="58" t="str">
        <f t="shared" si="381"/>
        <v/>
      </c>
      <c r="F864" s="58"/>
      <c r="G864" s="58"/>
      <c r="H864" s="58"/>
      <c r="I864" s="58"/>
      <c r="J864" s="58"/>
      <c r="K864" s="59">
        <f t="shared" ref="K864:X864" si="398">IF(AND($C864="B+R",$E864="prace rozwojowe",LataProjekcji&lt;=Koniec_PR,Modul_badawczo_rozwojowy=tak),ROUND(K537,0),0)</f>
        <v>0</v>
      </c>
      <c r="L864" s="59">
        <f t="shared" si="398"/>
        <v>0</v>
      </c>
      <c r="M864" s="59">
        <f t="shared" si="398"/>
        <v>0</v>
      </c>
      <c r="N864" s="59">
        <f t="shared" si="398"/>
        <v>0</v>
      </c>
      <c r="O864" s="59">
        <f t="shared" si="398"/>
        <v>0</v>
      </c>
      <c r="P864" s="59">
        <f t="shared" si="398"/>
        <v>0</v>
      </c>
      <c r="Q864" s="59">
        <f t="shared" si="398"/>
        <v>0</v>
      </c>
      <c r="R864" s="59">
        <f t="shared" si="398"/>
        <v>0</v>
      </c>
      <c r="S864" s="59">
        <f t="shared" si="398"/>
        <v>0</v>
      </c>
      <c r="T864" s="59">
        <f t="shared" si="398"/>
        <v>0</v>
      </c>
      <c r="U864" s="59">
        <f t="shared" si="398"/>
        <v>0</v>
      </c>
      <c r="V864" s="59">
        <f t="shared" si="398"/>
        <v>0</v>
      </c>
      <c r="W864" s="59">
        <f t="shared" si="398"/>
        <v>0</v>
      </c>
      <c r="X864" s="59">
        <f t="shared" si="398"/>
        <v>0</v>
      </c>
    </row>
    <row r="865" spans="2:24" hidden="1">
      <c r="B865" s="58" t="str">
        <f t="shared" si="381"/>
        <v/>
      </c>
      <c r="C865" s="58" t="str">
        <f t="shared" si="381"/>
        <v/>
      </c>
      <c r="D865" s="58" t="str">
        <f t="shared" si="381"/>
        <v/>
      </c>
      <c r="E865" s="58" t="str">
        <f t="shared" si="381"/>
        <v/>
      </c>
      <c r="F865" s="58"/>
      <c r="G865" s="58"/>
      <c r="H865" s="58"/>
      <c r="I865" s="58"/>
      <c r="J865" s="58"/>
      <c r="K865" s="59">
        <f t="shared" ref="K865:X865" si="399">IF(AND($C865="B+R",$E865="prace rozwojowe",LataProjekcji&lt;=Koniec_PR,Modul_badawczo_rozwojowy=tak),ROUND(K538,0),0)</f>
        <v>0</v>
      </c>
      <c r="L865" s="59">
        <f t="shared" si="399"/>
        <v>0</v>
      </c>
      <c r="M865" s="59">
        <f t="shared" si="399"/>
        <v>0</v>
      </c>
      <c r="N865" s="59">
        <f t="shared" si="399"/>
        <v>0</v>
      </c>
      <c r="O865" s="59">
        <f t="shared" si="399"/>
        <v>0</v>
      </c>
      <c r="P865" s="59">
        <f t="shared" si="399"/>
        <v>0</v>
      </c>
      <c r="Q865" s="59">
        <f t="shared" si="399"/>
        <v>0</v>
      </c>
      <c r="R865" s="59">
        <f t="shared" si="399"/>
        <v>0</v>
      </c>
      <c r="S865" s="59">
        <f t="shared" si="399"/>
        <v>0</v>
      </c>
      <c r="T865" s="59">
        <f t="shared" si="399"/>
        <v>0</v>
      </c>
      <c r="U865" s="59">
        <f t="shared" si="399"/>
        <v>0</v>
      </c>
      <c r="V865" s="59">
        <f t="shared" si="399"/>
        <v>0</v>
      </c>
      <c r="W865" s="59">
        <f t="shared" si="399"/>
        <v>0</v>
      </c>
      <c r="X865" s="59">
        <f t="shared" si="399"/>
        <v>0</v>
      </c>
    </row>
    <row r="866" spans="2:24" hidden="1">
      <c r="B866" s="58" t="str">
        <f t="shared" si="381"/>
        <v/>
      </c>
      <c r="C866" s="58" t="str">
        <f t="shared" si="381"/>
        <v/>
      </c>
      <c r="D866" s="58" t="str">
        <f t="shared" si="381"/>
        <v/>
      </c>
      <c r="E866" s="58" t="str">
        <f t="shared" si="381"/>
        <v/>
      </c>
      <c r="F866" s="58"/>
      <c r="G866" s="58"/>
      <c r="H866" s="58"/>
      <c r="I866" s="58"/>
      <c r="J866" s="58"/>
      <c r="K866" s="59">
        <f t="shared" ref="K866:X866" si="400">IF(AND($C866="B+R",$E866="prace rozwojowe",LataProjekcji&lt;=Koniec_PR,Modul_badawczo_rozwojowy=tak),ROUND(K539,0),0)</f>
        <v>0</v>
      </c>
      <c r="L866" s="59">
        <f t="shared" si="400"/>
        <v>0</v>
      </c>
      <c r="M866" s="59">
        <f t="shared" si="400"/>
        <v>0</v>
      </c>
      <c r="N866" s="59">
        <f t="shared" si="400"/>
        <v>0</v>
      </c>
      <c r="O866" s="59">
        <f t="shared" si="400"/>
        <v>0</v>
      </c>
      <c r="P866" s="59">
        <f t="shared" si="400"/>
        <v>0</v>
      </c>
      <c r="Q866" s="59">
        <f t="shared" si="400"/>
        <v>0</v>
      </c>
      <c r="R866" s="59">
        <f t="shared" si="400"/>
        <v>0</v>
      </c>
      <c r="S866" s="59">
        <f t="shared" si="400"/>
        <v>0</v>
      </c>
      <c r="T866" s="59">
        <f t="shared" si="400"/>
        <v>0</v>
      </c>
      <c r="U866" s="59">
        <f t="shared" si="400"/>
        <v>0</v>
      </c>
      <c r="V866" s="59">
        <f t="shared" si="400"/>
        <v>0</v>
      </c>
      <c r="W866" s="59">
        <f t="shared" si="400"/>
        <v>0</v>
      </c>
      <c r="X866" s="59">
        <f t="shared" si="400"/>
        <v>0</v>
      </c>
    </row>
    <row r="867" spans="2:24" hidden="1">
      <c r="B867" s="58" t="str">
        <f t="shared" si="381"/>
        <v/>
      </c>
      <c r="C867" s="58" t="str">
        <f t="shared" si="381"/>
        <v/>
      </c>
      <c r="D867" s="58" t="str">
        <f t="shared" si="381"/>
        <v/>
      </c>
      <c r="E867" s="58" t="str">
        <f t="shared" si="381"/>
        <v/>
      </c>
      <c r="F867" s="58"/>
      <c r="G867" s="58"/>
      <c r="H867" s="58"/>
      <c r="I867" s="58"/>
      <c r="J867" s="58"/>
      <c r="K867" s="59">
        <f t="shared" ref="K867:X867" si="401">IF(AND($C867="B+R",$E867="prace rozwojowe",LataProjekcji&lt;=Koniec_PR,Modul_badawczo_rozwojowy=tak),ROUND(K540,0),0)</f>
        <v>0</v>
      </c>
      <c r="L867" s="59">
        <f t="shared" si="401"/>
        <v>0</v>
      </c>
      <c r="M867" s="59">
        <f t="shared" si="401"/>
        <v>0</v>
      </c>
      <c r="N867" s="59">
        <f t="shared" si="401"/>
        <v>0</v>
      </c>
      <c r="O867" s="59">
        <f t="shared" si="401"/>
        <v>0</v>
      </c>
      <c r="P867" s="59">
        <f t="shared" si="401"/>
        <v>0</v>
      </c>
      <c r="Q867" s="59">
        <f t="shared" si="401"/>
        <v>0</v>
      </c>
      <c r="R867" s="59">
        <f t="shared" si="401"/>
        <v>0</v>
      </c>
      <c r="S867" s="59">
        <f t="shared" si="401"/>
        <v>0</v>
      </c>
      <c r="T867" s="59">
        <f t="shared" si="401"/>
        <v>0</v>
      </c>
      <c r="U867" s="59">
        <f t="shared" si="401"/>
        <v>0</v>
      </c>
      <c r="V867" s="59">
        <f t="shared" si="401"/>
        <v>0</v>
      </c>
      <c r="W867" s="59">
        <f t="shared" si="401"/>
        <v>0</v>
      </c>
      <c r="X867" s="59">
        <f t="shared" si="401"/>
        <v>0</v>
      </c>
    </row>
    <row r="868" spans="2:24" hidden="1">
      <c r="B868" s="58" t="str">
        <f t="shared" si="381"/>
        <v/>
      </c>
      <c r="C868" s="58" t="str">
        <f t="shared" si="381"/>
        <v/>
      </c>
      <c r="D868" s="58" t="str">
        <f t="shared" si="381"/>
        <v/>
      </c>
      <c r="E868" s="58" t="str">
        <f t="shared" si="381"/>
        <v/>
      </c>
      <c r="F868" s="58"/>
      <c r="G868" s="58"/>
      <c r="H868" s="58"/>
      <c r="I868" s="58"/>
      <c r="J868" s="58"/>
      <c r="K868" s="59">
        <f t="shared" ref="K868:X868" si="402">IF(AND($C868="B+R",$E868="prace rozwojowe",LataProjekcji&lt;=Koniec_PR,Modul_badawczo_rozwojowy=tak),ROUND(K541,0),0)</f>
        <v>0</v>
      </c>
      <c r="L868" s="59">
        <f t="shared" si="402"/>
        <v>0</v>
      </c>
      <c r="M868" s="59">
        <f t="shared" si="402"/>
        <v>0</v>
      </c>
      <c r="N868" s="59">
        <f t="shared" si="402"/>
        <v>0</v>
      </c>
      <c r="O868" s="59">
        <f t="shared" si="402"/>
        <v>0</v>
      </c>
      <c r="P868" s="59">
        <f t="shared" si="402"/>
        <v>0</v>
      </c>
      <c r="Q868" s="59">
        <f t="shared" si="402"/>
        <v>0</v>
      </c>
      <c r="R868" s="59">
        <f t="shared" si="402"/>
        <v>0</v>
      </c>
      <c r="S868" s="59">
        <f t="shared" si="402"/>
        <v>0</v>
      </c>
      <c r="T868" s="59">
        <f t="shared" si="402"/>
        <v>0</v>
      </c>
      <c r="U868" s="59">
        <f t="shared" si="402"/>
        <v>0</v>
      </c>
      <c r="V868" s="59">
        <f t="shared" si="402"/>
        <v>0</v>
      </c>
      <c r="W868" s="59">
        <f t="shared" si="402"/>
        <v>0</v>
      </c>
      <c r="X868" s="59">
        <f t="shared" si="402"/>
        <v>0</v>
      </c>
    </row>
    <row r="869" spans="2:24" hidden="1">
      <c r="B869" s="58" t="str">
        <f t="shared" si="381"/>
        <v/>
      </c>
      <c r="C869" s="58" t="str">
        <f t="shared" si="381"/>
        <v/>
      </c>
      <c r="D869" s="58" t="str">
        <f t="shared" si="381"/>
        <v/>
      </c>
      <c r="E869" s="58" t="str">
        <f t="shared" si="381"/>
        <v/>
      </c>
      <c r="F869" s="58"/>
      <c r="G869" s="58"/>
      <c r="H869" s="58"/>
      <c r="I869" s="58"/>
      <c r="J869" s="58"/>
      <c r="K869" s="59">
        <f t="shared" ref="K869:X869" si="403">IF(AND($C869="B+R",$E869="prace rozwojowe",LataProjekcji&lt;=Koniec_PR,Modul_badawczo_rozwojowy=tak),ROUND(K542,0),0)</f>
        <v>0</v>
      </c>
      <c r="L869" s="59">
        <f t="shared" si="403"/>
        <v>0</v>
      </c>
      <c r="M869" s="59">
        <f t="shared" si="403"/>
        <v>0</v>
      </c>
      <c r="N869" s="59">
        <f t="shared" si="403"/>
        <v>0</v>
      </c>
      <c r="O869" s="59">
        <f t="shared" si="403"/>
        <v>0</v>
      </c>
      <c r="P869" s="59">
        <f t="shared" si="403"/>
        <v>0</v>
      </c>
      <c r="Q869" s="59">
        <f t="shared" si="403"/>
        <v>0</v>
      </c>
      <c r="R869" s="59">
        <f t="shared" si="403"/>
        <v>0</v>
      </c>
      <c r="S869" s="59">
        <f t="shared" si="403"/>
        <v>0</v>
      </c>
      <c r="T869" s="59">
        <f t="shared" si="403"/>
        <v>0</v>
      </c>
      <c r="U869" s="59">
        <f t="shared" si="403"/>
        <v>0</v>
      </c>
      <c r="V869" s="59">
        <f t="shared" si="403"/>
        <v>0</v>
      </c>
      <c r="W869" s="59">
        <f t="shared" si="403"/>
        <v>0</v>
      </c>
      <c r="X869" s="59">
        <f t="shared" si="403"/>
        <v>0</v>
      </c>
    </row>
    <row r="870" spans="2:24" hidden="1">
      <c r="B870" s="58" t="str">
        <f t="shared" si="381"/>
        <v/>
      </c>
      <c r="C870" s="58" t="str">
        <f t="shared" si="381"/>
        <v/>
      </c>
      <c r="D870" s="58" t="str">
        <f t="shared" si="381"/>
        <v/>
      </c>
      <c r="E870" s="58" t="str">
        <f t="shared" si="381"/>
        <v/>
      </c>
      <c r="F870" s="58"/>
      <c r="G870" s="58"/>
      <c r="H870" s="58"/>
      <c r="I870" s="58"/>
      <c r="J870" s="58"/>
      <c r="K870" s="59">
        <f t="shared" ref="K870:X870" si="404">IF(AND($C870="B+R",$E870="prace rozwojowe",LataProjekcji&lt;=Koniec_PR,Modul_badawczo_rozwojowy=tak),ROUND(K543,0),0)</f>
        <v>0</v>
      </c>
      <c r="L870" s="59">
        <f t="shared" si="404"/>
        <v>0</v>
      </c>
      <c r="M870" s="59">
        <f t="shared" si="404"/>
        <v>0</v>
      </c>
      <c r="N870" s="59">
        <f t="shared" si="404"/>
        <v>0</v>
      </c>
      <c r="O870" s="59">
        <f t="shared" si="404"/>
        <v>0</v>
      </c>
      <c r="P870" s="59">
        <f t="shared" si="404"/>
        <v>0</v>
      </c>
      <c r="Q870" s="59">
        <f t="shared" si="404"/>
        <v>0</v>
      </c>
      <c r="R870" s="59">
        <f t="shared" si="404"/>
        <v>0</v>
      </c>
      <c r="S870" s="59">
        <f t="shared" si="404"/>
        <v>0</v>
      </c>
      <c r="T870" s="59">
        <f t="shared" si="404"/>
        <v>0</v>
      </c>
      <c r="U870" s="59">
        <f t="shared" si="404"/>
        <v>0</v>
      </c>
      <c r="V870" s="59">
        <f t="shared" si="404"/>
        <v>0</v>
      </c>
      <c r="W870" s="59">
        <f t="shared" si="404"/>
        <v>0</v>
      </c>
      <c r="X870" s="59">
        <f t="shared" si="404"/>
        <v>0</v>
      </c>
    </row>
    <row r="871" spans="2:24" hidden="1">
      <c r="B871" s="58" t="str">
        <f t="shared" si="381"/>
        <v/>
      </c>
      <c r="C871" s="58" t="str">
        <f t="shared" si="381"/>
        <v/>
      </c>
      <c r="D871" s="58" t="str">
        <f t="shared" si="381"/>
        <v/>
      </c>
      <c r="E871" s="58" t="str">
        <f t="shared" si="381"/>
        <v/>
      </c>
      <c r="F871" s="58"/>
      <c r="G871" s="58"/>
      <c r="H871" s="58"/>
      <c r="I871" s="58"/>
      <c r="J871" s="58"/>
      <c r="K871" s="59">
        <f t="shared" ref="K871:X871" si="405">IF(AND($C871="B+R",$E871="prace rozwojowe",LataProjekcji&lt;=Koniec_PR,Modul_badawczo_rozwojowy=tak),ROUND(K544,0),0)</f>
        <v>0</v>
      </c>
      <c r="L871" s="59">
        <f t="shared" si="405"/>
        <v>0</v>
      </c>
      <c r="M871" s="59">
        <f t="shared" si="405"/>
        <v>0</v>
      </c>
      <c r="N871" s="59">
        <f t="shared" si="405"/>
        <v>0</v>
      </c>
      <c r="O871" s="59">
        <f t="shared" si="405"/>
        <v>0</v>
      </c>
      <c r="P871" s="59">
        <f t="shared" si="405"/>
        <v>0</v>
      </c>
      <c r="Q871" s="59">
        <f t="shared" si="405"/>
        <v>0</v>
      </c>
      <c r="R871" s="59">
        <f t="shared" si="405"/>
        <v>0</v>
      </c>
      <c r="S871" s="59">
        <f t="shared" si="405"/>
        <v>0</v>
      </c>
      <c r="T871" s="59">
        <f t="shared" si="405"/>
        <v>0</v>
      </c>
      <c r="U871" s="59">
        <f t="shared" si="405"/>
        <v>0</v>
      </c>
      <c r="V871" s="59">
        <f t="shared" si="405"/>
        <v>0</v>
      </c>
      <c r="W871" s="59">
        <f t="shared" si="405"/>
        <v>0</v>
      </c>
      <c r="X871" s="59">
        <f t="shared" si="405"/>
        <v>0</v>
      </c>
    </row>
    <row r="872" spans="2:24" hidden="1">
      <c r="B872" s="58" t="str">
        <f t="shared" si="381"/>
        <v/>
      </c>
      <c r="C872" s="58" t="str">
        <f t="shared" si="381"/>
        <v/>
      </c>
      <c r="D872" s="58" t="str">
        <f t="shared" si="381"/>
        <v/>
      </c>
      <c r="E872" s="58" t="str">
        <f t="shared" si="381"/>
        <v/>
      </c>
      <c r="F872" s="58"/>
      <c r="G872" s="58"/>
      <c r="H872" s="58"/>
      <c r="I872" s="58"/>
      <c r="J872" s="58"/>
      <c r="K872" s="59">
        <f t="shared" ref="K872:X872" si="406">IF(AND($C872="B+R",$E872="prace rozwojowe",LataProjekcji&lt;=Koniec_PR,Modul_badawczo_rozwojowy=tak),ROUND(K545,0),0)</f>
        <v>0</v>
      </c>
      <c r="L872" s="59">
        <f t="shared" si="406"/>
        <v>0</v>
      </c>
      <c r="M872" s="59">
        <f t="shared" si="406"/>
        <v>0</v>
      </c>
      <c r="N872" s="59">
        <f t="shared" si="406"/>
        <v>0</v>
      </c>
      <c r="O872" s="59">
        <f t="shared" si="406"/>
        <v>0</v>
      </c>
      <c r="P872" s="59">
        <f t="shared" si="406"/>
        <v>0</v>
      </c>
      <c r="Q872" s="59">
        <f t="shared" si="406"/>
        <v>0</v>
      </c>
      <c r="R872" s="59">
        <f t="shared" si="406"/>
        <v>0</v>
      </c>
      <c r="S872" s="59">
        <f t="shared" si="406"/>
        <v>0</v>
      </c>
      <c r="T872" s="59">
        <f t="shared" si="406"/>
        <v>0</v>
      </c>
      <c r="U872" s="59">
        <f t="shared" si="406"/>
        <v>0</v>
      </c>
      <c r="V872" s="59">
        <f t="shared" si="406"/>
        <v>0</v>
      </c>
      <c r="W872" s="59">
        <f t="shared" si="406"/>
        <v>0</v>
      </c>
      <c r="X872" s="59">
        <f t="shared" si="406"/>
        <v>0</v>
      </c>
    </row>
    <row r="873" spans="2:24" hidden="1">
      <c r="B873" s="58" t="str">
        <f t="shared" si="381"/>
        <v/>
      </c>
      <c r="C873" s="58" t="str">
        <f t="shared" si="381"/>
        <v/>
      </c>
      <c r="D873" s="58" t="str">
        <f t="shared" si="381"/>
        <v/>
      </c>
      <c r="E873" s="58" t="str">
        <f t="shared" si="381"/>
        <v/>
      </c>
      <c r="F873" s="58"/>
      <c r="G873" s="58"/>
      <c r="H873" s="58"/>
      <c r="I873" s="58"/>
      <c r="J873" s="58"/>
      <c r="K873" s="59">
        <f t="shared" ref="K873:X873" si="407">IF(AND($C873="B+R",$E873="prace rozwojowe",LataProjekcji&lt;=Koniec_PR,Modul_badawczo_rozwojowy=tak),ROUND(K546,0),0)</f>
        <v>0</v>
      </c>
      <c r="L873" s="59">
        <f t="shared" si="407"/>
        <v>0</v>
      </c>
      <c r="M873" s="59">
        <f t="shared" si="407"/>
        <v>0</v>
      </c>
      <c r="N873" s="59">
        <f t="shared" si="407"/>
        <v>0</v>
      </c>
      <c r="O873" s="59">
        <f t="shared" si="407"/>
        <v>0</v>
      </c>
      <c r="P873" s="59">
        <f t="shared" si="407"/>
        <v>0</v>
      </c>
      <c r="Q873" s="59">
        <f t="shared" si="407"/>
        <v>0</v>
      </c>
      <c r="R873" s="59">
        <f t="shared" si="407"/>
        <v>0</v>
      </c>
      <c r="S873" s="59">
        <f t="shared" si="407"/>
        <v>0</v>
      </c>
      <c r="T873" s="59">
        <f t="shared" si="407"/>
        <v>0</v>
      </c>
      <c r="U873" s="59">
        <f t="shared" si="407"/>
        <v>0</v>
      </c>
      <c r="V873" s="59">
        <f t="shared" si="407"/>
        <v>0</v>
      </c>
      <c r="W873" s="59">
        <f t="shared" si="407"/>
        <v>0</v>
      </c>
      <c r="X873" s="59">
        <f t="shared" si="407"/>
        <v>0</v>
      </c>
    </row>
    <row r="874" spans="2:24" hidden="1">
      <c r="B874" s="58" t="str">
        <f t="shared" si="381"/>
        <v/>
      </c>
      <c r="C874" s="58" t="str">
        <f t="shared" si="381"/>
        <v/>
      </c>
      <c r="D874" s="58" t="str">
        <f t="shared" si="381"/>
        <v/>
      </c>
      <c r="E874" s="58" t="str">
        <f t="shared" si="381"/>
        <v/>
      </c>
      <c r="F874" s="58"/>
      <c r="G874" s="58"/>
      <c r="H874" s="58"/>
      <c r="I874" s="58"/>
      <c r="J874" s="58"/>
      <c r="K874" s="59">
        <f t="shared" ref="K874:X874" si="408">IF(AND($C874="B+R",$E874="prace rozwojowe",LataProjekcji&lt;=Koniec_PR,Modul_badawczo_rozwojowy=tak),ROUND(K547,0),0)</f>
        <v>0</v>
      </c>
      <c r="L874" s="59">
        <f t="shared" si="408"/>
        <v>0</v>
      </c>
      <c r="M874" s="59">
        <f t="shared" si="408"/>
        <v>0</v>
      </c>
      <c r="N874" s="59">
        <f t="shared" si="408"/>
        <v>0</v>
      </c>
      <c r="O874" s="59">
        <f t="shared" si="408"/>
        <v>0</v>
      </c>
      <c r="P874" s="59">
        <f t="shared" si="408"/>
        <v>0</v>
      </c>
      <c r="Q874" s="59">
        <f t="shared" si="408"/>
        <v>0</v>
      </c>
      <c r="R874" s="59">
        <f t="shared" si="408"/>
        <v>0</v>
      </c>
      <c r="S874" s="59">
        <f t="shared" si="408"/>
        <v>0</v>
      </c>
      <c r="T874" s="59">
        <f t="shared" si="408"/>
        <v>0</v>
      </c>
      <c r="U874" s="59">
        <f t="shared" si="408"/>
        <v>0</v>
      </c>
      <c r="V874" s="59">
        <f t="shared" si="408"/>
        <v>0</v>
      </c>
      <c r="W874" s="59">
        <f t="shared" si="408"/>
        <v>0</v>
      </c>
      <c r="X874" s="59">
        <f t="shared" si="408"/>
        <v>0</v>
      </c>
    </row>
    <row r="875" spans="2:24" hidden="1">
      <c r="B875" s="58" t="str">
        <f t="shared" si="381"/>
        <v/>
      </c>
      <c r="C875" s="58" t="str">
        <f t="shared" si="381"/>
        <v/>
      </c>
      <c r="D875" s="58" t="str">
        <f t="shared" si="381"/>
        <v/>
      </c>
      <c r="E875" s="58" t="str">
        <f t="shared" si="381"/>
        <v/>
      </c>
      <c r="F875" s="58"/>
      <c r="G875" s="58"/>
      <c r="H875" s="58"/>
      <c r="I875" s="58"/>
      <c r="J875" s="58"/>
      <c r="K875" s="59">
        <f t="shared" ref="K875:X875" si="409">IF(AND($C875="B+R",$E875="prace rozwojowe",LataProjekcji&lt;=Koniec_PR,Modul_badawczo_rozwojowy=tak),ROUND(K548,0),0)</f>
        <v>0</v>
      </c>
      <c r="L875" s="59">
        <f t="shared" si="409"/>
        <v>0</v>
      </c>
      <c r="M875" s="59">
        <f t="shared" si="409"/>
        <v>0</v>
      </c>
      <c r="N875" s="59">
        <f t="shared" si="409"/>
        <v>0</v>
      </c>
      <c r="O875" s="59">
        <f t="shared" si="409"/>
        <v>0</v>
      </c>
      <c r="P875" s="59">
        <f t="shared" si="409"/>
        <v>0</v>
      </c>
      <c r="Q875" s="59">
        <f t="shared" si="409"/>
        <v>0</v>
      </c>
      <c r="R875" s="59">
        <f t="shared" si="409"/>
        <v>0</v>
      </c>
      <c r="S875" s="59">
        <f t="shared" si="409"/>
        <v>0</v>
      </c>
      <c r="T875" s="59">
        <f t="shared" si="409"/>
        <v>0</v>
      </c>
      <c r="U875" s="59">
        <f t="shared" si="409"/>
        <v>0</v>
      </c>
      <c r="V875" s="59">
        <f t="shared" si="409"/>
        <v>0</v>
      </c>
      <c r="W875" s="59">
        <f t="shared" si="409"/>
        <v>0</v>
      </c>
      <c r="X875" s="59">
        <f t="shared" si="409"/>
        <v>0</v>
      </c>
    </row>
    <row r="876" spans="2:24" hidden="1">
      <c r="B876" s="58" t="str">
        <f t="shared" si="381"/>
        <v/>
      </c>
      <c r="C876" s="58" t="str">
        <f t="shared" si="381"/>
        <v/>
      </c>
      <c r="D876" s="58" t="str">
        <f t="shared" si="381"/>
        <v/>
      </c>
      <c r="E876" s="58" t="str">
        <f t="shared" si="381"/>
        <v/>
      </c>
      <c r="F876" s="58"/>
      <c r="G876" s="58"/>
      <c r="H876" s="58"/>
      <c r="I876" s="58"/>
      <c r="J876" s="58"/>
      <c r="K876" s="59">
        <f t="shared" ref="K876:X876" si="410">IF(AND($C876="B+R",$E876="prace rozwojowe",LataProjekcji&lt;=Koniec_PR,Modul_badawczo_rozwojowy=tak),ROUND(K549,0),0)</f>
        <v>0</v>
      </c>
      <c r="L876" s="59">
        <f t="shared" si="410"/>
        <v>0</v>
      </c>
      <c r="M876" s="59">
        <f t="shared" si="410"/>
        <v>0</v>
      </c>
      <c r="N876" s="59">
        <f t="shared" si="410"/>
        <v>0</v>
      </c>
      <c r="O876" s="59">
        <f t="shared" si="410"/>
        <v>0</v>
      </c>
      <c r="P876" s="59">
        <f t="shared" si="410"/>
        <v>0</v>
      </c>
      <c r="Q876" s="59">
        <f t="shared" si="410"/>
        <v>0</v>
      </c>
      <c r="R876" s="59">
        <f t="shared" si="410"/>
        <v>0</v>
      </c>
      <c r="S876" s="59">
        <f t="shared" si="410"/>
        <v>0</v>
      </c>
      <c r="T876" s="59">
        <f t="shared" si="410"/>
        <v>0</v>
      </c>
      <c r="U876" s="59">
        <f t="shared" si="410"/>
        <v>0</v>
      </c>
      <c r="V876" s="59">
        <f t="shared" si="410"/>
        <v>0</v>
      </c>
      <c r="W876" s="59">
        <f t="shared" si="410"/>
        <v>0</v>
      </c>
      <c r="X876" s="59">
        <f t="shared" si="410"/>
        <v>0</v>
      </c>
    </row>
    <row r="877" spans="2:24" hidden="1">
      <c r="B877" s="58" t="str">
        <f t="shared" si="381"/>
        <v/>
      </c>
      <c r="C877" s="58" t="str">
        <f t="shared" si="381"/>
        <v/>
      </c>
      <c r="D877" s="58" t="str">
        <f t="shared" si="381"/>
        <v/>
      </c>
      <c r="E877" s="58" t="str">
        <f t="shared" si="381"/>
        <v/>
      </c>
      <c r="F877" s="58"/>
      <c r="G877" s="58"/>
      <c r="H877" s="58"/>
      <c r="I877" s="58"/>
      <c r="J877" s="58"/>
      <c r="K877" s="59">
        <f t="shared" ref="K877:X877" si="411">IF(AND($C877="B+R",$E877="prace rozwojowe",LataProjekcji&lt;=Koniec_PR,Modul_badawczo_rozwojowy=tak),ROUND(K550,0),0)</f>
        <v>0</v>
      </c>
      <c r="L877" s="59">
        <f t="shared" si="411"/>
        <v>0</v>
      </c>
      <c r="M877" s="59">
        <f t="shared" si="411"/>
        <v>0</v>
      </c>
      <c r="N877" s="59">
        <f t="shared" si="411"/>
        <v>0</v>
      </c>
      <c r="O877" s="59">
        <f t="shared" si="411"/>
        <v>0</v>
      </c>
      <c r="P877" s="59">
        <f t="shared" si="411"/>
        <v>0</v>
      </c>
      <c r="Q877" s="59">
        <f t="shared" si="411"/>
        <v>0</v>
      </c>
      <c r="R877" s="59">
        <f t="shared" si="411"/>
        <v>0</v>
      </c>
      <c r="S877" s="59">
        <f t="shared" si="411"/>
        <v>0</v>
      </c>
      <c r="T877" s="59">
        <f t="shared" si="411"/>
        <v>0</v>
      </c>
      <c r="U877" s="59">
        <f t="shared" si="411"/>
        <v>0</v>
      </c>
      <c r="V877" s="59">
        <f t="shared" si="411"/>
        <v>0</v>
      </c>
      <c r="W877" s="59">
        <f t="shared" si="411"/>
        <v>0</v>
      </c>
      <c r="X877" s="59">
        <f t="shared" si="411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2">ROUND(SUM(L848:L877),0)</f>
        <v>0</v>
      </c>
      <c r="M878" s="60">
        <f t="shared" si="412"/>
        <v>0</v>
      </c>
      <c r="N878" s="60">
        <f t="shared" si="412"/>
        <v>0</v>
      </c>
      <c r="O878" s="60">
        <f t="shared" si="412"/>
        <v>0</v>
      </c>
      <c r="P878" s="60">
        <f t="shared" si="412"/>
        <v>0</v>
      </c>
      <c r="Q878" s="60">
        <f t="shared" si="412"/>
        <v>0</v>
      </c>
      <c r="R878" s="60">
        <f t="shared" si="412"/>
        <v>0</v>
      </c>
      <c r="S878" s="60">
        <f t="shared" si="412"/>
        <v>0</v>
      </c>
      <c r="T878" s="60">
        <f t="shared" si="412"/>
        <v>0</v>
      </c>
      <c r="U878" s="60">
        <f t="shared" si="412"/>
        <v>0</v>
      </c>
      <c r="V878" s="60">
        <f t="shared" si="412"/>
        <v>0</v>
      </c>
      <c r="W878" s="60">
        <f t="shared" si="412"/>
        <v>0</v>
      </c>
      <c r="X878" s="60">
        <f t="shared" si="412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3">ROUND(SUM(L882:L886),0)</f>
        <v>0</v>
      </c>
      <c r="M887" s="60">
        <f t="shared" si="413"/>
        <v>0</v>
      </c>
      <c r="N887" s="60">
        <f t="shared" si="413"/>
        <v>0</v>
      </c>
      <c r="O887" s="60">
        <f t="shared" si="413"/>
        <v>0</v>
      </c>
      <c r="P887" s="60">
        <f t="shared" si="413"/>
        <v>0</v>
      </c>
      <c r="Q887" s="60">
        <f t="shared" si="413"/>
        <v>0</v>
      </c>
      <c r="R887" s="60">
        <f t="shared" si="413"/>
        <v>0</v>
      </c>
      <c r="S887" s="60">
        <f t="shared" si="413"/>
        <v>0</v>
      </c>
      <c r="T887" s="60">
        <f t="shared" si="413"/>
        <v>0</v>
      </c>
      <c r="U887" s="60">
        <f t="shared" si="413"/>
        <v>0</v>
      </c>
      <c r="V887" s="60">
        <f t="shared" si="413"/>
        <v>0</v>
      </c>
      <c r="W887" s="60">
        <f t="shared" si="413"/>
        <v>0</v>
      </c>
      <c r="X887" s="60">
        <f t="shared" si="413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4">IF(ISBLANK(B586),"",B586)</f>
        <v/>
      </c>
      <c r="C891" s="58" t="str">
        <f t="shared" si="414"/>
        <v/>
      </c>
      <c r="D891" s="58" t="str">
        <f t="shared" si="414"/>
        <v/>
      </c>
      <c r="E891" s="58" t="str">
        <f t="shared" si="414"/>
        <v/>
      </c>
      <c r="F891" s="58"/>
      <c r="G891" s="58"/>
      <c r="H891" s="58"/>
      <c r="I891" s="58"/>
      <c r="J891" s="58" t="s">
        <v>736</v>
      </c>
      <c r="K891" s="59">
        <f t="shared" ref="K891:X891" si="415">IF(AND($C891="B+R",$E891="prace rozwojowe",LataProjekcji&lt;=Koniec_PR,Modul_badawczo_rozwojowy=tak),ROUND(K586,0),0)</f>
        <v>0</v>
      </c>
      <c r="L891" s="59">
        <f t="shared" si="415"/>
        <v>0</v>
      </c>
      <c r="M891" s="59">
        <f t="shared" si="415"/>
        <v>0</v>
      </c>
      <c r="N891" s="59">
        <f t="shared" si="415"/>
        <v>0</v>
      </c>
      <c r="O891" s="59">
        <f t="shared" si="415"/>
        <v>0</v>
      </c>
      <c r="P891" s="59">
        <f t="shared" si="415"/>
        <v>0</v>
      </c>
      <c r="Q891" s="59">
        <f t="shared" si="415"/>
        <v>0</v>
      </c>
      <c r="R891" s="59">
        <f t="shared" si="415"/>
        <v>0</v>
      </c>
      <c r="S891" s="59">
        <f t="shared" si="415"/>
        <v>0</v>
      </c>
      <c r="T891" s="59">
        <f t="shared" si="415"/>
        <v>0</v>
      </c>
      <c r="U891" s="59">
        <f t="shared" si="415"/>
        <v>0</v>
      </c>
      <c r="V891" s="59">
        <f t="shared" si="415"/>
        <v>0</v>
      </c>
      <c r="W891" s="59">
        <f t="shared" si="415"/>
        <v>0</v>
      </c>
      <c r="X891" s="59">
        <f t="shared" si="415"/>
        <v>0</v>
      </c>
    </row>
    <row r="892" spans="2:24" hidden="1">
      <c r="B892" s="58" t="str">
        <f t="shared" si="414"/>
        <v/>
      </c>
      <c r="C892" s="58" t="str">
        <f t="shared" si="414"/>
        <v/>
      </c>
      <c r="D892" s="58" t="str">
        <f t="shared" si="414"/>
        <v/>
      </c>
      <c r="E892" s="58" t="str">
        <f t="shared" si="414"/>
        <v/>
      </c>
      <c r="F892" s="58"/>
      <c r="G892" s="58"/>
      <c r="H892" s="58"/>
      <c r="I892" s="58"/>
      <c r="J892" s="58"/>
      <c r="K892" s="59">
        <f t="shared" ref="K892:X892" si="416">IF(AND($C892="B+R",$E892="prace rozwojowe",LataProjekcji&lt;=Koniec_PR,Modul_badawczo_rozwojowy=tak),ROUND(K587,0),0)</f>
        <v>0</v>
      </c>
      <c r="L892" s="59">
        <f t="shared" si="416"/>
        <v>0</v>
      </c>
      <c r="M892" s="59">
        <f t="shared" si="416"/>
        <v>0</v>
      </c>
      <c r="N892" s="59">
        <f t="shared" si="416"/>
        <v>0</v>
      </c>
      <c r="O892" s="59">
        <f t="shared" si="416"/>
        <v>0</v>
      </c>
      <c r="P892" s="59">
        <f t="shared" si="416"/>
        <v>0</v>
      </c>
      <c r="Q892" s="59">
        <f t="shared" si="416"/>
        <v>0</v>
      </c>
      <c r="R892" s="59">
        <f t="shared" si="416"/>
        <v>0</v>
      </c>
      <c r="S892" s="59">
        <f t="shared" si="416"/>
        <v>0</v>
      </c>
      <c r="T892" s="59">
        <f t="shared" si="416"/>
        <v>0</v>
      </c>
      <c r="U892" s="59">
        <f t="shared" si="416"/>
        <v>0</v>
      </c>
      <c r="V892" s="59">
        <f t="shared" si="416"/>
        <v>0</v>
      </c>
      <c r="W892" s="59">
        <f t="shared" si="416"/>
        <v>0</v>
      </c>
      <c r="X892" s="59">
        <f t="shared" si="416"/>
        <v>0</v>
      </c>
    </row>
    <row r="893" spans="2:24" hidden="1">
      <c r="B893" s="58" t="str">
        <f t="shared" si="414"/>
        <v/>
      </c>
      <c r="C893" s="58" t="str">
        <f t="shared" si="414"/>
        <v/>
      </c>
      <c r="D893" s="58" t="str">
        <f t="shared" si="414"/>
        <v/>
      </c>
      <c r="E893" s="58" t="str">
        <f t="shared" si="414"/>
        <v/>
      </c>
      <c r="F893" s="58"/>
      <c r="G893" s="58"/>
      <c r="H893" s="58"/>
      <c r="I893" s="58"/>
      <c r="J893" s="58"/>
      <c r="K893" s="59">
        <f t="shared" ref="K893:X893" si="417">IF(AND($C893="B+R",$E893="prace rozwojowe",LataProjekcji&lt;=Koniec_PR,Modul_badawczo_rozwojowy=tak),ROUND(K588,0),0)</f>
        <v>0</v>
      </c>
      <c r="L893" s="59">
        <f t="shared" si="417"/>
        <v>0</v>
      </c>
      <c r="M893" s="59">
        <f t="shared" si="417"/>
        <v>0</v>
      </c>
      <c r="N893" s="59">
        <f t="shared" si="417"/>
        <v>0</v>
      </c>
      <c r="O893" s="59">
        <f t="shared" si="417"/>
        <v>0</v>
      </c>
      <c r="P893" s="59">
        <f t="shared" si="417"/>
        <v>0</v>
      </c>
      <c r="Q893" s="59">
        <f t="shared" si="417"/>
        <v>0</v>
      </c>
      <c r="R893" s="59">
        <f t="shared" si="417"/>
        <v>0</v>
      </c>
      <c r="S893" s="59">
        <f t="shared" si="417"/>
        <v>0</v>
      </c>
      <c r="T893" s="59">
        <f t="shared" si="417"/>
        <v>0</v>
      </c>
      <c r="U893" s="59">
        <f t="shared" si="417"/>
        <v>0</v>
      </c>
      <c r="V893" s="59">
        <f t="shared" si="417"/>
        <v>0</v>
      </c>
      <c r="W893" s="59">
        <f t="shared" si="417"/>
        <v>0</v>
      </c>
      <c r="X893" s="59">
        <f t="shared" si="417"/>
        <v>0</v>
      </c>
    </row>
    <row r="894" spans="2:24" hidden="1">
      <c r="B894" s="58" t="str">
        <f t="shared" si="414"/>
        <v/>
      </c>
      <c r="C894" s="58" t="str">
        <f t="shared" si="414"/>
        <v/>
      </c>
      <c r="D894" s="58" t="str">
        <f t="shared" si="414"/>
        <v/>
      </c>
      <c r="E894" s="58" t="str">
        <f t="shared" si="414"/>
        <v/>
      </c>
      <c r="F894" s="58"/>
      <c r="G894" s="58"/>
      <c r="H894" s="58"/>
      <c r="I894" s="58"/>
      <c r="J894" s="58"/>
      <c r="K894" s="59">
        <f t="shared" ref="K894:X894" si="418">IF(AND($C894="B+R",$E894="prace rozwojowe",LataProjekcji&lt;=Koniec_PR,Modul_badawczo_rozwojowy=tak),ROUND(K589,0),0)</f>
        <v>0</v>
      </c>
      <c r="L894" s="59">
        <f t="shared" si="418"/>
        <v>0</v>
      </c>
      <c r="M894" s="59">
        <f t="shared" si="418"/>
        <v>0</v>
      </c>
      <c r="N894" s="59">
        <f t="shared" si="418"/>
        <v>0</v>
      </c>
      <c r="O894" s="59">
        <f t="shared" si="418"/>
        <v>0</v>
      </c>
      <c r="P894" s="59">
        <f t="shared" si="418"/>
        <v>0</v>
      </c>
      <c r="Q894" s="59">
        <f t="shared" si="418"/>
        <v>0</v>
      </c>
      <c r="R894" s="59">
        <f t="shared" si="418"/>
        <v>0</v>
      </c>
      <c r="S894" s="59">
        <f t="shared" si="418"/>
        <v>0</v>
      </c>
      <c r="T894" s="59">
        <f t="shared" si="418"/>
        <v>0</v>
      </c>
      <c r="U894" s="59">
        <f t="shared" si="418"/>
        <v>0</v>
      </c>
      <c r="V894" s="59">
        <f t="shared" si="418"/>
        <v>0</v>
      </c>
      <c r="W894" s="59">
        <f t="shared" si="418"/>
        <v>0</v>
      </c>
      <c r="X894" s="59">
        <f t="shared" si="418"/>
        <v>0</v>
      </c>
    </row>
    <row r="895" spans="2:24" hidden="1">
      <c r="B895" s="58" t="str">
        <f t="shared" si="414"/>
        <v/>
      </c>
      <c r="C895" s="58" t="str">
        <f t="shared" si="414"/>
        <v/>
      </c>
      <c r="D895" s="58" t="str">
        <f t="shared" si="414"/>
        <v/>
      </c>
      <c r="E895" s="58" t="str">
        <f t="shared" si="414"/>
        <v/>
      </c>
      <c r="F895" s="58"/>
      <c r="G895" s="58"/>
      <c r="H895" s="58"/>
      <c r="I895" s="58"/>
      <c r="J895" s="58"/>
      <c r="K895" s="59">
        <f t="shared" ref="K895:X895" si="419">IF(AND($C895="B+R",$E895="prace rozwojowe",LataProjekcji&lt;=Koniec_PR,Modul_badawczo_rozwojowy=tak),ROUND(K590,0),0)</f>
        <v>0</v>
      </c>
      <c r="L895" s="59">
        <f t="shared" si="419"/>
        <v>0</v>
      </c>
      <c r="M895" s="59">
        <f t="shared" si="419"/>
        <v>0</v>
      </c>
      <c r="N895" s="59">
        <f t="shared" si="419"/>
        <v>0</v>
      </c>
      <c r="O895" s="59">
        <f t="shared" si="419"/>
        <v>0</v>
      </c>
      <c r="P895" s="59">
        <f t="shared" si="419"/>
        <v>0</v>
      </c>
      <c r="Q895" s="59">
        <f t="shared" si="419"/>
        <v>0</v>
      </c>
      <c r="R895" s="59">
        <f t="shared" si="419"/>
        <v>0</v>
      </c>
      <c r="S895" s="59">
        <f t="shared" si="419"/>
        <v>0</v>
      </c>
      <c r="T895" s="59">
        <f t="shared" si="419"/>
        <v>0</v>
      </c>
      <c r="U895" s="59">
        <f t="shared" si="419"/>
        <v>0</v>
      </c>
      <c r="V895" s="59">
        <f t="shared" si="419"/>
        <v>0</v>
      </c>
      <c r="W895" s="59">
        <f t="shared" si="419"/>
        <v>0</v>
      </c>
      <c r="X895" s="59">
        <f t="shared" si="419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0">ROUND(SUM(L891:L895),0)</f>
        <v>0</v>
      </c>
      <c r="M896" s="60">
        <f t="shared" si="420"/>
        <v>0</v>
      </c>
      <c r="N896" s="60">
        <f t="shared" si="420"/>
        <v>0</v>
      </c>
      <c r="O896" s="60">
        <f t="shared" si="420"/>
        <v>0</v>
      </c>
      <c r="P896" s="60">
        <f t="shared" si="420"/>
        <v>0</v>
      </c>
      <c r="Q896" s="60">
        <f t="shared" si="420"/>
        <v>0</v>
      </c>
      <c r="R896" s="60">
        <f t="shared" si="420"/>
        <v>0</v>
      </c>
      <c r="S896" s="60">
        <f t="shared" si="420"/>
        <v>0</v>
      </c>
      <c r="T896" s="60">
        <f t="shared" si="420"/>
        <v>0</v>
      </c>
      <c r="U896" s="60">
        <f t="shared" si="420"/>
        <v>0</v>
      </c>
      <c r="V896" s="60">
        <f t="shared" si="420"/>
        <v>0</v>
      </c>
      <c r="W896" s="60">
        <f t="shared" si="420"/>
        <v>0</v>
      </c>
      <c r="X896" s="60">
        <f t="shared" si="420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1">IF(ISBLANK(B595),"",B595)</f>
        <v>Koszty z tytułu oprocentowania kredytów i pożyczek</v>
      </c>
      <c r="C900" s="58" t="str">
        <f t="shared" si="421"/>
        <v/>
      </c>
      <c r="D900" s="58" t="str">
        <f t="shared" si="421"/>
        <v/>
      </c>
      <c r="E900" s="58" t="str">
        <f t="shared" si="421"/>
        <v/>
      </c>
      <c r="F900" s="58"/>
      <c r="G900" s="58"/>
      <c r="H900" s="58"/>
      <c r="I900" s="58"/>
      <c r="J900" s="58" t="s">
        <v>737</v>
      </c>
      <c r="K900" s="59">
        <f t="shared" ref="K900:X900" si="422">IF(AND($C900="B+R",$E900="prace rozwojowe",LataProjekcji&lt;=Koniec_PR,Modul_badawczo_rozwojowy=tak),ROUND(K595,0),0)</f>
        <v>0</v>
      </c>
      <c r="L900" s="59">
        <f t="shared" si="422"/>
        <v>0</v>
      </c>
      <c r="M900" s="59">
        <f t="shared" si="422"/>
        <v>0</v>
      </c>
      <c r="N900" s="59">
        <f t="shared" si="422"/>
        <v>0</v>
      </c>
      <c r="O900" s="59">
        <f t="shared" si="422"/>
        <v>0</v>
      </c>
      <c r="P900" s="59">
        <f t="shared" si="422"/>
        <v>0</v>
      </c>
      <c r="Q900" s="59">
        <f t="shared" si="422"/>
        <v>0</v>
      </c>
      <c r="R900" s="59">
        <f t="shared" si="422"/>
        <v>0</v>
      </c>
      <c r="S900" s="59">
        <f t="shared" si="422"/>
        <v>0</v>
      </c>
      <c r="T900" s="59">
        <f t="shared" si="422"/>
        <v>0</v>
      </c>
      <c r="U900" s="59">
        <f t="shared" si="422"/>
        <v>0</v>
      </c>
      <c r="V900" s="59">
        <f t="shared" si="422"/>
        <v>0</v>
      </c>
      <c r="W900" s="59">
        <f t="shared" si="422"/>
        <v>0</v>
      </c>
      <c r="X900" s="59">
        <f t="shared" si="422"/>
        <v>0</v>
      </c>
    </row>
    <row r="901" spans="2:24" hidden="1">
      <c r="B901" s="58" t="str">
        <f t="shared" si="421"/>
        <v/>
      </c>
      <c r="C901" s="58" t="str">
        <f t="shared" si="421"/>
        <v/>
      </c>
      <c r="D901" s="58" t="str">
        <f t="shared" si="421"/>
        <v/>
      </c>
      <c r="E901" s="58" t="str">
        <f t="shared" si="421"/>
        <v/>
      </c>
      <c r="F901" s="58"/>
      <c r="G901" s="58"/>
      <c r="H901" s="58"/>
      <c r="I901" s="58"/>
      <c r="J901" s="58"/>
      <c r="K901" s="59">
        <f t="shared" ref="K901:X901" si="423">IF(AND($C901="B+R",$E901="prace rozwojowe",LataProjekcji&lt;=Koniec_PR,Modul_badawczo_rozwojowy=tak),ROUND(K596,0),0)</f>
        <v>0</v>
      </c>
      <c r="L901" s="59">
        <f t="shared" si="423"/>
        <v>0</v>
      </c>
      <c r="M901" s="59">
        <f t="shared" si="423"/>
        <v>0</v>
      </c>
      <c r="N901" s="59">
        <f t="shared" si="423"/>
        <v>0</v>
      </c>
      <c r="O901" s="59">
        <f t="shared" si="423"/>
        <v>0</v>
      </c>
      <c r="P901" s="59">
        <f t="shared" si="423"/>
        <v>0</v>
      </c>
      <c r="Q901" s="59">
        <f t="shared" si="423"/>
        <v>0</v>
      </c>
      <c r="R901" s="59">
        <f t="shared" si="423"/>
        <v>0</v>
      </c>
      <c r="S901" s="59">
        <f t="shared" si="423"/>
        <v>0</v>
      </c>
      <c r="T901" s="59">
        <f t="shared" si="423"/>
        <v>0</v>
      </c>
      <c r="U901" s="59">
        <f t="shared" si="423"/>
        <v>0</v>
      </c>
      <c r="V901" s="59">
        <f t="shared" si="423"/>
        <v>0</v>
      </c>
      <c r="W901" s="59">
        <f t="shared" si="423"/>
        <v>0</v>
      </c>
      <c r="X901" s="59">
        <f t="shared" si="423"/>
        <v>0</v>
      </c>
    </row>
    <row r="902" spans="2:24" hidden="1">
      <c r="B902" s="58" t="str">
        <f t="shared" si="421"/>
        <v/>
      </c>
      <c r="C902" s="58" t="str">
        <f t="shared" si="421"/>
        <v/>
      </c>
      <c r="D902" s="58" t="str">
        <f t="shared" si="421"/>
        <v/>
      </c>
      <c r="E902" s="58" t="str">
        <f t="shared" si="421"/>
        <v/>
      </c>
      <c r="F902" s="58"/>
      <c r="G902" s="58"/>
      <c r="H902" s="58"/>
      <c r="I902" s="58"/>
      <c r="J902" s="58"/>
      <c r="K902" s="59">
        <f t="shared" ref="K902:X902" si="424">IF(AND($C902="B+R",$E902="prace rozwojowe",LataProjekcji&lt;=Koniec_PR,Modul_badawczo_rozwojowy=tak),ROUND(K597,0),0)</f>
        <v>0</v>
      </c>
      <c r="L902" s="59">
        <f t="shared" si="424"/>
        <v>0</v>
      </c>
      <c r="M902" s="59">
        <f t="shared" si="424"/>
        <v>0</v>
      </c>
      <c r="N902" s="59">
        <f t="shared" si="424"/>
        <v>0</v>
      </c>
      <c r="O902" s="59">
        <f t="shared" si="424"/>
        <v>0</v>
      </c>
      <c r="P902" s="59">
        <f t="shared" si="424"/>
        <v>0</v>
      </c>
      <c r="Q902" s="59">
        <f t="shared" si="424"/>
        <v>0</v>
      </c>
      <c r="R902" s="59">
        <f t="shared" si="424"/>
        <v>0</v>
      </c>
      <c r="S902" s="59">
        <f t="shared" si="424"/>
        <v>0</v>
      </c>
      <c r="T902" s="59">
        <f t="shared" si="424"/>
        <v>0</v>
      </c>
      <c r="U902" s="59">
        <f t="shared" si="424"/>
        <v>0</v>
      </c>
      <c r="V902" s="59">
        <f t="shared" si="424"/>
        <v>0</v>
      </c>
      <c r="W902" s="59">
        <f t="shared" si="424"/>
        <v>0</v>
      </c>
      <c r="X902" s="59">
        <f t="shared" si="424"/>
        <v>0</v>
      </c>
    </row>
    <row r="903" spans="2:24" hidden="1">
      <c r="B903" s="58" t="str">
        <f t="shared" si="421"/>
        <v/>
      </c>
      <c r="C903" s="58" t="str">
        <f t="shared" si="421"/>
        <v/>
      </c>
      <c r="D903" s="58" t="str">
        <f t="shared" si="421"/>
        <v/>
      </c>
      <c r="E903" s="58" t="str">
        <f t="shared" si="421"/>
        <v/>
      </c>
      <c r="F903" s="58"/>
      <c r="G903" s="58"/>
      <c r="H903" s="58"/>
      <c r="I903" s="58"/>
      <c r="J903" s="58"/>
      <c r="K903" s="59">
        <f t="shared" ref="K903:X903" si="425">IF(AND($C903="B+R",$E903="prace rozwojowe",LataProjekcji&lt;=Koniec_PR,Modul_badawczo_rozwojowy=tak),ROUND(K598,0),0)</f>
        <v>0</v>
      </c>
      <c r="L903" s="59">
        <f t="shared" si="425"/>
        <v>0</v>
      </c>
      <c r="M903" s="59">
        <f t="shared" si="425"/>
        <v>0</v>
      </c>
      <c r="N903" s="59">
        <f t="shared" si="425"/>
        <v>0</v>
      </c>
      <c r="O903" s="59">
        <f t="shared" si="425"/>
        <v>0</v>
      </c>
      <c r="P903" s="59">
        <f t="shared" si="425"/>
        <v>0</v>
      </c>
      <c r="Q903" s="59">
        <f t="shared" si="425"/>
        <v>0</v>
      </c>
      <c r="R903" s="59">
        <f t="shared" si="425"/>
        <v>0</v>
      </c>
      <c r="S903" s="59">
        <f t="shared" si="425"/>
        <v>0</v>
      </c>
      <c r="T903" s="59">
        <f t="shared" si="425"/>
        <v>0</v>
      </c>
      <c r="U903" s="59">
        <f t="shared" si="425"/>
        <v>0</v>
      </c>
      <c r="V903" s="59">
        <f t="shared" si="425"/>
        <v>0</v>
      </c>
      <c r="W903" s="59">
        <f t="shared" si="425"/>
        <v>0</v>
      </c>
      <c r="X903" s="59">
        <f t="shared" si="425"/>
        <v>0</v>
      </c>
    </row>
    <row r="904" spans="2:24" hidden="1">
      <c r="B904" s="58" t="str">
        <f t="shared" si="421"/>
        <v/>
      </c>
      <c r="C904" s="58" t="str">
        <f t="shared" si="421"/>
        <v/>
      </c>
      <c r="D904" s="58" t="str">
        <f t="shared" si="421"/>
        <v/>
      </c>
      <c r="E904" s="58" t="str">
        <f t="shared" si="421"/>
        <v/>
      </c>
      <c r="F904" s="58"/>
      <c r="G904" s="58"/>
      <c r="H904" s="58"/>
      <c r="I904" s="58"/>
      <c r="J904" s="58"/>
      <c r="K904" s="59">
        <f t="shared" ref="K904:X904" si="426">IF(AND($C904="B+R",$E904="prace rozwojowe",LataProjekcji&lt;=Koniec_PR,Modul_badawczo_rozwojowy=tak),ROUND(K599,0),0)</f>
        <v>0</v>
      </c>
      <c r="L904" s="59">
        <f t="shared" si="426"/>
        <v>0</v>
      </c>
      <c r="M904" s="59">
        <f t="shared" si="426"/>
        <v>0</v>
      </c>
      <c r="N904" s="59">
        <f t="shared" si="426"/>
        <v>0</v>
      </c>
      <c r="O904" s="59">
        <f t="shared" si="426"/>
        <v>0</v>
      </c>
      <c r="P904" s="59">
        <f t="shared" si="426"/>
        <v>0</v>
      </c>
      <c r="Q904" s="59">
        <f t="shared" si="426"/>
        <v>0</v>
      </c>
      <c r="R904" s="59">
        <f t="shared" si="426"/>
        <v>0</v>
      </c>
      <c r="S904" s="59">
        <f t="shared" si="426"/>
        <v>0</v>
      </c>
      <c r="T904" s="59">
        <f t="shared" si="426"/>
        <v>0</v>
      </c>
      <c r="U904" s="59">
        <f t="shared" si="426"/>
        <v>0</v>
      </c>
      <c r="V904" s="59">
        <f t="shared" si="426"/>
        <v>0</v>
      </c>
      <c r="W904" s="59">
        <f t="shared" si="426"/>
        <v>0</v>
      </c>
      <c r="X904" s="59">
        <f t="shared" si="426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27">ROUND(SUM(L900:L904),0)</f>
        <v>0</v>
      </c>
      <c r="M905" s="60">
        <f t="shared" si="427"/>
        <v>0</v>
      </c>
      <c r="N905" s="60">
        <f t="shared" si="427"/>
        <v>0</v>
      </c>
      <c r="O905" s="60">
        <f t="shared" si="427"/>
        <v>0</v>
      </c>
      <c r="P905" s="60">
        <f t="shared" si="427"/>
        <v>0</v>
      </c>
      <c r="Q905" s="60">
        <f t="shared" si="427"/>
        <v>0</v>
      </c>
      <c r="R905" s="60">
        <f t="shared" si="427"/>
        <v>0</v>
      </c>
      <c r="S905" s="60">
        <f t="shared" si="427"/>
        <v>0</v>
      </c>
      <c r="T905" s="60">
        <f t="shared" si="427"/>
        <v>0</v>
      </c>
      <c r="U905" s="60">
        <f t="shared" si="427"/>
        <v>0</v>
      </c>
      <c r="V905" s="60">
        <f t="shared" si="427"/>
        <v>0</v>
      </c>
      <c r="W905" s="60">
        <f t="shared" si="427"/>
        <v>0</v>
      </c>
      <c r="X905" s="60">
        <f t="shared" si="427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28">IF(AND(Modul_badawczo_rozwojowy=nie,LataProjekcji&lt;=Koniec_Projekt),ROUND(K721,0),IF(AND(Modul_badawczo_rozwojowy=tak,LataProjekcji&lt;=Koniec_PR),ROUND(K721,0),0))</f>
        <v>0</v>
      </c>
      <c r="L909" s="22">
        <f t="shared" si="428"/>
        <v>0</v>
      </c>
      <c r="M909" s="22">
        <f t="shared" si="428"/>
        <v>0</v>
      </c>
      <c r="N909" s="22">
        <f t="shared" si="428"/>
        <v>0</v>
      </c>
      <c r="O909" s="22">
        <f t="shared" si="428"/>
        <v>0</v>
      </c>
      <c r="P909" s="22">
        <f t="shared" si="428"/>
        <v>0</v>
      </c>
      <c r="Q909" s="22">
        <f t="shared" si="428"/>
        <v>0</v>
      </c>
      <c r="R909" s="22">
        <f t="shared" si="428"/>
        <v>0</v>
      </c>
      <c r="S909" s="22">
        <f t="shared" si="428"/>
        <v>0</v>
      </c>
      <c r="T909" s="22">
        <f t="shared" si="428"/>
        <v>0</v>
      </c>
      <c r="U909" s="22">
        <f t="shared" si="428"/>
        <v>0</v>
      </c>
      <c r="V909" s="22">
        <f t="shared" si="428"/>
        <v>0</v>
      </c>
      <c r="W909" s="22">
        <f t="shared" si="428"/>
        <v>0</v>
      </c>
      <c r="X909" s="22">
        <f t="shared" si="428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29">IF(AND(Modul_badawczo_rozwojowy=nie,LataProjekcji&lt;=Koniec_Projekt),ROUND(K745,0),IF(AND(Modul_badawczo_rozwojowy=tak,LataProjekcji&lt;=Koniec_PR),ROUND(K745,0),0))</f>
        <v>0</v>
      </c>
      <c r="L910" s="22">
        <f t="shared" si="429"/>
        <v>0</v>
      </c>
      <c r="M910" s="22">
        <f t="shared" si="429"/>
        <v>0</v>
      </c>
      <c r="N910" s="22">
        <f t="shared" si="429"/>
        <v>0</v>
      </c>
      <c r="O910" s="22">
        <f t="shared" si="429"/>
        <v>0</v>
      </c>
      <c r="P910" s="22">
        <f t="shared" si="429"/>
        <v>0</v>
      </c>
      <c r="Q910" s="22">
        <f t="shared" si="429"/>
        <v>0</v>
      </c>
      <c r="R910" s="22">
        <f t="shared" si="429"/>
        <v>0</v>
      </c>
      <c r="S910" s="22">
        <f t="shared" si="429"/>
        <v>0</v>
      </c>
      <c r="T910" s="22">
        <f t="shared" si="429"/>
        <v>0</v>
      </c>
      <c r="U910" s="22">
        <f t="shared" si="429"/>
        <v>0</v>
      </c>
      <c r="V910" s="22">
        <f t="shared" si="429"/>
        <v>0</v>
      </c>
      <c r="W910" s="22">
        <f t="shared" si="429"/>
        <v>0</v>
      </c>
      <c r="X910" s="22">
        <f t="shared" si="429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0">IF(AND(Modul_badawczo_rozwojowy=nie,LataProjekcji&lt;=Koniec_Projekt),ROUND(K754,0),IF(AND(Modul_badawczo_rozwojowy=tak,LataProjekcji&lt;=Koniec_PR),ROUND(K754,0),0))</f>
        <v>0</v>
      </c>
      <c r="L911" s="22">
        <f t="shared" si="430"/>
        <v>0</v>
      </c>
      <c r="M911" s="22">
        <f t="shared" si="430"/>
        <v>0</v>
      </c>
      <c r="N911" s="22">
        <f t="shared" si="430"/>
        <v>0</v>
      </c>
      <c r="O911" s="22">
        <f t="shared" si="430"/>
        <v>0</v>
      </c>
      <c r="P911" s="22">
        <f t="shared" si="430"/>
        <v>0</v>
      </c>
      <c r="Q911" s="22">
        <f t="shared" si="430"/>
        <v>0</v>
      </c>
      <c r="R911" s="22">
        <f t="shared" si="430"/>
        <v>0</v>
      </c>
      <c r="S911" s="22">
        <f t="shared" si="430"/>
        <v>0</v>
      </c>
      <c r="T911" s="22">
        <f t="shared" si="430"/>
        <v>0</v>
      </c>
      <c r="U911" s="22">
        <f t="shared" si="430"/>
        <v>0</v>
      </c>
      <c r="V911" s="22">
        <f t="shared" si="430"/>
        <v>0</v>
      </c>
      <c r="W911" s="22">
        <f t="shared" si="430"/>
        <v>0</v>
      </c>
      <c r="X911" s="22">
        <f t="shared" si="430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1">IF(AND(Modul_badawczo_rozwojowy=nie,LataProjekcji&lt;=Koniec_Projekt),ROUND(K799,0),IF(AND(Modul_badawczo_rozwojowy=tak,LataProjekcji&lt;=Koniec_PR),ROUND(K799,0),0))</f>
        <v>0</v>
      </c>
      <c r="L912" s="22">
        <f t="shared" si="431"/>
        <v>0</v>
      </c>
      <c r="M912" s="22">
        <f t="shared" si="431"/>
        <v>0</v>
      </c>
      <c r="N912" s="22">
        <f t="shared" si="431"/>
        <v>0</v>
      </c>
      <c r="O912" s="22">
        <f t="shared" si="431"/>
        <v>0</v>
      </c>
      <c r="P912" s="22">
        <f t="shared" si="431"/>
        <v>0</v>
      </c>
      <c r="Q912" s="22">
        <f t="shared" si="431"/>
        <v>0</v>
      </c>
      <c r="R912" s="22">
        <f t="shared" si="431"/>
        <v>0</v>
      </c>
      <c r="S912" s="22">
        <f t="shared" si="431"/>
        <v>0</v>
      </c>
      <c r="T912" s="22">
        <f t="shared" si="431"/>
        <v>0</v>
      </c>
      <c r="U912" s="22">
        <f t="shared" si="431"/>
        <v>0</v>
      </c>
      <c r="V912" s="22">
        <f t="shared" si="431"/>
        <v>0</v>
      </c>
      <c r="W912" s="22">
        <f t="shared" si="431"/>
        <v>0</v>
      </c>
      <c r="X912" s="22">
        <f t="shared" si="431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2">IF(AND(Modul_badawczo_rozwojowy=nie,LataProjekcji&lt;=Koniec_Projekt),ROUND(K844,0),IF(AND(Modul_badawczo_rozwojowy=tak,LataProjekcji&lt;=Koniec_PR),ROUND(K844,0),0))</f>
        <v>0</v>
      </c>
      <c r="L913" s="22">
        <f t="shared" si="432"/>
        <v>0</v>
      </c>
      <c r="M913" s="22">
        <f t="shared" si="432"/>
        <v>0</v>
      </c>
      <c r="N913" s="22">
        <f t="shared" si="432"/>
        <v>0</v>
      </c>
      <c r="O913" s="22">
        <f t="shared" si="432"/>
        <v>0</v>
      </c>
      <c r="P913" s="22">
        <f t="shared" si="432"/>
        <v>0</v>
      </c>
      <c r="Q913" s="22">
        <f t="shared" si="432"/>
        <v>0</v>
      </c>
      <c r="R913" s="22">
        <f t="shared" si="432"/>
        <v>0</v>
      </c>
      <c r="S913" s="22">
        <f t="shared" si="432"/>
        <v>0</v>
      </c>
      <c r="T913" s="22">
        <f t="shared" si="432"/>
        <v>0</v>
      </c>
      <c r="U913" s="22">
        <f t="shared" si="432"/>
        <v>0</v>
      </c>
      <c r="V913" s="22">
        <f t="shared" si="432"/>
        <v>0</v>
      </c>
      <c r="W913" s="22">
        <f t="shared" si="432"/>
        <v>0</v>
      </c>
      <c r="X913" s="22">
        <f t="shared" si="432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3">IF(AND(Modul_badawczo_rozwojowy=nie,LataProjekcji&lt;=Koniec_Projekt),ROUND(K878,0),IF(AND(Modul_badawczo_rozwojowy=tak,LataProjekcji&lt;=Koniec_PR),ROUND(K878,0),0))</f>
        <v>0</v>
      </c>
      <c r="L914" s="22">
        <f t="shared" si="433"/>
        <v>0</v>
      </c>
      <c r="M914" s="22">
        <f t="shared" si="433"/>
        <v>0</v>
      </c>
      <c r="N914" s="22">
        <f t="shared" si="433"/>
        <v>0</v>
      </c>
      <c r="O914" s="22">
        <f t="shared" si="433"/>
        <v>0</v>
      </c>
      <c r="P914" s="22">
        <f t="shared" si="433"/>
        <v>0</v>
      </c>
      <c r="Q914" s="22">
        <f t="shared" si="433"/>
        <v>0</v>
      </c>
      <c r="R914" s="22">
        <f t="shared" si="433"/>
        <v>0</v>
      </c>
      <c r="S914" s="22">
        <f t="shared" si="433"/>
        <v>0</v>
      </c>
      <c r="T914" s="22">
        <f t="shared" si="433"/>
        <v>0</v>
      </c>
      <c r="U914" s="22">
        <f t="shared" si="433"/>
        <v>0</v>
      </c>
      <c r="V914" s="22">
        <f t="shared" si="433"/>
        <v>0</v>
      </c>
      <c r="W914" s="22">
        <f t="shared" si="433"/>
        <v>0</v>
      </c>
      <c r="X914" s="22">
        <f t="shared" si="433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4">IF(AND(Modul_badawczo_rozwojowy=nie,LataProjekcji&lt;=Koniec_Projekt),ROUND(K887,0),IF(AND(Modul_badawczo_rozwojowy=tak,LataProjekcji&lt;=Koniec_PR),ROUND(K887,0),0))</f>
        <v>0</v>
      </c>
      <c r="L915" s="22">
        <f t="shared" si="434"/>
        <v>0</v>
      </c>
      <c r="M915" s="22">
        <f t="shared" si="434"/>
        <v>0</v>
      </c>
      <c r="N915" s="22">
        <f t="shared" si="434"/>
        <v>0</v>
      </c>
      <c r="O915" s="22">
        <f t="shared" si="434"/>
        <v>0</v>
      </c>
      <c r="P915" s="22">
        <f t="shared" si="434"/>
        <v>0</v>
      </c>
      <c r="Q915" s="22">
        <f t="shared" si="434"/>
        <v>0</v>
      </c>
      <c r="R915" s="22">
        <f t="shared" si="434"/>
        <v>0</v>
      </c>
      <c r="S915" s="22">
        <f t="shared" si="434"/>
        <v>0</v>
      </c>
      <c r="T915" s="22">
        <f t="shared" si="434"/>
        <v>0</v>
      </c>
      <c r="U915" s="22">
        <f t="shared" si="434"/>
        <v>0</v>
      </c>
      <c r="V915" s="22">
        <f t="shared" si="434"/>
        <v>0</v>
      </c>
      <c r="W915" s="22">
        <f t="shared" si="434"/>
        <v>0</v>
      </c>
      <c r="X915" s="22">
        <f t="shared" si="434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5">IF(AND(Modul_badawczo_rozwojowy=nie,LataProjekcji&lt;=Koniec_Projekt),ROUND(K896,0),IF(AND(Modul_badawczo_rozwojowy=tak,LataProjekcji&lt;=Koniec_PR),ROUND(K896,0),0))</f>
        <v>0</v>
      </c>
      <c r="L916" s="22">
        <f t="shared" si="435"/>
        <v>0</v>
      </c>
      <c r="M916" s="22">
        <f t="shared" si="435"/>
        <v>0</v>
      </c>
      <c r="N916" s="22">
        <f t="shared" si="435"/>
        <v>0</v>
      </c>
      <c r="O916" s="22">
        <f t="shared" si="435"/>
        <v>0</v>
      </c>
      <c r="P916" s="22">
        <f t="shared" si="435"/>
        <v>0</v>
      </c>
      <c r="Q916" s="22">
        <f t="shared" si="435"/>
        <v>0</v>
      </c>
      <c r="R916" s="22">
        <f t="shared" si="435"/>
        <v>0</v>
      </c>
      <c r="S916" s="22">
        <f t="shared" si="435"/>
        <v>0</v>
      </c>
      <c r="T916" s="22">
        <f t="shared" si="435"/>
        <v>0</v>
      </c>
      <c r="U916" s="22">
        <f t="shared" si="435"/>
        <v>0</v>
      </c>
      <c r="V916" s="22">
        <f t="shared" si="435"/>
        <v>0</v>
      </c>
      <c r="W916" s="22">
        <f t="shared" si="435"/>
        <v>0</v>
      </c>
      <c r="X916" s="22">
        <f t="shared" si="435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36">IF(AND(Modul_badawczo_rozwojowy=nie,LataProjekcji&lt;=Koniec_Projekt),ROUND(K905,0),IF(AND(Modul_badawczo_rozwojowy=tak,LataProjekcji&lt;=Koniec_PR),ROUND(K905,0),0))</f>
        <v>0</v>
      </c>
      <c r="L917" s="22">
        <f t="shared" si="436"/>
        <v>0</v>
      </c>
      <c r="M917" s="22">
        <f t="shared" si="436"/>
        <v>0</v>
      </c>
      <c r="N917" s="22">
        <f t="shared" si="436"/>
        <v>0</v>
      </c>
      <c r="O917" s="22">
        <f t="shared" si="436"/>
        <v>0</v>
      </c>
      <c r="P917" s="22">
        <f t="shared" si="436"/>
        <v>0</v>
      </c>
      <c r="Q917" s="22">
        <f t="shared" si="436"/>
        <v>0</v>
      </c>
      <c r="R917" s="22">
        <f t="shared" si="436"/>
        <v>0</v>
      </c>
      <c r="S917" s="22">
        <f t="shared" si="436"/>
        <v>0</v>
      </c>
      <c r="T917" s="22">
        <f t="shared" si="436"/>
        <v>0</v>
      </c>
      <c r="U917" s="22">
        <f t="shared" si="436"/>
        <v>0</v>
      </c>
      <c r="V917" s="22">
        <f t="shared" si="436"/>
        <v>0</v>
      </c>
      <c r="W917" s="22">
        <f t="shared" si="436"/>
        <v>0</v>
      </c>
      <c r="X917" s="22">
        <f t="shared" si="436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37">ROUND(SUM(L909:L917),0)</f>
        <v>0</v>
      </c>
      <c r="M918" s="65">
        <f t="shared" si="437"/>
        <v>0</v>
      </c>
      <c r="N918" s="65">
        <f t="shared" si="437"/>
        <v>0</v>
      </c>
      <c r="O918" s="65">
        <f t="shared" si="437"/>
        <v>0</v>
      </c>
      <c r="P918" s="65">
        <f t="shared" si="437"/>
        <v>0</v>
      </c>
      <c r="Q918" s="65">
        <f t="shared" si="437"/>
        <v>0</v>
      </c>
      <c r="R918" s="65">
        <f t="shared" si="437"/>
        <v>0</v>
      </c>
      <c r="S918" s="65">
        <f t="shared" si="437"/>
        <v>0</v>
      </c>
      <c r="T918" s="65">
        <f t="shared" si="437"/>
        <v>0</v>
      </c>
      <c r="U918" s="65">
        <f t="shared" si="437"/>
        <v>0</v>
      </c>
      <c r="V918" s="65">
        <f t="shared" si="437"/>
        <v>0</v>
      </c>
      <c r="W918" s="65">
        <f t="shared" si="437"/>
        <v>0</v>
      </c>
      <c r="X918" s="65">
        <f t="shared" si="437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38">LataProjekcji</f>
        <v>Uzupełnij dane</v>
      </c>
      <c r="L921" s="63" t="str">
        <f t="shared" si="438"/>
        <v/>
      </c>
      <c r="M921" s="63" t="str">
        <f t="shared" si="438"/>
        <v/>
      </c>
      <c r="N921" s="63" t="str">
        <f t="shared" si="438"/>
        <v/>
      </c>
      <c r="O921" s="63" t="str">
        <f t="shared" si="438"/>
        <v/>
      </c>
      <c r="P921" s="63" t="str">
        <f t="shared" si="438"/>
        <v/>
      </c>
      <c r="Q921" s="63" t="str">
        <f t="shared" si="438"/>
        <v/>
      </c>
      <c r="R921" s="63" t="str">
        <f t="shared" si="438"/>
        <v/>
      </c>
      <c r="S921" s="63" t="str">
        <f t="shared" si="438"/>
        <v/>
      </c>
      <c r="T921" s="63" t="str">
        <f t="shared" si="438"/>
        <v/>
      </c>
      <c r="U921" s="63" t="str">
        <f t="shared" si="438"/>
        <v/>
      </c>
      <c r="V921" s="63" t="str">
        <f t="shared" si="438"/>
        <v/>
      </c>
      <c r="W921" s="63" t="str">
        <f t="shared" si="438"/>
        <v/>
      </c>
      <c r="X921" s="63" t="str">
        <f t="shared" si="438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39">ROUND(L923+M918,0)</f>
        <v>0</v>
      </c>
      <c r="N923" s="65">
        <f t="shared" si="439"/>
        <v>0</v>
      </c>
      <c r="O923" s="65">
        <f t="shared" si="439"/>
        <v>0</v>
      </c>
      <c r="P923" s="65">
        <f t="shared" si="439"/>
        <v>0</v>
      </c>
      <c r="Q923" s="65">
        <f t="shared" si="439"/>
        <v>0</v>
      </c>
      <c r="R923" s="65">
        <f t="shared" si="439"/>
        <v>0</v>
      </c>
      <c r="S923" s="65">
        <f t="shared" si="439"/>
        <v>0</v>
      </c>
      <c r="T923" s="65">
        <f t="shared" si="439"/>
        <v>0</v>
      </c>
      <c r="U923" s="65">
        <f t="shared" si="439"/>
        <v>0</v>
      </c>
      <c r="V923" s="65">
        <f t="shared" si="439"/>
        <v>0</v>
      </c>
      <c r="W923" s="65">
        <f t="shared" si="439"/>
        <v>0</v>
      </c>
      <c r="X923" s="65">
        <f t="shared" si="439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258"/>
      <c r="B926" s="484" t="s">
        <v>777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0">IF(AND(LataProjekcji&lt;=Koniec_PR,Modul_badawczo_rozwojowy=tak),K918,0)</f>
        <v>0</v>
      </c>
      <c r="L928" s="68">
        <f t="shared" si="440"/>
        <v>0</v>
      </c>
      <c r="M928" s="68">
        <f t="shared" si="440"/>
        <v>0</v>
      </c>
      <c r="N928" s="68">
        <f t="shared" si="440"/>
        <v>0</v>
      </c>
      <c r="O928" s="68">
        <f t="shared" si="440"/>
        <v>0</v>
      </c>
      <c r="P928" s="68">
        <f t="shared" si="440"/>
        <v>0</v>
      </c>
      <c r="Q928" s="68">
        <f t="shared" si="440"/>
        <v>0</v>
      </c>
      <c r="R928" s="68">
        <f t="shared" si="440"/>
        <v>0</v>
      </c>
      <c r="S928" s="68">
        <f t="shared" si="440"/>
        <v>0</v>
      </c>
      <c r="T928" s="68">
        <f t="shared" si="440"/>
        <v>0</v>
      </c>
      <c r="U928" s="68">
        <f t="shared" si="440"/>
        <v>0</v>
      </c>
      <c r="V928" s="68">
        <f t="shared" si="440"/>
        <v>0</v>
      </c>
      <c r="W928" s="68">
        <f t="shared" si="440"/>
        <v>0</v>
      </c>
      <c r="X928" s="68">
        <f t="shared" si="440"/>
        <v>0</v>
      </c>
    </row>
    <row r="929" spans="1:24" hidden="1">
      <c r="A929" s="258"/>
      <c r="B929" s="69" t="s">
        <v>727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1">IF(AND(LataProjekcji&lt;(Koniec_PR-1),Modul_badawczo_rozwojowy=tak),(K928+J929),0)</f>
        <v>0</v>
      </c>
      <c r="L929" s="70">
        <f t="shared" si="441"/>
        <v>0</v>
      </c>
      <c r="M929" s="70">
        <f t="shared" si="441"/>
        <v>0</v>
      </c>
      <c r="N929" s="70">
        <f t="shared" si="441"/>
        <v>0</v>
      </c>
      <c r="O929" s="70">
        <f t="shared" si="441"/>
        <v>0</v>
      </c>
      <c r="P929" s="70">
        <f t="shared" si="441"/>
        <v>0</v>
      </c>
      <c r="Q929" s="70">
        <f t="shared" si="441"/>
        <v>0</v>
      </c>
      <c r="R929" s="70">
        <f t="shared" si="441"/>
        <v>0</v>
      </c>
      <c r="S929" s="70">
        <f t="shared" si="441"/>
        <v>0</v>
      </c>
      <c r="T929" s="70">
        <f t="shared" si="441"/>
        <v>0</v>
      </c>
      <c r="U929" s="70">
        <f t="shared" si="441"/>
        <v>0</v>
      </c>
      <c r="V929" s="70">
        <f t="shared" si="441"/>
        <v>0</v>
      </c>
      <c r="W929" s="70">
        <f t="shared" si="441"/>
        <v>0</v>
      </c>
      <c r="X929" s="70">
        <f t="shared" si="441"/>
        <v>0</v>
      </c>
    </row>
    <row r="930" spans="1:24" hidden="1">
      <c r="A930" s="258"/>
      <c r="B930" s="443" t="s">
        <v>728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2">IF(AND(Modul_badawczo_rozwojowy=tak,K921=(Koniec_PR-1)),K923,0)</f>
        <v>0</v>
      </c>
      <c r="L930" s="445">
        <f t="shared" si="442"/>
        <v>0</v>
      </c>
      <c r="M930" s="445">
        <f t="shared" si="442"/>
        <v>0</v>
      </c>
      <c r="N930" s="445">
        <f t="shared" si="442"/>
        <v>0</v>
      </c>
      <c r="O930" s="445">
        <f t="shared" si="442"/>
        <v>0</v>
      </c>
      <c r="P930" s="445">
        <f t="shared" si="442"/>
        <v>0</v>
      </c>
      <c r="Q930" s="445">
        <f t="shared" si="442"/>
        <v>0</v>
      </c>
      <c r="R930" s="445">
        <f t="shared" si="442"/>
        <v>0</v>
      </c>
      <c r="S930" s="445">
        <f t="shared" si="442"/>
        <v>0</v>
      </c>
      <c r="T930" s="445">
        <f t="shared" si="442"/>
        <v>0</v>
      </c>
      <c r="U930" s="445">
        <f t="shared" si="442"/>
        <v>0</v>
      </c>
      <c r="V930" s="445">
        <f t="shared" si="442"/>
        <v>0</v>
      </c>
      <c r="W930" s="445">
        <f t="shared" si="442"/>
        <v>0</v>
      </c>
      <c r="X930" s="445">
        <f t="shared" si="442"/>
        <v>0</v>
      </c>
    </row>
    <row r="931" spans="1:24" hidden="1">
      <c r="A931" s="258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3">IF(AND(Modul_badawczo_rozwojowy=tak,K921=Koniec_PR),K923,0)</f>
        <v>0</v>
      </c>
      <c r="L931" s="70">
        <f t="shared" si="443"/>
        <v>0</v>
      </c>
      <c r="M931" s="70">
        <f t="shared" si="443"/>
        <v>0</v>
      </c>
      <c r="N931" s="70">
        <f t="shared" si="443"/>
        <v>0</v>
      </c>
      <c r="O931" s="70">
        <f t="shared" si="443"/>
        <v>0</v>
      </c>
      <c r="P931" s="70">
        <f t="shared" si="443"/>
        <v>0</v>
      </c>
      <c r="Q931" s="70">
        <f t="shared" si="443"/>
        <v>0</v>
      </c>
      <c r="R931" s="70">
        <f t="shared" si="443"/>
        <v>0</v>
      </c>
      <c r="S931" s="70">
        <f t="shared" si="443"/>
        <v>0</v>
      </c>
      <c r="T931" s="70">
        <f t="shared" si="443"/>
        <v>0</v>
      </c>
      <c r="U931" s="70">
        <f t="shared" si="443"/>
        <v>0</v>
      </c>
      <c r="V931" s="70">
        <f t="shared" si="443"/>
        <v>0</v>
      </c>
      <c r="W931" s="70">
        <f t="shared" si="443"/>
        <v>0</v>
      </c>
      <c r="X931" s="70">
        <f t="shared" si="443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676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4">LataProjekcji</f>
        <v>Uzupełnij dane</v>
      </c>
      <c r="L940" s="129" t="str">
        <f t="shared" si="444"/>
        <v/>
      </c>
      <c r="M940" s="129" t="str">
        <f t="shared" si="444"/>
        <v/>
      </c>
      <c r="N940" s="129" t="str">
        <f t="shared" si="444"/>
        <v/>
      </c>
      <c r="O940" s="129" t="str">
        <f t="shared" si="444"/>
        <v/>
      </c>
      <c r="P940" s="129" t="str">
        <f t="shared" si="444"/>
        <v/>
      </c>
      <c r="Q940" s="129" t="str">
        <f t="shared" si="444"/>
        <v/>
      </c>
      <c r="R940" s="129" t="str">
        <f t="shared" si="444"/>
        <v/>
      </c>
      <c r="S940" s="129" t="str">
        <f t="shared" si="444"/>
        <v/>
      </c>
      <c r="T940" s="129" t="str">
        <f t="shared" si="444"/>
        <v/>
      </c>
      <c r="U940" s="129" t="str">
        <f t="shared" si="444"/>
        <v/>
      </c>
      <c r="V940" s="129" t="str">
        <f t="shared" si="444"/>
        <v/>
      </c>
      <c r="W940" s="129" t="str">
        <f t="shared" si="444"/>
        <v/>
      </c>
      <c r="X940" s="129" t="str">
        <f t="shared" si="444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258"/>
      <c r="B943" s="132">
        <f t="shared" ref="B943:E962" si="445">B117</f>
        <v>0</v>
      </c>
      <c r="C943" s="132">
        <f t="shared" si="445"/>
        <v>0</v>
      </c>
      <c r="D943" s="132">
        <f t="shared" si="445"/>
        <v>0</v>
      </c>
      <c r="E943" s="132">
        <f t="shared" si="445"/>
        <v>0</v>
      </c>
      <c r="F943" s="132"/>
      <c r="G943" s="132"/>
      <c r="H943" s="132"/>
      <c r="I943" s="132"/>
      <c r="J943" s="132"/>
      <c r="K943" s="134">
        <f t="shared" ref="K943:X943" si="446">IF(AND($C943="B+R",$D943="nie",$E943="prace rozwojowe",LataProjekcji&lt;=Koniec_PR,Modul_badawczo_rozwojowy=tak),ROUND(K117,0),0)</f>
        <v>0</v>
      </c>
      <c r="L943" s="134">
        <f t="shared" si="446"/>
        <v>0</v>
      </c>
      <c r="M943" s="134">
        <f t="shared" si="446"/>
        <v>0</v>
      </c>
      <c r="N943" s="134">
        <f t="shared" si="446"/>
        <v>0</v>
      </c>
      <c r="O943" s="134">
        <f t="shared" si="446"/>
        <v>0</v>
      </c>
      <c r="P943" s="134">
        <f t="shared" si="446"/>
        <v>0</v>
      </c>
      <c r="Q943" s="134">
        <f t="shared" si="446"/>
        <v>0</v>
      </c>
      <c r="R943" s="134">
        <f t="shared" si="446"/>
        <v>0</v>
      </c>
      <c r="S943" s="134">
        <f t="shared" si="446"/>
        <v>0</v>
      </c>
      <c r="T943" s="134">
        <f t="shared" si="446"/>
        <v>0</v>
      </c>
      <c r="U943" s="134">
        <f t="shared" si="446"/>
        <v>0</v>
      </c>
      <c r="V943" s="134">
        <f t="shared" si="446"/>
        <v>0</v>
      </c>
      <c r="W943" s="134">
        <f t="shared" si="446"/>
        <v>0</v>
      </c>
      <c r="X943" s="134">
        <f t="shared" si="446"/>
        <v>0</v>
      </c>
    </row>
    <row r="944" spans="1:24" hidden="1">
      <c r="A944" s="258"/>
      <c r="B944" s="132">
        <f t="shared" si="445"/>
        <v>0</v>
      </c>
      <c r="C944" s="132">
        <f t="shared" si="445"/>
        <v>0</v>
      </c>
      <c r="D944" s="132">
        <f t="shared" si="445"/>
        <v>0</v>
      </c>
      <c r="E944" s="132">
        <f t="shared" si="445"/>
        <v>0</v>
      </c>
      <c r="F944" s="132"/>
      <c r="G944" s="132"/>
      <c r="H944" s="132"/>
      <c r="I944" s="132"/>
      <c r="J944" s="132"/>
      <c r="K944" s="134">
        <f t="shared" ref="K944:X944" si="447">IF(AND($C944="B+R",$D944="nie",$E944="prace rozwojowe",LataProjekcji&lt;=Koniec_PR,Modul_badawczo_rozwojowy=tak),ROUND(K118,0),0)</f>
        <v>0</v>
      </c>
      <c r="L944" s="134">
        <f t="shared" si="447"/>
        <v>0</v>
      </c>
      <c r="M944" s="134">
        <f t="shared" si="447"/>
        <v>0</v>
      </c>
      <c r="N944" s="134">
        <f t="shared" si="447"/>
        <v>0</v>
      </c>
      <c r="O944" s="134">
        <f t="shared" si="447"/>
        <v>0</v>
      </c>
      <c r="P944" s="134">
        <f t="shared" si="447"/>
        <v>0</v>
      </c>
      <c r="Q944" s="134">
        <f t="shared" si="447"/>
        <v>0</v>
      </c>
      <c r="R944" s="134">
        <f t="shared" si="447"/>
        <v>0</v>
      </c>
      <c r="S944" s="134">
        <f t="shared" si="447"/>
        <v>0</v>
      </c>
      <c r="T944" s="134">
        <f t="shared" si="447"/>
        <v>0</v>
      </c>
      <c r="U944" s="134">
        <f t="shared" si="447"/>
        <v>0</v>
      </c>
      <c r="V944" s="134">
        <f t="shared" si="447"/>
        <v>0</v>
      </c>
      <c r="W944" s="134">
        <f t="shared" si="447"/>
        <v>0</v>
      </c>
      <c r="X944" s="134">
        <f t="shared" si="447"/>
        <v>0</v>
      </c>
    </row>
    <row r="945" spans="1:24" hidden="1">
      <c r="A945" s="258"/>
      <c r="B945" s="132">
        <f t="shared" si="445"/>
        <v>0</v>
      </c>
      <c r="C945" s="132">
        <f t="shared" si="445"/>
        <v>0</v>
      </c>
      <c r="D945" s="132">
        <f t="shared" si="445"/>
        <v>0</v>
      </c>
      <c r="E945" s="132">
        <f t="shared" si="445"/>
        <v>0</v>
      </c>
      <c r="F945" s="132"/>
      <c r="G945" s="132"/>
      <c r="H945" s="132"/>
      <c r="I945" s="132"/>
      <c r="J945" s="132"/>
      <c r="K945" s="134">
        <f t="shared" ref="K945:X945" si="448">IF(AND($C945="B+R",$D945="nie",$E945="prace rozwojowe",LataProjekcji&lt;=Koniec_PR,Modul_badawczo_rozwojowy=tak),ROUND(K119,0),0)</f>
        <v>0</v>
      </c>
      <c r="L945" s="134">
        <f t="shared" si="448"/>
        <v>0</v>
      </c>
      <c r="M945" s="134">
        <f t="shared" si="448"/>
        <v>0</v>
      </c>
      <c r="N945" s="134">
        <f t="shared" si="448"/>
        <v>0</v>
      </c>
      <c r="O945" s="134">
        <f t="shared" si="448"/>
        <v>0</v>
      </c>
      <c r="P945" s="134">
        <f t="shared" si="448"/>
        <v>0</v>
      </c>
      <c r="Q945" s="134">
        <f t="shared" si="448"/>
        <v>0</v>
      </c>
      <c r="R945" s="134">
        <f t="shared" si="448"/>
        <v>0</v>
      </c>
      <c r="S945" s="134">
        <f t="shared" si="448"/>
        <v>0</v>
      </c>
      <c r="T945" s="134">
        <f t="shared" si="448"/>
        <v>0</v>
      </c>
      <c r="U945" s="134">
        <f t="shared" si="448"/>
        <v>0</v>
      </c>
      <c r="V945" s="134">
        <f t="shared" si="448"/>
        <v>0</v>
      </c>
      <c r="W945" s="134">
        <f t="shared" si="448"/>
        <v>0</v>
      </c>
      <c r="X945" s="134">
        <f t="shared" si="448"/>
        <v>0</v>
      </c>
    </row>
    <row r="946" spans="1:24" hidden="1">
      <c r="A946" s="258"/>
      <c r="B946" s="132">
        <f t="shared" si="445"/>
        <v>0</v>
      </c>
      <c r="C946" s="132">
        <f t="shared" si="445"/>
        <v>0</v>
      </c>
      <c r="D946" s="132">
        <f t="shared" si="445"/>
        <v>0</v>
      </c>
      <c r="E946" s="132">
        <f t="shared" si="445"/>
        <v>0</v>
      </c>
      <c r="F946" s="132"/>
      <c r="G946" s="132"/>
      <c r="H946" s="132"/>
      <c r="I946" s="132"/>
      <c r="J946" s="132"/>
      <c r="K946" s="134">
        <f t="shared" ref="K946:X946" si="449">IF(AND($C946="B+R",$D946="nie",$E946="prace rozwojowe",LataProjekcji&lt;=Koniec_PR,Modul_badawczo_rozwojowy=tak),ROUND(K120,0),0)</f>
        <v>0</v>
      </c>
      <c r="L946" s="134">
        <f t="shared" si="449"/>
        <v>0</v>
      </c>
      <c r="M946" s="134">
        <f t="shared" si="449"/>
        <v>0</v>
      </c>
      <c r="N946" s="134">
        <f t="shared" si="449"/>
        <v>0</v>
      </c>
      <c r="O946" s="134">
        <f t="shared" si="449"/>
        <v>0</v>
      </c>
      <c r="P946" s="134">
        <f t="shared" si="449"/>
        <v>0</v>
      </c>
      <c r="Q946" s="134">
        <f t="shared" si="449"/>
        <v>0</v>
      </c>
      <c r="R946" s="134">
        <f t="shared" si="449"/>
        <v>0</v>
      </c>
      <c r="S946" s="134">
        <f t="shared" si="449"/>
        <v>0</v>
      </c>
      <c r="T946" s="134">
        <f t="shared" si="449"/>
        <v>0</v>
      </c>
      <c r="U946" s="134">
        <f t="shared" si="449"/>
        <v>0</v>
      </c>
      <c r="V946" s="134">
        <f t="shared" si="449"/>
        <v>0</v>
      </c>
      <c r="W946" s="134">
        <f t="shared" si="449"/>
        <v>0</v>
      </c>
      <c r="X946" s="134">
        <f t="shared" si="449"/>
        <v>0</v>
      </c>
    </row>
    <row r="947" spans="1:24" hidden="1">
      <c r="A947" s="258"/>
      <c r="B947" s="132">
        <f t="shared" si="445"/>
        <v>0</v>
      </c>
      <c r="C947" s="132">
        <f t="shared" si="445"/>
        <v>0</v>
      </c>
      <c r="D947" s="132">
        <f t="shared" si="445"/>
        <v>0</v>
      </c>
      <c r="E947" s="132">
        <f t="shared" si="445"/>
        <v>0</v>
      </c>
      <c r="F947" s="132"/>
      <c r="G947" s="132"/>
      <c r="H947" s="132"/>
      <c r="I947" s="132"/>
      <c r="J947" s="132"/>
      <c r="K947" s="134">
        <f t="shared" ref="K947:X947" si="450">IF(AND($C947="B+R",$D947="nie",$E947="prace rozwojowe",LataProjekcji&lt;=Koniec_PR,Modul_badawczo_rozwojowy=tak),ROUND(K121,0),0)</f>
        <v>0</v>
      </c>
      <c r="L947" s="134">
        <f t="shared" si="450"/>
        <v>0</v>
      </c>
      <c r="M947" s="134">
        <f t="shared" si="450"/>
        <v>0</v>
      </c>
      <c r="N947" s="134">
        <f t="shared" si="450"/>
        <v>0</v>
      </c>
      <c r="O947" s="134">
        <f t="shared" si="450"/>
        <v>0</v>
      </c>
      <c r="P947" s="134">
        <f t="shared" si="450"/>
        <v>0</v>
      </c>
      <c r="Q947" s="134">
        <f t="shared" si="450"/>
        <v>0</v>
      </c>
      <c r="R947" s="134">
        <f t="shared" si="450"/>
        <v>0</v>
      </c>
      <c r="S947" s="134">
        <f t="shared" si="450"/>
        <v>0</v>
      </c>
      <c r="T947" s="134">
        <f t="shared" si="450"/>
        <v>0</v>
      </c>
      <c r="U947" s="134">
        <f t="shared" si="450"/>
        <v>0</v>
      </c>
      <c r="V947" s="134">
        <f t="shared" si="450"/>
        <v>0</v>
      </c>
      <c r="W947" s="134">
        <f t="shared" si="450"/>
        <v>0</v>
      </c>
      <c r="X947" s="134">
        <f t="shared" si="450"/>
        <v>0</v>
      </c>
    </row>
    <row r="948" spans="1:24" hidden="1">
      <c r="A948" s="258"/>
      <c r="B948" s="132">
        <f t="shared" si="445"/>
        <v>0</v>
      </c>
      <c r="C948" s="132">
        <f t="shared" si="445"/>
        <v>0</v>
      </c>
      <c r="D948" s="132">
        <f t="shared" si="445"/>
        <v>0</v>
      </c>
      <c r="E948" s="132">
        <f t="shared" si="445"/>
        <v>0</v>
      </c>
      <c r="F948" s="132"/>
      <c r="G948" s="132"/>
      <c r="H948" s="132"/>
      <c r="I948" s="132"/>
      <c r="J948" s="132"/>
      <c r="K948" s="134">
        <f t="shared" ref="K948:X948" si="451">IF(AND($C948="B+R",$D948="nie",$E948="prace rozwojowe",LataProjekcji&lt;=Koniec_PR,Modul_badawczo_rozwojowy=tak),ROUND(K122,0),0)</f>
        <v>0</v>
      </c>
      <c r="L948" s="134">
        <f t="shared" si="451"/>
        <v>0</v>
      </c>
      <c r="M948" s="134">
        <f t="shared" si="451"/>
        <v>0</v>
      </c>
      <c r="N948" s="134">
        <f t="shared" si="451"/>
        <v>0</v>
      </c>
      <c r="O948" s="134">
        <f t="shared" si="451"/>
        <v>0</v>
      </c>
      <c r="P948" s="134">
        <f t="shared" si="451"/>
        <v>0</v>
      </c>
      <c r="Q948" s="134">
        <f t="shared" si="451"/>
        <v>0</v>
      </c>
      <c r="R948" s="134">
        <f t="shared" si="451"/>
        <v>0</v>
      </c>
      <c r="S948" s="134">
        <f t="shared" si="451"/>
        <v>0</v>
      </c>
      <c r="T948" s="134">
        <f t="shared" si="451"/>
        <v>0</v>
      </c>
      <c r="U948" s="134">
        <f t="shared" si="451"/>
        <v>0</v>
      </c>
      <c r="V948" s="134">
        <f t="shared" si="451"/>
        <v>0</v>
      </c>
      <c r="W948" s="134">
        <f t="shared" si="451"/>
        <v>0</v>
      </c>
      <c r="X948" s="134">
        <f t="shared" si="451"/>
        <v>0</v>
      </c>
    </row>
    <row r="949" spans="1:24" hidden="1">
      <c r="A949" s="258"/>
      <c r="B949" s="132">
        <f t="shared" si="445"/>
        <v>0</v>
      </c>
      <c r="C949" s="132">
        <f t="shared" si="445"/>
        <v>0</v>
      </c>
      <c r="D949" s="132">
        <f t="shared" si="445"/>
        <v>0</v>
      </c>
      <c r="E949" s="132">
        <f t="shared" si="445"/>
        <v>0</v>
      </c>
      <c r="F949" s="132"/>
      <c r="G949" s="132"/>
      <c r="H949" s="132"/>
      <c r="I949" s="132"/>
      <c r="J949" s="132"/>
      <c r="K949" s="134">
        <f t="shared" ref="K949:X949" si="452">IF(AND($C949="B+R",$D949="nie",$E949="prace rozwojowe",LataProjekcji&lt;=Koniec_PR,Modul_badawczo_rozwojowy=tak),ROUND(K123,0),0)</f>
        <v>0</v>
      </c>
      <c r="L949" s="134">
        <f t="shared" si="452"/>
        <v>0</v>
      </c>
      <c r="M949" s="134">
        <f t="shared" si="452"/>
        <v>0</v>
      </c>
      <c r="N949" s="134">
        <f t="shared" si="452"/>
        <v>0</v>
      </c>
      <c r="O949" s="134">
        <f t="shared" si="452"/>
        <v>0</v>
      </c>
      <c r="P949" s="134">
        <f t="shared" si="452"/>
        <v>0</v>
      </c>
      <c r="Q949" s="134">
        <f t="shared" si="452"/>
        <v>0</v>
      </c>
      <c r="R949" s="134">
        <f t="shared" si="452"/>
        <v>0</v>
      </c>
      <c r="S949" s="134">
        <f t="shared" si="452"/>
        <v>0</v>
      </c>
      <c r="T949" s="134">
        <f t="shared" si="452"/>
        <v>0</v>
      </c>
      <c r="U949" s="134">
        <f t="shared" si="452"/>
        <v>0</v>
      </c>
      <c r="V949" s="134">
        <f t="shared" si="452"/>
        <v>0</v>
      </c>
      <c r="W949" s="134">
        <f t="shared" si="452"/>
        <v>0</v>
      </c>
      <c r="X949" s="134">
        <f t="shared" si="452"/>
        <v>0</v>
      </c>
    </row>
    <row r="950" spans="1:24" hidden="1">
      <c r="A950" s="258"/>
      <c r="B950" s="132">
        <f t="shared" si="445"/>
        <v>0</v>
      </c>
      <c r="C950" s="132">
        <f t="shared" si="445"/>
        <v>0</v>
      </c>
      <c r="D950" s="132">
        <f t="shared" si="445"/>
        <v>0</v>
      </c>
      <c r="E950" s="132">
        <f t="shared" si="445"/>
        <v>0</v>
      </c>
      <c r="F950" s="132"/>
      <c r="G950" s="132"/>
      <c r="H950" s="132"/>
      <c r="I950" s="132"/>
      <c r="J950" s="132"/>
      <c r="K950" s="134">
        <f t="shared" ref="K950:X950" si="453">IF(AND($C950="B+R",$D950="nie",$E950="prace rozwojowe",LataProjekcji&lt;=Koniec_PR,Modul_badawczo_rozwojowy=tak),ROUND(K124,0),0)</f>
        <v>0</v>
      </c>
      <c r="L950" s="134">
        <f t="shared" si="453"/>
        <v>0</v>
      </c>
      <c r="M950" s="134">
        <f t="shared" si="453"/>
        <v>0</v>
      </c>
      <c r="N950" s="134">
        <f t="shared" si="453"/>
        <v>0</v>
      </c>
      <c r="O950" s="134">
        <f t="shared" si="453"/>
        <v>0</v>
      </c>
      <c r="P950" s="134">
        <f t="shared" si="453"/>
        <v>0</v>
      </c>
      <c r="Q950" s="134">
        <f t="shared" si="453"/>
        <v>0</v>
      </c>
      <c r="R950" s="134">
        <f t="shared" si="453"/>
        <v>0</v>
      </c>
      <c r="S950" s="134">
        <f t="shared" si="453"/>
        <v>0</v>
      </c>
      <c r="T950" s="134">
        <f t="shared" si="453"/>
        <v>0</v>
      </c>
      <c r="U950" s="134">
        <f t="shared" si="453"/>
        <v>0</v>
      </c>
      <c r="V950" s="134">
        <f t="shared" si="453"/>
        <v>0</v>
      </c>
      <c r="W950" s="134">
        <f t="shared" si="453"/>
        <v>0</v>
      </c>
      <c r="X950" s="134">
        <f t="shared" si="453"/>
        <v>0</v>
      </c>
    </row>
    <row r="951" spans="1:24" hidden="1">
      <c r="A951" s="258"/>
      <c r="B951" s="132">
        <f t="shared" si="445"/>
        <v>0</v>
      </c>
      <c r="C951" s="132">
        <f t="shared" si="445"/>
        <v>0</v>
      </c>
      <c r="D951" s="132">
        <f t="shared" si="445"/>
        <v>0</v>
      </c>
      <c r="E951" s="132">
        <f t="shared" si="445"/>
        <v>0</v>
      </c>
      <c r="F951" s="132"/>
      <c r="G951" s="132"/>
      <c r="H951" s="132"/>
      <c r="I951" s="132"/>
      <c r="J951" s="132"/>
      <c r="K951" s="134">
        <f t="shared" ref="K951:X951" si="454">IF(AND($C951="B+R",$D951="nie",$E951="prace rozwojowe",LataProjekcji&lt;=Koniec_PR,Modul_badawczo_rozwojowy=tak),ROUND(K125,0),0)</f>
        <v>0</v>
      </c>
      <c r="L951" s="134">
        <f t="shared" si="454"/>
        <v>0</v>
      </c>
      <c r="M951" s="134">
        <f t="shared" si="454"/>
        <v>0</v>
      </c>
      <c r="N951" s="134">
        <f t="shared" si="454"/>
        <v>0</v>
      </c>
      <c r="O951" s="134">
        <f t="shared" si="454"/>
        <v>0</v>
      </c>
      <c r="P951" s="134">
        <f t="shared" si="454"/>
        <v>0</v>
      </c>
      <c r="Q951" s="134">
        <f t="shared" si="454"/>
        <v>0</v>
      </c>
      <c r="R951" s="134">
        <f t="shared" si="454"/>
        <v>0</v>
      </c>
      <c r="S951" s="134">
        <f t="shared" si="454"/>
        <v>0</v>
      </c>
      <c r="T951" s="134">
        <f t="shared" si="454"/>
        <v>0</v>
      </c>
      <c r="U951" s="134">
        <f t="shared" si="454"/>
        <v>0</v>
      </c>
      <c r="V951" s="134">
        <f t="shared" si="454"/>
        <v>0</v>
      </c>
      <c r="W951" s="134">
        <f t="shared" si="454"/>
        <v>0</v>
      </c>
      <c r="X951" s="134">
        <f t="shared" si="454"/>
        <v>0</v>
      </c>
    </row>
    <row r="952" spans="1:24" hidden="1">
      <c r="A952" s="258"/>
      <c r="B952" s="132">
        <f t="shared" si="445"/>
        <v>0</v>
      </c>
      <c r="C952" s="132">
        <f t="shared" si="445"/>
        <v>0</v>
      </c>
      <c r="D952" s="132">
        <f t="shared" si="445"/>
        <v>0</v>
      </c>
      <c r="E952" s="132">
        <f t="shared" si="445"/>
        <v>0</v>
      </c>
      <c r="F952" s="132"/>
      <c r="G952" s="132"/>
      <c r="H952" s="132"/>
      <c r="I952" s="132"/>
      <c r="J952" s="132"/>
      <c r="K952" s="134">
        <f t="shared" ref="K952:X952" si="455">IF(AND($C952="B+R",$D952="nie",$E952="prace rozwojowe",LataProjekcji&lt;=Koniec_PR,Modul_badawczo_rozwojowy=tak),ROUND(K126,0),0)</f>
        <v>0</v>
      </c>
      <c r="L952" s="134">
        <f t="shared" si="455"/>
        <v>0</v>
      </c>
      <c r="M952" s="134">
        <f t="shared" si="455"/>
        <v>0</v>
      </c>
      <c r="N952" s="134">
        <f t="shared" si="455"/>
        <v>0</v>
      </c>
      <c r="O952" s="134">
        <f t="shared" si="455"/>
        <v>0</v>
      </c>
      <c r="P952" s="134">
        <f t="shared" si="455"/>
        <v>0</v>
      </c>
      <c r="Q952" s="134">
        <f t="shared" si="455"/>
        <v>0</v>
      </c>
      <c r="R952" s="134">
        <f t="shared" si="455"/>
        <v>0</v>
      </c>
      <c r="S952" s="134">
        <f t="shared" si="455"/>
        <v>0</v>
      </c>
      <c r="T952" s="134">
        <f t="shared" si="455"/>
        <v>0</v>
      </c>
      <c r="U952" s="134">
        <f t="shared" si="455"/>
        <v>0</v>
      </c>
      <c r="V952" s="134">
        <f t="shared" si="455"/>
        <v>0</v>
      </c>
      <c r="W952" s="134">
        <f t="shared" si="455"/>
        <v>0</v>
      </c>
      <c r="X952" s="134">
        <f t="shared" si="455"/>
        <v>0</v>
      </c>
    </row>
    <row r="953" spans="1:24" hidden="1">
      <c r="A953" s="258"/>
      <c r="B953" s="132">
        <f t="shared" si="445"/>
        <v>0</v>
      </c>
      <c r="C953" s="132">
        <f t="shared" si="445"/>
        <v>0</v>
      </c>
      <c r="D953" s="132">
        <f t="shared" si="445"/>
        <v>0</v>
      </c>
      <c r="E953" s="132">
        <f t="shared" si="445"/>
        <v>0</v>
      </c>
      <c r="F953" s="132"/>
      <c r="G953" s="132"/>
      <c r="H953" s="132"/>
      <c r="I953" s="132"/>
      <c r="J953" s="132"/>
      <c r="K953" s="134">
        <f t="shared" ref="K953:X953" si="456">IF(AND($C953="B+R",$D953="nie",$E953="prace rozwojowe",LataProjekcji&lt;=Koniec_PR,Modul_badawczo_rozwojowy=tak),ROUND(K127,0),0)</f>
        <v>0</v>
      </c>
      <c r="L953" s="134">
        <f t="shared" si="456"/>
        <v>0</v>
      </c>
      <c r="M953" s="134">
        <f t="shared" si="456"/>
        <v>0</v>
      </c>
      <c r="N953" s="134">
        <f t="shared" si="456"/>
        <v>0</v>
      </c>
      <c r="O953" s="134">
        <f t="shared" si="456"/>
        <v>0</v>
      </c>
      <c r="P953" s="134">
        <f t="shared" si="456"/>
        <v>0</v>
      </c>
      <c r="Q953" s="134">
        <f t="shared" si="456"/>
        <v>0</v>
      </c>
      <c r="R953" s="134">
        <f t="shared" si="456"/>
        <v>0</v>
      </c>
      <c r="S953" s="134">
        <f t="shared" si="456"/>
        <v>0</v>
      </c>
      <c r="T953" s="134">
        <f t="shared" si="456"/>
        <v>0</v>
      </c>
      <c r="U953" s="134">
        <f t="shared" si="456"/>
        <v>0</v>
      </c>
      <c r="V953" s="134">
        <f t="shared" si="456"/>
        <v>0</v>
      </c>
      <c r="W953" s="134">
        <f t="shared" si="456"/>
        <v>0</v>
      </c>
      <c r="X953" s="134">
        <f t="shared" si="456"/>
        <v>0</v>
      </c>
    </row>
    <row r="954" spans="1:24" hidden="1">
      <c r="A954" s="258"/>
      <c r="B954" s="132">
        <f t="shared" si="445"/>
        <v>0</v>
      </c>
      <c r="C954" s="132">
        <f t="shared" si="445"/>
        <v>0</v>
      </c>
      <c r="D954" s="132">
        <f t="shared" si="445"/>
        <v>0</v>
      </c>
      <c r="E954" s="132">
        <f t="shared" si="445"/>
        <v>0</v>
      </c>
      <c r="F954" s="132"/>
      <c r="G954" s="132"/>
      <c r="H954" s="132"/>
      <c r="I954" s="132"/>
      <c r="J954" s="132"/>
      <c r="K954" s="134">
        <f t="shared" ref="K954:X954" si="457">IF(AND($C954="B+R",$D954="nie",$E954="prace rozwojowe",LataProjekcji&lt;=Koniec_PR,Modul_badawczo_rozwojowy=tak),ROUND(K128,0),0)</f>
        <v>0</v>
      </c>
      <c r="L954" s="134">
        <f t="shared" si="457"/>
        <v>0</v>
      </c>
      <c r="M954" s="134">
        <f t="shared" si="457"/>
        <v>0</v>
      </c>
      <c r="N954" s="134">
        <f t="shared" si="457"/>
        <v>0</v>
      </c>
      <c r="O954" s="134">
        <f t="shared" si="457"/>
        <v>0</v>
      </c>
      <c r="P954" s="134">
        <f t="shared" si="457"/>
        <v>0</v>
      </c>
      <c r="Q954" s="134">
        <f t="shared" si="457"/>
        <v>0</v>
      </c>
      <c r="R954" s="134">
        <f t="shared" si="457"/>
        <v>0</v>
      </c>
      <c r="S954" s="134">
        <f t="shared" si="457"/>
        <v>0</v>
      </c>
      <c r="T954" s="134">
        <f t="shared" si="457"/>
        <v>0</v>
      </c>
      <c r="U954" s="134">
        <f t="shared" si="457"/>
        <v>0</v>
      </c>
      <c r="V954" s="134">
        <f t="shared" si="457"/>
        <v>0</v>
      </c>
      <c r="W954" s="134">
        <f t="shared" si="457"/>
        <v>0</v>
      </c>
      <c r="X954" s="134">
        <f t="shared" si="457"/>
        <v>0</v>
      </c>
    </row>
    <row r="955" spans="1:24" hidden="1">
      <c r="A955" s="258"/>
      <c r="B955" s="132">
        <f t="shared" si="445"/>
        <v>0</v>
      </c>
      <c r="C955" s="132">
        <f t="shared" si="445"/>
        <v>0</v>
      </c>
      <c r="D955" s="132">
        <f t="shared" si="445"/>
        <v>0</v>
      </c>
      <c r="E955" s="132">
        <f t="shared" si="445"/>
        <v>0</v>
      </c>
      <c r="F955" s="132"/>
      <c r="G955" s="132"/>
      <c r="H955" s="132"/>
      <c r="I955" s="132"/>
      <c r="J955" s="132"/>
      <c r="K955" s="134">
        <f t="shared" ref="K955:X955" si="458">IF(AND($C955="B+R",$D955="nie",$E955="prace rozwojowe",LataProjekcji&lt;=Koniec_PR,Modul_badawczo_rozwojowy=tak),ROUND(K129,0),0)</f>
        <v>0</v>
      </c>
      <c r="L955" s="134">
        <f t="shared" si="458"/>
        <v>0</v>
      </c>
      <c r="M955" s="134">
        <f t="shared" si="458"/>
        <v>0</v>
      </c>
      <c r="N955" s="134">
        <f t="shared" si="458"/>
        <v>0</v>
      </c>
      <c r="O955" s="134">
        <f t="shared" si="458"/>
        <v>0</v>
      </c>
      <c r="P955" s="134">
        <f t="shared" si="458"/>
        <v>0</v>
      </c>
      <c r="Q955" s="134">
        <f t="shared" si="458"/>
        <v>0</v>
      </c>
      <c r="R955" s="134">
        <f t="shared" si="458"/>
        <v>0</v>
      </c>
      <c r="S955" s="134">
        <f t="shared" si="458"/>
        <v>0</v>
      </c>
      <c r="T955" s="134">
        <f t="shared" si="458"/>
        <v>0</v>
      </c>
      <c r="U955" s="134">
        <f t="shared" si="458"/>
        <v>0</v>
      </c>
      <c r="V955" s="134">
        <f t="shared" si="458"/>
        <v>0</v>
      </c>
      <c r="W955" s="134">
        <f t="shared" si="458"/>
        <v>0</v>
      </c>
      <c r="X955" s="134">
        <f t="shared" si="458"/>
        <v>0</v>
      </c>
    </row>
    <row r="956" spans="1:24" hidden="1">
      <c r="A956" s="258"/>
      <c r="B956" s="132">
        <f t="shared" si="445"/>
        <v>0</v>
      </c>
      <c r="C956" s="132">
        <f t="shared" si="445"/>
        <v>0</v>
      </c>
      <c r="D956" s="132">
        <f t="shared" si="445"/>
        <v>0</v>
      </c>
      <c r="E956" s="132">
        <f t="shared" si="445"/>
        <v>0</v>
      </c>
      <c r="F956" s="132"/>
      <c r="G956" s="132"/>
      <c r="H956" s="132"/>
      <c r="I956" s="132"/>
      <c r="J956" s="132"/>
      <c r="K956" s="134">
        <f t="shared" ref="K956:X956" si="459">IF(AND($C956="B+R",$D956="nie",$E956="prace rozwojowe",LataProjekcji&lt;=Koniec_PR,Modul_badawczo_rozwojowy=tak),ROUND(K130,0),0)</f>
        <v>0</v>
      </c>
      <c r="L956" s="134">
        <f t="shared" si="459"/>
        <v>0</v>
      </c>
      <c r="M956" s="134">
        <f t="shared" si="459"/>
        <v>0</v>
      </c>
      <c r="N956" s="134">
        <f t="shared" si="459"/>
        <v>0</v>
      </c>
      <c r="O956" s="134">
        <f t="shared" si="459"/>
        <v>0</v>
      </c>
      <c r="P956" s="134">
        <f t="shared" si="459"/>
        <v>0</v>
      </c>
      <c r="Q956" s="134">
        <f t="shared" si="459"/>
        <v>0</v>
      </c>
      <c r="R956" s="134">
        <f t="shared" si="459"/>
        <v>0</v>
      </c>
      <c r="S956" s="134">
        <f t="shared" si="459"/>
        <v>0</v>
      </c>
      <c r="T956" s="134">
        <f t="shared" si="459"/>
        <v>0</v>
      </c>
      <c r="U956" s="134">
        <f t="shared" si="459"/>
        <v>0</v>
      </c>
      <c r="V956" s="134">
        <f t="shared" si="459"/>
        <v>0</v>
      </c>
      <c r="W956" s="134">
        <f t="shared" si="459"/>
        <v>0</v>
      </c>
      <c r="X956" s="134">
        <f t="shared" si="459"/>
        <v>0</v>
      </c>
    </row>
    <row r="957" spans="1:24" hidden="1">
      <c r="A957" s="258"/>
      <c r="B957" s="132">
        <f t="shared" si="445"/>
        <v>0</v>
      </c>
      <c r="C957" s="132">
        <f t="shared" si="445"/>
        <v>0</v>
      </c>
      <c r="D957" s="132">
        <f t="shared" si="445"/>
        <v>0</v>
      </c>
      <c r="E957" s="132">
        <f t="shared" si="445"/>
        <v>0</v>
      </c>
      <c r="F957" s="132"/>
      <c r="G957" s="132"/>
      <c r="H957" s="132"/>
      <c r="I957" s="132"/>
      <c r="J957" s="132"/>
      <c r="K957" s="134">
        <f t="shared" ref="K957:X957" si="460">IF(AND($C957="B+R",$D957="nie",$E957="prace rozwojowe",LataProjekcji&lt;=Koniec_PR,Modul_badawczo_rozwojowy=tak),ROUND(K131,0),0)</f>
        <v>0</v>
      </c>
      <c r="L957" s="134">
        <f t="shared" si="460"/>
        <v>0</v>
      </c>
      <c r="M957" s="134">
        <f t="shared" si="460"/>
        <v>0</v>
      </c>
      <c r="N957" s="134">
        <f t="shared" si="460"/>
        <v>0</v>
      </c>
      <c r="O957" s="134">
        <f t="shared" si="460"/>
        <v>0</v>
      </c>
      <c r="P957" s="134">
        <f t="shared" si="460"/>
        <v>0</v>
      </c>
      <c r="Q957" s="134">
        <f t="shared" si="460"/>
        <v>0</v>
      </c>
      <c r="R957" s="134">
        <f t="shared" si="460"/>
        <v>0</v>
      </c>
      <c r="S957" s="134">
        <f t="shared" si="460"/>
        <v>0</v>
      </c>
      <c r="T957" s="134">
        <f t="shared" si="460"/>
        <v>0</v>
      </c>
      <c r="U957" s="134">
        <f t="shared" si="460"/>
        <v>0</v>
      </c>
      <c r="V957" s="134">
        <f t="shared" si="460"/>
        <v>0</v>
      </c>
      <c r="W957" s="134">
        <f t="shared" si="460"/>
        <v>0</v>
      </c>
      <c r="X957" s="134">
        <f t="shared" si="460"/>
        <v>0</v>
      </c>
    </row>
    <row r="958" spans="1:24" hidden="1">
      <c r="A958" s="258"/>
      <c r="B958" s="132">
        <f t="shared" si="445"/>
        <v>0</v>
      </c>
      <c r="C958" s="132">
        <f t="shared" si="445"/>
        <v>0</v>
      </c>
      <c r="D958" s="132">
        <f t="shared" si="445"/>
        <v>0</v>
      </c>
      <c r="E958" s="132">
        <f t="shared" si="445"/>
        <v>0</v>
      </c>
      <c r="F958" s="132"/>
      <c r="G958" s="132"/>
      <c r="H958" s="132"/>
      <c r="I958" s="132"/>
      <c r="J958" s="132"/>
      <c r="K958" s="134">
        <f t="shared" ref="K958:X958" si="461">IF(AND($C958="B+R",$D958="nie",$E958="prace rozwojowe",LataProjekcji&lt;=Koniec_PR,Modul_badawczo_rozwojowy=tak),ROUND(K132,0),0)</f>
        <v>0</v>
      </c>
      <c r="L958" s="134">
        <f t="shared" si="461"/>
        <v>0</v>
      </c>
      <c r="M958" s="134">
        <f t="shared" si="461"/>
        <v>0</v>
      </c>
      <c r="N958" s="134">
        <f t="shared" si="461"/>
        <v>0</v>
      </c>
      <c r="O958" s="134">
        <f t="shared" si="461"/>
        <v>0</v>
      </c>
      <c r="P958" s="134">
        <f t="shared" si="461"/>
        <v>0</v>
      </c>
      <c r="Q958" s="134">
        <f t="shared" si="461"/>
        <v>0</v>
      </c>
      <c r="R958" s="134">
        <f t="shared" si="461"/>
        <v>0</v>
      </c>
      <c r="S958" s="134">
        <f t="shared" si="461"/>
        <v>0</v>
      </c>
      <c r="T958" s="134">
        <f t="shared" si="461"/>
        <v>0</v>
      </c>
      <c r="U958" s="134">
        <f t="shared" si="461"/>
        <v>0</v>
      </c>
      <c r="V958" s="134">
        <f t="shared" si="461"/>
        <v>0</v>
      </c>
      <c r="W958" s="134">
        <f t="shared" si="461"/>
        <v>0</v>
      </c>
      <c r="X958" s="134">
        <f t="shared" si="461"/>
        <v>0</v>
      </c>
    </row>
    <row r="959" spans="1:24" hidden="1">
      <c r="A959" s="258"/>
      <c r="B959" s="132">
        <f t="shared" si="445"/>
        <v>0</v>
      </c>
      <c r="C959" s="132">
        <f t="shared" si="445"/>
        <v>0</v>
      </c>
      <c r="D959" s="132">
        <f t="shared" si="445"/>
        <v>0</v>
      </c>
      <c r="E959" s="132">
        <f t="shared" si="445"/>
        <v>0</v>
      </c>
      <c r="F959" s="132"/>
      <c r="G959" s="132"/>
      <c r="H959" s="132"/>
      <c r="I959" s="132"/>
      <c r="J959" s="132"/>
      <c r="K959" s="134">
        <f t="shared" ref="K959:X959" si="462">IF(AND($C959="B+R",$D959="nie",$E959="prace rozwojowe",LataProjekcji&lt;=Koniec_PR,Modul_badawczo_rozwojowy=tak),ROUND(K133,0),0)</f>
        <v>0</v>
      </c>
      <c r="L959" s="134">
        <f t="shared" si="462"/>
        <v>0</v>
      </c>
      <c r="M959" s="134">
        <f t="shared" si="462"/>
        <v>0</v>
      </c>
      <c r="N959" s="134">
        <f t="shared" si="462"/>
        <v>0</v>
      </c>
      <c r="O959" s="134">
        <f t="shared" si="462"/>
        <v>0</v>
      </c>
      <c r="P959" s="134">
        <f t="shared" si="462"/>
        <v>0</v>
      </c>
      <c r="Q959" s="134">
        <f t="shared" si="462"/>
        <v>0</v>
      </c>
      <c r="R959" s="134">
        <f t="shared" si="462"/>
        <v>0</v>
      </c>
      <c r="S959" s="134">
        <f t="shared" si="462"/>
        <v>0</v>
      </c>
      <c r="T959" s="134">
        <f t="shared" si="462"/>
        <v>0</v>
      </c>
      <c r="U959" s="134">
        <f t="shared" si="462"/>
        <v>0</v>
      </c>
      <c r="V959" s="134">
        <f t="shared" si="462"/>
        <v>0</v>
      </c>
      <c r="W959" s="134">
        <f t="shared" si="462"/>
        <v>0</v>
      </c>
      <c r="X959" s="134">
        <f t="shared" si="462"/>
        <v>0</v>
      </c>
    </row>
    <row r="960" spans="1:24" hidden="1">
      <c r="A960" s="258"/>
      <c r="B960" s="132">
        <f t="shared" si="445"/>
        <v>0</v>
      </c>
      <c r="C960" s="132">
        <f t="shared" si="445"/>
        <v>0</v>
      </c>
      <c r="D960" s="132">
        <f t="shared" si="445"/>
        <v>0</v>
      </c>
      <c r="E960" s="132">
        <f t="shared" si="445"/>
        <v>0</v>
      </c>
      <c r="F960" s="132"/>
      <c r="G960" s="132"/>
      <c r="H960" s="132"/>
      <c r="I960" s="132"/>
      <c r="J960" s="132"/>
      <c r="K960" s="134">
        <f t="shared" ref="K960:X960" si="463">IF(AND($C960="B+R",$D960="nie",$E960="prace rozwojowe",LataProjekcji&lt;=Koniec_PR,Modul_badawczo_rozwojowy=tak),ROUND(K134,0),0)</f>
        <v>0</v>
      </c>
      <c r="L960" s="134">
        <f t="shared" si="463"/>
        <v>0</v>
      </c>
      <c r="M960" s="134">
        <f t="shared" si="463"/>
        <v>0</v>
      </c>
      <c r="N960" s="134">
        <f t="shared" si="463"/>
        <v>0</v>
      </c>
      <c r="O960" s="134">
        <f t="shared" si="463"/>
        <v>0</v>
      </c>
      <c r="P960" s="134">
        <f t="shared" si="463"/>
        <v>0</v>
      </c>
      <c r="Q960" s="134">
        <f t="shared" si="463"/>
        <v>0</v>
      </c>
      <c r="R960" s="134">
        <f t="shared" si="463"/>
        <v>0</v>
      </c>
      <c r="S960" s="134">
        <f t="shared" si="463"/>
        <v>0</v>
      </c>
      <c r="T960" s="134">
        <f t="shared" si="463"/>
        <v>0</v>
      </c>
      <c r="U960" s="134">
        <f t="shared" si="463"/>
        <v>0</v>
      </c>
      <c r="V960" s="134">
        <f t="shared" si="463"/>
        <v>0</v>
      </c>
      <c r="W960" s="134">
        <f t="shared" si="463"/>
        <v>0</v>
      </c>
      <c r="X960" s="134">
        <f t="shared" si="463"/>
        <v>0</v>
      </c>
    </row>
    <row r="961" spans="1:24" hidden="1">
      <c r="A961" s="258"/>
      <c r="B961" s="132">
        <f t="shared" si="445"/>
        <v>0</v>
      </c>
      <c r="C961" s="132">
        <f t="shared" si="445"/>
        <v>0</v>
      </c>
      <c r="D961" s="132">
        <f t="shared" si="445"/>
        <v>0</v>
      </c>
      <c r="E961" s="132">
        <f t="shared" si="445"/>
        <v>0</v>
      </c>
      <c r="F961" s="132"/>
      <c r="G961" s="132"/>
      <c r="H961" s="132"/>
      <c r="I961" s="132"/>
      <c r="J961" s="132"/>
      <c r="K961" s="134">
        <f t="shared" ref="K961:X961" si="464">IF(AND($C961="B+R",$D961="nie",$E961="prace rozwojowe",LataProjekcji&lt;=Koniec_PR,Modul_badawczo_rozwojowy=tak),ROUND(K135,0),0)</f>
        <v>0</v>
      </c>
      <c r="L961" s="134">
        <f t="shared" si="464"/>
        <v>0</v>
      </c>
      <c r="M961" s="134">
        <f t="shared" si="464"/>
        <v>0</v>
      </c>
      <c r="N961" s="134">
        <f t="shared" si="464"/>
        <v>0</v>
      </c>
      <c r="O961" s="134">
        <f t="shared" si="464"/>
        <v>0</v>
      </c>
      <c r="P961" s="134">
        <f t="shared" si="464"/>
        <v>0</v>
      </c>
      <c r="Q961" s="134">
        <f t="shared" si="464"/>
        <v>0</v>
      </c>
      <c r="R961" s="134">
        <f t="shared" si="464"/>
        <v>0</v>
      </c>
      <c r="S961" s="134">
        <f t="shared" si="464"/>
        <v>0</v>
      </c>
      <c r="T961" s="134">
        <f t="shared" si="464"/>
        <v>0</v>
      </c>
      <c r="U961" s="134">
        <f t="shared" si="464"/>
        <v>0</v>
      </c>
      <c r="V961" s="134">
        <f t="shared" si="464"/>
        <v>0</v>
      </c>
      <c r="W961" s="134">
        <f t="shared" si="464"/>
        <v>0</v>
      </c>
      <c r="X961" s="134">
        <f t="shared" si="464"/>
        <v>0</v>
      </c>
    </row>
    <row r="962" spans="1:24" hidden="1">
      <c r="A962" s="258"/>
      <c r="B962" s="132">
        <f t="shared" si="445"/>
        <v>0</v>
      </c>
      <c r="C962" s="132">
        <f t="shared" si="445"/>
        <v>0</v>
      </c>
      <c r="D962" s="132">
        <f t="shared" si="445"/>
        <v>0</v>
      </c>
      <c r="E962" s="132">
        <f t="shared" si="445"/>
        <v>0</v>
      </c>
      <c r="F962" s="132"/>
      <c r="G962" s="132"/>
      <c r="H962" s="132"/>
      <c r="I962" s="132"/>
      <c r="J962" s="132"/>
      <c r="K962" s="134">
        <f t="shared" ref="K962:X962" si="465">IF(AND($C962="B+R",$D962="nie",$E962="prace rozwojowe",LataProjekcji&lt;=Koniec_PR,Modul_badawczo_rozwojowy=tak),ROUND(K136,0),0)</f>
        <v>0</v>
      </c>
      <c r="L962" s="134">
        <f t="shared" si="465"/>
        <v>0</v>
      </c>
      <c r="M962" s="134">
        <f t="shared" si="465"/>
        <v>0</v>
      </c>
      <c r="N962" s="134">
        <f t="shared" si="465"/>
        <v>0</v>
      </c>
      <c r="O962" s="134">
        <f t="shared" si="465"/>
        <v>0</v>
      </c>
      <c r="P962" s="134">
        <f t="shared" si="465"/>
        <v>0</v>
      </c>
      <c r="Q962" s="134">
        <f t="shared" si="465"/>
        <v>0</v>
      </c>
      <c r="R962" s="134">
        <f t="shared" si="465"/>
        <v>0</v>
      </c>
      <c r="S962" s="134">
        <f t="shared" si="465"/>
        <v>0</v>
      </c>
      <c r="T962" s="134">
        <f t="shared" si="465"/>
        <v>0</v>
      </c>
      <c r="U962" s="134">
        <f t="shared" si="465"/>
        <v>0</v>
      </c>
      <c r="V962" s="134">
        <f t="shared" si="465"/>
        <v>0</v>
      </c>
      <c r="W962" s="134">
        <f t="shared" si="465"/>
        <v>0</v>
      </c>
      <c r="X962" s="134">
        <f t="shared" si="465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66">ROUND(SUM(K943:K962),0)</f>
        <v>0</v>
      </c>
      <c r="L963" s="135">
        <f t="shared" si="466"/>
        <v>0</v>
      </c>
      <c r="M963" s="135">
        <f t="shared" si="466"/>
        <v>0</v>
      </c>
      <c r="N963" s="135">
        <f t="shared" si="466"/>
        <v>0</v>
      </c>
      <c r="O963" s="135">
        <f t="shared" si="466"/>
        <v>0</v>
      </c>
      <c r="P963" s="135">
        <f t="shared" si="466"/>
        <v>0</v>
      </c>
      <c r="Q963" s="135">
        <f t="shared" si="466"/>
        <v>0</v>
      </c>
      <c r="R963" s="135">
        <f t="shared" si="466"/>
        <v>0</v>
      </c>
      <c r="S963" s="135">
        <f t="shared" si="466"/>
        <v>0</v>
      </c>
      <c r="T963" s="135">
        <f t="shared" si="466"/>
        <v>0</v>
      </c>
      <c r="U963" s="135">
        <f t="shared" si="466"/>
        <v>0</v>
      </c>
      <c r="V963" s="135">
        <f t="shared" si="466"/>
        <v>0</v>
      </c>
      <c r="W963" s="135">
        <f t="shared" si="466"/>
        <v>0</v>
      </c>
      <c r="X963" s="135">
        <f t="shared" si="466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67">B162</f>
        <v>0</v>
      </c>
      <c r="C967" s="132">
        <f t="shared" si="467"/>
        <v>0</v>
      </c>
      <c r="D967" s="132">
        <f t="shared" si="467"/>
        <v>0</v>
      </c>
      <c r="E967" s="132">
        <f t="shared" si="467"/>
        <v>0</v>
      </c>
      <c r="F967" s="132"/>
      <c r="G967" s="132"/>
      <c r="H967" s="132"/>
      <c r="I967" s="132"/>
      <c r="J967" s="132"/>
      <c r="K967" s="134">
        <f t="shared" ref="K967:X967" si="468">IF(AND($C967="B+R",$D967="nie",$E967="prace rozwojowe",LataProjekcji&lt;=Koniec_PR,Modul_badawczo_rozwojowy=tak),ROUND(K162,0),0)</f>
        <v>0</v>
      </c>
      <c r="L967" s="134">
        <f t="shared" si="468"/>
        <v>0</v>
      </c>
      <c r="M967" s="134">
        <f t="shared" si="468"/>
        <v>0</v>
      </c>
      <c r="N967" s="134">
        <f t="shared" si="468"/>
        <v>0</v>
      </c>
      <c r="O967" s="134">
        <f t="shared" si="468"/>
        <v>0</v>
      </c>
      <c r="P967" s="134">
        <f t="shared" si="468"/>
        <v>0</v>
      </c>
      <c r="Q967" s="134">
        <f t="shared" si="468"/>
        <v>0</v>
      </c>
      <c r="R967" s="134">
        <f t="shared" si="468"/>
        <v>0</v>
      </c>
      <c r="S967" s="134">
        <f t="shared" si="468"/>
        <v>0</v>
      </c>
      <c r="T967" s="134">
        <f t="shared" si="468"/>
        <v>0</v>
      </c>
      <c r="U967" s="134">
        <f t="shared" si="468"/>
        <v>0</v>
      </c>
      <c r="V967" s="134">
        <f t="shared" si="468"/>
        <v>0</v>
      </c>
      <c r="W967" s="134">
        <f t="shared" si="468"/>
        <v>0</v>
      </c>
      <c r="X967" s="134">
        <f t="shared" si="468"/>
        <v>0</v>
      </c>
    </row>
    <row r="968" spans="1:24" hidden="1">
      <c r="B968" s="132">
        <f t="shared" si="467"/>
        <v>0</v>
      </c>
      <c r="C968" s="132">
        <f t="shared" si="467"/>
        <v>0</v>
      </c>
      <c r="D968" s="132">
        <f t="shared" si="467"/>
        <v>0</v>
      </c>
      <c r="E968" s="132">
        <f t="shared" si="467"/>
        <v>0</v>
      </c>
      <c r="F968" s="132"/>
      <c r="G968" s="132"/>
      <c r="H968" s="132"/>
      <c r="I968" s="132"/>
      <c r="J968" s="132"/>
      <c r="K968" s="134">
        <f t="shared" ref="K968:X968" si="469">IF(AND($C968="B+R",$D968="nie",$E968="prace rozwojowe",LataProjekcji&lt;=Koniec_PR,Modul_badawczo_rozwojowy=tak),ROUND(K163,0),0)</f>
        <v>0</v>
      </c>
      <c r="L968" s="134">
        <f t="shared" si="469"/>
        <v>0</v>
      </c>
      <c r="M968" s="134">
        <f t="shared" si="469"/>
        <v>0</v>
      </c>
      <c r="N968" s="134">
        <f t="shared" si="469"/>
        <v>0</v>
      </c>
      <c r="O968" s="134">
        <f t="shared" si="469"/>
        <v>0</v>
      </c>
      <c r="P968" s="134">
        <f t="shared" si="469"/>
        <v>0</v>
      </c>
      <c r="Q968" s="134">
        <f t="shared" si="469"/>
        <v>0</v>
      </c>
      <c r="R968" s="134">
        <f t="shared" si="469"/>
        <v>0</v>
      </c>
      <c r="S968" s="134">
        <f t="shared" si="469"/>
        <v>0</v>
      </c>
      <c r="T968" s="134">
        <f t="shared" si="469"/>
        <v>0</v>
      </c>
      <c r="U968" s="134">
        <f t="shared" si="469"/>
        <v>0</v>
      </c>
      <c r="V968" s="134">
        <f t="shared" si="469"/>
        <v>0</v>
      </c>
      <c r="W968" s="134">
        <f t="shared" si="469"/>
        <v>0</v>
      </c>
      <c r="X968" s="134">
        <f t="shared" si="469"/>
        <v>0</v>
      </c>
    </row>
    <row r="969" spans="1:24" hidden="1">
      <c r="B969" s="132">
        <f t="shared" si="467"/>
        <v>0</v>
      </c>
      <c r="C969" s="132">
        <f t="shared" si="467"/>
        <v>0</v>
      </c>
      <c r="D969" s="132">
        <f t="shared" si="467"/>
        <v>0</v>
      </c>
      <c r="E969" s="132">
        <f t="shared" si="467"/>
        <v>0</v>
      </c>
      <c r="F969" s="132"/>
      <c r="G969" s="132"/>
      <c r="H969" s="132"/>
      <c r="I969" s="132"/>
      <c r="J969" s="132"/>
      <c r="K969" s="134">
        <f t="shared" ref="K969:X969" si="470">IF(AND($C969="B+R",$D969="nie",$E969="prace rozwojowe",LataProjekcji&lt;=Koniec_PR,Modul_badawczo_rozwojowy=tak),ROUND(K164,0),0)</f>
        <v>0</v>
      </c>
      <c r="L969" s="134">
        <f t="shared" si="470"/>
        <v>0</v>
      </c>
      <c r="M969" s="134">
        <f t="shared" si="470"/>
        <v>0</v>
      </c>
      <c r="N969" s="134">
        <f t="shared" si="470"/>
        <v>0</v>
      </c>
      <c r="O969" s="134">
        <f t="shared" si="470"/>
        <v>0</v>
      </c>
      <c r="P969" s="134">
        <f t="shared" si="470"/>
        <v>0</v>
      </c>
      <c r="Q969" s="134">
        <f t="shared" si="470"/>
        <v>0</v>
      </c>
      <c r="R969" s="134">
        <f t="shared" si="470"/>
        <v>0</v>
      </c>
      <c r="S969" s="134">
        <f t="shared" si="470"/>
        <v>0</v>
      </c>
      <c r="T969" s="134">
        <f t="shared" si="470"/>
        <v>0</v>
      </c>
      <c r="U969" s="134">
        <f t="shared" si="470"/>
        <v>0</v>
      </c>
      <c r="V969" s="134">
        <f t="shared" si="470"/>
        <v>0</v>
      </c>
      <c r="W969" s="134">
        <f t="shared" si="470"/>
        <v>0</v>
      </c>
      <c r="X969" s="134">
        <f t="shared" si="470"/>
        <v>0</v>
      </c>
    </row>
    <row r="970" spans="1:24" hidden="1">
      <c r="B970" s="132">
        <f t="shared" si="467"/>
        <v>0</v>
      </c>
      <c r="C970" s="132">
        <f t="shared" si="467"/>
        <v>0</v>
      </c>
      <c r="D970" s="132">
        <f t="shared" si="467"/>
        <v>0</v>
      </c>
      <c r="E970" s="132">
        <f t="shared" si="467"/>
        <v>0</v>
      </c>
      <c r="F970" s="132"/>
      <c r="G970" s="132"/>
      <c r="H970" s="132"/>
      <c r="I970" s="132"/>
      <c r="J970" s="132"/>
      <c r="K970" s="134">
        <f t="shared" ref="K970:X970" si="471">IF(AND($C970="B+R",$D970="nie",$E970="prace rozwojowe",LataProjekcji&lt;=Koniec_PR,Modul_badawczo_rozwojowy=tak),ROUND(K165,0),0)</f>
        <v>0</v>
      </c>
      <c r="L970" s="134">
        <f t="shared" si="471"/>
        <v>0</v>
      </c>
      <c r="M970" s="134">
        <f t="shared" si="471"/>
        <v>0</v>
      </c>
      <c r="N970" s="134">
        <f t="shared" si="471"/>
        <v>0</v>
      </c>
      <c r="O970" s="134">
        <f t="shared" si="471"/>
        <v>0</v>
      </c>
      <c r="P970" s="134">
        <f t="shared" si="471"/>
        <v>0</v>
      </c>
      <c r="Q970" s="134">
        <f t="shared" si="471"/>
        <v>0</v>
      </c>
      <c r="R970" s="134">
        <f t="shared" si="471"/>
        <v>0</v>
      </c>
      <c r="S970" s="134">
        <f t="shared" si="471"/>
        <v>0</v>
      </c>
      <c r="T970" s="134">
        <f t="shared" si="471"/>
        <v>0</v>
      </c>
      <c r="U970" s="134">
        <f t="shared" si="471"/>
        <v>0</v>
      </c>
      <c r="V970" s="134">
        <f t="shared" si="471"/>
        <v>0</v>
      </c>
      <c r="W970" s="134">
        <f t="shared" si="471"/>
        <v>0</v>
      </c>
      <c r="X970" s="134">
        <f t="shared" si="471"/>
        <v>0</v>
      </c>
    </row>
    <row r="971" spans="1:24" hidden="1">
      <c r="B971" s="132">
        <f t="shared" si="467"/>
        <v>0</v>
      </c>
      <c r="C971" s="132">
        <f t="shared" si="467"/>
        <v>0</v>
      </c>
      <c r="D971" s="132">
        <f t="shared" si="467"/>
        <v>0</v>
      </c>
      <c r="E971" s="132">
        <f t="shared" si="467"/>
        <v>0</v>
      </c>
      <c r="F971" s="132"/>
      <c r="G971" s="132"/>
      <c r="H971" s="132"/>
      <c r="I971" s="132"/>
      <c r="J971" s="132"/>
      <c r="K971" s="134">
        <f t="shared" ref="K971:X971" si="472">IF(AND($C971="B+R",$D971="nie",$E971="prace rozwojowe",LataProjekcji&lt;=Koniec_PR,Modul_badawczo_rozwojowy=tak),ROUND(K166,0),0)</f>
        <v>0</v>
      </c>
      <c r="L971" s="134">
        <f t="shared" si="472"/>
        <v>0</v>
      </c>
      <c r="M971" s="134">
        <f t="shared" si="472"/>
        <v>0</v>
      </c>
      <c r="N971" s="134">
        <f t="shared" si="472"/>
        <v>0</v>
      </c>
      <c r="O971" s="134">
        <f t="shared" si="472"/>
        <v>0</v>
      </c>
      <c r="P971" s="134">
        <f t="shared" si="472"/>
        <v>0</v>
      </c>
      <c r="Q971" s="134">
        <f t="shared" si="472"/>
        <v>0</v>
      </c>
      <c r="R971" s="134">
        <f t="shared" si="472"/>
        <v>0</v>
      </c>
      <c r="S971" s="134">
        <f t="shared" si="472"/>
        <v>0</v>
      </c>
      <c r="T971" s="134">
        <f t="shared" si="472"/>
        <v>0</v>
      </c>
      <c r="U971" s="134">
        <f t="shared" si="472"/>
        <v>0</v>
      </c>
      <c r="V971" s="134">
        <f t="shared" si="472"/>
        <v>0</v>
      </c>
      <c r="W971" s="134">
        <f t="shared" si="472"/>
        <v>0</v>
      </c>
      <c r="X971" s="134">
        <f t="shared" si="472"/>
        <v>0</v>
      </c>
    </row>
    <row r="972" spans="1:24" hidden="1">
      <c r="B972" s="132">
        <f t="shared" si="467"/>
        <v>0</v>
      </c>
      <c r="C972" s="132">
        <f t="shared" si="467"/>
        <v>0</v>
      </c>
      <c r="D972" s="132">
        <f t="shared" si="467"/>
        <v>0</v>
      </c>
      <c r="E972" s="132">
        <f t="shared" si="467"/>
        <v>0</v>
      </c>
      <c r="F972" s="132"/>
      <c r="G972" s="132"/>
      <c r="H972" s="132"/>
      <c r="I972" s="132"/>
      <c r="J972" s="132"/>
      <c r="K972" s="134">
        <f t="shared" ref="K972:X972" si="473">IF(AND($C972="B+R",$D972="nie",$E972="prace rozwojowe",LataProjekcji&lt;=Koniec_PR,Modul_badawczo_rozwojowy=tak),ROUND(K167,0),0)</f>
        <v>0</v>
      </c>
      <c r="L972" s="134">
        <f t="shared" si="473"/>
        <v>0</v>
      </c>
      <c r="M972" s="134">
        <f t="shared" si="473"/>
        <v>0</v>
      </c>
      <c r="N972" s="134">
        <f t="shared" si="473"/>
        <v>0</v>
      </c>
      <c r="O972" s="134">
        <f t="shared" si="473"/>
        <v>0</v>
      </c>
      <c r="P972" s="134">
        <f t="shared" si="473"/>
        <v>0</v>
      </c>
      <c r="Q972" s="134">
        <f t="shared" si="473"/>
        <v>0</v>
      </c>
      <c r="R972" s="134">
        <f t="shared" si="473"/>
        <v>0</v>
      </c>
      <c r="S972" s="134">
        <f t="shared" si="473"/>
        <v>0</v>
      </c>
      <c r="T972" s="134">
        <f t="shared" si="473"/>
        <v>0</v>
      </c>
      <c r="U972" s="134">
        <f t="shared" si="473"/>
        <v>0</v>
      </c>
      <c r="V972" s="134">
        <f t="shared" si="473"/>
        <v>0</v>
      </c>
      <c r="W972" s="134">
        <f t="shared" si="473"/>
        <v>0</v>
      </c>
      <c r="X972" s="134">
        <f t="shared" si="473"/>
        <v>0</v>
      </c>
    </row>
    <row r="973" spans="1:24" hidden="1">
      <c r="B973" s="132">
        <f t="shared" si="467"/>
        <v>0</v>
      </c>
      <c r="C973" s="132">
        <f t="shared" si="467"/>
        <v>0</v>
      </c>
      <c r="D973" s="132">
        <f t="shared" si="467"/>
        <v>0</v>
      </c>
      <c r="E973" s="132">
        <f t="shared" si="467"/>
        <v>0</v>
      </c>
      <c r="F973" s="132"/>
      <c r="G973" s="132"/>
      <c r="H973" s="132"/>
      <c r="I973" s="132"/>
      <c r="J973" s="132"/>
      <c r="K973" s="134">
        <f t="shared" ref="K973:X973" si="474">IF(AND($C973="B+R",$D973="nie",$E973="prace rozwojowe",LataProjekcji&lt;=Koniec_PR,Modul_badawczo_rozwojowy=tak),ROUND(K168,0),0)</f>
        <v>0</v>
      </c>
      <c r="L973" s="134">
        <f t="shared" si="474"/>
        <v>0</v>
      </c>
      <c r="M973" s="134">
        <f t="shared" si="474"/>
        <v>0</v>
      </c>
      <c r="N973" s="134">
        <f t="shared" si="474"/>
        <v>0</v>
      </c>
      <c r="O973" s="134">
        <f t="shared" si="474"/>
        <v>0</v>
      </c>
      <c r="P973" s="134">
        <f t="shared" si="474"/>
        <v>0</v>
      </c>
      <c r="Q973" s="134">
        <f t="shared" si="474"/>
        <v>0</v>
      </c>
      <c r="R973" s="134">
        <f t="shared" si="474"/>
        <v>0</v>
      </c>
      <c r="S973" s="134">
        <f t="shared" si="474"/>
        <v>0</v>
      </c>
      <c r="T973" s="134">
        <f t="shared" si="474"/>
        <v>0</v>
      </c>
      <c r="U973" s="134">
        <f t="shared" si="474"/>
        <v>0</v>
      </c>
      <c r="V973" s="134">
        <f t="shared" si="474"/>
        <v>0</v>
      </c>
      <c r="W973" s="134">
        <f t="shared" si="474"/>
        <v>0</v>
      </c>
      <c r="X973" s="134">
        <f t="shared" si="474"/>
        <v>0</v>
      </c>
    </row>
    <row r="974" spans="1:24" hidden="1">
      <c r="B974" s="132">
        <f t="shared" si="467"/>
        <v>0</v>
      </c>
      <c r="C974" s="132">
        <f t="shared" si="467"/>
        <v>0</v>
      </c>
      <c r="D974" s="132">
        <f t="shared" si="467"/>
        <v>0</v>
      </c>
      <c r="E974" s="132">
        <f t="shared" si="467"/>
        <v>0</v>
      </c>
      <c r="F974" s="132"/>
      <c r="G974" s="132"/>
      <c r="H974" s="132"/>
      <c r="I974" s="132"/>
      <c r="J974" s="132"/>
      <c r="K974" s="134">
        <f t="shared" ref="K974:X974" si="475">IF(AND($C974="B+R",$D974="nie",$E974="prace rozwojowe",LataProjekcji&lt;=Koniec_PR,Modul_badawczo_rozwojowy=tak),ROUND(K169,0),0)</f>
        <v>0</v>
      </c>
      <c r="L974" s="134">
        <f t="shared" si="475"/>
        <v>0</v>
      </c>
      <c r="M974" s="134">
        <f t="shared" si="475"/>
        <v>0</v>
      </c>
      <c r="N974" s="134">
        <f t="shared" si="475"/>
        <v>0</v>
      </c>
      <c r="O974" s="134">
        <f t="shared" si="475"/>
        <v>0</v>
      </c>
      <c r="P974" s="134">
        <f t="shared" si="475"/>
        <v>0</v>
      </c>
      <c r="Q974" s="134">
        <f t="shared" si="475"/>
        <v>0</v>
      </c>
      <c r="R974" s="134">
        <f t="shared" si="475"/>
        <v>0</v>
      </c>
      <c r="S974" s="134">
        <f t="shared" si="475"/>
        <v>0</v>
      </c>
      <c r="T974" s="134">
        <f t="shared" si="475"/>
        <v>0</v>
      </c>
      <c r="U974" s="134">
        <f t="shared" si="475"/>
        <v>0</v>
      </c>
      <c r="V974" s="134">
        <f t="shared" si="475"/>
        <v>0</v>
      </c>
      <c r="W974" s="134">
        <f t="shared" si="475"/>
        <v>0</v>
      </c>
      <c r="X974" s="134">
        <f t="shared" si="475"/>
        <v>0</v>
      </c>
    </row>
    <row r="975" spans="1:24" hidden="1">
      <c r="B975" s="132">
        <f t="shared" si="467"/>
        <v>0</v>
      </c>
      <c r="C975" s="132">
        <f t="shared" si="467"/>
        <v>0</v>
      </c>
      <c r="D975" s="132">
        <f t="shared" si="467"/>
        <v>0</v>
      </c>
      <c r="E975" s="132">
        <f t="shared" si="467"/>
        <v>0</v>
      </c>
      <c r="F975" s="132"/>
      <c r="G975" s="132"/>
      <c r="H975" s="132"/>
      <c r="I975" s="132"/>
      <c r="J975" s="132"/>
      <c r="K975" s="134">
        <f t="shared" ref="K975:X975" si="476">IF(AND($C975="B+R",$D975="nie",$E975="prace rozwojowe",LataProjekcji&lt;=Koniec_PR,Modul_badawczo_rozwojowy=tak),ROUND(K170,0),0)</f>
        <v>0</v>
      </c>
      <c r="L975" s="134">
        <f t="shared" si="476"/>
        <v>0</v>
      </c>
      <c r="M975" s="134">
        <f t="shared" si="476"/>
        <v>0</v>
      </c>
      <c r="N975" s="134">
        <f t="shared" si="476"/>
        <v>0</v>
      </c>
      <c r="O975" s="134">
        <f t="shared" si="476"/>
        <v>0</v>
      </c>
      <c r="P975" s="134">
        <f t="shared" si="476"/>
        <v>0</v>
      </c>
      <c r="Q975" s="134">
        <f t="shared" si="476"/>
        <v>0</v>
      </c>
      <c r="R975" s="134">
        <f t="shared" si="476"/>
        <v>0</v>
      </c>
      <c r="S975" s="134">
        <f t="shared" si="476"/>
        <v>0</v>
      </c>
      <c r="T975" s="134">
        <f t="shared" si="476"/>
        <v>0</v>
      </c>
      <c r="U975" s="134">
        <f t="shared" si="476"/>
        <v>0</v>
      </c>
      <c r="V975" s="134">
        <f t="shared" si="476"/>
        <v>0</v>
      </c>
      <c r="W975" s="134">
        <f t="shared" si="476"/>
        <v>0</v>
      </c>
      <c r="X975" s="134">
        <f t="shared" si="476"/>
        <v>0</v>
      </c>
    </row>
    <row r="976" spans="1:24" hidden="1">
      <c r="B976" s="132">
        <f t="shared" si="467"/>
        <v>0</v>
      </c>
      <c r="C976" s="132">
        <f t="shared" si="467"/>
        <v>0</v>
      </c>
      <c r="D976" s="132">
        <f t="shared" si="467"/>
        <v>0</v>
      </c>
      <c r="E976" s="132">
        <f t="shared" si="467"/>
        <v>0</v>
      </c>
      <c r="F976" s="132"/>
      <c r="G976" s="132"/>
      <c r="H976" s="132"/>
      <c r="I976" s="132"/>
      <c r="J976" s="132"/>
      <c r="K976" s="134">
        <f t="shared" ref="K976:X976" si="477">IF(AND($C976="B+R",$D976="nie",$E976="prace rozwojowe",LataProjekcji&lt;=Koniec_PR,Modul_badawczo_rozwojowy=tak),ROUND(K171,0),0)</f>
        <v>0</v>
      </c>
      <c r="L976" s="134">
        <f t="shared" si="477"/>
        <v>0</v>
      </c>
      <c r="M976" s="134">
        <f t="shared" si="477"/>
        <v>0</v>
      </c>
      <c r="N976" s="134">
        <f t="shared" si="477"/>
        <v>0</v>
      </c>
      <c r="O976" s="134">
        <f t="shared" si="477"/>
        <v>0</v>
      </c>
      <c r="P976" s="134">
        <f t="shared" si="477"/>
        <v>0</v>
      </c>
      <c r="Q976" s="134">
        <f t="shared" si="477"/>
        <v>0</v>
      </c>
      <c r="R976" s="134">
        <f t="shared" si="477"/>
        <v>0</v>
      </c>
      <c r="S976" s="134">
        <f t="shared" si="477"/>
        <v>0</v>
      </c>
      <c r="T976" s="134">
        <f t="shared" si="477"/>
        <v>0</v>
      </c>
      <c r="U976" s="134">
        <f t="shared" si="477"/>
        <v>0</v>
      </c>
      <c r="V976" s="134">
        <f t="shared" si="477"/>
        <v>0</v>
      </c>
      <c r="W976" s="134">
        <f t="shared" si="477"/>
        <v>0</v>
      </c>
      <c r="X976" s="134">
        <f t="shared" si="477"/>
        <v>0</v>
      </c>
    </row>
    <row r="977" spans="2:24" hidden="1">
      <c r="B977" s="132">
        <f t="shared" si="467"/>
        <v>0</v>
      </c>
      <c r="C977" s="132">
        <f t="shared" si="467"/>
        <v>0</v>
      </c>
      <c r="D977" s="132">
        <f t="shared" si="467"/>
        <v>0</v>
      </c>
      <c r="E977" s="132">
        <f t="shared" si="467"/>
        <v>0</v>
      </c>
      <c r="F977" s="132"/>
      <c r="G977" s="132"/>
      <c r="H977" s="132"/>
      <c r="I977" s="132"/>
      <c r="J977" s="132"/>
      <c r="K977" s="134">
        <f t="shared" ref="K977:X977" si="478">IF(AND($C977="B+R",$D977="nie",$E977="prace rozwojowe",LataProjekcji&lt;=Koniec_PR,Modul_badawczo_rozwojowy=tak),ROUND(K172,0),0)</f>
        <v>0</v>
      </c>
      <c r="L977" s="134">
        <f t="shared" si="478"/>
        <v>0</v>
      </c>
      <c r="M977" s="134">
        <f t="shared" si="478"/>
        <v>0</v>
      </c>
      <c r="N977" s="134">
        <f t="shared" si="478"/>
        <v>0</v>
      </c>
      <c r="O977" s="134">
        <f t="shared" si="478"/>
        <v>0</v>
      </c>
      <c r="P977" s="134">
        <f t="shared" si="478"/>
        <v>0</v>
      </c>
      <c r="Q977" s="134">
        <f t="shared" si="478"/>
        <v>0</v>
      </c>
      <c r="R977" s="134">
        <f t="shared" si="478"/>
        <v>0</v>
      </c>
      <c r="S977" s="134">
        <f t="shared" si="478"/>
        <v>0</v>
      </c>
      <c r="T977" s="134">
        <f t="shared" si="478"/>
        <v>0</v>
      </c>
      <c r="U977" s="134">
        <f t="shared" si="478"/>
        <v>0</v>
      </c>
      <c r="V977" s="134">
        <f t="shared" si="478"/>
        <v>0</v>
      </c>
      <c r="W977" s="134">
        <f t="shared" si="478"/>
        <v>0</v>
      </c>
      <c r="X977" s="134">
        <f t="shared" si="478"/>
        <v>0</v>
      </c>
    </row>
    <row r="978" spans="2:24" hidden="1">
      <c r="B978" s="132">
        <f t="shared" si="467"/>
        <v>0</v>
      </c>
      <c r="C978" s="132">
        <f t="shared" si="467"/>
        <v>0</v>
      </c>
      <c r="D978" s="132">
        <f t="shared" si="467"/>
        <v>0</v>
      </c>
      <c r="E978" s="132">
        <f t="shared" si="467"/>
        <v>0</v>
      </c>
      <c r="F978" s="132"/>
      <c r="G978" s="132"/>
      <c r="H978" s="132"/>
      <c r="I978" s="132"/>
      <c r="J978" s="132"/>
      <c r="K978" s="134">
        <f t="shared" ref="K978:X978" si="479">IF(AND($C978="B+R",$D978="nie",$E978="prace rozwojowe",LataProjekcji&lt;=Koniec_PR,Modul_badawczo_rozwojowy=tak),ROUND(K173,0),0)</f>
        <v>0</v>
      </c>
      <c r="L978" s="134">
        <f t="shared" si="479"/>
        <v>0</v>
      </c>
      <c r="M978" s="134">
        <f t="shared" si="479"/>
        <v>0</v>
      </c>
      <c r="N978" s="134">
        <f t="shared" si="479"/>
        <v>0</v>
      </c>
      <c r="O978" s="134">
        <f t="shared" si="479"/>
        <v>0</v>
      </c>
      <c r="P978" s="134">
        <f t="shared" si="479"/>
        <v>0</v>
      </c>
      <c r="Q978" s="134">
        <f t="shared" si="479"/>
        <v>0</v>
      </c>
      <c r="R978" s="134">
        <f t="shared" si="479"/>
        <v>0</v>
      </c>
      <c r="S978" s="134">
        <f t="shared" si="479"/>
        <v>0</v>
      </c>
      <c r="T978" s="134">
        <f t="shared" si="479"/>
        <v>0</v>
      </c>
      <c r="U978" s="134">
        <f t="shared" si="479"/>
        <v>0</v>
      </c>
      <c r="V978" s="134">
        <f t="shared" si="479"/>
        <v>0</v>
      </c>
      <c r="W978" s="134">
        <f t="shared" si="479"/>
        <v>0</v>
      </c>
      <c r="X978" s="134">
        <f t="shared" si="479"/>
        <v>0</v>
      </c>
    </row>
    <row r="979" spans="2:24" hidden="1">
      <c r="B979" s="132">
        <f t="shared" si="467"/>
        <v>0</v>
      </c>
      <c r="C979" s="132">
        <f t="shared" si="467"/>
        <v>0</v>
      </c>
      <c r="D979" s="132">
        <f t="shared" si="467"/>
        <v>0</v>
      </c>
      <c r="E979" s="132">
        <f t="shared" si="467"/>
        <v>0</v>
      </c>
      <c r="F979" s="132"/>
      <c r="G979" s="132"/>
      <c r="H979" s="132"/>
      <c r="I979" s="132"/>
      <c r="J979" s="132"/>
      <c r="K979" s="134">
        <f t="shared" ref="K979:X979" si="480">IF(AND($C979="B+R",$D979="nie",$E979="prace rozwojowe",LataProjekcji&lt;=Koniec_PR,Modul_badawczo_rozwojowy=tak),ROUND(K174,0),0)</f>
        <v>0</v>
      </c>
      <c r="L979" s="134">
        <f t="shared" si="480"/>
        <v>0</v>
      </c>
      <c r="M979" s="134">
        <f t="shared" si="480"/>
        <v>0</v>
      </c>
      <c r="N979" s="134">
        <f t="shared" si="480"/>
        <v>0</v>
      </c>
      <c r="O979" s="134">
        <f t="shared" si="480"/>
        <v>0</v>
      </c>
      <c r="P979" s="134">
        <f t="shared" si="480"/>
        <v>0</v>
      </c>
      <c r="Q979" s="134">
        <f t="shared" si="480"/>
        <v>0</v>
      </c>
      <c r="R979" s="134">
        <f t="shared" si="480"/>
        <v>0</v>
      </c>
      <c r="S979" s="134">
        <f t="shared" si="480"/>
        <v>0</v>
      </c>
      <c r="T979" s="134">
        <f t="shared" si="480"/>
        <v>0</v>
      </c>
      <c r="U979" s="134">
        <f t="shared" si="480"/>
        <v>0</v>
      </c>
      <c r="V979" s="134">
        <f t="shared" si="480"/>
        <v>0</v>
      </c>
      <c r="W979" s="134">
        <f t="shared" si="480"/>
        <v>0</v>
      </c>
      <c r="X979" s="134">
        <f t="shared" si="480"/>
        <v>0</v>
      </c>
    </row>
    <row r="980" spans="2:24" hidden="1">
      <c r="B980" s="132">
        <f t="shared" si="467"/>
        <v>0</v>
      </c>
      <c r="C980" s="132">
        <f t="shared" si="467"/>
        <v>0</v>
      </c>
      <c r="D980" s="132">
        <f t="shared" si="467"/>
        <v>0</v>
      </c>
      <c r="E980" s="132">
        <f t="shared" si="467"/>
        <v>0</v>
      </c>
      <c r="F980" s="132"/>
      <c r="G980" s="132"/>
      <c r="H980" s="132"/>
      <c r="I980" s="132"/>
      <c r="J980" s="132"/>
      <c r="K980" s="134">
        <f t="shared" ref="K980:X980" si="481">IF(AND($C980="B+R",$D980="nie",$E980="prace rozwojowe",LataProjekcji&lt;=Koniec_PR,Modul_badawczo_rozwojowy=tak),ROUND(K175,0),0)</f>
        <v>0</v>
      </c>
      <c r="L980" s="134">
        <f t="shared" si="481"/>
        <v>0</v>
      </c>
      <c r="M980" s="134">
        <f t="shared" si="481"/>
        <v>0</v>
      </c>
      <c r="N980" s="134">
        <f t="shared" si="481"/>
        <v>0</v>
      </c>
      <c r="O980" s="134">
        <f t="shared" si="481"/>
        <v>0</v>
      </c>
      <c r="P980" s="134">
        <f t="shared" si="481"/>
        <v>0</v>
      </c>
      <c r="Q980" s="134">
        <f t="shared" si="481"/>
        <v>0</v>
      </c>
      <c r="R980" s="134">
        <f t="shared" si="481"/>
        <v>0</v>
      </c>
      <c r="S980" s="134">
        <f t="shared" si="481"/>
        <v>0</v>
      </c>
      <c r="T980" s="134">
        <f t="shared" si="481"/>
        <v>0</v>
      </c>
      <c r="U980" s="134">
        <f t="shared" si="481"/>
        <v>0</v>
      </c>
      <c r="V980" s="134">
        <f t="shared" si="481"/>
        <v>0</v>
      </c>
      <c r="W980" s="134">
        <f t="shared" si="481"/>
        <v>0</v>
      </c>
      <c r="X980" s="134">
        <f t="shared" si="481"/>
        <v>0</v>
      </c>
    </row>
    <row r="981" spans="2:24" hidden="1">
      <c r="B981" s="132">
        <f t="shared" si="467"/>
        <v>0</v>
      </c>
      <c r="C981" s="132">
        <f t="shared" si="467"/>
        <v>0</v>
      </c>
      <c r="D981" s="132">
        <f t="shared" si="467"/>
        <v>0</v>
      </c>
      <c r="E981" s="132">
        <f t="shared" si="467"/>
        <v>0</v>
      </c>
      <c r="F981" s="132"/>
      <c r="G981" s="132"/>
      <c r="H981" s="132"/>
      <c r="I981" s="132"/>
      <c r="J981" s="132"/>
      <c r="K981" s="134">
        <f t="shared" ref="K981:X981" si="482">IF(AND($C981="B+R",$D981="nie",$E981="prace rozwojowe",LataProjekcji&lt;=Koniec_PR,Modul_badawczo_rozwojowy=tak),ROUND(K176,0),0)</f>
        <v>0</v>
      </c>
      <c r="L981" s="134">
        <f t="shared" si="482"/>
        <v>0</v>
      </c>
      <c r="M981" s="134">
        <f t="shared" si="482"/>
        <v>0</v>
      </c>
      <c r="N981" s="134">
        <f t="shared" si="482"/>
        <v>0</v>
      </c>
      <c r="O981" s="134">
        <f t="shared" si="482"/>
        <v>0</v>
      </c>
      <c r="P981" s="134">
        <f t="shared" si="482"/>
        <v>0</v>
      </c>
      <c r="Q981" s="134">
        <f t="shared" si="482"/>
        <v>0</v>
      </c>
      <c r="R981" s="134">
        <f t="shared" si="482"/>
        <v>0</v>
      </c>
      <c r="S981" s="134">
        <f t="shared" si="482"/>
        <v>0</v>
      </c>
      <c r="T981" s="134">
        <f t="shared" si="482"/>
        <v>0</v>
      </c>
      <c r="U981" s="134">
        <f t="shared" si="482"/>
        <v>0</v>
      </c>
      <c r="V981" s="134">
        <f t="shared" si="482"/>
        <v>0</v>
      </c>
      <c r="W981" s="134">
        <f t="shared" si="482"/>
        <v>0</v>
      </c>
      <c r="X981" s="134">
        <f t="shared" si="482"/>
        <v>0</v>
      </c>
    </row>
    <row r="982" spans="2:24" hidden="1">
      <c r="B982" s="132">
        <f t="shared" si="467"/>
        <v>0</v>
      </c>
      <c r="C982" s="132">
        <f t="shared" si="467"/>
        <v>0</v>
      </c>
      <c r="D982" s="132">
        <f t="shared" si="467"/>
        <v>0</v>
      </c>
      <c r="E982" s="132">
        <f t="shared" si="467"/>
        <v>0</v>
      </c>
      <c r="F982" s="132"/>
      <c r="G982" s="132"/>
      <c r="H982" s="132"/>
      <c r="I982" s="132"/>
      <c r="J982" s="132"/>
      <c r="K982" s="134">
        <f t="shared" ref="K982:X982" si="483">IF(AND($C982="B+R",$D982="nie",$E982="prace rozwojowe",LataProjekcji&lt;=Koniec_PR,Modul_badawczo_rozwojowy=tak),ROUND(K177,0),0)</f>
        <v>0</v>
      </c>
      <c r="L982" s="134">
        <f t="shared" si="483"/>
        <v>0</v>
      </c>
      <c r="M982" s="134">
        <f t="shared" si="483"/>
        <v>0</v>
      </c>
      <c r="N982" s="134">
        <f t="shared" si="483"/>
        <v>0</v>
      </c>
      <c r="O982" s="134">
        <f t="shared" si="483"/>
        <v>0</v>
      </c>
      <c r="P982" s="134">
        <f t="shared" si="483"/>
        <v>0</v>
      </c>
      <c r="Q982" s="134">
        <f t="shared" si="483"/>
        <v>0</v>
      </c>
      <c r="R982" s="134">
        <f t="shared" si="483"/>
        <v>0</v>
      </c>
      <c r="S982" s="134">
        <f t="shared" si="483"/>
        <v>0</v>
      </c>
      <c r="T982" s="134">
        <f t="shared" si="483"/>
        <v>0</v>
      </c>
      <c r="U982" s="134">
        <f t="shared" si="483"/>
        <v>0</v>
      </c>
      <c r="V982" s="134">
        <f t="shared" si="483"/>
        <v>0</v>
      </c>
      <c r="W982" s="134">
        <f t="shared" si="483"/>
        <v>0</v>
      </c>
      <c r="X982" s="134">
        <f t="shared" si="483"/>
        <v>0</v>
      </c>
    </row>
    <row r="983" spans="2:24" hidden="1">
      <c r="B983" s="132">
        <f t="shared" si="467"/>
        <v>0</v>
      </c>
      <c r="C983" s="132">
        <f t="shared" si="467"/>
        <v>0</v>
      </c>
      <c r="D983" s="132">
        <f t="shared" si="467"/>
        <v>0</v>
      </c>
      <c r="E983" s="132">
        <f t="shared" si="467"/>
        <v>0</v>
      </c>
      <c r="F983" s="132"/>
      <c r="G983" s="132"/>
      <c r="H983" s="132"/>
      <c r="I983" s="132"/>
      <c r="J983" s="132"/>
      <c r="K983" s="134">
        <f t="shared" ref="K983:X983" si="484">IF(AND($C983="B+R",$D983="nie",$E983="prace rozwojowe",LataProjekcji&lt;=Koniec_PR,Modul_badawczo_rozwojowy=tak),ROUND(K178,0),0)</f>
        <v>0</v>
      </c>
      <c r="L983" s="134">
        <f t="shared" si="484"/>
        <v>0</v>
      </c>
      <c r="M983" s="134">
        <f t="shared" si="484"/>
        <v>0</v>
      </c>
      <c r="N983" s="134">
        <f t="shared" si="484"/>
        <v>0</v>
      </c>
      <c r="O983" s="134">
        <f t="shared" si="484"/>
        <v>0</v>
      </c>
      <c r="P983" s="134">
        <f t="shared" si="484"/>
        <v>0</v>
      </c>
      <c r="Q983" s="134">
        <f t="shared" si="484"/>
        <v>0</v>
      </c>
      <c r="R983" s="134">
        <f t="shared" si="484"/>
        <v>0</v>
      </c>
      <c r="S983" s="134">
        <f t="shared" si="484"/>
        <v>0</v>
      </c>
      <c r="T983" s="134">
        <f t="shared" si="484"/>
        <v>0</v>
      </c>
      <c r="U983" s="134">
        <f t="shared" si="484"/>
        <v>0</v>
      </c>
      <c r="V983" s="134">
        <f t="shared" si="484"/>
        <v>0</v>
      </c>
      <c r="W983" s="134">
        <f t="shared" si="484"/>
        <v>0</v>
      </c>
      <c r="X983" s="134">
        <f t="shared" si="484"/>
        <v>0</v>
      </c>
    </row>
    <row r="984" spans="2:24" hidden="1">
      <c r="B984" s="132">
        <f t="shared" si="467"/>
        <v>0</v>
      </c>
      <c r="C984" s="132">
        <f t="shared" si="467"/>
        <v>0</v>
      </c>
      <c r="D984" s="132">
        <f t="shared" si="467"/>
        <v>0</v>
      </c>
      <c r="E984" s="132">
        <f t="shared" si="467"/>
        <v>0</v>
      </c>
      <c r="F984" s="132"/>
      <c r="G984" s="132"/>
      <c r="H984" s="132"/>
      <c r="I984" s="132"/>
      <c r="J984" s="132"/>
      <c r="K984" s="134">
        <f t="shared" ref="K984:X984" si="485">IF(AND($C984="B+R",$D984="nie",$E984="prace rozwojowe",LataProjekcji&lt;=Koniec_PR,Modul_badawczo_rozwojowy=tak),ROUND(K179,0),0)</f>
        <v>0</v>
      </c>
      <c r="L984" s="134">
        <f t="shared" si="485"/>
        <v>0</v>
      </c>
      <c r="M984" s="134">
        <f t="shared" si="485"/>
        <v>0</v>
      </c>
      <c r="N984" s="134">
        <f t="shared" si="485"/>
        <v>0</v>
      </c>
      <c r="O984" s="134">
        <f t="shared" si="485"/>
        <v>0</v>
      </c>
      <c r="P984" s="134">
        <f t="shared" si="485"/>
        <v>0</v>
      </c>
      <c r="Q984" s="134">
        <f t="shared" si="485"/>
        <v>0</v>
      </c>
      <c r="R984" s="134">
        <f t="shared" si="485"/>
        <v>0</v>
      </c>
      <c r="S984" s="134">
        <f t="shared" si="485"/>
        <v>0</v>
      </c>
      <c r="T984" s="134">
        <f t="shared" si="485"/>
        <v>0</v>
      </c>
      <c r="U984" s="134">
        <f t="shared" si="485"/>
        <v>0</v>
      </c>
      <c r="V984" s="134">
        <f t="shared" si="485"/>
        <v>0</v>
      </c>
      <c r="W984" s="134">
        <f t="shared" si="485"/>
        <v>0</v>
      </c>
      <c r="X984" s="134">
        <f t="shared" si="485"/>
        <v>0</v>
      </c>
    </row>
    <row r="985" spans="2:24" hidden="1">
      <c r="B985" s="132">
        <f t="shared" si="467"/>
        <v>0</v>
      </c>
      <c r="C985" s="132">
        <f t="shared" si="467"/>
        <v>0</v>
      </c>
      <c r="D985" s="132">
        <f t="shared" si="467"/>
        <v>0</v>
      </c>
      <c r="E985" s="132">
        <f t="shared" si="467"/>
        <v>0</v>
      </c>
      <c r="F985" s="132"/>
      <c r="G985" s="132"/>
      <c r="H985" s="132"/>
      <c r="I985" s="132"/>
      <c r="J985" s="132"/>
      <c r="K985" s="134">
        <f t="shared" ref="K985:X985" si="486">IF(AND($C985="B+R",$D985="nie",$E985="prace rozwojowe",LataProjekcji&lt;=Koniec_PR,Modul_badawczo_rozwojowy=tak),ROUND(K180,0),0)</f>
        <v>0</v>
      </c>
      <c r="L985" s="134">
        <f t="shared" si="486"/>
        <v>0</v>
      </c>
      <c r="M985" s="134">
        <f t="shared" si="486"/>
        <v>0</v>
      </c>
      <c r="N985" s="134">
        <f t="shared" si="486"/>
        <v>0</v>
      </c>
      <c r="O985" s="134">
        <f t="shared" si="486"/>
        <v>0</v>
      </c>
      <c r="P985" s="134">
        <f t="shared" si="486"/>
        <v>0</v>
      </c>
      <c r="Q985" s="134">
        <f t="shared" si="486"/>
        <v>0</v>
      </c>
      <c r="R985" s="134">
        <f t="shared" si="486"/>
        <v>0</v>
      </c>
      <c r="S985" s="134">
        <f t="shared" si="486"/>
        <v>0</v>
      </c>
      <c r="T985" s="134">
        <f t="shared" si="486"/>
        <v>0</v>
      </c>
      <c r="U985" s="134">
        <f t="shared" si="486"/>
        <v>0</v>
      </c>
      <c r="V985" s="134">
        <f t="shared" si="486"/>
        <v>0</v>
      </c>
      <c r="W985" s="134">
        <f t="shared" si="486"/>
        <v>0</v>
      </c>
      <c r="X985" s="134">
        <f t="shared" si="486"/>
        <v>0</v>
      </c>
    </row>
    <row r="986" spans="2:24" hidden="1">
      <c r="B986" s="132">
        <f t="shared" si="467"/>
        <v>0</v>
      </c>
      <c r="C986" s="132">
        <f t="shared" si="467"/>
        <v>0</v>
      </c>
      <c r="D986" s="132">
        <f t="shared" si="467"/>
        <v>0</v>
      </c>
      <c r="E986" s="132">
        <f t="shared" si="467"/>
        <v>0</v>
      </c>
      <c r="F986" s="132"/>
      <c r="G986" s="132"/>
      <c r="H986" s="132"/>
      <c r="I986" s="132"/>
      <c r="J986" s="132"/>
      <c r="K986" s="134">
        <f t="shared" ref="K986:X986" si="487">IF(AND($C986="B+R",$D986="nie",$E986="prace rozwojowe",LataProjekcji&lt;=Koniec_PR,Modul_badawczo_rozwojowy=tak),ROUND(K181,0),0)</f>
        <v>0</v>
      </c>
      <c r="L986" s="134">
        <f t="shared" si="487"/>
        <v>0</v>
      </c>
      <c r="M986" s="134">
        <f t="shared" si="487"/>
        <v>0</v>
      </c>
      <c r="N986" s="134">
        <f t="shared" si="487"/>
        <v>0</v>
      </c>
      <c r="O986" s="134">
        <f t="shared" si="487"/>
        <v>0</v>
      </c>
      <c r="P986" s="134">
        <f t="shared" si="487"/>
        <v>0</v>
      </c>
      <c r="Q986" s="134">
        <f t="shared" si="487"/>
        <v>0</v>
      </c>
      <c r="R986" s="134">
        <f t="shared" si="487"/>
        <v>0</v>
      </c>
      <c r="S986" s="134">
        <f t="shared" si="487"/>
        <v>0</v>
      </c>
      <c r="T986" s="134">
        <f t="shared" si="487"/>
        <v>0</v>
      </c>
      <c r="U986" s="134">
        <f t="shared" si="487"/>
        <v>0</v>
      </c>
      <c r="V986" s="134">
        <f t="shared" si="487"/>
        <v>0</v>
      </c>
      <c r="W986" s="134">
        <f t="shared" si="487"/>
        <v>0</v>
      </c>
      <c r="X986" s="134">
        <f t="shared" si="487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88">ROUND(SUM(K967:K986),0)</f>
        <v>0</v>
      </c>
      <c r="L987" s="135">
        <f t="shared" si="488"/>
        <v>0</v>
      </c>
      <c r="M987" s="135">
        <f t="shared" si="488"/>
        <v>0</v>
      </c>
      <c r="N987" s="135">
        <f t="shared" si="488"/>
        <v>0</v>
      </c>
      <c r="O987" s="135">
        <f t="shared" si="488"/>
        <v>0</v>
      </c>
      <c r="P987" s="135">
        <f t="shared" si="488"/>
        <v>0</v>
      </c>
      <c r="Q987" s="135">
        <f t="shared" si="488"/>
        <v>0</v>
      </c>
      <c r="R987" s="135">
        <f t="shared" si="488"/>
        <v>0</v>
      </c>
      <c r="S987" s="135">
        <f t="shared" si="488"/>
        <v>0</v>
      </c>
      <c r="T987" s="135">
        <f t="shared" si="488"/>
        <v>0</v>
      </c>
      <c r="U987" s="135">
        <f t="shared" si="488"/>
        <v>0</v>
      </c>
      <c r="V987" s="135">
        <f t="shared" si="488"/>
        <v>0</v>
      </c>
      <c r="W987" s="135">
        <f t="shared" si="488"/>
        <v>0</v>
      </c>
      <c r="X987" s="135">
        <f t="shared" si="488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89">B749</f>
        <v/>
      </c>
      <c r="C991" s="132" t="str">
        <f t="shared" si="489"/>
        <v/>
      </c>
      <c r="D991" s="132" t="str">
        <f t="shared" si="489"/>
        <v/>
      </c>
      <c r="E991" s="132" t="str">
        <f t="shared" si="489"/>
        <v/>
      </c>
      <c r="F991" s="132"/>
      <c r="G991" s="132"/>
      <c r="H991" s="132"/>
      <c r="I991" s="132"/>
      <c r="J991" s="132"/>
      <c r="K991" s="134">
        <f t="shared" ref="K991:X991" si="490">IF(AND($C991="B+R",$D991="nie",$E991="prace rozwojowe",LataProjekcji&lt;=Koniec_PR,Modul_badawczo_rozwojowy=tak),ROUND(K207,0),0)</f>
        <v>0</v>
      </c>
      <c r="L991" s="134">
        <f t="shared" si="490"/>
        <v>0</v>
      </c>
      <c r="M991" s="134">
        <f t="shared" si="490"/>
        <v>0</v>
      </c>
      <c r="N991" s="134">
        <f t="shared" si="490"/>
        <v>0</v>
      </c>
      <c r="O991" s="134">
        <f t="shared" si="490"/>
        <v>0</v>
      </c>
      <c r="P991" s="134">
        <f t="shared" si="490"/>
        <v>0</v>
      </c>
      <c r="Q991" s="134">
        <f t="shared" si="490"/>
        <v>0</v>
      </c>
      <c r="R991" s="134">
        <f t="shared" si="490"/>
        <v>0</v>
      </c>
      <c r="S991" s="134">
        <f t="shared" si="490"/>
        <v>0</v>
      </c>
      <c r="T991" s="134">
        <f t="shared" si="490"/>
        <v>0</v>
      </c>
      <c r="U991" s="134">
        <f t="shared" si="490"/>
        <v>0</v>
      </c>
      <c r="V991" s="134">
        <f t="shared" si="490"/>
        <v>0</v>
      </c>
      <c r="W991" s="134">
        <f t="shared" si="490"/>
        <v>0</v>
      </c>
      <c r="X991" s="134">
        <f t="shared" si="490"/>
        <v>0</v>
      </c>
    </row>
    <row r="992" spans="2:24" hidden="1">
      <c r="B992" s="132" t="str">
        <f t="shared" si="489"/>
        <v/>
      </c>
      <c r="C992" s="132" t="str">
        <f t="shared" si="489"/>
        <v/>
      </c>
      <c r="D992" s="132" t="str">
        <f t="shared" si="489"/>
        <v/>
      </c>
      <c r="E992" s="132" t="str">
        <f t="shared" si="489"/>
        <v/>
      </c>
      <c r="F992" s="132"/>
      <c r="G992" s="132"/>
      <c r="H992" s="132"/>
      <c r="I992" s="132"/>
      <c r="J992" s="132"/>
      <c r="K992" s="134">
        <f t="shared" ref="K992:X992" si="491">IF(AND($C992="B+R",$D992="nie",$E992="prace rozwojowe",LataProjekcji&lt;=Koniec_PR,Modul_badawczo_rozwojowy=tak),ROUND(K208,0),0)</f>
        <v>0</v>
      </c>
      <c r="L992" s="134">
        <f t="shared" si="491"/>
        <v>0</v>
      </c>
      <c r="M992" s="134">
        <f t="shared" si="491"/>
        <v>0</v>
      </c>
      <c r="N992" s="134">
        <f t="shared" si="491"/>
        <v>0</v>
      </c>
      <c r="O992" s="134">
        <f t="shared" si="491"/>
        <v>0</v>
      </c>
      <c r="P992" s="134">
        <f t="shared" si="491"/>
        <v>0</v>
      </c>
      <c r="Q992" s="134">
        <f t="shared" si="491"/>
        <v>0</v>
      </c>
      <c r="R992" s="134">
        <f t="shared" si="491"/>
        <v>0</v>
      </c>
      <c r="S992" s="134">
        <f t="shared" si="491"/>
        <v>0</v>
      </c>
      <c r="T992" s="134">
        <f t="shared" si="491"/>
        <v>0</v>
      </c>
      <c r="U992" s="134">
        <f t="shared" si="491"/>
        <v>0</v>
      </c>
      <c r="V992" s="134">
        <f t="shared" si="491"/>
        <v>0</v>
      </c>
      <c r="W992" s="134">
        <f t="shared" si="491"/>
        <v>0</v>
      </c>
      <c r="X992" s="134">
        <f t="shared" si="491"/>
        <v>0</v>
      </c>
    </row>
    <row r="993" spans="2:24" hidden="1">
      <c r="B993" s="132" t="str">
        <f t="shared" si="489"/>
        <v/>
      </c>
      <c r="C993" s="132" t="str">
        <f t="shared" si="489"/>
        <v/>
      </c>
      <c r="D993" s="132" t="str">
        <f t="shared" si="489"/>
        <v/>
      </c>
      <c r="E993" s="132" t="str">
        <f t="shared" si="489"/>
        <v/>
      </c>
      <c r="F993" s="132"/>
      <c r="G993" s="132"/>
      <c r="H993" s="132"/>
      <c r="I993" s="132"/>
      <c r="J993" s="132"/>
      <c r="K993" s="134">
        <f t="shared" ref="K993:X993" si="492">IF(AND($C993="B+R",$D993="nie",$E993="prace rozwojowe",LataProjekcji&lt;=Koniec_PR,Modul_badawczo_rozwojowy=tak),ROUND(K209,0),0)</f>
        <v>0</v>
      </c>
      <c r="L993" s="134">
        <f t="shared" si="492"/>
        <v>0</v>
      </c>
      <c r="M993" s="134">
        <f t="shared" si="492"/>
        <v>0</v>
      </c>
      <c r="N993" s="134">
        <f t="shared" si="492"/>
        <v>0</v>
      </c>
      <c r="O993" s="134">
        <f t="shared" si="492"/>
        <v>0</v>
      </c>
      <c r="P993" s="134">
        <f t="shared" si="492"/>
        <v>0</v>
      </c>
      <c r="Q993" s="134">
        <f t="shared" si="492"/>
        <v>0</v>
      </c>
      <c r="R993" s="134">
        <f t="shared" si="492"/>
        <v>0</v>
      </c>
      <c r="S993" s="134">
        <f t="shared" si="492"/>
        <v>0</v>
      </c>
      <c r="T993" s="134">
        <f t="shared" si="492"/>
        <v>0</v>
      </c>
      <c r="U993" s="134">
        <f t="shared" si="492"/>
        <v>0</v>
      </c>
      <c r="V993" s="134">
        <f t="shared" si="492"/>
        <v>0</v>
      </c>
      <c r="W993" s="134">
        <f t="shared" si="492"/>
        <v>0</v>
      </c>
      <c r="X993" s="134">
        <f t="shared" si="492"/>
        <v>0</v>
      </c>
    </row>
    <row r="994" spans="2:24" hidden="1">
      <c r="B994" s="132" t="str">
        <f t="shared" si="489"/>
        <v/>
      </c>
      <c r="C994" s="132" t="str">
        <f t="shared" si="489"/>
        <v/>
      </c>
      <c r="D994" s="132" t="str">
        <f t="shared" si="489"/>
        <v/>
      </c>
      <c r="E994" s="132" t="str">
        <f t="shared" si="489"/>
        <v/>
      </c>
      <c r="F994" s="132"/>
      <c r="G994" s="132"/>
      <c r="H994" s="132"/>
      <c r="I994" s="132"/>
      <c r="J994" s="132"/>
      <c r="K994" s="134">
        <f t="shared" ref="K994:X994" si="493">IF(AND($C994="B+R",$D994="nie",$E994="prace rozwojowe",LataProjekcji&lt;=Koniec_PR,Modul_badawczo_rozwojowy=tak),ROUND(K210,0),0)</f>
        <v>0</v>
      </c>
      <c r="L994" s="134">
        <f t="shared" si="493"/>
        <v>0</v>
      </c>
      <c r="M994" s="134">
        <f t="shared" si="493"/>
        <v>0</v>
      </c>
      <c r="N994" s="134">
        <f t="shared" si="493"/>
        <v>0</v>
      </c>
      <c r="O994" s="134">
        <f t="shared" si="493"/>
        <v>0</v>
      </c>
      <c r="P994" s="134">
        <f t="shared" si="493"/>
        <v>0</v>
      </c>
      <c r="Q994" s="134">
        <f t="shared" si="493"/>
        <v>0</v>
      </c>
      <c r="R994" s="134">
        <f t="shared" si="493"/>
        <v>0</v>
      </c>
      <c r="S994" s="134">
        <f t="shared" si="493"/>
        <v>0</v>
      </c>
      <c r="T994" s="134">
        <f t="shared" si="493"/>
        <v>0</v>
      </c>
      <c r="U994" s="134">
        <f t="shared" si="493"/>
        <v>0</v>
      </c>
      <c r="V994" s="134">
        <f t="shared" si="493"/>
        <v>0</v>
      </c>
      <c r="W994" s="134">
        <f t="shared" si="493"/>
        <v>0</v>
      </c>
      <c r="X994" s="134">
        <f t="shared" si="493"/>
        <v>0</v>
      </c>
    </row>
    <row r="995" spans="2:24" hidden="1">
      <c r="B995" s="132" t="str">
        <f t="shared" si="489"/>
        <v/>
      </c>
      <c r="C995" s="132" t="str">
        <f t="shared" si="489"/>
        <v/>
      </c>
      <c r="D995" s="132" t="str">
        <f t="shared" si="489"/>
        <v/>
      </c>
      <c r="E995" s="132" t="str">
        <f t="shared" si="489"/>
        <v/>
      </c>
      <c r="F995" s="132"/>
      <c r="G995" s="132"/>
      <c r="H995" s="132"/>
      <c r="I995" s="132"/>
      <c r="J995" s="132"/>
      <c r="K995" s="134">
        <f t="shared" ref="K995:X995" si="494">IF(AND($C995="B+R",$D995="nie",$E995="prace rozwojowe",LataProjekcji&lt;=Koniec_PR,Modul_badawczo_rozwojowy=tak),ROUND(K211,0),0)</f>
        <v>0</v>
      </c>
      <c r="L995" s="134">
        <f t="shared" si="494"/>
        <v>0</v>
      </c>
      <c r="M995" s="134">
        <f t="shared" si="494"/>
        <v>0</v>
      </c>
      <c r="N995" s="134">
        <f t="shared" si="494"/>
        <v>0</v>
      </c>
      <c r="O995" s="134">
        <f t="shared" si="494"/>
        <v>0</v>
      </c>
      <c r="P995" s="134">
        <f t="shared" si="494"/>
        <v>0</v>
      </c>
      <c r="Q995" s="134">
        <f t="shared" si="494"/>
        <v>0</v>
      </c>
      <c r="R995" s="134">
        <f t="shared" si="494"/>
        <v>0</v>
      </c>
      <c r="S995" s="134">
        <f t="shared" si="494"/>
        <v>0</v>
      </c>
      <c r="T995" s="134">
        <f t="shared" si="494"/>
        <v>0</v>
      </c>
      <c r="U995" s="134">
        <f t="shared" si="494"/>
        <v>0</v>
      </c>
      <c r="V995" s="134">
        <f t="shared" si="494"/>
        <v>0</v>
      </c>
      <c r="W995" s="134">
        <f t="shared" si="494"/>
        <v>0</v>
      </c>
      <c r="X995" s="134">
        <f t="shared" si="494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5">ROUND(SUM(L991:L995),0)</f>
        <v>0</v>
      </c>
      <c r="M996" s="135">
        <f t="shared" si="495"/>
        <v>0</v>
      </c>
      <c r="N996" s="135">
        <f t="shared" si="495"/>
        <v>0</v>
      </c>
      <c r="O996" s="135">
        <f t="shared" si="495"/>
        <v>0</v>
      </c>
      <c r="P996" s="135">
        <f t="shared" si="495"/>
        <v>0</v>
      </c>
      <c r="Q996" s="135">
        <f t="shared" si="495"/>
        <v>0</v>
      </c>
      <c r="R996" s="135">
        <f t="shared" si="495"/>
        <v>0</v>
      </c>
      <c r="S996" s="135">
        <f t="shared" si="495"/>
        <v>0</v>
      </c>
      <c r="T996" s="135">
        <f t="shared" si="495"/>
        <v>0</v>
      </c>
      <c r="U996" s="135">
        <f t="shared" si="495"/>
        <v>0</v>
      </c>
      <c r="V996" s="135">
        <f t="shared" si="495"/>
        <v>0</v>
      </c>
      <c r="W996" s="135">
        <f t="shared" si="495"/>
        <v>0</v>
      </c>
      <c r="X996" s="135">
        <f t="shared" si="495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496">B349</f>
        <v/>
      </c>
      <c r="C1001" s="132" t="str">
        <f t="shared" si="496"/>
        <v/>
      </c>
      <c r="D1001" s="132" t="str">
        <f t="shared" si="496"/>
        <v/>
      </c>
      <c r="E1001" s="132" t="str">
        <f t="shared" si="496"/>
        <v/>
      </c>
      <c r="F1001" s="132"/>
      <c r="G1001" s="132"/>
      <c r="H1001" s="132"/>
      <c r="I1001" s="132"/>
      <c r="J1001" s="132"/>
      <c r="K1001" s="134">
        <f t="shared" ref="K1001:X1001" si="497">IF(AND($C1001="B+R",$D1001="nie",$E1001="prace rozwojowe",LataProjekcji&lt;=Koniec_PR,Modul_badawczo_rozwojowy=tak),ROUND(K391,0),0)</f>
        <v>0</v>
      </c>
      <c r="L1001" s="134">
        <f t="shared" si="497"/>
        <v>0</v>
      </c>
      <c r="M1001" s="134">
        <f t="shared" si="497"/>
        <v>0</v>
      </c>
      <c r="N1001" s="134">
        <f t="shared" si="497"/>
        <v>0</v>
      </c>
      <c r="O1001" s="134">
        <f t="shared" si="497"/>
        <v>0</v>
      </c>
      <c r="P1001" s="134">
        <f t="shared" si="497"/>
        <v>0</v>
      </c>
      <c r="Q1001" s="134">
        <f t="shared" si="497"/>
        <v>0</v>
      </c>
      <c r="R1001" s="134">
        <f t="shared" si="497"/>
        <v>0</v>
      </c>
      <c r="S1001" s="134">
        <f t="shared" si="497"/>
        <v>0</v>
      </c>
      <c r="T1001" s="134">
        <f t="shared" si="497"/>
        <v>0</v>
      </c>
      <c r="U1001" s="134">
        <f t="shared" si="497"/>
        <v>0</v>
      </c>
      <c r="V1001" s="134">
        <f t="shared" si="497"/>
        <v>0</v>
      </c>
      <c r="W1001" s="134">
        <f t="shared" si="497"/>
        <v>0</v>
      </c>
      <c r="X1001" s="134">
        <f t="shared" si="497"/>
        <v>0</v>
      </c>
    </row>
    <row r="1002" spans="2:24" hidden="1">
      <c r="B1002" s="132" t="str">
        <f t="shared" si="496"/>
        <v/>
      </c>
      <c r="C1002" s="132" t="str">
        <f t="shared" si="496"/>
        <v/>
      </c>
      <c r="D1002" s="132" t="str">
        <f t="shared" si="496"/>
        <v/>
      </c>
      <c r="E1002" s="132" t="str">
        <f t="shared" si="496"/>
        <v/>
      </c>
      <c r="F1002" s="132"/>
      <c r="G1002" s="132"/>
      <c r="H1002" s="132"/>
      <c r="I1002" s="132"/>
      <c r="J1002" s="132"/>
      <c r="K1002" s="134">
        <f t="shared" ref="K1002:X1002" si="498">IF(AND($C1002="B+R",$D1002="nie",$E1002="prace rozwojowe",LataProjekcji&lt;=Koniec_PR,Modul_badawczo_rozwojowy=tak),ROUND(K392,0),0)</f>
        <v>0</v>
      </c>
      <c r="L1002" s="134">
        <f t="shared" si="498"/>
        <v>0</v>
      </c>
      <c r="M1002" s="134">
        <f t="shared" si="498"/>
        <v>0</v>
      </c>
      <c r="N1002" s="134">
        <f t="shared" si="498"/>
        <v>0</v>
      </c>
      <c r="O1002" s="134">
        <f t="shared" si="498"/>
        <v>0</v>
      </c>
      <c r="P1002" s="134">
        <f t="shared" si="498"/>
        <v>0</v>
      </c>
      <c r="Q1002" s="134">
        <f t="shared" si="498"/>
        <v>0</v>
      </c>
      <c r="R1002" s="134">
        <f t="shared" si="498"/>
        <v>0</v>
      </c>
      <c r="S1002" s="134">
        <f t="shared" si="498"/>
        <v>0</v>
      </c>
      <c r="T1002" s="134">
        <f t="shared" si="498"/>
        <v>0</v>
      </c>
      <c r="U1002" s="134">
        <f t="shared" si="498"/>
        <v>0</v>
      </c>
      <c r="V1002" s="134">
        <f t="shared" si="498"/>
        <v>0</v>
      </c>
      <c r="W1002" s="134">
        <f t="shared" si="498"/>
        <v>0</v>
      </c>
      <c r="X1002" s="134">
        <f t="shared" si="498"/>
        <v>0</v>
      </c>
    </row>
    <row r="1003" spans="2:24" hidden="1">
      <c r="B1003" s="132" t="str">
        <f t="shared" si="496"/>
        <v/>
      </c>
      <c r="C1003" s="132" t="str">
        <f t="shared" si="496"/>
        <v/>
      </c>
      <c r="D1003" s="132" t="str">
        <f t="shared" si="496"/>
        <v/>
      </c>
      <c r="E1003" s="132" t="str">
        <f t="shared" si="496"/>
        <v/>
      </c>
      <c r="F1003" s="132"/>
      <c r="G1003" s="132"/>
      <c r="H1003" s="132"/>
      <c r="I1003" s="132"/>
      <c r="J1003" s="132"/>
      <c r="K1003" s="134">
        <f t="shared" ref="K1003:X1003" si="499">IF(AND($C1003="B+R",$D1003="nie",$E1003="prace rozwojowe",LataProjekcji&lt;=Koniec_PR,Modul_badawczo_rozwojowy=tak),ROUND(K393,0),0)</f>
        <v>0</v>
      </c>
      <c r="L1003" s="134">
        <f t="shared" si="499"/>
        <v>0</v>
      </c>
      <c r="M1003" s="134">
        <f t="shared" si="499"/>
        <v>0</v>
      </c>
      <c r="N1003" s="134">
        <f t="shared" si="499"/>
        <v>0</v>
      </c>
      <c r="O1003" s="134">
        <f t="shared" si="499"/>
        <v>0</v>
      </c>
      <c r="P1003" s="134">
        <f t="shared" si="499"/>
        <v>0</v>
      </c>
      <c r="Q1003" s="134">
        <f t="shared" si="499"/>
        <v>0</v>
      </c>
      <c r="R1003" s="134">
        <f t="shared" si="499"/>
        <v>0</v>
      </c>
      <c r="S1003" s="134">
        <f t="shared" si="499"/>
        <v>0</v>
      </c>
      <c r="T1003" s="134">
        <f t="shared" si="499"/>
        <v>0</v>
      </c>
      <c r="U1003" s="134">
        <f t="shared" si="499"/>
        <v>0</v>
      </c>
      <c r="V1003" s="134">
        <f t="shared" si="499"/>
        <v>0</v>
      </c>
      <c r="W1003" s="134">
        <f t="shared" si="499"/>
        <v>0</v>
      </c>
      <c r="X1003" s="134">
        <f t="shared" si="499"/>
        <v>0</v>
      </c>
    </row>
    <row r="1004" spans="2:24" hidden="1">
      <c r="B1004" s="132" t="str">
        <f t="shared" si="496"/>
        <v/>
      </c>
      <c r="C1004" s="132" t="str">
        <f t="shared" si="496"/>
        <v/>
      </c>
      <c r="D1004" s="132" t="str">
        <f t="shared" si="496"/>
        <v/>
      </c>
      <c r="E1004" s="132" t="str">
        <f t="shared" si="496"/>
        <v/>
      </c>
      <c r="F1004" s="132"/>
      <c r="G1004" s="132"/>
      <c r="H1004" s="132"/>
      <c r="I1004" s="132"/>
      <c r="J1004" s="132"/>
      <c r="K1004" s="134">
        <f t="shared" ref="K1004:X1004" si="500">IF(AND($C1004="B+R",$D1004="nie",$E1004="prace rozwojowe",LataProjekcji&lt;=Koniec_PR,Modul_badawczo_rozwojowy=tak),ROUND(K394,0),0)</f>
        <v>0</v>
      </c>
      <c r="L1004" s="134">
        <f t="shared" si="500"/>
        <v>0</v>
      </c>
      <c r="M1004" s="134">
        <f t="shared" si="500"/>
        <v>0</v>
      </c>
      <c r="N1004" s="134">
        <f t="shared" si="500"/>
        <v>0</v>
      </c>
      <c r="O1004" s="134">
        <f t="shared" si="500"/>
        <v>0</v>
      </c>
      <c r="P1004" s="134">
        <f t="shared" si="500"/>
        <v>0</v>
      </c>
      <c r="Q1004" s="134">
        <f t="shared" si="500"/>
        <v>0</v>
      </c>
      <c r="R1004" s="134">
        <f t="shared" si="500"/>
        <v>0</v>
      </c>
      <c r="S1004" s="134">
        <f t="shared" si="500"/>
        <v>0</v>
      </c>
      <c r="T1004" s="134">
        <f t="shared" si="500"/>
        <v>0</v>
      </c>
      <c r="U1004" s="134">
        <f t="shared" si="500"/>
        <v>0</v>
      </c>
      <c r="V1004" s="134">
        <f t="shared" si="500"/>
        <v>0</v>
      </c>
      <c r="W1004" s="134">
        <f t="shared" si="500"/>
        <v>0</v>
      </c>
      <c r="X1004" s="134">
        <f t="shared" si="500"/>
        <v>0</v>
      </c>
    </row>
    <row r="1005" spans="2:24" hidden="1">
      <c r="B1005" s="132" t="str">
        <f t="shared" si="496"/>
        <v/>
      </c>
      <c r="C1005" s="132" t="str">
        <f t="shared" si="496"/>
        <v/>
      </c>
      <c r="D1005" s="132" t="str">
        <f t="shared" si="496"/>
        <v/>
      </c>
      <c r="E1005" s="132" t="str">
        <f t="shared" si="496"/>
        <v/>
      </c>
      <c r="F1005" s="132"/>
      <c r="G1005" s="132"/>
      <c r="H1005" s="132"/>
      <c r="I1005" s="132"/>
      <c r="J1005" s="132"/>
      <c r="K1005" s="134">
        <f t="shared" ref="K1005:X1005" si="501">IF(AND($C1005="B+R",$D1005="nie",$E1005="prace rozwojowe",LataProjekcji&lt;=Koniec_PR,Modul_badawczo_rozwojowy=tak),ROUND(K395,0),0)</f>
        <v>0</v>
      </c>
      <c r="L1005" s="134">
        <f t="shared" si="501"/>
        <v>0</v>
      </c>
      <c r="M1005" s="134">
        <f t="shared" si="501"/>
        <v>0</v>
      </c>
      <c r="N1005" s="134">
        <f t="shared" si="501"/>
        <v>0</v>
      </c>
      <c r="O1005" s="134">
        <f t="shared" si="501"/>
        <v>0</v>
      </c>
      <c r="P1005" s="134">
        <f t="shared" si="501"/>
        <v>0</v>
      </c>
      <c r="Q1005" s="134">
        <f t="shared" si="501"/>
        <v>0</v>
      </c>
      <c r="R1005" s="134">
        <f t="shared" si="501"/>
        <v>0</v>
      </c>
      <c r="S1005" s="134">
        <f t="shared" si="501"/>
        <v>0</v>
      </c>
      <c r="T1005" s="134">
        <f t="shared" si="501"/>
        <v>0</v>
      </c>
      <c r="U1005" s="134">
        <f t="shared" si="501"/>
        <v>0</v>
      </c>
      <c r="V1005" s="134">
        <f t="shared" si="501"/>
        <v>0</v>
      </c>
      <c r="W1005" s="134">
        <f t="shared" si="501"/>
        <v>0</v>
      </c>
      <c r="X1005" s="134">
        <f t="shared" si="501"/>
        <v>0</v>
      </c>
    </row>
    <row r="1006" spans="2:24" hidden="1">
      <c r="B1006" s="132" t="str">
        <f t="shared" si="496"/>
        <v/>
      </c>
      <c r="C1006" s="132" t="str">
        <f t="shared" si="496"/>
        <v/>
      </c>
      <c r="D1006" s="132" t="str">
        <f t="shared" si="496"/>
        <v/>
      </c>
      <c r="E1006" s="132" t="str">
        <f t="shared" si="496"/>
        <v/>
      </c>
      <c r="F1006" s="132"/>
      <c r="G1006" s="132"/>
      <c r="H1006" s="132"/>
      <c r="I1006" s="132"/>
      <c r="J1006" s="132"/>
      <c r="K1006" s="134">
        <f t="shared" ref="K1006:X1006" si="502">IF(AND($C1006="B+R",$D1006="nie",$E1006="prace rozwojowe",LataProjekcji&lt;=Koniec_PR,Modul_badawczo_rozwojowy=tak),ROUND(K396,0),0)</f>
        <v>0</v>
      </c>
      <c r="L1006" s="134">
        <f t="shared" si="502"/>
        <v>0</v>
      </c>
      <c r="M1006" s="134">
        <f t="shared" si="502"/>
        <v>0</v>
      </c>
      <c r="N1006" s="134">
        <f t="shared" si="502"/>
        <v>0</v>
      </c>
      <c r="O1006" s="134">
        <f t="shared" si="502"/>
        <v>0</v>
      </c>
      <c r="P1006" s="134">
        <f t="shared" si="502"/>
        <v>0</v>
      </c>
      <c r="Q1006" s="134">
        <f t="shared" si="502"/>
        <v>0</v>
      </c>
      <c r="R1006" s="134">
        <f t="shared" si="502"/>
        <v>0</v>
      </c>
      <c r="S1006" s="134">
        <f t="shared" si="502"/>
        <v>0</v>
      </c>
      <c r="T1006" s="134">
        <f t="shared" si="502"/>
        <v>0</v>
      </c>
      <c r="U1006" s="134">
        <f t="shared" si="502"/>
        <v>0</v>
      </c>
      <c r="V1006" s="134">
        <f t="shared" si="502"/>
        <v>0</v>
      </c>
      <c r="W1006" s="134">
        <f t="shared" si="502"/>
        <v>0</v>
      </c>
      <c r="X1006" s="134">
        <f t="shared" si="502"/>
        <v>0</v>
      </c>
    </row>
    <row r="1007" spans="2:24" hidden="1">
      <c r="B1007" s="132" t="str">
        <f t="shared" si="496"/>
        <v/>
      </c>
      <c r="C1007" s="132" t="str">
        <f t="shared" si="496"/>
        <v/>
      </c>
      <c r="D1007" s="132" t="str">
        <f t="shared" si="496"/>
        <v/>
      </c>
      <c r="E1007" s="132" t="str">
        <f t="shared" si="496"/>
        <v/>
      </c>
      <c r="F1007" s="132"/>
      <c r="G1007" s="132"/>
      <c r="H1007" s="132"/>
      <c r="I1007" s="132"/>
      <c r="J1007" s="132"/>
      <c r="K1007" s="134">
        <f t="shared" ref="K1007:X1007" si="503">IF(AND($C1007="B+R",$D1007="nie",$E1007="prace rozwojowe",LataProjekcji&lt;=Koniec_PR,Modul_badawczo_rozwojowy=tak),ROUND(K397,0),0)</f>
        <v>0</v>
      </c>
      <c r="L1007" s="134">
        <f t="shared" si="503"/>
        <v>0</v>
      </c>
      <c r="M1007" s="134">
        <f t="shared" si="503"/>
        <v>0</v>
      </c>
      <c r="N1007" s="134">
        <f t="shared" si="503"/>
        <v>0</v>
      </c>
      <c r="O1007" s="134">
        <f t="shared" si="503"/>
        <v>0</v>
      </c>
      <c r="P1007" s="134">
        <f t="shared" si="503"/>
        <v>0</v>
      </c>
      <c r="Q1007" s="134">
        <f t="shared" si="503"/>
        <v>0</v>
      </c>
      <c r="R1007" s="134">
        <f t="shared" si="503"/>
        <v>0</v>
      </c>
      <c r="S1007" s="134">
        <f t="shared" si="503"/>
        <v>0</v>
      </c>
      <c r="T1007" s="134">
        <f t="shared" si="503"/>
        <v>0</v>
      </c>
      <c r="U1007" s="134">
        <f t="shared" si="503"/>
        <v>0</v>
      </c>
      <c r="V1007" s="134">
        <f t="shared" si="503"/>
        <v>0</v>
      </c>
      <c r="W1007" s="134">
        <f t="shared" si="503"/>
        <v>0</v>
      </c>
      <c r="X1007" s="134">
        <f t="shared" si="503"/>
        <v>0</v>
      </c>
    </row>
    <row r="1008" spans="2:24" hidden="1">
      <c r="B1008" s="132" t="str">
        <f t="shared" si="496"/>
        <v/>
      </c>
      <c r="C1008" s="132" t="str">
        <f t="shared" si="496"/>
        <v/>
      </c>
      <c r="D1008" s="132" t="str">
        <f t="shared" si="496"/>
        <v/>
      </c>
      <c r="E1008" s="132" t="str">
        <f t="shared" si="496"/>
        <v/>
      </c>
      <c r="F1008" s="132"/>
      <c r="G1008" s="132"/>
      <c r="H1008" s="132"/>
      <c r="I1008" s="132"/>
      <c r="J1008" s="132"/>
      <c r="K1008" s="134">
        <f t="shared" ref="K1008:X1008" si="504">IF(AND($C1008="B+R",$D1008="nie",$E1008="prace rozwojowe",LataProjekcji&lt;=Koniec_PR,Modul_badawczo_rozwojowy=tak),ROUND(K398,0),0)</f>
        <v>0</v>
      </c>
      <c r="L1008" s="134">
        <f t="shared" si="504"/>
        <v>0</v>
      </c>
      <c r="M1008" s="134">
        <f t="shared" si="504"/>
        <v>0</v>
      </c>
      <c r="N1008" s="134">
        <f t="shared" si="504"/>
        <v>0</v>
      </c>
      <c r="O1008" s="134">
        <f t="shared" si="504"/>
        <v>0</v>
      </c>
      <c r="P1008" s="134">
        <f t="shared" si="504"/>
        <v>0</v>
      </c>
      <c r="Q1008" s="134">
        <f t="shared" si="504"/>
        <v>0</v>
      </c>
      <c r="R1008" s="134">
        <f t="shared" si="504"/>
        <v>0</v>
      </c>
      <c r="S1008" s="134">
        <f t="shared" si="504"/>
        <v>0</v>
      </c>
      <c r="T1008" s="134">
        <f t="shared" si="504"/>
        <v>0</v>
      </c>
      <c r="U1008" s="134">
        <f t="shared" si="504"/>
        <v>0</v>
      </c>
      <c r="V1008" s="134">
        <f t="shared" si="504"/>
        <v>0</v>
      </c>
      <c r="W1008" s="134">
        <f t="shared" si="504"/>
        <v>0</v>
      </c>
      <c r="X1008" s="134">
        <f t="shared" si="504"/>
        <v>0</v>
      </c>
    </row>
    <row r="1009" spans="2:24" hidden="1">
      <c r="B1009" s="132" t="str">
        <f t="shared" si="496"/>
        <v/>
      </c>
      <c r="C1009" s="132" t="str">
        <f t="shared" si="496"/>
        <v/>
      </c>
      <c r="D1009" s="132" t="str">
        <f t="shared" si="496"/>
        <v/>
      </c>
      <c r="E1009" s="132" t="str">
        <f t="shared" si="496"/>
        <v/>
      </c>
      <c r="F1009" s="132"/>
      <c r="G1009" s="132"/>
      <c r="H1009" s="132"/>
      <c r="I1009" s="132"/>
      <c r="J1009" s="132"/>
      <c r="K1009" s="134">
        <f t="shared" ref="K1009:X1009" si="505">IF(AND($C1009="B+R",$D1009="nie",$E1009="prace rozwojowe",LataProjekcji&lt;=Koniec_PR,Modul_badawczo_rozwojowy=tak),ROUND(K399,0),0)</f>
        <v>0</v>
      </c>
      <c r="L1009" s="134">
        <f t="shared" si="505"/>
        <v>0</v>
      </c>
      <c r="M1009" s="134">
        <f t="shared" si="505"/>
        <v>0</v>
      </c>
      <c r="N1009" s="134">
        <f t="shared" si="505"/>
        <v>0</v>
      </c>
      <c r="O1009" s="134">
        <f t="shared" si="505"/>
        <v>0</v>
      </c>
      <c r="P1009" s="134">
        <f t="shared" si="505"/>
        <v>0</v>
      </c>
      <c r="Q1009" s="134">
        <f t="shared" si="505"/>
        <v>0</v>
      </c>
      <c r="R1009" s="134">
        <f t="shared" si="505"/>
        <v>0</v>
      </c>
      <c r="S1009" s="134">
        <f t="shared" si="505"/>
        <v>0</v>
      </c>
      <c r="T1009" s="134">
        <f t="shared" si="505"/>
        <v>0</v>
      </c>
      <c r="U1009" s="134">
        <f t="shared" si="505"/>
        <v>0</v>
      </c>
      <c r="V1009" s="134">
        <f t="shared" si="505"/>
        <v>0</v>
      </c>
      <c r="W1009" s="134">
        <f t="shared" si="505"/>
        <v>0</v>
      </c>
      <c r="X1009" s="134">
        <f t="shared" si="505"/>
        <v>0</v>
      </c>
    </row>
    <row r="1010" spans="2:24" hidden="1">
      <c r="B1010" s="132" t="str">
        <f t="shared" si="496"/>
        <v/>
      </c>
      <c r="C1010" s="132" t="str">
        <f t="shared" si="496"/>
        <v/>
      </c>
      <c r="D1010" s="132" t="str">
        <f t="shared" si="496"/>
        <v/>
      </c>
      <c r="E1010" s="132" t="str">
        <f t="shared" si="496"/>
        <v/>
      </c>
      <c r="F1010" s="132"/>
      <c r="G1010" s="132"/>
      <c r="H1010" s="132"/>
      <c r="I1010" s="132"/>
      <c r="J1010" s="132"/>
      <c r="K1010" s="134">
        <f t="shared" ref="K1010:X1010" si="506">IF(AND($C1010="B+R",$D1010="nie",$E1010="prace rozwojowe",LataProjekcji&lt;=Koniec_PR,Modul_badawczo_rozwojowy=tak),ROUND(K400,0),0)</f>
        <v>0</v>
      </c>
      <c r="L1010" s="134">
        <f t="shared" si="506"/>
        <v>0</v>
      </c>
      <c r="M1010" s="134">
        <f t="shared" si="506"/>
        <v>0</v>
      </c>
      <c r="N1010" s="134">
        <f t="shared" si="506"/>
        <v>0</v>
      </c>
      <c r="O1010" s="134">
        <f t="shared" si="506"/>
        <v>0</v>
      </c>
      <c r="P1010" s="134">
        <f t="shared" si="506"/>
        <v>0</v>
      </c>
      <c r="Q1010" s="134">
        <f t="shared" si="506"/>
        <v>0</v>
      </c>
      <c r="R1010" s="134">
        <f t="shared" si="506"/>
        <v>0</v>
      </c>
      <c r="S1010" s="134">
        <f t="shared" si="506"/>
        <v>0</v>
      </c>
      <c r="T1010" s="134">
        <f t="shared" si="506"/>
        <v>0</v>
      </c>
      <c r="U1010" s="134">
        <f t="shared" si="506"/>
        <v>0</v>
      </c>
      <c r="V1010" s="134">
        <f t="shared" si="506"/>
        <v>0</v>
      </c>
      <c r="W1010" s="134">
        <f t="shared" si="506"/>
        <v>0</v>
      </c>
      <c r="X1010" s="134">
        <f t="shared" si="506"/>
        <v>0</v>
      </c>
    </row>
    <row r="1011" spans="2:24" hidden="1">
      <c r="B1011" s="132" t="str">
        <f t="shared" si="496"/>
        <v/>
      </c>
      <c r="C1011" s="132" t="str">
        <f t="shared" si="496"/>
        <v/>
      </c>
      <c r="D1011" s="132" t="str">
        <f t="shared" si="496"/>
        <v/>
      </c>
      <c r="E1011" s="132" t="str">
        <f t="shared" si="496"/>
        <v/>
      </c>
      <c r="F1011" s="132"/>
      <c r="G1011" s="132"/>
      <c r="H1011" s="132"/>
      <c r="I1011" s="132"/>
      <c r="J1011" s="132"/>
      <c r="K1011" s="134">
        <f t="shared" ref="K1011:X1011" si="507">IF(AND($C1011="B+R",$D1011="nie",$E1011="prace rozwojowe",LataProjekcji&lt;=Koniec_PR,Modul_badawczo_rozwojowy=tak),ROUND(K401,0),0)</f>
        <v>0</v>
      </c>
      <c r="L1011" s="134">
        <f t="shared" si="507"/>
        <v>0</v>
      </c>
      <c r="M1011" s="134">
        <f t="shared" si="507"/>
        <v>0</v>
      </c>
      <c r="N1011" s="134">
        <f t="shared" si="507"/>
        <v>0</v>
      </c>
      <c r="O1011" s="134">
        <f t="shared" si="507"/>
        <v>0</v>
      </c>
      <c r="P1011" s="134">
        <f t="shared" si="507"/>
        <v>0</v>
      </c>
      <c r="Q1011" s="134">
        <f t="shared" si="507"/>
        <v>0</v>
      </c>
      <c r="R1011" s="134">
        <f t="shared" si="507"/>
        <v>0</v>
      </c>
      <c r="S1011" s="134">
        <f t="shared" si="507"/>
        <v>0</v>
      </c>
      <c r="T1011" s="134">
        <f t="shared" si="507"/>
        <v>0</v>
      </c>
      <c r="U1011" s="134">
        <f t="shared" si="507"/>
        <v>0</v>
      </c>
      <c r="V1011" s="134">
        <f t="shared" si="507"/>
        <v>0</v>
      </c>
      <c r="W1011" s="134">
        <f t="shared" si="507"/>
        <v>0</v>
      </c>
      <c r="X1011" s="134">
        <f t="shared" si="507"/>
        <v>0</v>
      </c>
    </row>
    <row r="1012" spans="2:24" hidden="1">
      <c r="B1012" s="132" t="str">
        <f t="shared" si="496"/>
        <v/>
      </c>
      <c r="C1012" s="132" t="str">
        <f t="shared" si="496"/>
        <v/>
      </c>
      <c r="D1012" s="132" t="str">
        <f t="shared" si="496"/>
        <v/>
      </c>
      <c r="E1012" s="132" t="str">
        <f t="shared" si="496"/>
        <v/>
      </c>
      <c r="F1012" s="132"/>
      <c r="G1012" s="132"/>
      <c r="H1012" s="132"/>
      <c r="I1012" s="132"/>
      <c r="J1012" s="132"/>
      <c r="K1012" s="134">
        <f t="shared" ref="K1012:X1012" si="508">IF(AND($C1012="B+R",$D1012="nie",$E1012="prace rozwojowe",LataProjekcji&lt;=Koniec_PR,Modul_badawczo_rozwojowy=tak),ROUND(K402,0),0)</f>
        <v>0</v>
      </c>
      <c r="L1012" s="134">
        <f t="shared" si="508"/>
        <v>0</v>
      </c>
      <c r="M1012" s="134">
        <f t="shared" si="508"/>
        <v>0</v>
      </c>
      <c r="N1012" s="134">
        <f t="shared" si="508"/>
        <v>0</v>
      </c>
      <c r="O1012" s="134">
        <f t="shared" si="508"/>
        <v>0</v>
      </c>
      <c r="P1012" s="134">
        <f t="shared" si="508"/>
        <v>0</v>
      </c>
      <c r="Q1012" s="134">
        <f t="shared" si="508"/>
        <v>0</v>
      </c>
      <c r="R1012" s="134">
        <f t="shared" si="508"/>
        <v>0</v>
      </c>
      <c r="S1012" s="134">
        <f t="shared" si="508"/>
        <v>0</v>
      </c>
      <c r="T1012" s="134">
        <f t="shared" si="508"/>
        <v>0</v>
      </c>
      <c r="U1012" s="134">
        <f t="shared" si="508"/>
        <v>0</v>
      </c>
      <c r="V1012" s="134">
        <f t="shared" si="508"/>
        <v>0</v>
      </c>
      <c r="W1012" s="134">
        <f t="shared" si="508"/>
        <v>0</v>
      </c>
      <c r="X1012" s="134">
        <f t="shared" si="508"/>
        <v>0</v>
      </c>
    </row>
    <row r="1013" spans="2:24" hidden="1">
      <c r="B1013" s="132" t="str">
        <f t="shared" si="496"/>
        <v/>
      </c>
      <c r="C1013" s="132" t="str">
        <f t="shared" si="496"/>
        <v/>
      </c>
      <c r="D1013" s="132" t="str">
        <f t="shared" si="496"/>
        <v/>
      </c>
      <c r="E1013" s="132" t="str">
        <f t="shared" si="496"/>
        <v/>
      </c>
      <c r="F1013" s="132"/>
      <c r="G1013" s="132"/>
      <c r="H1013" s="132"/>
      <c r="I1013" s="132"/>
      <c r="J1013" s="132"/>
      <c r="K1013" s="134">
        <f t="shared" ref="K1013:X1013" si="509">IF(AND($C1013="B+R",$D1013="nie",$E1013="prace rozwojowe",LataProjekcji&lt;=Koniec_PR,Modul_badawczo_rozwojowy=tak),ROUND(K403,0),0)</f>
        <v>0</v>
      </c>
      <c r="L1013" s="134">
        <f t="shared" si="509"/>
        <v>0</v>
      </c>
      <c r="M1013" s="134">
        <f t="shared" si="509"/>
        <v>0</v>
      </c>
      <c r="N1013" s="134">
        <f t="shared" si="509"/>
        <v>0</v>
      </c>
      <c r="O1013" s="134">
        <f t="shared" si="509"/>
        <v>0</v>
      </c>
      <c r="P1013" s="134">
        <f t="shared" si="509"/>
        <v>0</v>
      </c>
      <c r="Q1013" s="134">
        <f t="shared" si="509"/>
        <v>0</v>
      </c>
      <c r="R1013" s="134">
        <f t="shared" si="509"/>
        <v>0</v>
      </c>
      <c r="S1013" s="134">
        <f t="shared" si="509"/>
        <v>0</v>
      </c>
      <c r="T1013" s="134">
        <f t="shared" si="509"/>
        <v>0</v>
      </c>
      <c r="U1013" s="134">
        <f t="shared" si="509"/>
        <v>0</v>
      </c>
      <c r="V1013" s="134">
        <f t="shared" si="509"/>
        <v>0</v>
      </c>
      <c r="W1013" s="134">
        <f t="shared" si="509"/>
        <v>0</v>
      </c>
      <c r="X1013" s="134">
        <f t="shared" si="509"/>
        <v>0</v>
      </c>
    </row>
    <row r="1014" spans="2:24" hidden="1">
      <c r="B1014" s="132" t="str">
        <f t="shared" si="496"/>
        <v/>
      </c>
      <c r="C1014" s="132" t="str">
        <f t="shared" si="496"/>
        <v/>
      </c>
      <c r="D1014" s="132" t="str">
        <f t="shared" si="496"/>
        <v/>
      </c>
      <c r="E1014" s="132" t="str">
        <f t="shared" si="496"/>
        <v/>
      </c>
      <c r="F1014" s="132"/>
      <c r="G1014" s="132"/>
      <c r="H1014" s="132"/>
      <c r="I1014" s="132"/>
      <c r="J1014" s="132"/>
      <c r="K1014" s="134">
        <f t="shared" ref="K1014:X1014" si="510">IF(AND($C1014="B+R",$D1014="nie",$E1014="prace rozwojowe",LataProjekcji&lt;=Koniec_PR,Modul_badawczo_rozwojowy=tak),ROUND(K404,0),0)</f>
        <v>0</v>
      </c>
      <c r="L1014" s="134">
        <f t="shared" si="510"/>
        <v>0</v>
      </c>
      <c r="M1014" s="134">
        <f t="shared" si="510"/>
        <v>0</v>
      </c>
      <c r="N1014" s="134">
        <f t="shared" si="510"/>
        <v>0</v>
      </c>
      <c r="O1014" s="134">
        <f t="shared" si="510"/>
        <v>0</v>
      </c>
      <c r="P1014" s="134">
        <f t="shared" si="510"/>
        <v>0</v>
      </c>
      <c r="Q1014" s="134">
        <f t="shared" si="510"/>
        <v>0</v>
      </c>
      <c r="R1014" s="134">
        <f t="shared" si="510"/>
        <v>0</v>
      </c>
      <c r="S1014" s="134">
        <f t="shared" si="510"/>
        <v>0</v>
      </c>
      <c r="T1014" s="134">
        <f t="shared" si="510"/>
        <v>0</v>
      </c>
      <c r="U1014" s="134">
        <f t="shared" si="510"/>
        <v>0</v>
      </c>
      <c r="V1014" s="134">
        <f t="shared" si="510"/>
        <v>0</v>
      </c>
      <c r="W1014" s="134">
        <f t="shared" si="510"/>
        <v>0</v>
      </c>
      <c r="X1014" s="134">
        <f t="shared" si="510"/>
        <v>0</v>
      </c>
    </row>
    <row r="1015" spans="2:24" hidden="1">
      <c r="B1015" s="132" t="str">
        <f t="shared" si="496"/>
        <v/>
      </c>
      <c r="C1015" s="132" t="str">
        <f t="shared" si="496"/>
        <v/>
      </c>
      <c r="D1015" s="132" t="str">
        <f t="shared" si="496"/>
        <v/>
      </c>
      <c r="E1015" s="132" t="str">
        <f t="shared" si="496"/>
        <v/>
      </c>
      <c r="F1015" s="132"/>
      <c r="G1015" s="132"/>
      <c r="H1015" s="132"/>
      <c r="I1015" s="132"/>
      <c r="J1015" s="132"/>
      <c r="K1015" s="134">
        <f t="shared" ref="K1015:X1015" si="511">IF(AND($C1015="B+R",$D1015="nie",$E1015="prace rozwojowe",LataProjekcji&lt;=Koniec_PR,Modul_badawczo_rozwojowy=tak),ROUND(K405,0),0)</f>
        <v>0</v>
      </c>
      <c r="L1015" s="134">
        <f t="shared" si="511"/>
        <v>0</v>
      </c>
      <c r="M1015" s="134">
        <f t="shared" si="511"/>
        <v>0</v>
      </c>
      <c r="N1015" s="134">
        <f t="shared" si="511"/>
        <v>0</v>
      </c>
      <c r="O1015" s="134">
        <f t="shared" si="511"/>
        <v>0</v>
      </c>
      <c r="P1015" s="134">
        <f t="shared" si="511"/>
        <v>0</v>
      </c>
      <c r="Q1015" s="134">
        <f t="shared" si="511"/>
        <v>0</v>
      </c>
      <c r="R1015" s="134">
        <f t="shared" si="511"/>
        <v>0</v>
      </c>
      <c r="S1015" s="134">
        <f t="shared" si="511"/>
        <v>0</v>
      </c>
      <c r="T1015" s="134">
        <f t="shared" si="511"/>
        <v>0</v>
      </c>
      <c r="U1015" s="134">
        <f t="shared" si="511"/>
        <v>0</v>
      </c>
      <c r="V1015" s="134">
        <f t="shared" si="511"/>
        <v>0</v>
      </c>
      <c r="W1015" s="134">
        <f t="shared" si="511"/>
        <v>0</v>
      </c>
      <c r="X1015" s="134">
        <f t="shared" si="511"/>
        <v>0</v>
      </c>
    </row>
    <row r="1016" spans="2:24" hidden="1">
      <c r="B1016" s="132" t="str">
        <f t="shared" si="496"/>
        <v/>
      </c>
      <c r="C1016" s="132" t="str">
        <f t="shared" si="496"/>
        <v/>
      </c>
      <c r="D1016" s="132" t="str">
        <f t="shared" si="496"/>
        <v/>
      </c>
      <c r="E1016" s="132" t="str">
        <f t="shared" si="496"/>
        <v/>
      </c>
      <c r="F1016" s="132"/>
      <c r="G1016" s="132"/>
      <c r="H1016" s="132"/>
      <c r="I1016" s="132"/>
      <c r="J1016" s="132"/>
      <c r="K1016" s="134">
        <f t="shared" ref="K1016:X1016" si="512">IF(AND($C1016="B+R",$D1016="nie",$E1016="prace rozwojowe",LataProjekcji&lt;=Koniec_PR,Modul_badawczo_rozwojowy=tak),ROUND(K406,0),0)</f>
        <v>0</v>
      </c>
      <c r="L1016" s="134">
        <f t="shared" si="512"/>
        <v>0</v>
      </c>
      <c r="M1016" s="134">
        <f t="shared" si="512"/>
        <v>0</v>
      </c>
      <c r="N1016" s="134">
        <f t="shared" si="512"/>
        <v>0</v>
      </c>
      <c r="O1016" s="134">
        <f t="shared" si="512"/>
        <v>0</v>
      </c>
      <c r="P1016" s="134">
        <f t="shared" si="512"/>
        <v>0</v>
      </c>
      <c r="Q1016" s="134">
        <f t="shared" si="512"/>
        <v>0</v>
      </c>
      <c r="R1016" s="134">
        <f t="shared" si="512"/>
        <v>0</v>
      </c>
      <c r="S1016" s="134">
        <f t="shared" si="512"/>
        <v>0</v>
      </c>
      <c r="T1016" s="134">
        <f t="shared" si="512"/>
        <v>0</v>
      </c>
      <c r="U1016" s="134">
        <f t="shared" si="512"/>
        <v>0</v>
      </c>
      <c r="V1016" s="134">
        <f t="shared" si="512"/>
        <v>0</v>
      </c>
      <c r="W1016" s="134">
        <f t="shared" si="512"/>
        <v>0</v>
      </c>
      <c r="X1016" s="134">
        <f t="shared" si="512"/>
        <v>0</v>
      </c>
    </row>
    <row r="1017" spans="2:24" hidden="1">
      <c r="B1017" s="132" t="str">
        <f t="shared" si="496"/>
        <v/>
      </c>
      <c r="C1017" s="132" t="str">
        <f t="shared" si="496"/>
        <v/>
      </c>
      <c r="D1017" s="132" t="str">
        <f t="shared" si="496"/>
        <v/>
      </c>
      <c r="E1017" s="132" t="str">
        <f t="shared" si="496"/>
        <v/>
      </c>
      <c r="F1017" s="132"/>
      <c r="G1017" s="132"/>
      <c r="H1017" s="132"/>
      <c r="I1017" s="132"/>
      <c r="J1017" s="132"/>
      <c r="K1017" s="134">
        <f t="shared" ref="K1017:X1017" si="513">IF(AND($C1017="B+R",$D1017="nie",$E1017="prace rozwojowe",LataProjekcji&lt;=Koniec_PR,Modul_badawczo_rozwojowy=tak),ROUND(K407,0),0)</f>
        <v>0</v>
      </c>
      <c r="L1017" s="134">
        <f t="shared" si="513"/>
        <v>0</v>
      </c>
      <c r="M1017" s="134">
        <f t="shared" si="513"/>
        <v>0</v>
      </c>
      <c r="N1017" s="134">
        <f t="shared" si="513"/>
        <v>0</v>
      </c>
      <c r="O1017" s="134">
        <f t="shared" si="513"/>
        <v>0</v>
      </c>
      <c r="P1017" s="134">
        <f t="shared" si="513"/>
        <v>0</v>
      </c>
      <c r="Q1017" s="134">
        <f t="shared" si="513"/>
        <v>0</v>
      </c>
      <c r="R1017" s="134">
        <f t="shared" si="513"/>
        <v>0</v>
      </c>
      <c r="S1017" s="134">
        <f t="shared" si="513"/>
        <v>0</v>
      </c>
      <c r="T1017" s="134">
        <f t="shared" si="513"/>
        <v>0</v>
      </c>
      <c r="U1017" s="134">
        <f t="shared" si="513"/>
        <v>0</v>
      </c>
      <c r="V1017" s="134">
        <f t="shared" si="513"/>
        <v>0</v>
      </c>
      <c r="W1017" s="134">
        <f t="shared" si="513"/>
        <v>0</v>
      </c>
      <c r="X1017" s="134">
        <f t="shared" si="513"/>
        <v>0</v>
      </c>
    </row>
    <row r="1018" spans="2:24" hidden="1">
      <c r="B1018" s="132" t="str">
        <f t="shared" si="496"/>
        <v/>
      </c>
      <c r="C1018" s="132" t="str">
        <f t="shared" si="496"/>
        <v/>
      </c>
      <c r="D1018" s="132" t="str">
        <f t="shared" si="496"/>
        <v/>
      </c>
      <c r="E1018" s="132" t="str">
        <f t="shared" si="496"/>
        <v/>
      </c>
      <c r="F1018" s="132"/>
      <c r="G1018" s="132"/>
      <c r="H1018" s="132"/>
      <c r="I1018" s="132"/>
      <c r="J1018" s="132"/>
      <c r="K1018" s="134">
        <f t="shared" ref="K1018:X1018" si="514">IF(AND($C1018="B+R",$D1018="nie",$E1018="prace rozwojowe",LataProjekcji&lt;=Koniec_PR,Modul_badawczo_rozwojowy=tak),ROUND(K408,0),0)</f>
        <v>0</v>
      </c>
      <c r="L1018" s="134">
        <f t="shared" si="514"/>
        <v>0</v>
      </c>
      <c r="M1018" s="134">
        <f t="shared" si="514"/>
        <v>0</v>
      </c>
      <c r="N1018" s="134">
        <f t="shared" si="514"/>
        <v>0</v>
      </c>
      <c r="O1018" s="134">
        <f t="shared" si="514"/>
        <v>0</v>
      </c>
      <c r="P1018" s="134">
        <f t="shared" si="514"/>
        <v>0</v>
      </c>
      <c r="Q1018" s="134">
        <f t="shared" si="514"/>
        <v>0</v>
      </c>
      <c r="R1018" s="134">
        <f t="shared" si="514"/>
        <v>0</v>
      </c>
      <c r="S1018" s="134">
        <f t="shared" si="514"/>
        <v>0</v>
      </c>
      <c r="T1018" s="134">
        <f t="shared" si="514"/>
        <v>0</v>
      </c>
      <c r="U1018" s="134">
        <f t="shared" si="514"/>
        <v>0</v>
      </c>
      <c r="V1018" s="134">
        <f t="shared" si="514"/>
        <v>0</v>
      </c>
      <c r="W1018" s="134">
        <f t="shared" si="514"/>
        <v>0</v>
      </c>
      <c r="X1018" s="134">
        <f t="shared" si="514"/>
        <v>0</v>
      </c>
    </row>
    <row r="1019" spans="2:24" hidden="1">
      <c r="B1019" s="132" t="str">
        <f t="shared" si="496"/>
        <v/>
      </c>
      <c r="C1019" s="132" t="str">
        <f t="shared" si="496"/>
        <v/>
      </c>
      <c r="D1019" s="132" t="str">
        <f t="shared" si="496"/>
        <v/>
      </c>
      <c r="E1019" s="132" t="str">
        <f t="shared" si="496"/>
        <v/>
      </c>
      <c r="F1019" s="132"/>
      <c r="G1019" s="132"/>
      <c r="H1019" s="132"/>
      <c r="I1019" s="132"/>
      <c r="J1019" s="132"/>
      <c r="K1019" s="134">
        <f t="shared" ref="K1019:X1019" si="515">IF(AND($C1019="B+R",$D1019="nie",$E1019="prace rozwojowe",LataProjekcji&lt;=Koniec_PR,Modul_badawczo_rozwojowy=tak),ROUND(K409,0),0)</f>
        <v>0</v>
      </c>
      <c r="L1019" s="134">
        <f t="shared" si="515"/>
        <v>0</v>
      </c>
      <c r="M1019" s="134">
        <f t="shared" si="515"/>
        <v>0</v>
      </c>
      <c r="N1019" s="134">
        <f t="shared" si="515"/>
        <v>0</v>
      </c>
      <c r="O1019" s="134">
        <f t="shared" si="515"/>
        <v>0</v>
      </c>
      <c r="P1019" s="134">
        <f t="shared" si="515"/>
        <v>0</v>
      </c>
      <c r="Q1019" s="134">
        <f t="shared" si="515"/>
        <v>0</v>
      </c>
      <c r="R1019" s="134">
        <f t="shared" si="515"/>
        <v>0</v>
      </c>
      <c r="S1019" s="134">
        <f t="shared" si="515"/>
        <v>0</v>
      </c>
      <c r="T1019" s="134">
        <f t="shared" si="515"/>
        <v>0</v>
      </c>
      <c r="U1019" s="134">
        <f t="shared" si="515"/>
        <v>0</v>
      </c>
      <c r="V1019" s="134">
        <f t="shared" si="515"/>
        <v>0</v>
      </c>
      <c r="W1019" s="134">
        <f t="shared" si="515"/>
        <v>0</v>
      </c>
      <c r="X1019" s="134">
        <f t="shared" si="515"/>
        <v>0</v>
      </c>
    </row>
    <row r="1020" spans="2:24" hidden="1">
      <c r="B1020" s="132" t="str">
        <f t="shared" si="496"/>
        <v/>
      </c>
      <c r="C1020" s="132" t="str">
        <f t="shared" si="496"/>
        <v/>
      </c>
      <c r="D1020" s="132" t="str">
        <f t="shared" si="496"/>
        <v/>
      </c>
      <c r="E1020" s="132" t="str">
        <f t="shared" si="496"/>
        <v/>
      </c>
      <c r="F1020" s="132"/>
      <c r="G1020" s="132"/>
      <c r="H1020" s="132"/>
      <c r="I1020" s="132"/>
      <c r="J1020" s="132"/>
      <c r="K1020" s="134">
        <f t="shared" ref="K1020:X1020" si="516">IF(AND($C1020="B+R",$D1020="nie",$E1020="prace rozwojowe",LataProjekcji&lt;=Koniec_PR,Modul_badawczo_rozwojowy=tak),ROUND(K410,0),0)</f>
        <v>0</v>
      </c>
      <c r="L1020" s="134">
        <f t="shared" si="516"/>
        <v>0</v>
      </c>
      <c r="M1020" s="134">
        <f t="shared" si="516"/>
        <v>0</v>
      </c>
      <c r="N1020" s="134">
        <f t="shared" si="516"/>
        <v>0</v>
      </c>
      <c r="O1020" s="134">
        <f t="shared" si="516"/>
        <v>0</v>
      </c>
      <c r="P1020" s="134">
        <f t="shared" si="516"/>
        <v>0</v>
      </c>
      <c r="Q1020" s="134">
        <f t="shared" si="516"/>
        <v>0</v>
      </c>
      <c r="R1020" s="134">
        <f t="shared" si="516"/>
        <v>0</v>
      </c>
      <c r="S1020" s="134">
        <f t="shared" si="516"/>
        <v>0</v>
      </c>
      <c r="T1020" s="134">
        <f t="shared" si="516"/>
        <v>0</v>
      </c>
      <c r="U1020" s="134">
        <f t="shared" si="516"/>
        <v>0</v>
      </c>
      <c r="V1020" s="134">
        <f t="shared" si="516"/>
        <v>0</v>
      </c>
      <c r="W1020" s="134">
        <f t="shared" si="516"/>
        <v>0</v>
      </c>
      <c r="X1020" s="134">
        <f t="shared" si="516"/>
        <v>0</v>
      </c>
    </row>
    <row r="1021" spans="2:24" hidden="1">
      <c r="B1021" s="132" t="str">
        <f t="shared" ref="B1021:E1040" si="517">B369</f>
        <v/>
      </c>
      <c r="C1021" s="132" t="str">
        <f t="shared" si="517"/>
        <v/>
      </c>
      <c r="D1021" s="132" t="str">
        <f t="shared" si="517"/>
        <v/>
      </c>
      <c r="E1021" s="132" t="str">
        <f t="shared" si="517"/>
        <v/>
      </c>
      <c r="F1021" s="132"/>
      <c r="G1021" s="132"/>
      <c r="H1021" s="132"/>
      <c r="I1021" s="132"/>
      <c r="J1021" s="132"/>
      <c r="K1021" s="134">
        <f t="shared" ref="K1021:X1021" si="518">IF(AND($C1021="B+R",$D1021="nie",$E1021="prace rozwojowe",LataProjekcji&lt;=Koniec_PR,Modul_badawczo_rozwojowy=tak),ROUND(K411,0),0)</f>
        <v>0</v>
      </c>
      <c r="L1021" s="134">
        <f t="shared" si="518"/>
        <v>0</v>
      </c>
      <c r="M1021" s="134">
        <f t="shared" si="518"/>
        <v>0</v>
      </c>
      <c r="N1021" s="134">
        <f t="shared" si="518"/>
        <v>0</v>
      </c>
      <c r="O1021" s="134">
        <f t="shared" si="518"/>
        <v>0</v>
      </c>
      <c r="P1021" s="134">
        <f t="shared" si="518"/>
        <v>0</v>
      </c>
      <c r="Q1021" s="134">
        <f t="shared" si="518"/>
        <v>0</v>
      </c>
      <c r="R1021" s="134">
        <f t="shared" si="518"/>
        <v>0</v>
      </c>
      <c r="S1021" s="134">
        <f t="shared" si="518"/>
        <v>0</v>
      </c>
      <c r="T1021" s="134">
        <f t="shared" si="518"/>
        <v>0</v>
      </c>
      <c r="U1021" s="134">
        <f t="shared" si="518"/>
        <v>0</v>
      </c>
      <c r="V1021" s="134">
        <f t="shared" si="518"/>
        <v>0</v>
      </c>
      <c r="W1021" s="134">
        <f t="shared" si="518"/>
        <v>0</v>
      </c>
      <c r="X1021" s="134">
        <f t="shared" si="518"/>
        <v>0</v>
      </c>
    </row>
    <row r="1022" spans="2:24" hidden="1">
      <c r="B1022" s="132" t="str">
        <f t="shared" si="517"/>
        <v/>
      </c>
      <c r="C1022" s="132" t="str">
        <f t="shared" si="517"/>
        <v/>
      </c>
      <c r="D1022" s="132" t="str">
        <f t="shared" si="517"/>
        <v/>
      </c>
      <c r="E1022" s="132" t="str">
        <f t="shared" si="517"/>
        <v/>
      </c>
      <c r="F1022" s="132"/>
      <c r="G1022" s="132"/>
      <c r="H1022" s="132"/>
      <c r="I1022" s="132"/>
      <c r="J1022" s="132"/>
      <c r="K1022" s="134">
        <f t="shared" ref="K1022:X1022" si="519">IF(AND($C1022="B+R",$D1022="nie",$E1022="prace rozwojowe",LataProjekcji&lt;=Koniec_PR,Modul_badawczo_rozwojowy=tak),ROUND(K412,0),0)</f>
        <v>0</v>
      </c>
      <c r="L1022" s="134">
        <f t="shared" si="519"/>
        <v>0</v>
      </c>
      <c r="M1022" s="134">
        <f t="shared" si="519"/>
        <v>0</v>
      </c>
      <c r="N1022" s="134">
        <f t="shared" si="519"/>
        <v>0</v>
      </c>
      <c r="O1022" s="134">
        <f t="shared" si="519"/>
        <v>0</v>
      </c>
      <c r="P1022" s="134">
        <f t="shared" si="519"/>
        <v>0</v>
      </c>
      <c r="Q1022" s="134">
        <f t="shared" si="519"/>
        <v>0</v>
      </c>
      <c r="R1022" s="134">
        <f t="shared" si="519"/>
        <v>0</v>
      </c>
      <c r="S1022" s="134">
        <f t="shared" si="519"/>
        <v>0</v>
      </c>
      <c r="T1022" s="134">
        <f t="shared" si="519"/>
        <v>0</v>
      </c>
      <c r="U1022" s="134">
        <f t="shared" si="519"/>
        <v>0</v>
      </c>
      <c r="V1022" s="134">
        <f t="shared" si="519"/>
        <v>0</v>
      </c>
      <c r="W1022" s="134">
        <f t="shared" si="519"/>
        <v>0</v>
      </c>
      <c r="X1022" s="134">
        <f t="shared" si="519"/>
        <v>0</v>
      </c>
    </row>
    <row r="1023" spans="2:24" hidden="1">
      <c r="B1023" s="132" t="str">
        <f t="shared" si="517"/>
        <v/>
      </c>
      <c r="C1023" s="132" t="str">
        <f t="shared" si="517"/>
        <v/>
      </c>
      <c r="D1023" s="132" t="str">
        <f t="shared" si="517"/>
        <v/>
      </c>
      <c r="E1023" s="132" t="str">
        <f t="shared" si="517"/>
        <v/>
      </c>
      <c r="F1023" s="132"/>
      <c r="G1023" s="132"/>
      <c r="H1023" s="132"/>
      <c r="I1023" s="132"/>
      <c r="J1023" s="132"/>
      <c r="K1023" s="134">
        <f t="shared" ref="K1023:X1023" si="520">IF(AND($C1023="B+R",$D1023="nie",$E1023="prace rozwojowe",LataProjekcji&lt;=Koniec_PR,Modul_badawczo_rozwojowy=tak),ROUND(K413,0),0)</f>
        <v>0</v>
      </c>
      <c r="L1023" s="134">
        <f t="shared" si="520"/>
        <v>0</v>
      </c>
      <c r="M1023" s="134">
        <f t="shared" si="520"/>
        <v>0</v>
      </c>
      <c r="N1023" s="134">
        <f t="shared" si="520"/>
        <v>0</v>
      </c>
      <c r="O1023" s="134">
        <f t="shared" si="520"/>
        <v>0</v>
      </c>
      <c r="P1023" s="134">
        <f t="shared" si="520"/>
        <v>0</v>
      </c>
      <c r="Q1023" s="134">
        <f t="shared" si="520"/>
        <v>0</v>
      </c>
      <c r="R1023" s="134">
        <f t="shared" si="520"/>
        <v>0</v>
      </c>
      <c r="S1023" s="134">
        <f t="shared" si="520"/>
        <v>0</v>
      </c>
      <c r="T1023" s="134">
        <f t="shared" si="520"/>
        <v>0</v>
      </c>
      <c r="U1023" s="134">
        <f t="shared" si="520"/>
        <v>0</v>
      </c>
      <c r="V1023" s="134">
        <f t="shared" si="520"/>
        <v>0</v>
      </c>
      <c r="W1023" s="134">
        <f t="shared" si="520"/>
        <v>0</v>
      </c>
      <c r="X1023" s="134">
        <f t="shared" si="520"/>
        <v>0</v>
      </c>
    </row>
    <row r="1024" spans="2:24" hidden="1">
      <c r="B1024" s="132" t="str">
        <f t="shared" si="517"/>
        <v/>
      </c>
      <c r="C1024" s="132" t="str">
        <f t="shared" si="517"/>
        <v/>
      </c>
      <c r="D1024" s="132" t="str">
        <f t="shared" si="517"/>
        <v/>
      </c>
      <c r="E1024" s="132" t="str">
        <f t="shared" si="517"/>
        <v/>
      </c>
      <c r="F1024" s="132"/>
      <c r="G1024" s="132"/>
      <c r="H1024" s="132"/>
      <c r="I1024" s="132"/>
      <c r="J1024" s="132"/>
      <c r="K1024" s="134">
        <f t="shared" ref="K1024:X1024" si="521">IF(AND($C1024="B+R",$D1024="nie",$E1024="prace rozwojowe",LataProjekcji&lt;=Koniec_PR,Modul_badawczo_rozwojowy=tak),ROUND(K414,0),0)</f>
        <v>0</v>
      </c>
      <c r="L1024" s="134">
        <f t="shared" si="521"/>
        <v>0</v>
      </c>
      <c r="M1024" s="134">
        <f t="shared" si="521"/>
        <v>0</v>
      </c>
      <c r="N1024" s="134">
        <f t="shared" si="521"/>
        <v>0</v>
      </c>
      <c r="O1024" s="134">
        <f t="shared" si="521"/>
        <v>0</v>
      </c>
      <c r="P1024" s="134">
        <f t="shared" si="521"/>
        <v>0</v>
      </c>
      <c r="Q1024" s="134">
        <f t="shared" si="521"/>
        <v>0</v>
      </c>
      <c r="R1024" s="134">
        <f t="shared" si="521"/>
        <v>0</v>
      </c>
      <c r="S1024" s="134">
        <f t="shared" si="521"/>
        <v>0</v>
      </c>
      <c r="T1024" s="134">
        <f t="shared" si="521"/>
        <v>0</v>
      </c>
      <c r="U1024" s="134">
        <f t="shared" si="521"/>
        <v>0</v>
      </c>
      <c r="V1024" s="134">
        <f t="shared" si="521"/>
        <v>0</v>
      </c>
      <c r="W1024" s="134">
        <f t="shared" si="521"/>
        <v>0</v>
      </c>
      <c r="X1024" s="134">
        <f t="shared" si="521"/>
        <v>0</v>
      </c>
    </row>
    <row r="1025" spans="2:24" hidden="1">
      <c r="B1025" s="132" t="str">
        <f t="shared" si="517"/>
        <v/>
      </c>
      <c r="C1025" s="132" t="str">
        <f t="shared" si="517"/>
        <v/>
      </c>
      <c r="D1025" s="132" t="str">
        <f t="shared" si="517"/>
        <v/>
      </c>
      <c r="E1025" s="132" t="str">
        <f t="shared" si="517"/>
        <v/>
      </c>
      <c r="F1025" s="132"/>
      <c r="G1025" s="132"/>
      <c r="H1025" s="132"/>
      <c r="I1025" s="132"/>
      <c r="J1025" s="132"/>
      <c r="K1025" s="134">
        <f t="shared" ref="K1025:X1025" si="522">IF(AND($C1025="B+R",$D1025="nie",$E1025="prace rozwojowe",LataProjekcji&lt;=Koniec_PR,Modul_badawczo_rozwojowy=tak),ROUND(K415,0),0)</f>
        <v>0</v>
      </c>
      <c r="L1025" s="134">
        <f t="shared" si="522"/>
        <v>0</v>
      </c>
      <c r="M1025" s="134">
        <f t="shared" si="522"/>
        <v>0</v>
      </c>
      <c r="N1025" s="134">
        <f t="shared" si="522"/>
        <v>0</v>
      </c>
      <c r="O1025" s="134">
        <f t="shared" si="522"/>
        <v>0</v>
      </c>
      <c r="P1025" s="134">
        <f t="shared" si="522"/>
        <v>0</v>
      </c>
      <c r="Q1025" s="134">
        <f t="shared" si="522"/>
        <v>0</v>
      </c>
      <c r="R1025" s="134">
        <f t="shared" si="522"/>
        <v>0</v>
      </c>
      <c r="S1025" s="134">
        <f t="shared" si="522"/>
        <v>0</v>
      </c>
      <c r="T1025" s="134">
        <f t="shared" si="522"/>
        <v>0</v>
      </c>
      <c r="U1025" s="134">
        <f t="shared" si="522"/>
        <v>0</v>
      </c>
      <c r="V1025" s="134">
        <f t="shared" si="522"/>
        <v>0</v>
      </c>
      <c r="W1025" s="134">
        <f t="shared" si="522"/>
        <v>0</v>
      </c>
      <c r="X1025" s="134">
        <f t="shared" si="522"/>
        <v>0</v>
      </c>
    </row>
    <row r="1026" spans="2:24" hidden="1">
      <c r="B1026" s="132" t="str">
        <f t="shared" si="517"/>
        <v/>
      </c>
      <c r="C1026" s="132" t="str">
        <f t="shared" si="517"/>
        <v/>
      </c>
      <c r="D1026" s="132" t="str">
        <f t="shared" si="517"/>
        <v/>
      </c>
      <c r="E1026" s="132" t="str">
        <f t="shared" si="517"/>
        <v/>
      </c>
      <c r="F1026" s="132"/>
      <c r="G1026" s="132"/>
      <c r="H1026" s="132"/>
      <c r="I1026" s="132"/>
      <c r="J1026" s="132"/>
      <c r="K1026" s="134">
        <f t="shared" ref="K1026:X1026" si="523">IF(AND($C1026="B+R",$D1026="nie",$E1026="prace rozwojowe",LataProjekcji&lt;=Koniec_PR,Modul_badawczo_rozwojowy=tak),ROUND(K416,0),0)</f>
        <v>0</v>
      </c>
      <c r="L1026" s="134">
        <f t="shared" si="523"/>
        <v>0</v>
      </c>
      <c r="M1026" s="134">
        <f t="shared" si="523"/>
        <v>0</v>
      </c>
      <c r="N1026" s="134">
        <f t="shared" si="523"/>
        <v>0</v>
      </c>
      <c r="O1026" s="134">
        <f t="shared" si="523"/>
        <v>0</v>
      </c>
      <c r="P1026" s="134">
        <f t="shared" si="523"/>
        <v>0</v>
      </c>
      <c r="Q1026" s="134">
        <f t="shared" si="523"/>
        <v>0</v>
      </c>
      <c r="R1026" s="134">
        <f t="shared" si="523"/>
        <v>0</v>
      </c>
      <c r="S1026" s="134">
        <f t="shared" si="523"/>
        <v>0</v>
      </c>
      <c r="T1026" s="134">
        <f t="shared" si="523"/>
        <v>0</v>
      </c>
      <c r="U1026" s="134">
        <f t="shared" si="523"/>
        <v>0</v>
      </c>
      <c r="V1026" s="134">
        <f t="shared" si="523"/>
        <v>0</v>
      </c>
      <c r="W1026" s="134">
        <f t="shared" si="523"/>
        <v>0</v>
      </c>
      <c r="X1026" s="134">
        <f t="shared" si="523"/>
        <v>0</v>
      </c>
    </row>
    <row r="1027" spans="2:24" hidden="1">
      <c r="B1027" s="132" t="str">
        <f t="shared" si="517"/>
        <v/>
      </c>
      <c r="C1027" s="132" t="str">
        <f t="shared" si="517"/>
        <v/>
      </c>
      <c r="D1027" s="132" t="str">
        <f t="shared" si="517"/>
        <v/>
      </c>
      <c r="E1027" s="132" t="str">
        <f t="shared" si="517"/>
        <v/>
      </c>
      <c r="F1027" s="132"/>
      <c r="G1027" s="132"/>
      <c r="H1027" s="132"/>
      <c r="I1027" s="132"/>
      <c r="J1027" s="132"/>
      <c r="K1027" s="134">
        <f t="shared" ref="K1027:X1027" si="524">IF(AND($C1027="B+R",$D1027="nie",$E1027="prace rozwojowe",LataProjekcji&lt;=Koniec_PR,Modul_badawczo_rozwojowy=tak),ROUND(K417,0),0)</f>
        <v>0</v>
      </c>
      <c r="L1027" s="134">
        <f t="shared" si="524"/>
        <v>0</v>
      </c>
      <c r="M1027" s="134">
        <f t="shared" si="524"/>
        <v>0</v>
      </c>
      <c r="N1027" s="134">
        <f t="shared" si="524"/>
        <v>0</v>
      </c>
      <c r="O1027" s="134">
        <f t="shared" si="524"/>
        <v>0</v>
      </c>
      <c r="P1027" s="134">
        <f t="shared" si="524"/>
        <v>0</v>
      </c>
      <c r="Q1027" s="134">
        <f t="shared" si="524"/>
        <v>0</v>
      </c>
      <c r="R1027" s="134">
        <f t="shared" si="524"/>
        <v>0</v>
      </c>
      <c r="S1027" s="134">
        <f t="shared" si="524"/>
        <v>0</v>
      </c>
      <c r="T1027" s="134">
        <f t="shared" si="524"/>
        <v>0</v>
      </c>
      <c r="U1027" s="134">
        <f t="shared" si="524"/>
        <v>0</v>
      </c>
      <c r="V1027" s="134">
        <f t="shared" si="524"/>
        <v>0</v>
      </c>
      <c r="W1027" s="134">
        <f t="shared" si="524"/>
        <v>0</v>
      </c>
      <c r="X1027" s="134">
        <f t="shared" si="524"/>
        <v>0</v>
      </c>
    </row>
    <row r="1028" spans="2:24" hidden="1">
      <c r="B1028" s="132" t="str">
        <f t="shared" si="517"/>
        <v/>
      </c>
      <c r="C1028" s="132" t="str">
        <f t="shared" si="517"/>
        <v/>
      </c>
      <c r="D1028" s="132" t="str">
        <f t="shared" si="517"/>
        <v/>
      </c>
      <c r="E1028" s="132" t="str">
        <f t="shared" si="517"/>
        <v/>
      </c>
      <c r="F1028" s="132"/>
      <c r="G1028" s="132"/>
      <c r="H1028" s="132"/>
      <c r="I1028" s="132"/>
      <c r="J1028" s="132"/>
      <c r="K1028" s="134">
        <f t="shared" ref="K1028:X1028" si="525">IF(AND($C1028="B+R",$D1028="nie",$E1028="prace rozwojowe",LataProjekcji&lt;=Koniec_PR,Modul_badawczo_rozwojowy=tak),ROUND(K418,0),0)</f>
        <v>0</v>
      </c>
      <c r="L1028" s="134">
        <f t="shared" si="525"/>
        <v>0</v>
      </c>
      <c r="M1028" s="134">
        <f t="shared" si="525"/>
        <v>0</v>
      </c>
      <c r="N1028" s="134">
        <f t="shared" si="525"/>
        <v>0</v>
      </c>
      <c r="O1028" s="134">
        <f t="shared" si="525"/>
        <v>0</v>
      </c>
      <c r="P1028" s="134">
        <f t="shared" si="525"/>
        <v>0</v>
      </c>
      <c r="Q1028" s="134">
        <f t="shared" si="525"/>
        <v>0</v>
      </c>
      <c r="R1028" s="134">
        <f t="shared" si="525"/>
        <v>0</v>
      </c>
      <c r="S1028" s="134">
        <f t="shared" si="525"/>
        <v>0</v>
      </c>
      <c r="T1028" s="134">
        <f t="shared" si="525"/>
        <v>0</v>
      </c>
      <c r="U1028" s="134">
        <f t="shared" si="525"/>
        <v>0</v>
      </c>
      <c r="V1028" s="134">
        <f t="shared" si="525"/>
        <v>0</v>
      </c>
      <c r="W1028" s="134">
        <f t="shared" si="525"/>
        <v>0</v>
      </c>
      <c r="X1028" s="134">
        <f t="shared" si="525"/>
        <v>0</v>
      </c>
    </row>
    <row r="1029" spans="2:24" hidden="1">
      <c r="B1029" s="132" t="str">
        <f t="shared" si="517"/>
        <v/>
      </c>
      <c r="C1029" s="132" t="str">
        <f t="shared" si="517"/>
        <v/>
      </c>
      <c r="D1029" s="132" t="str">
        <f t="shared" si="517"/>
        <v/>
      </c>
      <c r="E1029" s="132" t="str">
        <f t="shared" si="517"/>
        <v/>
      </c>
      <c r="F1029" s="132"/>
      <c r="G1029" s="132"/>
      <c r="H1029" s="132"/>
      <c r="I1029" s="132"/>
      <c r="J1029" s="132"/>
      <c r="K1029" s="134">
        <f t="shared" ref="K1029:X1029" si="526">IF(AND($C1029="B+R",$D1029="nie",$E1029="prace rozwojowe",LataProjekcji&lt;=Koniec_PR,Modul_badawczo_rozwojowy=tak),ROUND(K419,0),0)</f>
        <v>0</v>
      </c>
      <c r="L1029" s="134">
        <f t="shared" si="526"/>
        <v>0</v>
      </c>
      <c r="M1029" s="134">
        <f t="shared" si="526"/>
        <v>0</v>
      </c>
      <c r="N1029" s="134">
        <f t="shared" si="526"/>
        <v>0</v>
      </c>
      <c r="O1029" s="134">
        <f t="shared" si="526"/>
        <v>0</v>
      </c>
      <c r="P1029" s="134">
        <f t="shared" si="526"/>
        <v>0</v>
      </c>
      <c r="Q1029" s="134">
        <f t="shared" si="526"/>
        <v>0</v>
      </c>
      <c r="R1029" s="134">
        <f t="shared" si="526"/>
        <v>0</v>
      </c>
      <c r="S1029" s="134">
        <f t="shared" si="526"/>
        <v>0</v>
      </c>
      <c r="T1029" s="134">
        <f t="shared" si="526"/>
        <v>0</v>
      </c>
      <c r="U1029" s="134">
        <f t="shared" si="526"/>
        <v>0</v>
      </c>
      <c r="V1029" s="134">
        <f t="shared" si="526"/>
        <v>0</v>
      </c>
      <c r="W1029" s="134">
        <f t="shared" si="526"/>
        <v>0</v>
      </c>
      <c r="X1029" s="134">
        <f t="shared" si="526"/>
        <v>0</v>
      </c>
    </row>
    <row r="1030" spans="2:24" hidden="1">
      <c r="B1030" s="132" t="str">
        <f t="shared" si="517"/>
        <v/>
      </c>
      <c r="C1030" s="132" t="str">
        <f t="shared" si="517"/>
        <v/>
      </c>
      <c r="D1030" s="132" t="str">
        <f t="shared" si="517"/>
        <v/>
      </c>
      <c r="E1030" s="132" t="str">
        <f t="shared" si="517"/>
        <v/>
      </c>
      <c r="F1030" s="132"/>
      <c r="G1030" s="132"/>
      <c r="H1030" s="132"/>
      <c r="I1030" s="132"/>
      <c r="J1030" s="132"/>
      <c r="K1030" s="134">
        <f t="shared" ref="K1030:X1030" si="527">IF(AND($C1030="B+R",$D1030="nie",$E1030="prace rozwojowe",LataProjekcji&lt;=Koniec_PR,Modul_badawczo_rozwojowy=tak),ROUND(K420,0),0)</f>
        <v>0</v>
      </c>
      <c r="L1030" s="134">
        <f t="shared" si="527"/>
        <v>0</v>
      </c>
      <c r="M1030" s="134">
        <f t="shared" si="527"/>
        <v>0</v>
      </c>
      <c r="N1030" s="134">
        <f t="shared" si="527"/>
        <v>0</v>
      </c>
      <c r="O1030" s="134">
        <f t="shared" si="527"/>
        <v>0</v>
      </c>
      <c r="P1030" s="134">
        <f t="shared" si="527"/>
        <v>0</v>
      </c>
      <c r="Q1030" s="134">
        <f t="shared" si="527"/>
        <v>0</v>
      </c>
      <c r="R1030" s="134">
        <f t="shared" si="527"/>
        <v>0</v>
      </c>
      <c r="S1030" s="134">
        <f t="shared" si="527"/>
        <v>0</v>
      </c>
      <c r="T1030" s="134">
        <f t="shared" si="527"/>
        <v>0</v>
      </c>
      <c r="U1030" s="134">
        <f t="shared" si="527"/>
        <v>0</v>
      </c>
      <c r="V1030" s="134">
        <f t="shared" si="527"/>
        <v>0</v>
      </c>
      <c r="W1030" s="134">
        <f t="shared" si="527"/>
        <v>0</v>
      </c>
      <c r="X1030" s="134">
        <f t="shared" si="527"/>
        <v>0</v>
      </c>
    </row>
    <row r="1031" spans="2:24" hidden="1">
      <c r="B1031" s="132" t="str">
        <f t="shared" si="517"/>
        <v/>
      </c>
      <c r="C1031" s="132" t="str">
        <f t="shared" si="517"/>
        <v/>
      </c>
      <c r="D1031" s="132" t="str">
        <f t="shared" si="517"/>
        <v/>
      </c>
      <c r="E1031" s="132" t="str">
        <f t="shared" si="517"/>
        <v/>
      </c>
      <c r="F1031" s="132"/>
      <c r="G1031" s="132"/>
      <c r="H1031" s="132"/>
      <c r="I1031" s="132"/>
      <c r="J1031" s="132"/>
      <c r="K1031" s="134">
        <f t="shared" ref="K1031:X1031" si="528">IF(AND($C1031="B+R",$D1031="nie",$E1031="prace rozwojowe",LataProjekcji&lt;=Koniec_PR,Modul_badawczo_rozwojowy=tak),ROUND(K421,0),0)</f>
        <v>0</v>
      </c>
      <c r="L1031" s="134">
        <f t="shared" si="528"/>
        <v>0</v>
      </c>
      <c r="M1031" s="134">
        <f t="shared" si="528"/>
        <v>0</v>
      </c>
      <c r="N1031" s="134">
        <f t="shared" si="528"/>
        <v>0</v>
      </c>
      <c r="O1031" s="134">
        <f t="shared" si="528"/>
        <v>0</v>
      </c>
      <c r="P1031" s="134">
        <f t="shared" si="528"/>
        <v>0</v>
      </c>
      <c r="Q1031" s="134">
        <f t="shared" si="528"/>
        <v>0</v>
      </c>
      <c r="R1031" s="134">
        <f t="shared" si="528"/>
        <v>0</v>
      </c>
      <c r="S1031" s="134">
        <f t="shared" si="528"/>
        <v>0</v>
      </c>
      <c r="T1031" s="134">
        <f t="shared" si="528"/>
        <v>0</v>
      </c>
      <c r="U1031" s="134">
        <f t="shared" si="528"/>
        <v>0</v>
      </c>
      <c r="V1031" s="134">
        <f t="shared" si="528"/>
        <v>0</v>
      </c>
      <c r="W1031" s="134">
        <f t="shared" si="528"/>
        <v>0</v>
      </c>
      <c r="X1031" s="134">
        <f t="shared" si="528"/>
        <v>0</v>
      </c>
    </row>
    <row r="1032" spans="2:24" hidden="1">
      <c r="B1032" s="132" t="str">
        <f t="shared" si="517"/>
        <v/>
      </c>
      <c r="C1032" s="132" t="str">
        <f t="shared" si="517"/>
        <v/>
      </c>
      <c r="D1032" s="132" t="str">
        <f t="shared" si="517"/>
        <v/>
      </c>
      <c r="E1032" s="132" t="str">
        <f t="shared" si="517"/>
        <v/>
      </c>
      <c r="F1032" s="132"/>
      <c r="G1032" s="132"/>
      <c r="H1032" s="132"/>
      <c r="I1032" s="132"/>
      <c r="J1032" s="132"/>
      <c r="K1032" s="134">
        <f t="shared" ref="K1032:X1032" si="529">IF(AND($C1032="B+R",$D1032="nie",$E1032="prace rozwojowe",LataProjekcji&lt;=Koniec_PR,Modul_badawczo_rozwojowy=tak),ROUND(K422,0),0)</f>
        <v>0</v>
      </c>
      <c r="L1032" s="134">
        <f t="shared" si="529"/>
        <v>0</v>
      </c>
      <c r="M1032" s="134">
        <f t="shared" si="529"/>
        <v>0</v>
      </c>
      <c r="N1032" s="134">
        <f t="shared" si="529"/>
        <v>0</v>
      </c>
      <c r="O1032" s="134">
        <f t="shared" si="529"/>
        <v>0</v>
      </c>
      <c r="P1032" s="134">
        <f t="shared" si="529"/>
        <v>0</v>
      </c>
      <c r="Q1032" s="134">
        <f t="shared" si="529"/>
        <v>0</v>
      </c>
      <c r="R1032" s="134">
        <f t="shared" si="529"/>
        <v>0</v>
      </c>
      <c r="S1032" s="134">
        <f t="shared" si="529"/>
        <v>0</v>
      </c>
      <c r="T1032" s="134">
        <f t="shared" si="529"/>
        <v>0</v>
      </c>
      <c r="U1032" s="134">
        <f t="shared" si="529"/>
        <v>0</v>
      </c>
      <c r="V1032" s="134">
        <f t="shared" si="529"/>
        <v>0</v>
      </c>
      <c r="W1032" s="134">
        <f t="shared" si="529"/>
        <v>0</v>
      </c>
      <c r="X1032" s="134">
        <f t="shared" si="529"/>
        <v>0</v>
      </c>
    </row>
    <row r="1033" spans="2:24" hidden="1">
      <c r="B1033" s="132" t="str">
        <f t="shared" si="517"/>
        <v/>
      </c>
      <c r="C1033" s="132" t="str">
        <f t="shared" si="517"/>
        <v/>
      </c>
      <c r="D1033" s="132" t="str">
        <f t="shared" si="517"/>
        <v/>
      </c>
      <c r="E1033" s="132" t="str">
        <f t="shared" si="517"/>
        <v/>
      </c>
      <c r="F1033" s="132"/>
      <c r="G1033" s="132"/>
      <c r="H1033" s="132"/>
      <c r="I1033" s="132"/>
      <c r="J1033" s="132"/>
      <c r="K1033" s="134">
        <f t="shared" ref="K1033:X1033" si="530">IF(AND($C1033="B+R",$D1033="nie",$E1033="prace rozwojowe",LataProjekcji&lt;=Koniec_PR,Modul_badawczo_rozwojowy=tak),ROUND(K423,0),0)</f>
        <v>0</v>
      </c>
      <c r="L1033" s="134">
        <f t="shared" si="530"/>
        <v>0</v>
      </c>
      <c r="M1033" s="134">
        <f t="shared" si="530"/>
        <v>0</v>
      </c>
      <c r="N1033" s="134">
        <f t="shared" si="530"/>
        <v>0</v>
      </c>
      <c r="O1033" s="134">
        <f t="shared" si="530"/>
        <v>0</v>
      </c>
      <c r="P1033" s="134">
        <f t="shared" si="530"/>
        <v>0</v>
      </c>
      <c r="Q1033" s="134">
        <f t="shared" si="530"/>
        <v>0</v>
      </c>
      <c r="R1033" s="134">
        <f t="shared" si="530"/>
        <v>0</v>
      </c>
      <c r="S1033" s="134">
        <f t="shared" si="530"/>
        <v>0</v>
      </c>
      <c r="T1033" s="134">
        <f t="shared" si="530"/>
        <v>0</v>
      </c>
      <c r="U1033" s="134">
        <f t="shared" si="530"/>
        <v>0</v>
      </c>
      <c r="V1033" s="134">
        <f t="shared" si="530"/>
        <v>0</v>
      </c>
      <c r="W1033" s="134">
        <f t="shared" si="530"/>
        <v>0</v>
      </c>
      <c r="X1033" s="134">
        <f t="shared" si="530"/>
        <v>0</v>
      </c>
    </row>
    <row r="1034" spans="2:24" hidden="1">
      <c r="B1034" s="132" t="str">
        <f t="shared" si="517"/>
        <v/>
      </c>
      <c r="C1034" s="132" t="str">
        <f t="shared" si="517"/>
        <v/>
      </c>
      <c r="D1034" s="132" t="str">
        <f t="shared" si="517"/>
        <v/>
      </c>
      <c r="E1034" s="132" t="str">
        <f t="shared" si="517"/>
        <v/>
      </c>
      <c r="F1034" s="132"/>
      <c r="G1034" s="132"/>
      <c r="H1034" s="132"/>
      <c r="I1034" s="132"/>
      <c r="J1034" s="132"/>
      <c r="K1034" s="134">
        <f t="shared" ref="K1034:X1034" si="531">IF(AND($C1034="B+R",$D1034="nie",$E1034="prace rozwojowe",LataProjekcji&lt;=Koniec_PR,Modul_badawczo_rozwojowy=tak),ROUND(K424,0),0)</f>
        <v>0</v>
      </c>
      <c r="L1034" s="134">
        <f t="shared" si="531"/>
        <v>0</v>
      </c>
      <c r="M1034" s="134">
        <f t="shared" si="531"/>
        <v>0</v>
      </c>
      <c r="N1034" s="134">
        <f t="shared" si="531"/>
        <v>0</v>
      </c>
      <c r="O1034" s="134">
        <f t="shared" si="531"/>
        <v>0</v>
      </c>
      <c r="P1034" s="134">
        <f t="shared" si="531"/>
        <v>0</v>
      </c>
      <c r="Q1034" s="134">
        <f t="shared" si="531"/>
        <v>0</v>
      </c>
      <c r="R1034" s="134">
        <f t="shared" si="531"/>
        <v>0</v>
      </c>
      <c r="S1034" s="134">
        <f t="shared" si="531"/>
        <v>0</v>
      </c>
      <c r="T1034" s="134">
        <f t="shared" si="531"/>
        <v>0</v>
      </c>
      <c r="U1034" s="134">
        <f t="shared" si="531"/>
        <v>0</v>
      </c>
      <c r="V1034" s="134">
        <f t="shared" si="531"/>
        <v>0</v>
      </c>
      <c r="W1034" s="134">
        <f t="shared" si="531"/>
        <v>0</v>
      </c>
      <c r="X1034" s="134">
        <f t="shared" si="531"/>
        <v>0</v>
      </c>
    </row>
    <row r="1035" spans="2:24" hidden="1">
      <c r="B1035" s="132" t="str">
        <f t="shared" si="517"/>
        <v/>
      </c>
      <c r="C1035" s="132" t="str">
        <f t="shared" si="517"/>
        <v/>
      </c>
      <c r="D1035" s="132" t="str">
        <f t="shared" si="517"/>
        <v/>
      </c>
      <c r="E1035" s="132" t="str">
        <f t="shared" si="517"/>
        <v/>
      </c>
      <c r="F1035" s="132"/>
      <c r="G1035" s="132"/>
      <c r="H1035" s="132"/>
      <c r="I1035" s="132"/>
      <c r="J1035" s="132"/>
      <c r="K1035" s="134">
        <f t="shared" ref="K1035:X1035" si="532">IF(AND($C1035="B+R",$D1035="nie",$E1035="prace rozwojowe",LataProjekcji&lt;=Koniec_PR,Modul_badawczo_rozwojowy=tak),ROUND(K425,0),0)</f>
        <v>0</v>
      </c>
      <c r="L1035" s="134">
        <f t="shared" si="532"/>
        <v>0</v>
      </c>
      <c r="M1035" s="134">
        <f t="shared" si="532"/>
        <v>0</v>
      </c>
      <c r="N1035" s="134">
        <f t="shared" si="532"/>
        <v>0</v>
      </c>
      <c r="O1035" s="134">
        <f t="shared" si="532"/>
        <v>0</v>
      </c>
      <c r="P1035" s="134">
        <f t="shared" si="532"/>
        <v>0</v>
      </c>
      <c r="Q1035" s="134">
        <f t="shared" si="532"/>
        <v>0</v>
      </c>
      <c r="R1035" s="134">
        <f t="shared" si="532"/>
        <v>0</v>
      </c>
      <c r="S1035" s="134">
        <f t="shared" si="532"/>
        <v>0</v>
      </c>
      <c r="T1035" s="134">
        <f t="shared" si="532"/>
        <v>0</v>
      </c>
      <c r="U1035" s="134">
        <f t="shared" si="532"/>
        <v>0</v>
      </c>
      <c r="V1035" s="134">
        <f t="shared" si="532"/>
        <v>0</v>
      </c>
      <c r="W1035" s="134">
        <f t="shared" si="532"/>
        <v>0</v>
      </c>
      <c r="X1035" s="134">
        <f t="shared" si="532"/>
        <v>0</v>
      </c>
    </row>
    <row r="1036" spans="2:24" hidden="1">
      <c r="B1036" s="132" t="str">
        <f t="shared" si="517"/>
        <v/>
      </c>
      <c r="C1036" s="132" t="str">
        <f t="shared" si="517"/>
        <v/>
      </c>
      <c r="D1036" s="132" t="str">
        <f t="shared" si="517"/>
        <v/>
      </c>
      <c r="E1036" s="132" t="str">
        <f t="shared" si="517"/>
        <v/>
      </c>
      <c r="F1036" s="132"/>
      <c r="G1036" s="132"/>
      <c r="H1036" s="132"/>
      <c r="I1036" s="132"/>
      <c r="J1036" s="132"/>
      <c r="K1036" s="134">
        <f t="shared" ref="K1036:X1036" si="533">IF(AND($C1036="B+R",$D1036="nie",$E1036="prace rozwojowe",LataProjekcji&lt;=Koniec_PR,Modul_badawczo_rozwojowy=tak),ROUND(K426,0),0)</f>
        <v>0</v>
      </c>
      <c r="L1036" s="134">
        <f t="shared" si="533"/>
        <v>0</v>
      </c>
      <c r="M1036" s="134">
        <f t="shared" si="533"/>
        <v>0</v>
      </c>
      <c r="N1036" s="134">
        <f t="shared" si="533"/>
        <v>0</v>
      </c>
      <c r="O1036" s="134">
        <f t="shared" si="533"/>
        <v>0</v>
      </c>
      <c r="P1036" s="134">
        <f t="shared" si="533"/>
        <v>0</v>
      </c>
      <c r="Q1036" s="134">
        <f t="shared" si="533"/>
        <v>0</v>
      </c>
      <c r="R1036" s="134">
        <f t="shared" si="533"/>
        <v>0</v>
      </c>
      <c r="S1036" s="134">
        <f t="shared" si="533"/>
        <v>0</v>
      </c>
      <c r="T1036" s="134">
        <f t="shared" si="533"/>
        <v>0</v>
      </c>
      <c r="U1036" s="134">
        <f t="shared" si="533"/>
        <v>0</v>
      </c>
      <c r="V1036" s="134">
        <f t="shared" si="533"/>
        <v>0</v>
      </c>
      <c r="W1036" s="134">
        <f t="shared" si="533"/>
        <v>0</v>
      </c>
      <c r="X1036" s="134">
        <f t="shared" si="533"/>
        <v>0</v>
      </c>
    </row>
    <row r="1037" spans="2:24" hidden="1">
      <c r="B1037" s="132" t="str">
        <f t="shared" si="517"/>
        <v/>
      </c>
      <c r="C1037" s="132" t="str">
        <f t="shared" si="517"/>
        <v/>
      </c>
      <c r="D1037" s="132" t="str">
        <f t="shared" si="517"/>
        <v/>
      </c>
      <c r="E1037" s="132" t="str">
        <f t="shared" si="517"/>
        <v/>
      </c>
      <c r="F1037" s="132"/>
      <c r="G1037" s="132"/>
      <c r="H1037" s="132"/>
      <c r="I1037" s="132"/>
      <c r="J1037" s="132"/>
      <c r="K1037" s="134">
        <f t="shared" ref="K1037:X1037" si="534">IF(AND($C1037="B+R",$D1037="nie",$E1037="prace rozwojowe",LataProjekcji&lt;=Koniec_PR,Modul_badawczo_rozwojowy=tak),ROUND(K427,0),0)</f>
        <v>0</v>
      </c>
      <c r="L1037" s="134">
        <f t="shared" si="534"/>
        <v>0</v>
      </c>
      <c r="M1037" s="134">
        <f t="shared" si="534"/>
        <v>0</v>
      </c>
      <c r="N1037" s="134">
        <f t="shared" si="534"/>
        <v>0</v>
      </c>
      <c r="O1037" s="134">
        <f t="shared" si="534"/>
        <v>0</v>
      </c>
      <c r="P1037" s="134">
        <f t="shared" si="534"/>
        <v>0</v>
      </c>
      <c r="Q1037" s="134">
        <f t="shared" si="534"/>
        <v>0</v>
      </c>
      <c r="R1037" s="134">
        <f t="shared" si="534"/>
        <v>0</v>
      </c>
      <c r="S1037" s="134">
        <f t="shared" si="534"/>
        <v>0</v>
      </c>
      <c r="T1037" s="134">
        <f t="shared" si="534"/>
        <v>0</v>
      </c>
      <c r="U1037" s="134">
        <f t="shared" si="534"/>
        <v>0</v>
      </c>
      <c r="V1037" s="134">
        <f t="shared" si="534"/>
        <v>0</v>
      </c>
      <c r="W1037" s="134">
        <f t="shared" si="534"/>
        <v>0</v>
      </c>
      <c r="X1037" s="134">
        <f t="shared" si="534"/>
        <v>0</v>
      </c>
    </row>
    <row r="1038" spans="2:24" hidden="1">
      <c r="B1038" s="132" t="str">
        <f t="shared" si="517"/>
        <v/>
      </c>
      <c r="C1038" s="132" t="str">
        <f t="shared" si="517"/>
        <v/>
      </c>
      <c r="D1038" s="132" t="str">
        <f t="shared" si="517"/>
        <v/>
      </c>
      <c r="E1038" s="132" t="str">
        <f t="shared" si="517"/>
        <v/>
      </c>
      <c r="F1038" s="132"/>
      <c r="G1038" s="132"/>
      <c r="H1038" s="132"/>
      <c r="I1038" s="132"/>
      <c r="J1038" s="132"/>
      <c r="K1038" s="134">
        <f t="shared" ref="K1038:X1038" si="535">IF(AND($C1038="B+R",$D1038="nie",$E1038="prace rozwojowe",LataProjekcji&lt;=Koniec_PR,Modul_badawczo_rozwojowy=tak),ROUND(K428,0),0)</f>
        <v>0</v>
      </c>
      <c r="L1038" s="134">
        <f t="shared" si="535"/>
        <v>0</v>
      </c>
      <c r="M1038" s="134">
        <f t="shared" si="535"/>
        <v>0</v>
      </c>
      <c r="N1038" s="134">
        <f t="shared" si="535"/>
        <v>0</v>
      </c>
      <c r="O1038" s="134">
        <f t="shared" si="535"/>
        <v>0</v>
      </c>
      <c r="P1038" s="134">
        <f t="shared" si="535"/>
        <v>0</v>
      </c>
      <c r="Q1038" s="134">
        <f t="shared" si="535"/>
        <v>0</v>
      </c>
      <c r="R1038" s="134">
        <f t="shared" si="535"/>
        <v>0</v>
      </c>
      <c r="S1038" s="134">
        <f t="shared" si="535"/>
        <v>0</v>
      </c>
      <c r="T1038" s="134">
        <f t="shared" si="535"/>
        <v>0</v>
      </c>
      <c r="U1038" s="134">
        <f t="shared" si="535"/>
        <v>0</v>
      </c>
      <c r="V1038" s="134">
        <f t="shared" si="535"/>
        <v>0</v>
      </c>
      <c r="W1038" s="134">
        <f t="shared" si="535"/>
        <v>0</v>
      </c>
      <c r="X1038" s="134">
        <f t="shared" si="535"/>
        <v>0</v>
      </c>
    </row>
    <row r="1039" spans="2:24" hidden="1">
      <c r="B1039" s="132" t="str">
        <f t="shared" si="517"/>
        <v/>
      </c>
      <c r="C1039" s="132" t="str">
        <f t="shared" si="517"/>
        <v/>
      </c>
      <c r="D1039" s="132" t="str">
        <f t="shared" si="517"/>
        <v/>
      </c>
      <c r="E1039" s="132" t="str">
        <f t="shared" si="517"/>
        <v/>
      </c>
      <c r="F1039" s="132"/>
      <c r="G1039" s="132"/>
      <c r="H1039" s="132"/>
      <c r="I1039" s="132"/>
      <c r="J1039" s="132"/>
      <c r="K1039" s="134">
        <f t="shared" ref="K1039:X1039" si="536">IF(AND($C1039="B+R",$D1039="nie",$E1039="prace rozwojowe",LataProjekcji&lt;=Koniec_PR,Modul_badawczo_rozwojowy=tak),ROUND(K429,0),0)</f>
        <v>0</v>
      </c>
      <c r="L1039" s="134">
        <f t="shared" si="536"/>
        <v>0</v>
      </c>
      <c r="M1039" s="134">
        <f t="shared" si="536"/>
        <v>0</v>
      </c>
      <c r="N1039" s="134">
        <f t="shared" si="536"/>
        <v>0</v>
      </c>
      <c r="O1039" s="134">
        <f t="shared" si="536"/>
        <v>0</v>
      </c>
      <c r="P1039" s="134">
        <f t="shared" si="536"/>
        <v>0</v>
      </c>
      <c r="Q1039" s="134">
        <f t="shared" si="536"/>
        <v>0</v>
      </c>
      <c r="R1039" s="134">
        <f t="shared" si="536"/>
        <v>0</v>
      </c>
      <c r="S1039" s="134">
        <f t="shared" si="536"/>
        <v>0</v>
      </c>
      <c r="T1039" s="134">
        <f t="shared" si="536"/>
        <v>0</v>
      </c>
      <c r="U1039" s="134">
        <f t="shared" si="536"/>
        <v>0</v>
      </c>
      <c r="V1039" s="134">
        <f t="shared" si="536"/>
        <v>0</v>
      </c>
      <c r="W1039" s="134">
        <f t="shared" si="536"/>
        <v>0</v>
      </c>
      <c r="X1039" s="134">
        <f t="shared" si="536"/>
        <v>0</v>
      </c>
    </row>
    <row r="1040" spans="2:24" hidden="1">
      <c r="B1040" s="132" t="str">
        <f t="shared" si="517"/>
        <v/>
      </c>
      <c r="C1040" s="132" t="str">
        <f t="shared" si="517"/>
        <v/>
      </c>
      <c r="D1040" s="132" t="str">
        <f t="shared" si="517"/>
        <v/>
      </c>
      <c r="E1040" s="132" t="str">
        <f t="shared" si="517"/>
        <v/>
      </c>
      <c r="F1040" s="132"/>
      <c r="G1040" s="132"/>
      <c r="H1040" s="132"/>
      <c r="I1040" s="132"/>
      <c r="J1040" s="132"/>
      <c r="K1040" s="134">
        <f t="shared" ref="K1040:X1040" si="537">IF(AND($C1040="B+R",$D1040="nie",$E1040="prace rozwojowe",LataProjekcji&lt;=Koniec_PR,Modul_badawczo_rozwojowy=tak),ROUND(K430,0),0)</f>
        <v>0</v>
      </c>
      <c r="L1040" s="134">
        <f t="shared" si="537"/>
        <v>0</v>
      </c>
      <c r="M1040" s="134">
        <f t="shared" si="537"/>
        <v>0</v>
      </c>
      <c r="N1040" s="134">
        <f t="shared" si="537"/>
        <v>0</v>
      </c>
      <c r="O1040" s="134">
        <f t="shared" si="537"/>
        <v>0</v>
      </c>
      <c r="P1040" s="134">
        <f t="shared" si="537"/>
        <v>0</v>
      </c>
      <c r="Q1040" s="134">
        <f t="shared" si="537"/>
        <v>0</v>
      </c>
      <c r="R1040" s="134">
        <f t="shared" si="537"/>
        <v>0</v>
      </c>
      <c r="S1040" s="134">
        <f t="shared" si="537"/>
        <v>0</v>
      </c>
      <c r="T1040" s="134">
        <f t="shared" si="537"/>
        <v>0</v>
      </c>
      <c r="U1040" s="134">
        <f t="shared" si="537"/>
        <v>0</v>
      </c>
      <c r="V1040" s="134">
        <f t="shared" si="537"/>
        <v>0</v>
      </c>
      <c r="W1040" s="134">
        <f t="shared" si="537"/>
        <v>0</v>
      </c>
      <c r="X1040" s="134">
        <f t="shared" si="537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38">ROUND(SUM(K1001:K1040),0)</f>
        <v>0</v>
      </c>
      <c r="L1041" s="135">
        <f t="shared" si="538"/>
        <v>0</v>
      </c>
      <c r="M1041" s="135">
        <f t="shared" si="538"/>
        <v>0</v>
      </c>
      <c r="N1041" s="135">
        <f t="shared" si="538"/>
        <v>0</v>
      </c>
      <c r="O1041" s="135">
        <f t="shared" si="538"/>
        <v>0</v>
      </c>
      <c r="P1041" s="135">
        <f t="shared" si="538"/>
        <v>0</v>
      </c>
      <c r="Q1041" s="135">
        <f t="shared" si="538"/>
        <v>0</v>
      </c>
      <c r="R1041" s="135">
        <f t="shared" si="538"/>
        <v>0</v>
      </c>
      <c r="S1041" s="135">
        <f t="shared" si="538"/>
        <v>0</v>
      </c>
      <c r="T1041" s="135">
        <f t="shared" si="538"/>
        <v>0</v>
      </c>
      <c r="U1041" s="135">
        <f t="shared" si="538"/>
        <v>0</v>
      </c>
      <c r="V1041" s="135">
        <f t="shared" si="538"/>
        <v>0</v>
      </c>
      <c r="W1041" s="135">
        <f t="shared" si="538"/>
        <v>0</v>
      </c>
      <c r="X1041" s="135">
        <f t="shared" si="538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39">IF(ISBLANK(B1001),"",B1001)</f>
        <v/>
      </c>
      <c r="C1046" s="132" t="str">
        <f t="shared" si="539"/>
        <v/>
      </c>
      <c r="D1046" s="132" t="str">
        <f t="shared" si="539"/>
        <v/>
      </c>
      <c r="E1046" s="132" t="str">
        <f t="shared" si="539"/>
        <v/>
      </c>
      <c r="F1046" s="132"/>
      <c r="G1046" s="132"/>
      <c r="H1046" s="132"/>
      <c r="I1046" s="132"/>
      <c r="J1046" s="132"/>
      <c r="K1046" s="134">
        <f t="shared" ref="K1046:X1046" si="540">IF(AND($C1046="B+R",$D1046="nie",$E1046="prace rozwojowe",LataProjekcji&lt;=Koniec_PR,Modul_badawczo_rozwojowy=tak),ROUND(K436,0),0)</f>
        <v>0</v>
      </c>
      <c r="L1046" s="134">
        <f t="shared" si="540"/>
        <v>0</v>
      </c>
      <c r="M1046" s="134">
        <f t="shared" si="540"/>
        <v>0</v>
      </c>
      <c r="N1046" s="134">
        <f t="shared" si="540"/>
        <v>0</v>
      </c>
      <c r="O1046" s="134">
        <f t="shared" si="540"/>
        <v>0</v>
      </c>
      <c r="P1046" s="134">
        <f t="shared" si="540"/>
        <v>0</v>
      </c>
      <c r="Q1046" s="134">
        <f t="shared" si="540"/>
        <v>0</v>
      </c>
      <c r="R1046" s="134">
        <f t="shared" si="540"/>
        <v>0</v>
      </c>
      <c r="S1046" s="134">
        <f t="shared" si="540"/>
        <v>0</v>
      </c>
      <c r="T1046" s="134">
        <f t="shared" si="540"/>
        <v>0</v>
      </c>
      <c r="U1046" s="134">
        <f t="shared" si="540"/>
        <v>0</v>
      </c>
      <c r="V1046" s="134">
        <f t="shared" si="540"/>
        <v>0</v>
      </c>
      <c r="W1046" s="134">
        <f t="shared" si="540"/>
        <v>0</v>
      </c>
      <c r="X1046" s="134">
        <f t="shared" si="540"/>
        <v>0</v>
      </c>
    </row>
    <row r="1047" spans="2:24" hidden="1">
      <c r="B1047" s="132" t="str">
        <f t="shared" si="539"/>
        <v/>
      </c>
      <c r="C1047" s="132" t="str">
        <f t="shared" si="539"/>
        <v/>
      </c>
      <c r="D1047" s="132" t="str">
        <f t="shared" si="539"/>
        <v/>
      </c>
      <c r="E1047" s="132" t="str">
        <f t="shared" si="539"/>
        <v/>
      </c>
      <c r="F1047" s="132"/>
      <c r="G1047" s="132"/>
      <c r="H1047" s="132"/>
      <c r="I1047" s="132"/>
      <c r="J1047" s="132"/>
      <c r="K1047" s="134">
        <f t="shared" ref="K1047:X1047" si="541">IF(AND($C1047="B+R",$D1047="nie",$E1047="prace rozwojowe",LataProjekcji&lt;=Koniec_PR,Modul_badawczo_rozwojowy=tak),ROUND(K437,0),0)</f>
        <v>0</v>
      </c>
      <c r="L1047" s="134">
        <f t="shared" si="541"/>
        <v>0</v>
      </c>
      <c r="M1047" s="134">
        <f t="shared" si="541"/>
        <v>0</v>
      </c>
      <c r="N1047" s="134">
        <f t="shared" si="541"/>
        <v>0</v>
      </c>
      <c r="O1047" s="134">
        <f t="shared" si="541"/>
        <v>0</v>
      </c>
      <c r="P1047" s="134">
        <f t="shared" si="541"/>
        <v>0</v>
      </c>
      <c r="Q1047" s="134">
        <f t="shared" si="541"/>
        <v>0</v>
      </c>
      <c r="R1047" s="134">
        <f t="shared" si="541"/>
        <v>0</v>
      </c>
      <c r="S1047" s="134">
        <f t="shared" si="541"/>
        <v>0</v>
      </c>
      <c r="T1047" s="134">
        <f t="shared" si="541"/>
        <v>0</v>
      </c>
      <c r="U1047" s="134">
        <f t="shared" si="541"/>
        <v>0</v>
      </c>
      <c r="V1047" s="134">
        <f t="shared" si="541"/>
        <v>0</v>
      </c>
      <c r="W1047" s="134">
        <f t="shared" si="541"/>
        <v>0</v>
      </c>
      <c r="X1047" s="134">
        <f t="shared" si="541"/>
        <v>0</v>
      </c>
    </row>
    <row r="1048" spans="2:24" hidden="1">
      <c r="B1048" s="132" t="str">
        <f t="shared" si="539"/>
        <v/>
      </c>
      <c r="C1048" s="132" t="str">
        <f t="shared" si="539"/>
        <v/>
      </c>
      <c r="D1048" s="132" t="str">
        <f t="shared" si="539"/>
        <v/>
      </c>
      <c r="E1048" s="132" t="str">
        <f t="shared" si="539"/>
        <v/>
      </c>
      <c r="F1048" s="132"/>
      <c r="G1048" s="132"/>
      <c r="H1048" s="132"/>
      <c r="I1048" s="132"/>
      <c r="J1048" s="132"/>
      <c r="K1048" s="134">
        <f t="shared" ref="K1048:X1048" si="542">IF(AND($C1048="B+R",$D1048="nie",$E1048="prace rozwojowe",LataProjekcji&lt;=Koniec_PR,Modul_badawczo_rozwojowy=tak),ROUND(K438,0),0)</f>
        <v>0</v>
      </c>
      <c r="L1048" s="134">
        <f t="shared" si="542"/>
        <v>0</v>
      </c>
      <c r="M1048" s="134">
        <f t="shared" si="542"/>
        <v>0</v>
      </c>
      <c r="N1048" s="134">
        <f t="shared" si="542"/>
        <v>0</v>
      </c>
      <c r="O1048" s="134">
        <f t="shared" si="542"/>
        <v>0</v>
      </c>
      <c r="P1048" s="134">
        <f t="shared" si="542"/>
        <v>0</v>
      </c>
      <c r="Q1048" s="134">
        <f t="shared" si="542"/>
        <v>0</v>
      </c>
      <c r="R1048" s="134">
        <f t="shared" si="542"/>
        <v>0</v>
      </c>
      <c r="S1048" s="134">
        <f t="shared" si="542"/>
        <v>0</v>
      </c>
      <c r="T1048" s="134">
        <f t="shared" si="542"/>
        <v>0</v>
      </c>
      <c r="U1048" s="134">
        <f t="shared" si="542"/>
        <v>0</v>
      </c>
      <c r="V1048" s="134">
        <f t="shared" si="542"/>
        <v>0</v>
      </c>
      <c r="W1048" s="134">
        <f t="shared" si="542"/>
        <v>0</v>
      </c>
      <c r="X1048" s="134">
        <f t="shared" si="542"/>
        <v>0</v>
      </c>
    </row>
    <row r="1049" spans="2:24" hidden="1">
      <c r="B1049" s="132" t="str">
        <f t="shared" si="539"/>
        <v/>
      </c>
      <c r="C1049" s="132" t="str">
        <f t="shared" si="539"/>
        <v/>
      </c>
      <c r="D1049" s="132" t="str">
        <f t="shared" si="539"/>
        <v/>
      </c>
      <c r="E1049" s="132" t="str">
        <f t="shared" si="539"/>
        <v/>
      </c>
      <c r="F1049" s="132"/>
      <c r="G1049" s="132"/>
      <c r="H1049" s="132"/>
      <c r="I1049" s="132"/>
      <c r="J1049" s="132"/>
      <c r="K1049" s="134">
        <f t="shared" ref="K1049:X1049" si="543">IF(AND($C1049="B+R",$D1049="nie",$E1049="prace rozwojowe",LataProjekcji&lt;=Koniec_PR,Modul_badawczo_rozwojowy=tak),ROUND(K439,0),0)</f>
        <v>0</v>
      </c>
      <c r="L1049" s="134">
        <f t="shared" si="543"/>
        <v>0</v>
      </c>
      <c r="M1049" s="134">
        <f t="shared" si="543"/>
        <v>0</v>
      </c>
      <c r="N1049" s="134">
        <f t="shared" si="543"/>
        <v>0</v>
      </c>
      <c r="O1049" s="134">
        <f t="shared" si="543"/>
        <v>0</v>
      </c>
      <c r="P1049" s="134">
        <f t="shared" si="543"/>
        <v>0</v>
      </c>
      <c r="Q1049" s="134">
        <f t="shared" si="543"/>
        <v>0</v>
      </c>
      <c r="R1049" s="134">
        <f t="shared" si="543"/>
        <v>0</v>
      </c>
      <c r="S1049" s="134">
        <f t="shared" si="543"/>
        <v>0</v>
      </c>
      <c r="T1049" s="134">
        <f t="shared" si="543"/>
        <v>0</v>
      </c>
      <c r="U1049" s="134">
        <f t="shared" si="543"/>
        <v>0</v>
      </c>
      <c r="V1049" s="134">
        <f t="shared" si="543"/>
        <v>0</v>
      </c>
      <c r="W1049" s="134">
        <f t="shared" si="543"/>
        <v>0</v>
      </c>
      <c r="X1049" s="134">
        <f t="shared" si="543"/>
        <v>0</v>
      </c>
    </row>
    <row r="1050" spans="2:24" hidden="1">
      <c r="B1050" s="132" t="str">
        <f t="shared" si="539"/>
        <v/>
      </c>
      <c r="C1050" s="132" t="str">
        <f t="shared" si="539"/>
        <v/>
      </c>
      <c r="D1050" s="132" t="str">
        <f t="shared" si="539"/>
        <v/>
      </c>
      <c r="E1050" s="132" t="str">
        <f t="shared" si="539"/>
        <v/>
      </c>
      <c r="F1050" s="132"/>
      <c r="G1050" s="132"/>
      <c r="H1050" s="132"/>
      <c r="I1050" s="132"/>
      <c r="J1050" s="132"/>
      <c r="K1050" s="134">
        <f t="shared" ref="K1050:X1050" si="544">IF(AND($C1050="B+R",$D1050="nie",$E1050="prace rozwojowe",LataProjekcji&lt;=Koniec_PR,Modul_badawczo_rozwojowy=tak),ROUND(K440,0),0)</f>
        <v>0</v>
      </c>
      <c r="L1050" s="134">
        <f t="shared" si="544"/>
        <v>0</v>
      </c>
      <c r="M1050" s="134">
        <f t="shared" si="544"/>
        <v>0</v>
      </c>
      <c r="N1050" s="134">
        <f t="shared" si="544"/>
        <v>0</v>
      </c>
      <c r="O1050" s="134">
        <f t="shared" si="544"/>
        <v>0</v>
      </c>
      <c r="P1050" s="134">
        <f t="shared" si="544"/>
        <v>0</v>
      </c>
      <c r="Q1050" s="134">
        <f t="shared" si="544"/>
        <v>0</v>
      </c>
      <c r="R1050" s="134">
        <f t="shared" si="544"/>
        <v>0</v>
      </c>
      <c r="S1050" s="134">
        <f t="shared" si="544"/>
        <v>0</v>
      </c>
      <c r="T1050" s="134">
        <f t="shared" si="544"/>
        <v>0</v>
      </c>
      <c r="U1050" s="134">
        <f t="shared" si="544"/>
        <v>0</v>
      </c>
      <c r="V1050" s="134">
        <f t="shared" si="544"/>
        <v>0</v>
      </c>
      <c r="W1050" s="134">
        <f t="shared" si="544"/>
        <v>0</v>
      </c>
      <c r="X1050" s="134">
        <f t="shared" si="544"/>
        <v>0</v>
      </c>
    </row>
    <row r="1051" spans="2:24" hidden="1">
      <c r="B1051" s="132" t="str">
        <f t="shared" si="539"/>
        <v/>
      </c>
      <c r="C1051" s="132" t="str">
        <f t="shared" si="539"/>
        <v/>
      </c>
      <c r="D1051" s="132" t="str">
        <f t="shared" si="539"/>
        <v/>
      </c>
      <c r="E1051" s="132" t="str">
        <f t="shared" si="539"/>
        <v/>
      </c>
      <c r="F1051" s="132"/>
      <c r="G1051" s="132"/>
      <c r="H1051" s="132"/>
      <c r="I1051" s="132"/>
      <c r="J1051" s="132"/>
      <c r="K1051" s="134">
        <f t="shared" ref="K1051:X1051" si="545">IF(AND($C1051="B+R",$D1051="nie",$E1051="prace rozwojowe",LataProjekcji&lt;=Koniec_PR,Modul_badawczo_rozwojowy=tak),ROUND(K441,0),0)</f>
        <v>0</v>
      </c>
      <c r="L1051" s="134">
        <f t="shared" si="545"/>
        <v>0</v>
      </c>
      <c r="M1051" s="134">
        <f t="shared" si="545"/>
        <v>0</v>
      </c>
      <c r="N1051" s="134">
        <f t="shared" si="545"/>
        <v>0</v>
      </c>
      <c r="O1051" s="134">
        <f t="shared" si="545"/>
        <v>0</v>
      </c>
      <c r="P1051" s="134">
        <f t="shared" si="545"/>
        <v>0</v>
      </c>
      <c r="Q1051" s="134">
        <f t="shared" si="545"/>
        <v>0</v>
      </c>
      <c r="R1051" s="134">
        <f t="shared" si="545"/>
        <v>0</v>
      </c>
      <c r="S1051" s="134">
        <f t="shared" si="545"/>
        <v>0</v>
      </c>
      <c r="T1051" s="134">
        <f t="shared" si="545"/>
        <v>0</v>
      </c>
      <c r="U1051" s="134">
        <f t="shared" si="545"/>
        <v>0</v>
      </c>
      <c r="V1051" s="134">
        <f t="shared" si="545"/>
        <v>0</v>
      </c>
      <c r="W1051" s="134">
        <f t="shared" si="545"/>
        <v>0</v>
      </c>
      <c r="X1051" s="134">
        <f t="shared" si="545"/>
        <v>0</v>
      </c>
    </row>
    <row r="1052" spans="2:24" hidden="1">
      <c r="B1052" s="132" t="str">
        <f t="shared" si="539"/>
        <v/>
      </c>
      <c r="C1052" s="132" t="str">
        <f t="shared" si="539"/>
        <v/>
      </c>
      <c r="D1052" s="132" t="str">
        <f t="shared" si="539"/>
        <v/>
      </c>
      <c r="E1052" s="132" t="str">
        <f t="shared" si="539"/>
        <v/>
      </c>
      <c r="F1052" s="132"/>
      <c r="G1052" s="132"/>
      <c r="H1052" s="132"/>
      <c r="I1052" s="132"/>
      <c r="J1052" s="132"/>
      <c r="K1052" s="134">
        <f t="shared" ref="K1052:X1052" si="546">IF(AND($C1052="B+R",$D1052="nie",$E1052="prace rozwojowe",LataProjekcji&lt;=Koniec_PR,Modul_badawczo_rozwojowy=tak),ROUND(K442,0),0)</f>
        <v>0</v>
      </c>
      <c r="L1052" s="134">
        <f t="shared" si="546"/>
        <v>0</v>
      </c>
      <c r="M1052" s="134">
        <f t="shared" si="546"/>
        <v>0</v>
      </c>
      <c r="N1052" s="134">
        <f t="shared" si="546"/>
        <v>0</v>
      </c>
      <c r="O1052" s="134">
        <f t="shared" si="546"/>
        <v>0</v>
      </c>
      <c r="P1052" s="134">
        <f t="shared" si="546"/>
        <v>0</v>
      </c>
      <c r="Q1052" s="134">
        <f t="shared" si="546"/>
        <v>0</v>
      </c>
      <c r="R1052" s="134">
        <f t="shared" si="546"/>
        <v>0</v>
      </c>
      <c r="S1052" s="134">
        <f t="shared" si="546"/>
        <v>0</v>
      </c>
      <c r="T1052" s="134">
        <f t="shared" si="546"/>
        <v>0</v>
      </c>
      <c r="U1052" s="134">
        <f t="shared" si="546"/>
        <v>0</v>
      </c>
      <c r="V1052" s="134">
        <f t="shared" si="546"/>
        <v>0</v>
      </c>
      <c r="W1052" s="134">
        <f t="shared" si="546"/>
        <v>0</v>
      </c>
      <c r="X1052" s="134">
        <f t="shared" si="546"/>
        <v>0</v>
      </c>
    </row>
    <row r="1053" spans="2:24" hidden="1">
      <c r="B1053" s="132" t="str">
        <f t="shared" si="539"/>
        <v/>
      </c>
      <c r="C1053" s="132" t="str">
        <f t="shared" si="539"/>
        <v/>
      </c>
      <c r="D1053" s="132" t="str">
        <f t="shared" si="539"/>
        <v/>
      </c>
      <c r="E1053" s="132" t="str">
        <f t="shared" si="539"/>
        <v/>
      </c>
      <c r="F1053" s="132"/>
      <c r="G1053" s="132"/>
      <c r="H1053" s="132"/>
      <c r="I1053" s="132"/>
      <c r="J1053" s="132"/>
      <c r="K1053" s="134">
        <f t="shared" ref="K1053:X1053" si="547">IF(AND($C1053="B+R",$D1053="nie",$E1053="prace rozwojowe",LataProjekcji&lt;=Koniec_PR,Modul_badawczo_rozwojowy=tak),ROUND(K443,0),0)</f>
        <v>0</v>
      </c>
      <c r="L1053" s="134">
        <f t="shared" si="547"/>
        <v>0</v>
      </c>
      <c r="M1053" s="134">
        <f t="shared" si="547"/>
        <v>0</v>
      </c>
      <c r="N1053" s="134">
        <f t="shared" si="547"/>
        <v>0</v>
      </c>
      <c r="O1053" s="134">
        <f t="shared" si="547"/>
        <v>0</v>
      </c>
      <c r="P1053" s="134">
        <f t="shared" si="547"/>
        <v>0</v>
      </c>
      <c r="Q1053" s="134">
        <f t="shared" si="547"/>
        <v>0</v>
      </c>
      <c r="R1053" s="134">
        <f t="shared" si="547"/>
        <v>0</v>
      </c>
      <c r="S1053" s="134">
        <f t="shared" si="547"/>
        <v>0</v>
      </c>
      <c r="T1053" s="134">
        <f t="shared" si="547"/>
        <v>0</v>
      </c>
      <c r="U1053" s="134">
        <f t="shared" si="547"/>
        <v>0</v>
      </c>
      <c r="V1053" s="134">
        <f t="shared" si="547"/>
        <v>0</v>
      </c>
      <c r="W1053" s="134">
        <f t="shared" si="547"/>
        <v>0</v>
      </c>
      <c r="X1053" s="134">
        <f t="shared" si="547"/>
        <v>0</v>
      </c>
    </row>
    <row r="1054" spans="2:24" hidden="1">
      <c r="B1054" s="132" t="str">
        <f t="shared" si="539"/>
        <v/>
      </c>
      <c r="C1054" s="132" t="str">
        <f t="shared" si="539"/>
        <v/>
      </c>
      <c r="D1054" s="132" t="str">
        <f t="shared" si="539"/>
        <v/>
      </c>
      <c r="E1054" s="132" t="str">
        <f t="shared" si="539"/>
        <v/>
      </c>
      <c r="F1054" s="132"/>
      <c r="G1054" s="132"/>
      <c r="H1054" s="132"/>
      <c r="I1054" s="132"/>
      <c r="J1054" s="132"/>
      <c r="K1054" s="134">
        <f t="shared" ref="K1054:X1054" si="548">IF(AND($C1054="B+R",$D1054="nie",$E1054="prace rozwojowe",LataProjekcji&lt;=Koniec_PR,Modul_badawczo_rozwojowy=tak),ROUND(K444,0),0)</f>
        <v>0</v>
      </c>
      <c r="L1054" s="134">
        <f t="shared" si="548"/>
        <v>0</v>
      </c>
      <c r="M1054" s="134">
        <f t="shared" si="548"/>
        <v>0</v>
      </c>
      <c r="N1054" s="134">
        <f t="shared" si="548"/>
        <v>0</v>
      </c>
      <c r="O1054" s="134">
        <f t="shared" si="548"/>
        <v>0</v>
      </c>
      <c r="P1054" s="134">
        <f t="shared" si="548"/>
        <v>0</v>
      </c>
      <c r="Q1054" s="134">
        <f t="shared" si="548"/>
        <v>0</v>
      </c>
      <c r="R1054" s="134">
        <f t="shared" si="548"/>
        <v>0</v>
      </c>
      <c r="S1054" s="134">
        <f t="shared" si="548"/>
        <v>0</v>
      </c>
      <c r="T1054" s="134">
        <f t="shared" si="548"/>
        <v>0</v>
      </c>
      <c r="U1054" s="134">
        <f t="shared" si="548"/>
        <v>0</v>
      </c>
      <c r="V1054" s="134">
        <f t="shared" si="548"/>
        <v>0</v>
      </c>
      <c r="W1054" s="134">
        <f t="shared" si="548"/>
        <v>0</v>
      </c>
      <c r="X1054" s="134">
        <f t="shared" si="548"/>
        <v>0</v>
      </c>
    </row>
    <row r="1055" spans="2:24" hidden="1">
      <c r="B1055" s="132" t="str">
        <f t="shared" si="539"/>
        <v/>
      </c>
      <c r="C1055" s="132" t="str">
        <f t="shared" si="539"/>
        <v/>
      </c>
      <c r="D1055" s="132" t="str">
        <f t="shared" si="539"/>
        <v/>
      </c>
      <c r="E1055" s="132" t="str">
        <f t="shared" si="539"/>
        <v/>
      </c>
      <c r="F1055" s="132"/>
      <c r="G1055" s="132"/>
      <c r="H1055" s="132"/>
      <c r="I1055" s="132"/>
      <c r="J1055" s="132"/>
      <c r="K1055" s="134">
        <f t="shared" ref="K1055:X1055" si="549">IF(AND($C1055="B+R",$D1055="nie",$E1055="prace rozwojowe",LataProjekcji&lt;=Koniec_PR,Modul_badawczo_rozwojowy=tak),ROUND(K445,0),0)</f>
        <v>0</v>
      </c>
      <c r="L1055" s="134">
        <f t="shared" si="549"/>
        <v>0</v>
      </c>
      <c r="M1055" s="134">
        <f t="shared" si="549"/>
        <v>0</v>
      </c>
      <c r="N1055" s="134">
        <f t="shared" si="549"/>
        <v>0</v>
      </c>
      <c r="O1055" s="134">
        <f t="shared" si="549"/>
        <v>0</v>
      </c>
      <c r="P1055" s="134">
        <f t="shared" si="549"/>
        <v>0</v>
      </c>
      <c r="Q1055" s="134">
        <f t="shared" si="549"/>
        <v>0</v>
      </c>
      <c r="R1055" s="134">
        <f t="shared" si="549"/>
        <v>0</v>
      </c>
      <c r="S1055" s="134">
        <f t="shared" si="549"/>
        <v>0</v>
      </c>
      <c r="T1055" s="134">
        <f t="shared" si="549"/>
        <v>0</v>
      </c>
      <c r="U1055" s="134">
        <f t="shared" si="549"/>
        <v>0</v>
      </c>
      <c r="V1055" s="134">
        <f t="shared" si="549"/>
        <v>0</v>
      </c>
      <c r="W1055" s="134">
        <f t="shared" si="549"/>
        <v>0</v>
      </c>
      <c r="X1055" s="134">
        <f t="shared" si="549"/>
        <v>0</v>
      </c>
    </row>
    <row r="1056" spans="2:24" hidden="1">
      <c r="B1056" s="132" t="str">
        <f t="shared" si="539"/>
        <v/>
      </c>
      <c r="C1056" s="132" t="str">
        <f t="shared" si="539"/>
        <v/>
      </c>
      <c r="D1056" s="132" t="str">
        <f t="shared" si="539"/>
        <v/>
      </c>
      <c r="E1056" s="132" t="str">
        <f t="shared" si="539"/>
        <v/>
      </c>
      <c r="F1056" s="132"/>
      <c r="G1056" s="132"/>
      <c r="H1056" s="132"/>
      <c r="I1056" s="132"/>
      <c r="J1056" s="132"/>
      <c r="K1056" s="134">
        <f t="shared" ref="K1056:X1056" si="550">IF(AND($C1056="B+R",$D1056="nie",$E1056="prace rozwojowe",LataProjekcji&lt;=Koniec_PR,Modul_badawczo_rozwojowy=tak),ROUND(K446,0),0)</f>
        <v>0</v>
      </c>
      <c r="L1056" s="134">
        <f t="shared" si="550"/>
        <v>0</v>
      </c>
      <c r="M1056" s="134">
        <f t="shared" si="550"/>
        <v>0</v>
      </c>
      <c r="N1056" s="134">
        <f t="shared" si="550"/>
        <v>0</v>
      </c>
      <c r="O1056" s="134">
        <f t="shared" si="550"/>
        <v>0</v>
      </c>
      <c r="P1056" s="134">
        <f t="shared" si="550"/>
        <v>0</v>
      </c>
      <c r="Q1056" s="134">
        <f t="shared" si="550"/>
        <v>0</v>
      </c>
      <c r="R1056" s="134">
        <f t="shared" si="550"/>
        <v>0</v>
      </c>
      <c r="S1056" s="134">
        <f t="shared" si="550"/>
        <v>0</v>
      </c>
      <c r="T1056" s="134">
        <f t="shared" si="550"/>
        <v>0</v>
      </c>
      <c r="U1056" s="134">
        <f t="shared" si="550"/>
        <v>0</v>
      </c>
      <c r="V1056" s="134">
        <f t="shared" si="550"/>
        <v>0</v>
      </c>
      <c r="W1056" s="134">
        <f t="shared" si="550"/>
        <v>0</v>
      </c>
      <c r="X1056" s="134">
        <f t="shared" si="550"/>
        <v>0</v>
      </c>
    </row>
    <row r="1057" spans="2:24" hidden="1">
      <c r="B1057" s="132" t="str">
        <f t="shared" si="539"/>
        <v/>
      </c>
      <c r="C1057" s="132" t="str">
        <f t="shared" si="539"/>
        <v/>
      </c>
      <c r="D1057" s="132" t="str">
        <f t="shared" si="539"/>
        <v/>
      </c>
      <c r="E1057" s="132" t="str">
        <f t="shared" si="539"/>
        <v/>
      </c>
      <c r="F1057" s="132"/>
      <c r="G1057" s="132"/>
      <c r="H1057" s="132"/>
      <c r="I1057" s="132"/>
      <c r="J1057" s="132"/>
      <c r="K1057" s="134">
        <f t="shared" ref="K1057:X1057" si="551">IF(AND($C1057="B+R",$D1057="nie",$E1057="prace rozwojowe",LataProjekcji&lt;=Koniec_PR,Modul_badawczo_rozwojowy=tak),ROUND(K447,0),0)</f>
        <v>0</v>
      </c>
      <c r="L1057" s="134">
        <f t="shared" si="551"/>
        <v>0</v>
      </c>
      <c r="M1057" s="134">
        <f t="shared" si="551"/>
        <v>0</v>
      </c>
      <c r="N1057" s="134">
        <f t="shared" si="551"/>
        <v>0</v>
      </c>
      <c r="O1057" s="134">
        <f t="shared" si="551"/>
        <v>0</v>
      </c>
      <c r="P1057" s="134">
        <f t="shared" si="551"/>
        <v>0</v>
      </c>
      <c r="Q1057" s="134">
        <f t="shared" si="551"/>
        <v>0</v>
      </c>
      <c r="R1057" s="134">
        <f t="shared" si="551"/>
        <v>0</v>
      </c>
      <c r="S1057" s="134">
        <f t="shared" si="551"/>
        <v>0</v>
      </c>
      <c r="T1057" s="134">
        <f t="shared" si="551"/>
        <v>0</v>
      </c>
      <c r="U1057" s="134">
        <f t="shared" si="551"/>
        <v>0</v>
      </c>
      <c r="V1057" s="134">
        <f t="shared" si="551"/>
        <v>0</v>
      </c>
      <c r="W1057" s="134">
        <f t="shared" si="551"/>
        <v>0</v>
      </c>
      <c r="X1057" s="134">
        <f t="shared" si="551"/>
        <v>0</v>
      </c>
    </row>
    <row r="1058" spans="2:24" hidden="1">
      <c r="B1058" s="132" t="str">
        <f t="shared" si="539"/>
        <v/>
      </c>
      <c r="C1058" s="132" t="str">
        <f t="shared" si="539"/>
        <v/>
      </c>
      <c r="D1058" s="132" t="str">
        <f t="shared" si="539"/>
        <v/>
      </c>
      <c r="E1058" s="132" t="str">
        <f t="shared" si="539"/>
        <v/>
      </c>
      <c r="F1058" s="132"/>
      <c r="G1058" s="132"/>
      <c r="H1058" s="132"/>
      <c r="I1058" s="132"/>
      <c r="J1058" s="132"/>
      <c r="K1058" s="134">
        <f t="shared" ref="K1058:X1058" si="552">IF(AND($C1058="B+R",$D1058="nie",$E1058="prace rozwojowe",LataProjekcji&lt;=Koniec_PR,Modul_badawczo_rozwojowy=tak),ROUND(K448,0),0)</f>
        <v>0</v>
      </c>
      <c r="L1058" s="134">
        <f t="shared" si="552"/>
        <v>0</v>
      </c>
      <c r="M1058" s="134">
        <f t="shared" si="552"/>
        <v>0</v>
      </c>
      <c r="N1058" s="134">
        <f t="shared" si="552"/>
        <v>0</v>
      </c>
      <c r="O1058" s="134">
        <f t="shared" si="552"/>
        <v>0</v>
      </c>
      <c r="P1058" s="134">
        <f t="shared" si="552"/>
        <v>0</v>
      </c>
      <c r="Q1058" s="134">
        <f t="shared" si="552"/>
        <v>0</v>
      </c>
      <c r="R1058" s="134">
        <f t="shared" si="552"/>
        <v>0</v>
      </c>
      <c r="S1058" s="134">
        <f t="shared" si="552"/>
        <v>0</v>
      </c>
      <c r="T1058" s="134">
        <f t="shared" si="552"/>
        <v>0</v>
      </c>
      <c r="U1058" s="134">
        <f t="shared" si="552"/>
        <v>0</v>
      </c>
      <c r="V1058" s="134">
        <f t="shared" si="552"/>
        <v>0</v>
      </c>
      <c r="W1058" s="134">
        <f t="shared" si="552"/>
        <v>0</v>
      </c>
      <c r="X1058" s="134">
        <f t="shared" si="552"/>
        <v>0</v>
      </c>
    </row>
    <row r="1059" spans="2:24" hidden="1">
      <c r="B1059" s="132" t="str">
        <f t="shared" si="539"/>
        <v/>
      </c>
      <c r="C1059" s="132" t="str">
        <f t="shared" si="539"/>
        <v/>
      </c>
      <c r="D1059" s="132" t="str">
        <f t="shared" si="539"/>
        <v/>
      </c>
      <c r="E1059" s="132" t="str">
        <f t="shared" si="539"/>
        <v/>
      </c>
      <c r="F1059" s="132"/>
      <c r="G1059" s="132"/>
      <c r="H1059" s="132"/>
      <c r="I1059" s="132"/>
      <c r="J1059" s="132"/>
      <c r="K1059" s="134">
        <f t="shared" ref="K1059:X1059" si="553">IF(AND($C1059="B+R",$D1059="nie",$E1059="prace rozwojowe",LataProjekcji&lt;=Koniec_PR,Modul_badawczo_rozwojowy=tak),ROUND(K449,0),0)</f>
        <v>0</v>
      </c>
      <c r="L1059" s="134">
        <f t="shared" si="553"/>
        <v>0</v>
      </c>
      <c r="M1059" s="134">
        <f t="shared" si="553"/>
        <v>0</v>
      </c>
      <c r="N1059" s="134">
        <f t="shared" si="553"/>
        <v>0</v>
      </c>
      <c r="O1059" s="134">
        <f t="shared" si="553"/>
        <v>0</v>
      </c>
      <c r="P1059" s="134">
        <f t="shared" si="553"/>
        <v>0</v>
      </c>
      <c r="Q1059" s="134">
        <f t="shared" si="553"/>
        <v>0</v>
      </c>
      <c r="R1059" s="134">
        <f t="shared" si="553"/>
        <v>0</v>
      </c>
      <c r="S1059" s="134">
        <f t="shared" si="553"/>
        <v>0</v>
      </c>
      <c r="T1059" s="134">
        <f t="shared" si="553"/>
        <v>0</v>
      </c>
      <c r="U1059" s="134">
        <f t="shared" si="553"/>
        <v>0</v>
      </c>
      <c r="V1059" s="134">
        <f t="shared" si="553"/>
        <v>0</v>
      </c>
      <c r="W1059" s="134">
        <f t="shared" si="553"/>
        <v>0</v>
      </c>
      <c r="X1059" s="134">
        <f t="shared" si="553"/>
        <v>0</v>
      </c>
    </row>
    <row r="1060" spans="2:24" hidden="1">
      <c r="B1060" s="132" t="str">
        <f t="shared" si="539"/>
        <v/>
      </c>
      <c r="C1060" s="132" t="str">
        <f t="shared" si="539"/>
        <v/>
      </c>
      <c r="D1060" s="132" t="str">
        <f t="shared" si="539"/>
        <v/>
      </c>
      <c r="E1060" s="132" t="str">
        <f t="shared" si="539"/>
        <v/>
      </c>
      <c r="F1060" s="132"/>
      <c r="G1060" s="132"/>
      <c r="H1060" s="132"/>
      <c r="I1060" s="132"/>
      <c r="J1060" s="132"/>
      <c r="K1060" s="134">
        <f t="shared" ref="K1060:X1060" si="554">IF(AND($C1060="B+R",$D1060="nie",$E1060="prace rozwojowe",LataProjekcji&lt;=Koniec_PR,Modul_badawczo_rozwojowy=tak),ROUND(K450,0),0)</f>
        <v>0</v>
      </c>
      <c r="L1060" s="134">
        <f t="shared" si="554"/>
        <v>0</v>
      </c>
      <c r="M1060" s="134">
        <f t="shared" si="554"/>
        <v>0</v>
      </c>
      <c r="N1060" s="134">
        <f t="shared" si="554"/>
        <v>0</v>
      </c>
      <c r="O1060" s="134">
        <f t="shared" si="554"/>
        <v>0</v>
      </c>
      <c r="P1060" s="134">
        <f t="shared" si="554"/>
        <v>0</v>
      </c>
      <c r="Q1060" s="134">
        <f t="shared" si="554"/>
        <v>0</v>
      </c>
      <c r="R1060" s="134">
        <f t="shared" si="554"/>
        <v>0</v>
      </c>
      <c r="S1060" s="134">
        <f t="shared" si="554"/>
        <v>0</v>
      </c>
      <c r="T1060" s="134">
        <f t="shared" si="554"/>
        <v>0</v>
      </c>
      <c r="U1060" s="134">
        <f t="shared" si="554"/>
        <v>0</v>
      </c>
      <c r="V1060" s="134">
        <f t="shared" si="554"/>
        <v>0</v>
      </c>
      <c r="W1060" s="134">
        <f t="shared" si="554"/>
        <v>0</v>
      </c>
      <c r="X1060" s="134">
        <f t="shared" si="554"/>
        <v>0</v>
      </c>
    </row>
    <row r="1061" spans="2:24" hidden="1">
      <c r="B1061" s="132" t="str">
        <f t="shared" si="539"/>
        <v/>
      </c>
      <c r="C1061" s="132" t="str">
        <f t="shared" si="539"/>
        <v/>
      </c>
      <c r="D1061" s="132" t="str">
        <f t="shared" si="539"/>
        <v/>
      </c>
      <c r="E1061" s="132" t="str">
        <f t="shared" si="539"/>
        <v/>
      </c>
      <c r="F1061" s="132"/>
      <c r="G1061" s="132"/>
      <c r="H1061" s="132"/>
      <c r="I1061" s="132"/>
      <c r="J1061" s="132"/>
      <c r="K1061" s="134">
        <f t="shared" ref="K1061:X1061" si="555">IF(AND($C1061="B+R",$D1061="nie",$E1061="prace rozwojowe",LataProjekcji&lt;=Koniec_PR,Modul_badawczo_rozwojowy=tak),ROUND(K451,0),0)</f>
        <v>0</v>
      </c>
      <c r="L1061" s="134">
        <f t="shared" si="555"/>
        <v>0</v>
      </c>
      <c r="M1061" s="134">
        <f t="shared" si="555"/>
        <v>0</v>
      </c>
      <c r="N1061" s="134">
        <f t="shared" si="555"/>
        <v>0</v>
      </c>
      <c r="O1061" s="134">
        <f t="shared" si="555"/>
        <v>0</v>
      </c>
      <c r="P1061" s="134">
        <f t="shared" si="555"/>
        <v>0</v>
      </c>
      <c r="Q1061" s="134">
        <f t="shared" si="555"/>
        <v>0</v>
      </c>
      <c r="R1061" s="134">
        <f t="shared" si="555"/>
        <v>0</v>
      </c>
      <c r="S1061" s="134">
        <f t="shared" si="555"/>
        <v>0</v>
      </c>
      <c r="T1061" s="134">
        <f t="shared" si="555"/>
        <v>0</v>
      </c>
      <c r="U1061" s="134">
        <f t="shared" si="555"/>
        <v>0</v>
      </c>
      <c r="V1061" s="134">
        <f t="shared" si="555"/>
        <v>0</v>
      </c>
      <c r="W1061" s="134">
        <f t="shared" si="555"/>
        <v>0</v>
      </c>
      <c r="X1061" s="134">
        <f t="shared" si="555"/>
        <v>0</v>
      </c>
    </row>
    <row r="1062" spans="2:24" hidden="1">
      <c r="B1062" s="132" t="str">
        <f t="shared" si="539"/>
        <v/>
      </c>
      <c r="C1062" s="132" t="str">
        <f t="shared" si="539"/>
        <v/>
      </c>
      <c r="D1062" s="132" t="str">
        <f t="shared" si="539"/>
        <v/>
      </c>
      <c r="E1062" s="132" t="str">
        <f t="shared" si="539"/>
        <v/>
      </c>
      <c r="F1062" s="132"/>
      <c r="G1062" s="132"/>
      <c r="H1062" s="132"/>
      <c r="I1062" s="132"/>
      <c r="J1062" s="132"/>
      <c r="K1062" s="134">
        <f t="shared" ref="K1062:X1062" si="556">IF(AND($C1062="B+R",$D1062="nie",$E1062="prace rozwojowe",LataProjekcji&lt;=Koniec_PR,Modul_badawczo_rozwojowy=tak),ROUND(K452,0),0)</f>
        <v>0</v>
      </c>
      <c r="L1062" s="134">
        <f t="shared" si="556"/>
        <v>0</v>
      </c>
      <c r="M1062" s="134">
        <f t="shared" si="556"/>
        <v>0</v>
      </c>
      <c r="N1062" s="134">
        <f t="shared" si="556"/>
        <v>0</v>
      </c>
      <c r="O1062" s="134">
        <f t="shared" si="556"/>
        <v>0</v>
      </c>
      <c r="P1062" s="134">
        <f t="shared" si="556"/>
        <v>0</v>
      </c>
      <c r="Q1062" s="134">
        <f t="shared" si="556"/>
        <v>0</v>
      </c>
      <c r="R1062" s="134">
        <f t="shared" si="556"/>
        <v>0</v>
      </c>
      <c r="S1062" s="134">
        <f t="shared" si="556"/>
        <v>0</v>
      </c>
      <c r="T1062" s="134">
        <f t="shared" si="556"/>
        <v>0</v>
      </c>
      <c r="U1062" s="134">
        <f t="shared" si="556"/>
        <v>0</v>
      </c>
      <c r="V1062" s="134">
        <f t="shared" si="556"/>
        <v>0</v>
      </c>
      <c r="W1062" s="134">
        <f t="shared" si="556"/>
        <v>0</v>
      </c>
      <c r="X1062" s="134">
        <f t="shared" si="556"/>
        <v>0</v>
      </c>
    </row>
    <row r="1063" spans="2:24" hidden="1">
      <c r="B1063" s="132" t="str">
        <f t="shared" si="539"/>
        <v/>
      </c>
      <c r="C1063" s="132" t="str">
        <f t="shared" si="539"/>
        <v/>
      </c>
      <c r="D1063" s="132" t="str">
        <f t="shared" si="539"/>
        <v/>
      </c>
      <c r="E1063" s="132" t="str">
        <f t="shared" si="539"/>
        <v/>
      </c>
      <c r="F1063" s="132"/>
      <c r="G1063" s="132"/>
      <c r="H1063" s="132"/>
      <c r="I1063" s="132"/>
      <c r="J1063" s="132"/>
      <c r="K1063" s="134">
        <f t="shared" ref="K1063:X1063" si="557">IF(AND($C1063="B+R",$D1063="nie",$E1063="prace rozwojowe",LataProjekcji&lt;=Koniec_PR,Modul_badawczo_rozwojowy=tak),ROUND(K453,0),0)</f>
        <v>0</v>
      </c>
      <c r="L1063" s="134">
        <f t="shared" si="557"/>
        <v>0</v>
      </c>
      <c r="M1063" s="134">
        <f t="shared" si="557"/>
        <v>0</v>
      </c>
      <c r="N1063" s="134">
        <f t="shared" si="557"/>
        <v>0</v>
      </c>
      <c r="O1063" s="134">
        <f t="shared" si="557"/>
        <v>0</v>
      </c>
      <c r="P1063" s="134">
        <f t="shared" si="557"/>
        <v>0</v>
      </c>
      <c r="Q1063" s="134">
        <f t="shared" si="557"/>
        <v>0</v>
      </c>
      <c r="R1063" s="134">
        <f t="shared" si="557"/>
        <v>0</v>
      </c>
      <c r="S1063" s="134">
        <f t="shared" si="557"/>
        <v>0</v>
      </c>
      <c r="T1063" s="134">
        <f t="shared" si="557"/>
        <v>0</v>
      </c>
      <c r="U1063" s="134">
        <f t="shared" si="557"/>
        <v>0</v>
      </c>
      <c r="V1063" s="134">
        <f t="shared" si="557"/>
        <v>0</v>
      </c>
      <c r="W1063" s="134">
        <f t="shared" si="557"/>
        <v>0</v>
      </c>
      <c r="X1063" s="134">
        <f t="shared" si="557"/>
        <v>0</v>
      </c>
    </row>
    <row r="1064" spans="2:24" hidden="1">
      <c r="B1064" s="132" t="str">
        <f t="shared" si="539"/>
        <v/>
      </c>
      <c r="C1064" s="132" t="str">
        <f t="shared" si="539"/>
        <v/>
      </c>
      <c r="D1064" s="132" t="str">
        <f t="shared" si="539"/>
        <v/>
      </c>
      <c r="E1064" s="132" t="str">
        <f t="shared" si="539"/>
        <v/>
      </c>
      <c r="F1064" s="132"/>
      <c r="G1064" s="132"/>
      <c r="H1064" s="132"/>
      <c r="I1064" s="132"/>
      <c r="J1064" s="132"/>
      <c r="K1064" s="134">
        <f t="shared" ref="K1064:X1064" si="558">IF(AND($C1064="B+R",$D1064="nie",$E1064="prace rozwojowe",LataProjekcji&lt;=Koniec_PR,Modul_badawczo_rozwojowy=tak),ROUND(K454,0),0)</f>
        <v>0</v>
      </c>
      <c r="L1064" s="134">
        <f t="shared" si="558"/>
        <v>0</v>
      </c>
      <c r="M1064" s="134">
        <f t="shared" si="558"/>
        <v>0</v>
      </c>
      <c r="N1064" s="134">
        <f t="shared" si="558"/>
        <v>0</v>
      </c>
      <c r="O1064" s="134">
        <f t="shared" si="558"/>
        <v>0</v>
      </c>
      <c r="P1064" s="134">
        <f t="shared" si="558"/>
        <v>0</v>
      </c>
      <c r="Q1064" s="134">
        <f t="shared" si="558"/>
        <v>0</v>
      </c>
      <c r="R1064" s="134">
        <f t="shared" si="558"/>
        <v>0</v>
      </c>
      <c r="S1064" s="134">
        <f t="shared" si="558"/>
        <v>0</v>
      </c>
      <c r="T1064" s="134">
        <f t="shared" si="558"/>
        <v>0</v>
      </c>
      <c r="U1064" s="134">
        <f t="shared" si="558"/>
        <v>0</v>
      </c>
      <c r="V1064" s="134">
        <f t="shared" si="558"/>
        <v>0</v>
      </c>
      <c r="W1064" s="134">
        <f t="shared" si="558"/>
        <v>0</v>
      </c>
      <c r="X1064" s="134">
        <f t="shared" si="558"/>
        <v>0</v>
      </c>
    </row>
    <row r="1065" spans="2:24" hidden="1">
      <c r="B1065" s="132" t="str">
        <f t="shared" si="539"/>
        <v/>
      </c>
      <c r="C1065" s="132" t="str">
        <f t="shared" si="539"/>
        <v/>
      </c>
      <c r="D1065" s="132" t="str">
        <f t="shared" si="539"/>
        <v/>
      </c>
      <c r="E1065" s="132" t="str">
        <f t="shared" si="539"/>
        <v/>
      </c>
      <c r="F1065" s="132"/>
      <c r="G1065" s="132"/>
      <c r="H1065" s="132"/>
      <c r="I1065" s="132"/>
      <c r="J1065" s="132"/>
      <c r="K1065" s="134">
        <f t="shared" ref="K1065:X1065" si="559">IF(AND($C1065="B+R",$D1065="nie",$E1065="prace rozwojowe",LataProjekcji&lt;=Koniec_PR,Modul_badawczo_rozwojowy=tak),ROUND(K455,0),0)</f>
        <v>0</v>
      </c>
      <c r="L1065" s="134">
        <f t="shared" si="559"/>
        <v>0</v>
      </c>
      <c r="M1065" s="134">
        <f t="shared" si="559"/>
        <v>0</v>
      </c>
      <c r="N1065" s="134">
        <f t="shared" si="559"/>
        <v>0</v>
      </c>
      <c r="O1065" s="134">
        <f t="shared" si="559"/>
        <v>0</v>
      </c>
      <c r="P1065" s="134">
        <f t="shared" si="559"/>
        <v>0</v>
      </c>
      <c r="Q1065" s="134">
        <f t="shared" si="559"/>
        <v>0</v>
      </c>
      <c r="R1065" s="134">
        <f t="shared" si="559"/>
        <v>0</v>
      </c>
      <c r="S1065" s="134">
        <f t="shared" si="559"/>
        <v>0</v>
      </c>
      <c r="T1065" s="134">
        <f t="shared" si="559"/>
        <v>0</v>
      </c>
      <c r="U1065" s="134">
        <f t="shared" si="559"/>
        <v>0</v>
      </c>
      <c r="V1065" s="134">
        <f t="shared" si="559"/>
        <v>0</v>
      </c>
      <c r="W1065" s="134">
        <f t="shared" si="559"/>
        <v>0</v>
      </c>
      <c r="X1065" s="134">
        <f t="shared" si="559"/>
        <v>0</v>
      </c>
    </row>
    <row r="1066" spans="2:24" hidden="1">
      <c r="B1066" s="132" t="str">
        <f t="shared" ref="B1066:E1085" si="560">IF(ISBLANK(B1021),"",B1021)</f>
        <v/>
      </c>
      <c r="C1066" s="132" t="str">
        <f t="shared" si="560"/>
        <v/>
      </c>
      <c r="D1066" s="132" t="str">
        <f t="shared" si="560"/>
        <v/>
      </c>
      <c r="E1066" s="132" t="str">
        <f t="shared" si="560"/>
        <v/>
      </c>
      <c r="F1066" s="132"/>
      <c r="G1066" s="132"/>
      <c r="H1066" s="132"/>
      <c r="I1066" s="132"/>
      <c r="J1066" s="132"/>
      <c r="K1066" s="134">
        <f t="shared" ref="K1066:X1066" si="561">IF(AND($C1066="B+R",$D1066="nie",$E1066="prace rozwojowe",LataProjekcji&lt;=Koniec_PR,Modul_badawczo_rozwojowy=tak),ROUND(K456,0),0)</f>
        <v>0</v>
      </c>
      <c r="L1066" s="134">
        <f t="shared" si="561"/>
        <v>0</v>
      </c>
      <c r="M1066" s="134">
        <f t="shared" si="561"/>
        <v>0</v>
      </c>
      <c r="N1066" s="134">
        <f t="shared" si="561"/>
        <v>0</v>
      </c>
      <c r="O1066" s="134">
        <f t="shared" si="561"/>
        <v>0</v>
      </c>
      <c r="P1066" s="134">
        <f t="shared" si="561"/>
        <v>0</v>
      </c>
      <c r="Q1066" s="134">
        <f t="shared" si="561"/>
        <v>0</v>
      </c>
      <c r="R1066" s="134">
        <f t="shared" si="561"/>
        <v>0</v>
      </c>
      <c r="S1066" s="134">
        <f t="shared" si="561"/>
        <v>0</v>
      </c>
      <c r="T1066" s="134">
        <f t="shared" si="561"/>
        <v>0</v>
      </c>
      <c r="U1066" s="134">
        <f t="shared" si="561"/>
        <v>0</v>
      </c>
      <c r="V1066" s="134">
        <f t="shared" si="561"/>
        <v>0</v>
      </c>
      <c r="W1066" s="134">
        <f t="shared" si="561"/>
        <v>0</v>
      </c>
      <c r="X1066" s="134">
        <f t="shared" si="561"/>
        <v>0</v>
      </c>
    </row>
    <row r="1067" spans="2:24" hidden="1">
      <c r="B1067" s="132" t="str">
        <f t="shared" si="560"/>
        <v/>
      </c>
      <c r="C1067" s="132" t="str">
        <f t="shared" si="560"/>
        <v/>
      </c>
      <c r="D1067" s="132" t="str">
        <f t="shared" si="560"/>
        <v/>
      </c>
      <c r="E1067" s="132" t="str">
        <f t="shared" si="560"/>
        <v/>
      </c>
      <c r="F1067" s="132"/>
      <c r="G1067" s="132"/>
      <c r="H1067" s="132"/>
      <c r="I1067" s="132"/>
      <c r="J1067" s="132"/>
      <c r="K1067" s="134">
        <f t="shared" ref="K1067:X1067" si="562">IF(AND($C1067="B+R",$D1067="nie",$E1067="prace rozwojowe",LataProjekcji&lt;=Koniec_PR,Modul_badawczo_rozwojowy=tak),ROUND(K457,0),0)</f>
        <v>0</v>
      </c>
      <c r="L1067" s="134">
        <f t="shared" si="562"/>
        <v>0</v>
      </c>
      <c r="M1067" s="134">
        <f t="shared" si="562"/>
        <v>0</v>
      </c>
      <c r="N1067" s="134">
        <f t="shared" si="562"/>
        <v>0</v>
      </c>
      <c r="O1067" s="134">
        <f t="shared" si="562"/>
        <v>0</v>
      </c>
      <c r="P1067" s="134">
        <f t="shared" si="562"/>
        <v>0</v>
      </c>
      <c r="Q1067" s="134">
        <f t="shared" si="562"/>
        <v>0</v>
      </c>
      <c r="R1067" s="134">
        <f t="shared" si="562"/>
        <v>0</v>
      </c>
      <c r="S1067" s="134">
        <f t="shared" si="562"/>
        <v>0</v>
      </c>
      <c r="T1067" s="134">
        <f t="shared" si="562"/>
        <v>0</v>
      </c>
      <c r="U1067" s="134">
        <f t="shared" si="562"/>
        <v>0</v>
      </c>
      <c r="V1067" s="134">
        <f t="shared" si="562"/>
        <v>0</v>
      </c>
      <c r="W1067" s="134">
        <f t="shared" si="562"/>
        <v>0</v>
      </c>
      <c r="X1067" s="134">
        <f t="shared" si="562"/>
        <v>0</v>
      </c>
    </row>
    <row r="1068" spans="2:24" hidden="1">
      <c r="B1068" s="132" t="str">
        <f t="shared" si="560"/>
        <v/>
      </c>
      <c r="C1068" s="132" t="str">
        <f t="shared" si="560"/>
        <v/>
      </c>
      <c r="D1068" s="132" t="str">
        <f t="shared" si="560"/>
        <v/>
      </c>
      <c r="E1068" s="132" t="str">
        <f t="shared" si="560"/>
        <v/>
      </c>
      <c r="F1068" s="132"/>
      <c r="G1068" s="132"/>
      <c r="H1068" s="132"/>
      <c r="I1068" s="132"/>
      <c r="J1068" s="132"/>
      <c r="K1068" s="134">
        <f t="shared" ref="K1068:X1068" si="563">IF(AND($C1068="B+R",$D1068="nie",$E1068="prace rozwojowe",LataProjekcji&lt;=Koniec_PR,Modul_badawczo_rozwojowy=tak),ROUND(K458,0),0)</f>
        <v>0</v>
      </c>
      <c r="L1068" s="134">
        <f t="shared" si="563"/>
        <v>0</v>
      </c>
      <c r="M1068" s="134">
        <f t="shared" si="563"/>
        <v>0</v>
      </c>
      <c r="N1068" s="134">
        <f t="shared" si="563"/>
        <v>0</v>
      </c>
      <c r="O1068" s="134">
        <f t="shared" si="563"/>
        <v>0</v>
      </c>
      <c r="P1068" s="134">
        <f t="shared" si="563"/>
        <v>0</v>
      </c>
      <c r="Q1068" s="134">
        <f t="shared" si="563"/>
        <v>0</v>
      </c>
      <c r="R1068" s="134">
        <f t="shared" si="563"/>
        <v>0</v>
      </c>
      <c r="S1068" s="134">
        <f t="shared" si="563"/>
        <v>0</v>
      </c>
      <c r="T1068" s="134">
        <f t="shared" si="563"/>
        <v>0</v>
      </c>
      <c r="U1068" s="134">
        <f t="shared" si="563"/>
        <v>0</v>
      </c>
      <c r="V1068" s="134">
        <f t="shared" si="563"/>
        <v>0</v>
      </c>
      <c r="W1068" s="134">
        <f t="shared" si="563"/>
        <v>0</v>
      </c>
      <c r="X1068" s="134">
        <f t="shared" si="563"/>
        <v>0</v>
      </c>
    </row>
    <row r="1069" spans="2:24" hidden="1">
      <c r="B1069" s="132" t="str">
        <f t="shared" si="560"/>
        <v/>
      </c>
      <c r="C1069" s="132" t="str">
        <f t="shared" si="560"/>
        <v/>
      </c>
      <c r="D1069" s="132" t="str">
        <f t="shared" si="560"/>
        <v/>
      </c>
      <c r="E1069" s="132" t="str">
        <f t="shared" si="560"/>
        <v/>
      </c>
      <c r="F1069" s="132"/>
      <c r="G1069" s="132"/>
      <c r="H1069" s="132"/>
      <c r="I1069" s="132"/>
      <c r="J1069" s="132"/>
      <c r="K1069" s="134">
        <f t="shared" ref="K1069:X1069" si="564">IF(AND($C1069="B+R",$D1069="nie",$E1069="prace rozwojowe",LataProjekcji&lt;=Koniec_PR,Modul_badawczo_rozwojowy=tak),ROUND(K459,0),0)</f>
        <v>0</v>
      </c>
      <c r="L1069" s="134">
        <f t="shared" si="564"/>
        <v>0</v>
      </c>
      <c r="M1069" s="134">
        <f t="shared" si="564"/>
        <v>0</v>
      </c>
      <c r="N1069" s="134">
        <f t="shared" si="564"/>
        <v>0</v>
      </c>
      <c r="O1069" s="134">
        <f t="shared" si="564"/>
        <v>0</v>
      </c>
      <c r="P1069" s="134">
        <f t="shared" si="564"/>
        <v>0</v>
      </c>
      <c r="Q1069" s="134">
        <f t="shared" si="564"/>
        <v>0</v>
      </c>
      <c r="R1069" s="134">
        <f t="shared" si="564"/>
        <v>0</v>
      </c>
      <c r="S1069" s="134">
        <f t="shared" si="564"/>
        <v>0</v>
      </c>
      <c r="T1069" s="134">
        <f t="shared" si="564"/>
        <v>0</v>
      </c>
      <c r="U1069" s="134">
        <f t="shared" si="564"/>
        <v>0</v>
      </c>
      <c r="V1069" s="134">
        <f t="shared" si="564"/>
        <v>0</v>
      </c>
      <c r="W1069" s="134">
        <f t="shared" si="564"/>
        <v>0</v>
      </c>
      <c r="X1069" s="134">
        <f t="shared" si="564"/>
        <v>0</v>
      </c>
    </row>
    <row r="1070" spans="2:24" hidden="1">
      <c r="B1070" s="132" t="str">
        <f t="shared" si="560"/>
        <v/>
      </c>
      <c r="C1070" s="132" t="str">
        <f t="shared" si="560"/>
        <v/>
      </c>
      <c r="D1070" s="132" t="str">
        <f t="shared" si="560"/>
        <v/>
      </c>
      <c r="E1070" s="132" t="str">
        <f t="shared" si="560"/>
        <v/>
      </c>
      <c r="F1070" s="132"/>
      <c r="G1070" s="132"/>
      <c r="H1070" s="132"/>
      <c r="I1070" s="132"/>
      <c r="J1070" s="132"/>
      <c r="K1070" s="134">
        <f t="shared" ref="K1070:X1070" si="565">IF(AND($C1070="B+R",$D1070="nie",$E1070="prace rozwojowe",LataProjekcji&lt;=Koniec_PR,Modul_badawczo_rozwojowy=tak),ROUND(K460,0),0)</f>
        <v>0</v>
      </c>
      <c r="L1070" s="134">
        <f t="shared" si="565"/>
        <v>0</v>
      </c>
      <c r="M1070" s="134">
        <f t="shared" si="565"/>
        <v>0</v>
      </c>
      <c r="N1070" s="134">
        <f t="shared" si="565"/>
        <v>0</v>
      </c>
      <c r="O1070" s="134">
        <f t="shared" si="565"/>
        <v>0</v>
      </c>
      <c r="P1070" s="134">
        <f t="shared" si="565"/>
        <v>0</v>
      </c>
      <c r="Q1070" s="134">
        <f t="shared" si="565"/>
        <v>0</v>
      </c>
      <c r="R1070" s="134">
        <f t="shared" si="565"/>
        <v>0</v>
      </c>
      <c r="S1070" s="134">
        <f t="shared" si="565"/>
        <v>0</v>
      </c>
      <c r="T1070" s="134">
        <f t="shared" si="565"/>
        <v>0</v>
      </c>
      <c r="U1070" s="134">
        <f t="shared" si="565"/>
        <v>0</v>
      </c>
      <c r="V1070" s="134">
        <f t="shared" si="565"/>
        <v>0</v>
      </c>
      <c r="W1070" s="134">
        <f t="shared" si="565"/>
        <v>0</v>
      </c>
      <c r="X1070" s="134">
        <f t="shared" si="565"/>
        <v>0</v>
      </c>
    </row>
    <row r="1071" spans="2:24" hidden="1">
      <c r="B1071" s="132" t="str">
        <f t="shared" si="560"/>
        <v/>
      </c>
      <c r="C1071" s="132" t="str">
        <f t="shared" si="560"/>
        <v/>
      </c>
      <c r="D1071" s="132" t="str">
        <f t="shared" si="560"/>
        <v/>
      </c>
      <c r="E1071" s="132" t="str">
        <f t="shared" si="560"/>
        <v/>
      </c>
      <c r="F1071" s="132"/>
      <c r="G1071" s="132"/>
      <c r="H1071" s="132"/>
      <c r="I1071" s="132"/>
      <c r="J1071" s="132"/>
      <c r="K1071" s="134">
        <f t="shared" ref="K1071:X1071" si="566">IF(AND($C1071="B+R",$D1071="nie",$E1071="prace rozwojowe",LataProjekcji&lt;=Koniec_PR,Modul_badawczo_rozwojowy=tak),ROUND(K461,0),0)</f>
        <v>0</v>
      </c>
      <c r="L1071" s="134">
        <f t="shared" si="566"/>
        <v>0</v>
      </c>
      <c r="M1071" s="134">
        <f t="shared" si="566"/>
        <v>0</v>
      </c>
      <c r="N1071" s="134">
        <f t="shared" si="566"/>
        <v>0</v>
      </c>
      <c r="O1071" s="134">
        <f t="shared" si="566"/>
        <v>0</v>
      </c>
      <c r="P1071" s="134">
        <f t="shared" si="566"/>
        <v>0</v>
      </c>
      <c r="Q1071" s="134">
        <f t="shared" si="566"/>
        <v>0</v>
      </c>
      <c r="R1071" s="134">
        <f t="shared" si="566"/>
        <v>0</v>
      </c>
      <c r="S1071" s="134">
        <f t="shared" si="566"/>
        <v>0</v>
      </c>
      <c r="T1071" s="134">
        <f t="shared" si="566"/>
        <v>0</v>
      </c>
      <c r="U1071" s="134">
        <f t="shared" si="566"/>
        <v>0</v>
      </c>
      <c r="V1071" s="134">
        <f t="shared" si="566"/>
        <v>0</v>
      </c>
      <c r="W1071" s="134">
        <f t="shared" si="566"/>
        <v>0</v>
      </c>
      <c r="X1071" s="134">
        <f t="shared" si="566"/>
        <v>0</v>
      </c>
    </row>
    <row r="1072" spans="2:24" hidden="1">
      <c r="B1072" s="132" t="str">
        <f t="shared" si="560"/>
        <v/>
      </c>
      <c r="C1072" s="132" t="str">
        <f t="shared" si="560"/>
        <v/>
      </c>
      <c r="D1072" s="132" t="str">
        <f t="shared" si="560"/>
        <v/>
      </c>
      <c r="E1072" s="132" t="str">
        <f t="shared" si="560"/>
        <v/>
      </c>
      <c r="F1072" s="132"/>
      <c r="G1072" s="132"/>
      <c r="H1072" s="132"/>
      <c r="I1072" s="132"/>
      <c r="J1072" s="132"/>
      <c r="K1072" s="134">
        <f t="shared" ref="K1072:X1072" si="567">IF(AND($C1072="B+R",$D1072="nie",$E1072="prace rozwojowe",LataProjekcji&lt;=Koniec_PR,Modul_badawczo_rozwojowy=tak),ROUND(K462,0),0)</f>
        <v>0</v>
      </c>
      <c r="L1072" s="134">
        <f t="shared" si="567"/>
        <v>0</v>
      </c>
      <c r="M1072" s="134">
        <f t="shared" si="567"/>
        <v>0</v>
      </c>
      <c r="N1072" s="134">
        <f t="shared" si="567"/>
        <v>0</v>
      </c>
      <c r="O1072" s="134">
        <f t="shared" si="567"/>
        <v>0</v>
      </c>
      <c r="P1072" s="134">
        <f t="shared" si="567"/>
        <v>0</v>
      </c>
      <c r="Q1072" s="134">
        <f t="shared" si="567"/>
        <v>0</v>
      </c>
      <c r="R1072" s="134">
        <f t="shared" si="567"/>
        <v>0</v>
      </c>
      <c r="S1072" s="134">
        <f t="shared" si="567"/>
        <v>0</v>
      </c>
      <c r="T1072" s="134">
        <f t="shared" si="567"/>
        <v>0</v>
      </c>
      <c r="U1072" s="134">
        <f t="shared" si="567"/>
        <v>0</v>
      </c>
      <c r="V1072" s="134">
        <f t="shared" si="567"/>
        <v>0</v>
      </c>
      <c r="W1072" s="134">
        <f t="shared" si="567"/>
        <v>0</v>
      </c>
      <c r="X1072" s="134">
        <f t="shared" si="567"/>
        <v>0</v>
      </c>
    </row>
    <row r="1073" spans="2:24" hidden="1">
      <c r="B1073" s="132" t="str">
        <f t="shared" si="560"/>
        <v/>
      </c>
      <c r="C1073" s="132" t="str">
        <f t="shared" si="560"/>
        <v/>
      </c>
      <c r="D1073" s="132" t="str">
        <f t="shared" si="560"/>
        <v/>
      </c>
      <c r="E1073" s="132" t="str">
        <f t="shared" si="560"/>
        <v/>
      </c>
      <c r="F1073" s="132"/>
      <c r="G1073" s="132"/>
      <c r="H1073" s="132"/>
      <c r="I1073" s="132"/>
      <c r="J1073" s="132"/>
      <c r="K1073" s="134">
        <f t="shared" ref="K1073:X1073" si="568">IF(AND($C1073="B+R",$D1073="nie",$E1073="prace rozwojowe",LataProjekcji&lt;=Koniec_PR,Modul_badawczo_rozwojowy=tak),ROUND(K463,0),0)</f>
        <v>0</v>
      </c>
      <c r="L1073" s="134">
        <f t="shared" si="568"/>
        <v>0</v>
      </c>
      <c r="M1073" s="134">
        <f t="shared" si="568"/>
        <v>0</v>
      </c>
      <c r="N1073" s="134">
        <f t="shared" si="568"/>
        <v>0</v>
      </c>
      <c r="O1073" s="134">
        <f t="shared" si="568"/>
        <v>0</v>
      </c>
      <c r="P1073" s="134">
        <f t="shared" si="568"/>
        <v>0</v>
      </c>
      <c r="Q1073" s="134">
        <f t="shared" si="568"/>
        <v>0</v>
      </c>
      <c r="R1073" s="134">
        <f t="shared" si="568"/>
        <v>0</v>
      </c>
      <c r="S1073" s="134">
        <f t="shared" si="568"/>
        <v>0</v>
      </c>
      <c r="T1073" s="134">
        <f t="shared" si="568"/>
        <v>0</v>
      </c>
      <c r="U1073" s="134">
        <f t="shared" si="568"/>
        <v>0</v>
      </c>
      <c r="V1073" s="134">
        <f t="shared" si="568"/>
        <v>0</v>
      </c>
      <c r="W1073" s="134">
        <f t="shared" si="568"/>
        <v>0</v>
      </c>
      <c r="X1073" s="134">
        <f t="shared" si="568"/>
        <v>0</v>
      </c>
    </row>
    <row r="1074" spans="2:24" hidden="1">
      <c r="B1074" s="132" t="str">
        <f t="shared" si="560"/>
        <v/>
      </c>
      <c r="C1074" s="132" t="str">
        <f t="shared" si="560"/>
        <v/>
      </c>
      <c r="D1074" s="132" t="str">
        <f t="shared" si="560"/>
        <v/>
      </c>
      <c r="E1074" s="132" t="str">
        <f t="shared" si="560"/>
        <v/>
      </c>
      <c r="F1074" s="132"/>
      <c r="G1074" s="132"/>
      <c r="H1074" s="132"/>
      <c r="I1074" s="132"/>
      <c r="J1074" s="132"/>
      <c r="K1074" s="134">
        <f t="shared" ref="K1074:X1074" si="569">IF(AND($C1074="B+R",$D1074="nie",$E1074="prace rozwojowe",LataProjekcji&lt;=Koniec_PR,Modul_badawczo_rozwojowy=tak),ROUND(K464,0),0)</f>
        <v>0</v>
      </c>
      <c r="L1074" s="134">
        <f t="shared" si="569"/>
        <v>0</v>
      </c>
      <c r="M1074" s="134">
        <f t="shared" si="569"/>
        <v>0</v>
      </c>
      <c r="N1074" s="134">
        <f t="shared" si="569"/>
        <v>0</v>
      </c>
      <c r="O1074" s="134">
        <f t="shared" si="569"/>
        <v>0</v>
      </c>
      <c r="P1074" s="134">
        <f t="shared" si="569"/>
        <v>0</v>
      </c>
      <c r="Q1074" s="134">
        <f t="shared" si="569"/>
        <v>0</v>
      </c>
      <c r="R1074" s="134">
        <f t="shared" si="569"/>
        <v>0</v>
      </c>
      <c r="S1074" s="134">
        <f t="shared" si="569"/>
        <v>0</v>
      </c>
      <c r="T1074" s="134">
        <f t="shared" si="569"/>
        <v>0</v>
      </c>
      <c r="U1074" s="134">
        <f t="shared" si="569"/>
        <v>0</v>
      </c>
      <c r="V1074" s="134">
        <f t="shared" si="569"/>
        <v>0</v>
      </c>
      <c r="W1074" s="134">
        <f t="shared" si="569"/>
        <v>0</v>
      </c>
      <c r="X1074" s="134">
        <f t="shared" si="569"/>
        <v>0</v>
      </c>
    </row>
    <row r="1075" spans="2:24" hidden="1">
      <c r="B1075" s="132" t="str">
        <f t="shared" si="560"/>
        <v/>
      </c>
      <c r="C1075" s="132" t="str">
        <f t="shared" si="560"/>
        <v/>
      </c>
      <c r="D1075" s="132" t="str">
        <f t="shared" si="560"/>
        <v/>
      </c>
      <c r="E1075" s="132" t="str">
        <f t="shared" si="560"/>
        <v/>
      </c>
      <c r="F1075" s="132"/>
      <c r="G1075" s="132"/>
      <c r="H1075" s="132"/>
      <c r="I1075" s="132"/>
      <c r="J1075" s="132"/>
      <c r="K1075" s="134">
        <f t="shared" ref="K1075:X1075" si="570">IF(AND($C1075="B+R",$D1075="nie",$E1075="prace rozwojowe",LataProjekcji&lt;=Koniec_PR,Modul_badawczo_rozwojowy=tak),ROUND(K465,0),0)</f>
        <v>0</v>
      </c>
      <c r="L1075" s="134">
        <f t="shared" si="570"/>
        <v>0</v>
      </c>
      <c r="M1075" s="134">
        <f t="shared" si="570"/>
        <v>0</v>
      </c>
      <c r="N1075" s="134">
        <f t="shared" si="570"/>
        <v>0</v>
      </c>
      <c r="O1075" s="134">
        <f t="shared" si="570"/>
        <v>0</v>
      </c>
      <c r="P1075" s="134">
        <f t="shared" si="570"/>
        <v>0</v>
      </c>
      <c r="Q1075" s="134">
        <f t="shared" si="570"/>
        <v>0</v>
      </c>
      <c r="R1075" s="134">
        <f t="shared" si="570"/>
        <v>0</v>
      </c>
      <c r="S1075" s="134">
        <f t="shared" si="570"/>
        <v>0</v>
      </c>
      <c r="T1075" s="134">
        <f t="shared" si="570"/>
        <v>0</v>
      </c>
      <c r="U1075" s="134">
        <f t="shared" si="570"/>
        <v>0</v>
      </c>
      <c r="V1075" s="134">
        <f t="shared" si="570"/>
        <v>0</v>
      </c>
      <c r="W1075" s="134">
        <f t="shared" si="570"/>
        <v>0</v>
      </c>
      <c r="X1075" s="134">
        <f t="shared" si="570"/>
        <v>0</v>
      </c>
    </row>
    <row r="1076" spans="2:24" hidden="1">
      <c r="B1076" s="132" t="str">
        <f t="shared" si="560"/>
        <v/>
      </c>
      <c r="C1076" s="132" t="str">
        <f t="shared" si="560"/>
        <v/>
      </c>
      <c r="D1076" s="132" t="str">
        <f t="shared" si="560"/>
        <v/>
      </c>
      <c r="E1076" s="132" t="str">
        <f t="shared" si="560"/>
        <v/>
      </c>
      <c r="F1076" s="132"/>
      <c r="G1076" s="132"/>
      <c r="H1076" s="132"/>
      <c r="I1076" s="132"/>
      <c r="J1076" s="132"/>
      <c r="K1076" s="134">
        <f t="shared" ref="K1076:X1076" si="571">IF(AND($C1076="B+R",$D1076="nie",$E1076="prace rozwojowe",LataProjekcji&lt;=Koniec_PR,Modul_badawczo_rozwojowy=tak),ROUND(K466,0),0)</f>
        <v>0</v>
      </c>
      <c r="L1076" s="134">
        <f t="shared" si="571"/>
        <v>0</v>
      </c>
      <c r="M1076" s="134">
        <f t="shared" si="571"/>
        <v>0</v>
      </c>
      <c r="N1076" s="134">
        <f t="shared" si="571"/>
        <v>0</v>
      </c>
      <c r="O1076" s="134">
        <f t="shared" si="571"/>
        <v>0</v>
      </c>
      <c r="P1076" s="134">
        <f t="shared" si="571"/>
        <v>0</v>
      </c>
      <c r="Q1076" s="134">
        <f t="shared" si="571"/>
        <v>0</v>
      </c>
      <c r="R1076" s="134">
        <f t="shared" si="571"/>
        <v>0</v>
      </c>
      <c r="S1076" s="134">
        <f t="shared" si="571"/>
        <v>0</v>
      </c>
      <c r="T1076" s="134">
        <f t="shared" si="571"/>
        <v>0</v>
      </c>
      <c r="U1076" s="134">
        <f t="shared" si="571"/>
        <v>0</v>
      </c>
      <c r="V1076" s="134">
        <f t="shared" si="571"/>
        <v>0</v>
      </c>
      <c r="W1076" s="134">
        <f t="shared" si="571"/>
        <v>0</v>
      </c>
      <c r="X1076" s="134">
        <f t="shared" si="571"/>
        <v>0</v>
      </c>
    </row>
    <row r="1077" spans="2:24" hidden="1">
      <c r="B1077" s="132" t="str">
        <f t="shared" si="560"/>
        <v/>
      </c>
      <c r="C1077" s="132" t="str">
        <f t="shared" si="560"/>
        <v/>
      </c>
      <c r="D1077" s="132" t="str">
        <f t="shared" si="560"/>
        <v/>
      </c>
      <c r="E1077" s="132" t="str">
        <f t="shared" si="560"/>
        <v/>
      </c>
      <c r="F1077" s="132"/>
      <c r="G1077" s="132"/>
      <c r="H1077" s="132"/>
      <c r="I1077" s="132"/>
      <c r="J1077" s="132"/>
      <c r="K1077" s="134">
        <f t="shared" ref="K1077:X1077" si="572">IF(AND($C1077="B+R",$D1077="nie",$E1077="prace rozwojowe",LataProjekcji&lt;=Koniec_PR,Modul_badawczo_rozwojowy=tak),ROUND(K467,0),0)</f>
        <v>0</v>
      </c>
      <c r="L1077" s="134">
        <f t="shared" si="572"/>
        <v>0</v>
      </c>
      <c r="M1077" s="134">
        <f t="shared" si="572"/>
        <v>0</v>
      </c>
      <c r="N1077" s="134">
        <f t="shared" si="572"/>
        <v>0</v>
      </c>
      <c r="O1077" s="134">
        <f t="shared" si="572"/>
        <v>0</v>
      </c>
      <c r="P1077" s="134">
        <f t="shared" si="572"/>
        <v>0</v>
      </c>
      <c r="Q1077" s="134">
        <f t="shared" si="572"/>
        <v>0</v>
      </c>
      <c r="R1077" s="134">
        <f t="shared" si="572"/>
        <v>0</v>
      </c>
      <c r="S1077" s="134">
        <f t="shared" si="572"/>
        <v>0</v>
      </c>
      <c r="T1077" s="134">
        <f t="shared" si="572"/>
        <v>0</v>
      </c>
      <c r="U1077" s="134">
        <f t="shared" si="572"/>
        <v>0</v>
      </c>
      <c r="V1077" s="134">
        <f t="shared" si="572"/>
        <v>0</v>
      </c>
      <c r="W1077" s="134">
        <f t="shared" si="572"/>
        <v>0</v>
      </c>
      <c r="X1077" s="134">
        <f t="shared" si="572"/>
        <v>0</v>
      </c>
    </row>
    <row r="1078" spans="2:24" hidden="1">
      <c r="B1078" s="132" t="str">
        <f t="shared" si="560"/>
        <v/>
      </c>
      <c r="C1078" s="132" t="str">
        <f t="shared" si="560"/>
        <v/>
      </c>
      <c r="D1078" s="132" t="str">
        <f t="shared" si="560"/>
        <v/>
      </c>
      <c r="E1078" s="132" t="str">
        <f t="shared" si="560"/>
        <v/>
      </c>
      <c r="F1078" s="132"/>
      <c r="G1078" s="132"/>
      <c r="H1078" s="132"/>
      <c r="I1078" s="132"/>
      <c r="J1078" s="132"/>
      <c r="K1078" s="134">
        <f t="shared" ref="K1078:X1078" si="573">IF(AND($C1078="B+R",$D1078="nie",$E1078="prace rozwojowe",LataProjekcji&lt;=Koniec_PR,Modul_badawczo_rozwojowy=tak),ROUND(K468,0),0)</f>
        <v>0</v>
      </c>
      <c r="L1078" s="134">
        <f t="shared" si="573"/>
        <v>0</v>
      </c>
      <c r="M1078" s="134">
        <f t="shared" si="573"/>
        <v>0</v>
      </c>
      <c r="N1078" s="134">
        <f t="shared" si="573"/>
        <v>0</v>
      </c>
      <c r="O1078" s="134">
        <f t="shared" si="573"/>
        <v>0</v>
      </c>
      <c r="P1078" s="134">
        <f t="shared" si="573"/>
        <v>0</v>
      </c>
      <c r="Q1078" s="134">
        <f t="shared" si="573"/>
        <v>0</v>
      </c>
      <c r="R1078" s="134">
        <f t="shared" si="573"/>
        <v>0</v>
      </c>
      <c r="S1078" s="134">
        <f t="shared" si="573"/>
        <v>0</v>
      </c>
      <c r="T1078" s="134">
        <f t="shared" si="573"/>
        <v>0</v>
      </c>
      <c r="U1078" s="134">
        <f t="shared" si="573"/>
        <v>0</v>
      </c>
      <c r="V1078" s="134">
        <f t="shared" si="573"/>
        <v>0</v>
      </c>
      <c r="W1078" s="134">
        <f t="shared" si="573"/>
        <v>0</v>
      </c>
      <c r="X1078" s="134">
        <f t="shared" si="573"/>
        <v>0</v>
      </c>
    </row>
    <row r="1079" spans="2:24" hidden="1">
      <c r="B1079" s="132" t="str">
        <f t="shared" si="560"/>
        <v/>
      </c>
      <c r="C1079" s="132" t="str">
        <f t="shared" si="560"/>
        <v/>
      </c>
      <c r="D1079" s="132" t="str">
        <f t="shared" si="560"/>
        <v/>
      </c>
      <c r="E1079" s="132" t="str">
        <f t="shared" si="560"/>
        <v/>
      </c>
      <c r="F1079" s="132"/>
      <c r="G1079" s="132"/>
      <c r="H1079" s="132"/>
      <c r="I1079" s="132"/>
      <c r="J1079" s="132"/>
      <c r="K1079" s="134">
        <f t="shared" ref="K1079:X1079" si="574">IF(AND($C1079="B+R",$D1079="nie",$E1079="prace rozwojowe",LataProjekcji&lt;=Koniec_PR,Modul_badawczo_rozwojowy=tak),ROUND(K469,0),0)</f>
        <v>0</v>
      </c>
      <c r="L1079" s="134">
        <f t="shared" si="574"/>
        <v>0</v>
      </c>
      <c r="M1079" s="134">
        <f t="shared" si="574"/>
        <v>0</v>
      </c>
      <c r="N1079" s="134">
        <f t="shared" si="574"/>
        <v>0</v>
      </c>
      <c r="O1079" s="134">
        <f t="shared" si="574"/>
        <v>0</v>
      </c>
      <c r="P1079" s="134">
        <f t="shared" si="574"/>
        <v>0</v>
      </c>
      <c r="Q1079" s="134">
        <f t="shared" si="574"/>
        <v>0</v>
      </c>
      <c r="R1079" s="134">
        <f t="shared" si="574"/>
        <v>0</v>
      </c>
      <c r="S1079" s="134">
        <f t="shared" si="574"/>
        <v>0</v>
      </c>
      <c r="T1079" s="134">
        <f t="shared" si="574"/>
        <v>0</v>
      </c>
      <c r="U1079" s="134">
        <f t="shared" si="574"/>
        <v>0</v>
      </c>
      <c r="V1079" s="134">
        <f t="shared" si="574"/>
        <v>0</v>
      </c>
      <c r="W1079" s="134">
        <f t="shared" si="574"/>
        <v>0</v>
      </c>
      <c r="X1079" s="134">
        <f t="shared" si="574"/>
        <v>0</v>
      </c>
    </row>
    <row r="1080" spans="2:24" hidden="1">
      <c r="B1080" s="132" t="str">
        <f t="shared" si="560"/>
        <v/>
      </c>
      <c r="C1080" s="132" t="str">
        <f t="shared" si="560"/>
        <v/>
      </c>
      <c r="D1080" s="132" t="str">
        <f t="shared" si="560"/>
        <v/>
      </c>
      <c r="E1080" s="132" t="str">
        <f t="shared" si="560"/>
        <v/>
      </c>
      <c r="F1080" s="132"/>
      <c r="G1080" s="132"/>
      <c r="H1080" s="132"/>
      <c r="I1080" s="132"/>
      <c r="J1080" s="132"/>
      <c r="K1080" s="134">
        <f t="shared" ref="K1080:X1080" si="575">IF(AND($C1080="B+R",$D1080="nie",$E1080="prace rozwojowe",LataProjekcji&lt;=Koniec_PR,Modul_badawczo_rozwojowy=tak),ROUND(K470,0),0)</f>
        <v>0</v>
      </c>
      <c r="L1080" s="134">
        <f t="shared" si="575"/>
        <v>0</v>
      </c>
      <c r="M1080" s="134">
        <f t="shared" si="575"/>
        <v>0</v>
      </c>
      <c r="N1080" s="134">
        <f t="shared" si="575"/>
        <v>0</v>
      </c>
      <c r="O1080" s="134">
        <f t="shared" si="575"/>
        <v>0</v>
      </c>
      <c r="P1080" s="134">
        <f t="shared" si="575"/>
        <v>0</v>
      </c>
      <c r="Q1080" s="134">
        <f t="shared" si="575"/>
        <v>0</v>
      </c>
      <c r="R1080" s="134">
        <f t="shared" si="575"/>
        <v>0</v>
      </c>
      <c r="S1080" s="134">
        <f t="shared" si="575"/>
        <v>0</v>
      </c>
      <c r="T1080" s="134">
        <f t="shared" si="575"/>
        <v>0</v>
      </c>
      <c r="U1080" s="134">
        <f t="shared" si="575"/>
        <v>0</v>
      </c>
      <c r="V1080" s="134">
        <f t="shared" si="575"/>
        <v>0</v>
      </c>
      <c r="W1080" s="134">
        <f t="shared" si="575"/>
        <v>0</v>
      </c>
      <c r="X1080" s="134">
        <f t="shared" si="575"/>
        <v>0</v>
      </c>
    </row>
    <row r="1081" spans="2:24" hidden="1">
      <c r="B1081" s="132" t="str">
        <f t="shared" si="560"/>
        <v/>
      </c>
      <c r="C1081" s="132" t="str">
        <f t="shared" si="560"/>
        <v/>
      </c>
      <c r="D1081" s="132" t="str">
        <f t="shared" si="560"/>
        <v/>
      </c>
      <c r="E1081" s="132" t="str">
        <f t="shared" si="560"/>
        <v/>
      </c>
      <c r="F1081" s="132"/>
      <c r="G1081" s="132"/>
      <c r="H1081" s="132"/>
      <c r="I1081" s="132"/>
      <c r="J1081" s="132"/>
      <c r="K1081" s="134">
        <f t="shared" ref="K1081:X1081" si="576">IF(AND($C1081="B+R",$D1081="nie",$E1081="prace rozwojowe",LataProjekcji&lt;=Koniec_PR,Modul_badawczo_rozwojowy=tak),ROUND(K471,0),0)</f>
        <v>0</v>
      </c>
      <c r="L1081" s="134">
        <f t="shared" si="576"/>
        <v>0</v>
      </c>
      <c r="M1081" s="134">
        <f t="shared" si="576"/>
        <v>0</v>
      </c>
      <c r="N1081" s="134">
        <f t="shared" si="576"/>
        <v>0</v>
      </c>
      <c r="O1081" s="134">
        <f t="shared" si="576"/>
        <v>0</v>
      </c>
      <c r="P1081" s="134">
        <f t="shared" si="576"/>
        <v>0</v>
      </c>
      <c r="Q1081" s="134">
        <f t="shared" si="576"/>
        <v>0</v>
      </c>
      <c r="R1081" s="134">
        <f t="shared" si="576"/>
        <v>0</v>
      </c>
      <c r="S1081" s="134">
        <f t="shared" si="576"/>
        <v>0</v>
      </c>
      <c r="T1081" s="134">
        <f t="shared" si="576"/>
        <v>0</v>
      </c>
      <c r="U1081" s="134">
        <f t="shared" si="576"/>
        <v>0</v>
      </c>
      <c r="V1081" s="134">
        <f t="shared" si="576"/>
        <v>0</v>
      </c>
      <c r="W1081" s="134">
        <f t="shared" si="576"/>
        <v>0</v>
      </c>
      <c r="X1081" s="134">
        <f t="shared" si="576"/>
        <v>0</v>
      </c>
    </row>
    <row r="1082" spans="2:24" hidden="1">
      <c r="B1082" s="132" t="str">
        <f t="shared" si="560"/>
        <v/>
      </c>
      <c r="C1082" s="132" t="str">
        <f t="shared" si="560"/>
        <v/>
      </c>
      <c r="D1082" s="132" t="str">
        <f t="shared" si="560"/>
        <v/>
      </c>
      <c r="E1082" s="132" t="str">
        <f t="shared" si="560"/>
        <v/>
      </c>
      <c r="F1082" s="132"/>
      <c r="G1082" s="132"/>
      <c r="H1082" s="132"/>
      <c r="I1082" s="132"/>
      <c r="J1082" s="132"/>
      <c r="K1082" s="134">
        <f t="shared" ref="K1082:X1082" si="577">IF(AND($C1082="B+R",$D1082="nie",$E1082="prace rozwojowe",LataProjekcji&lt;=Koniec_PR,Modul_badawczo_rozwojowy=tak),ROUND(K472,0),0)</f>
        <v>0</v>
      </c>
      <c r="L1082" s="134">
        <f t="shared" si="577"/>
        <v>0</v>
      </c>
      <c r="M1082" s="134">
        <f t="shared" si="577"/>
        <v>0</v>
      </c>
      <c r="N1082" s="134">
        <f t="shared" si="577"/>
        <v>0</v>
      </c>
      <c r="O1082" s="134">
        <f t="shared" si="577"/>
        <v>0</v>
      </c>
      <c r="P1082" s="134">
        <f t="shared" si="577"/>
        <v>0</v>
      </c>
      <c r="Q1082" s="134">
        <f t="shared" si="577"/>
        <v>0</v>
      </c>
      <c r="R1082" s="134">
        <f t="shared" si="577"/>
        <v>0</v>
      </c>
      <c r="S1082" s="134">
        <f t="shared" si="577"/>
        <v>0</v>
      </c>
      <c r="T1082" s="134">
        <f t="shared" si="577"/>
        <v>0</v>
      </c>
      <c r="U1082" s="134">
        <f t="shared" si="577"/>
        <v>0</v>
      </c>
      <c r="V1082" s="134">
        <f t="shared" si="577"/>
        <v>0</v>
      </c>
      <c r="W1082" s="134">
        <f t="shared" si="577"/>
        <v>0</v>
      </c>
      <c r="X1082" s="134">
        <f t="shared" si="577"/>
        <v>0</v>
      </c>
    </row>
    <row r="1083" spans="2:24" hidden="1">
      <c r="B1083" s="132" t="str">
        <f t="shared" si="560"/>
        <v/>
      </c>
      <c r="C1083" s="132" t="str">
        <f t="shared" si="560"/>
        <v/>
      </c>
      <c r="D1083" s="132" t="str">
        <f t="shared" si="560"/>
        <v/>
      </c>
      <c r="E1083" s="132" t="str">
        <f t="shared" si="560"/>
        <v/>
      </c>
      <c r="F1083" s="132"/>
      <c r="G1083" s="132"/>
      <c r="H1083" s="132"/>
      <c r="I1083" s="132"/>
      <c r="J1083" s="132"/>
      <c r="K1083" s="134">
        <f t="shared" ref="K1083:X1083" si="578">IF(AND($C1083="B+R",$D1083="nie",$E1083="prace rozwojowe",LataProjekcji&lt;=Koniec_PR,Modul_badawczo_rozwojowy=tak),ROUND(K473,0),0)</f>
        <v>0</v>
      </c>
      <c r="L1083" s="134">
        <f t="shared" si="578"/>
        <v>0</v>
      </c>
      <c r="M1083" s="134">
        <f t="shared" si="578"/>
        <v>0</v>
      </c>
      <c r="N1083" s="134">
        <f t="shared" si="578"/>
        <v>0</v>
      </c>
      <c r="O1083" s="134">
        <f t="shared" si="578"/>
        <v>0</v>
      </c>
      <c r="P1083" s="134">
        <f t="shared" si="578"/>
        <v>0</v>
      </c>
      <c r="Q1083" s="134">
        <f t="shared" si="578"/>
        <v>0</v>
      </c>
      <c r="R1083" s="134">
        <f t="shared" si="578"/>
        <v>0</v>
      </c>
      <c r="S1083" s="134">
        <f t="shared" si="578"/>
        <v>0</v>
      </c>
      <c r="T1083" s="134">
        <f t="shared" si="578"/>
        <v>0</v>
      </c>
      <c r="U1083" s="134">
        <f t="shared" si="578"/>
        <v>0</v>
      </c>
      <c r="V1083" s="134">
        <f t="shared" si="578"/>
        <v>0</v>
      </c>
      <c r="W1083" s="134">
        <f t="shared" si="578"/>
        <v>0</v>
      </c>
      <c r="X1083" s="134">
        <f t="shared" si="578"/>
        <v>0</v>
      </c>
    </row>
    <row r="1084" spans="2:24" hidden="1">
      <c r="B1084" s="132" t="str">
        <f t="shared" si="560"/>
        <v/>
      </c>
      <c r="C1084" s="132" t="str">
        <f t="shared" si="560"/>
        <v/>
      </c>
      <c r="D1084" s="132" t="str">
        <f t="shared" si="560"/>
        <v/>
      </c>
      <c r="E1084" s="132" t="str">
        <f t="shared" si="560"/>
        <v/>
      </c>
      <c r="F1084" s="132"/>
      <c r="G1084" s="132"/>
      <c r="H1084" s="132"/>
      <c r="I1084" s="132"/>
      <c r="J1084" s="132"/>
      <c r="K1084" s="134">
        <f t="shared" ref="K1084:X1084" si="579">IF(AND($C1084="B+R",$D1084="nie",$E1084="prace rozwojowe",LataProjekcji&lt;=Koniec_PR,Modul_badawczo_rozwojowy=tak),ROUND(K474,0),0)</f>
        <v>0</v>
      </c>
      <c r="L1084" s="134">
        <f t="shared" si="579"/>
        <v>0</v>
      </c>
      <c r="M1084" s="134">
        <f t="shared" si="579"/>
        <v>0</v>
      </c>
      <c r="N1084" s="134">
        <f t="shared" si="579"/>
        <v>0</v>
      </c>
      <c r="O1084" s="134">
        <f t="shared" si="579"/>
        <v>0</v>
      </c>
      <c r="P1084" s="134">
        <f t="shared" si="579"/>
        <v>0</v>
      </c>
      <c r="Q1084" s="134">
        <f t="shared" si="579"/>
        <v>0</v>
      </c>
      <c r="R1084" s="134">
        <f t="shared" si="579"/>
        <v>0</v>
      </c>
      <c r="S1084" s="134">
        <f t="shared" si="579"/>
        <v>0</v>
      </c>
      <c r="T1084" s="134">
        <f t="shared" si="579"/>
        <v>0</v>
      </c>
      <c r="U1084" s="134">
        <f t="shared" si="579"/>
        <v>0</v>
      </c>
      <c r="V1084" s="134">
        <f t="shared" si="579"/>
        <v>0</v>
      </c>
      <c r="W1084" s="134">
        <f t="shared" si="579"/>
        <v>0</v>
      </c>
      <c r="X1084" s="134">
        <f t="shared" si="579"/>
        <v>0</v>
      </c>
    </row>
    <row r="1085" spans="2:24" hidden="1">
      <c r="B1085" s="132" t="str">
        <f t="shared" si="560"/>
        <v/>
      </c>
      <c r="C1085" s="132" t="str">
        <f t="shared" si="560"/>
        <v/>
      </c>
      <c r="D1085" s="132" t="str">
        <f t="shared" si="560"/>
        <v/>
      </c>
      <c r="E1085" s="132" t="str">
        <f t="shared" si="560"/>
        <v/>
      </c>
      <c r="F1085" s="132"/>
      <c r="G1085" s="132"/>
      <c r="H1085" s="132"/>
      <c r="I1085" s="132"/>
      <c r="J1085" s="132"/>
      <c r="K1085" s="134">
        <f t="shared" ref="K1085:X1085" si="580">IF(AND($C1085="B+R",$D1085="nie",$E1085="prace rozwojowe",LataProjekcji&lt;=Koniec_PR,Modul_badawczo_rozwojowy=tak),ROUND(K475,0),0)</f>
        <v>0</v>
      </c>
      <c r="L1085" s="134">
        <f t="shared" si="580"/>
        <v>0</v>
      </c>
      <c r="M1085" s="134">
        <f t="shared" si="580"/>
        <v>0</v>
      </c>
      <c r="N1085" s="134">
        <f t="shared" si="580"/>
        <v>0</v>
      </c>
      <c r="O1085" s="134">
        <f t="shared" si="580"/>
        <v>0</v>
      </c>
      <c r="P1085" s="134">
        <f t="shared" si="580"/>
        <v>0</v>
      </c>
      <c r="Q1085" s="134">
        <f t="shared" si="580"/>
        <v>0</v>
      </c>
      <c r="R1085" s="134">
        <f t="shared" si="580"/>
        <v>0</v>
      </c>
      <c r="S1085" s="134">
        <f t="shared" si="580"/>
        <v>0</v>
      </c>
      <c r="T1085" s="134">
        <f t="shared" si="580"/>
        <v>0</v>
      </c>
      <c r="U1085" s="134">
        <f t="shared" si="580"/>
        <v>0</v>
      </c>
      <c r="V1085" s="134">
        <f t="shared" si="580"/>
        <v>0</v>
      </c>
      <c r="W1085" s="134">
        <f t="shared" si="580"/>
        <v>0</v>
      </c>
      <c r="X1085" s="134">
        <f t="shared" si="580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1">ROUND(SUM(K1046:K1085),0)</f>
        <v>0</v>
      </c>
      <c r="L1086" s="135">
        <f t="shared" si="581"/>
        <v>0</v>
      </c>
      <c r="M1086" s="135">
        <f t="shared" si="581"/>
        <v>0</v>
      </c>
      <c r="N1086" s="135">
        <f t="shared" si="581"/>
        <v>0</v>
      </c>
      <c r="O1086" s="135">
        <f t="shared" si="581"/>
        <v>0</v>
      </c>
      <c r="P1086" s="135">
        <f t="shared" si="581"/>
        <v>0</v>
      </c>
      <c r="Q1086" s="135">
        <f t="shared" si="581"/>
        <v>0</v>
      </c>
      <c r="R1086" s="135">
        <f t="shared" si="581"/>
        <v>0</v>
      </c>
      <c r="S1086" s="135">
        <f t="shared" si="581"/>
        <v>0</v>
      </c>
      <c r="T1086" s="135">
        <f t="shared" si="581"/>
        <v>0</v>
      </c>
      <c r="U1086" s="135">
        <f t="shared" si="581"/>
        <v>0</v>
      </c>
      <c r="V1086" s="135">
        <f t="shared" si="581"/>
        <v>0</v>
      </c>
      <c r="W1086" s="135">
        <f t="shared" si="581"/>
        <v>0</v>
      </c>
      <c r="X1086" s="135">
        <f t="shared" si="581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2">B848</f>
        <v/>
      </c>
      <c r="C1090" s="132" t="str">
        <f t="shared" si="582"/>
        <v/>
      </c>
      <c r="D1090" s="132" t="str">
        <f t="shared" si="582"/>
        <v/>
      </c>
      <c r="E1090" s="132" t="str">
        <f t="shared" si="582"/>
        <v/>
      </c>
      <c r="F1090" s="132"/>
      <c r="G1090" s="132"/>
      <c r="H1090" s="132"/>
      <c r="I1090" s="132"/>
      <c r="J1090" s="132"/>
      <c r="K1090" s="134">
        <f t="shared" ref="K1090:X1090" si="583">IF(AND($C1090="B+R",$D1090="nie",$E1090="prace rozwojowe",LataProjekcji&lt;=Koniec_PR,Modul_badawczo_rozwojowy=tak),ROUND(K521,0),0)</f>
        <v>0</v>
      </c>
      <c r="L1090" s="134">
        <f t="shared" si="583"/>
        <v>0</v>
      </c>
      <c r="M1090" s="134">
        <f t="shared" si="583"/>
        <v>0</v>
      </c>
      <c r="N1090" s="134">
        <f t="shared" si="583"/>
        <v>0</v>
      </c>
      <c r="O1090" s="134">
        <f t="shared" si="583"/>
        <v>0</v>
      </c>
      <c r="P1090" s="134">
        <f t="shared" si="583"/>
        <v>0</v>
      </c>
      <c r="Q1090" s="134">
        <f t="shared" si="583"/>
        <v>0</v>
      </c>
      <c r="R1090" s="134">
        <f t="shared" si="583"/>
        <v>0</v>
      </c>
      <c r="S1090" s="134">
        <f t="shared" si="583"/>
        <v>0</v>
      </c>
      <c r="T1090" s="134">
        <f t="shared" si="583"/>
        <v>0</v>
      </c>
      <c r="U1090" s="134">
        <f t="shared" si="583"/>
        <v>0</v>
      </c>
      <c r="V1090" s="134">
        <f t="shared" si="583"/>
        <v>0</v>
      </c>
      <c r="W1090" s="134">
        <f t="shared" si="583"/>
        <v>0</v>
      </c>
      <c r="X1090" s="134">
        <f t="shared" si="583"/>
        <v>0</v>
      </c>
    </row>
    <row r="1091" spans="2:24" hidden="1">
      <c r="B1091" s="132" t="str">
        <f t="shared" si="582"/>
        <v/>
      </c>
      <c r="C1091" s="132" t="str">
        <f t="shared" si="582"/>
        <v/>
      </c>
      <c r="D1091" s="132" t="str">
        <f t="shared" si="582"/>
        <v/>
      </c>
      <c r="E1091" s="132" t="str">
        <f t="shared" si="582"/>
        <v/>
      </c>
      <c r="F1091" s="132"/>
      <c r="G1091" s="132"/>
      <c r="H1091" s="132"/>
      <c r="I1091" s="132"/>
      <c r="J1091" s="132"/>
      <c r="K1091" s="134">
        <f t="shared" ref="K1091:X1091" si="584">IF(AND($C1091="B+R",$D1091="nie",$E1091="prace rozwojowe",LataProjekcji&lt;=Koniec_PR,Modul_badawczo_rozwojowy=tak),ROUND(K522,0),0)</f>
        <v>0</v>
      </c>
      <c r="L1091" s="134">
        <f t="shared" si="584"/>
        <v>0</v>
      </c>
      <c r="M1091" s="134">
        <f t="shared" si="584"/>
        <v>0</v>
      </c>
      <c r="N1091" s="134">
        <f t="shared" si="584"/>
        <v>0</v>
      </c>
      <c r="O1091" s="134">
        <f t="shared" si="584"/>
        <v>0</v>
      </c>
      <c r="P1091" s="134">
        <f t="shared" si="584"/>
        <v>0</v>
      </c>
      <c r="Q1091" s="134">
        <f t="shared" si="584"/>
        <v>0</v>
      </c>
      <c r="R1091" s="134">
        <f t="shared" si="584"/>
        <v>0</v>
      </c>
      <c r="S1091" s="134">
        <f t="shared" si="584"/>
        <v>0</v>
      </c>
      <c r="T1091" s="134">
        <f t="shared" si="584"/>
        <v>0</v>
      </c>
      <c r="U1091" s="134">
        <f t="shared" si="584"/>
        <v>0</v>
      </c>
      <c r="V1091" s="134">
        <f t="shared" si="584"/>
        <v>0</v>
      </c>
      <c r="W1091" s="134">
        <f t="shared" si="584"/>
        <v>0</v>
      </c>
      <c r="X1091" s="134">
        <f t="shared" si="584"/>
        <v>0</v>
      </c>
    </row>
    <row r="1092" spans="2:24" hidden="1">
      <c r="B1092" s="132" t="str">
        <f t="shared" si="582"/>
        <v/>
      </c>
      <c r="C1092" s="132" t="str">
        <f t="shared" si="582"/>
        <v/>
      </c>
      <c r="D1092" s="132" t="str">
        <f t="shared" si="582"/>
        <v/>
      </c>
      <c r="E1092" s="132" t="str">
        <f t="shared" si="582"/>
        <v/>
      </c>
      <c r="F1092" s="132"/>
      <c r="G1092" s="132"/>
      <c r="H1092" s="132"/>
      <c r="I1092" s="132"/>
      <c r="J1092" s="132"/>
      <c r="K1092" s="134">
        <f t="shared" ref="K1092:X1092" si="585">IF(AND($C1092="B+R",$D1092="nie",$E1092="prace rozwojowe",LataProjekcji&lt;=Koniec_PR,Modul_badawczo_rozwojowy=tak),ROUND(K523,0),0)</f>
        <v>0</v>
      </c>
      <c r="L1092" s="134">
        <f t="shared" si="585"/>
        <v>0</v>
      </c>
      <c r="M1092" s="134">
        <f t="shared" si="585"/>
        <v>0</v>
      </c>
      <c r="N1092" s="134">
        <f t="shared" si="585"/>
        <v>0</v>
      </c>
      <c r="O1092" s="134">
        <f t="shared" si="585"/>
        <v>0</v>
      </c>
      <c r="P1092" s="134">
        <f t="shared" si="585"/>
        <v>0</v>
      </c>
      <c r="Q1092" s="134">
        <f t="shared" si="585"/>
        <v>0</v>
      </c>
      <c r="R1092" s="134">
        <f t="shared" si="585"/>
        <v>0</v>
      </c>
      <c r="S1092" s="134">
        <f t="shared" si="585"/>
        <v>0</v>
      </c>
      <c r="T1092" s="134">
        <f t="shared" si="585"/>
        <v>0</v>
      </c>
      <c r="U1092" s="134">
        <f t="shared" si="585"/>
        <v>0</v>
      </c>
      <c r="V1092" s="134">
        <f t="shared" si="585"/>
        <v>0</v>
      </c>
      <c r="W1092" s="134">
        <f t="shared" si="585"/>
        <v>0</v>
      </c>
      <c r="X1092" s="134">
        <f t="shared" si="585"/>
        <v>0</v>
      </c>
    </row>
    <row r="1093" spans="2:24" hidden="1">
      <c r="B1093" s="132" t="str">
        <f t="shared" si="582"/>
        <v/>
      </c>
      <c r="C1093" s="132" t="str">
        <f t="shared" si="582"/>
        <v/>
      </c>
      <c r="D1093" s="132" t="str">
        <f t="shared" si="582"/>
        <v/>
      </c>
      <c r="E1093" s="132" t="str">
        <f t="shared" si="582"/>
        <v/>
      </c>
      <c r="F1093" s="132"/>
      <c r="G1093" s="132"/>
      <c r="H1093" s="132"/>
      <c r="I1093" s="132"/>
      <c r="J1093" s="132"/>
      <c r="K1093" s="134">
        <f t="shared" ref="K1093:X1093" si="586">IF(AND($C1093="B+R",$D1093="nie",$E1093="prace rozwojowe",LataProjekcji&lt;=Koniec_PR,Modul_badawczo_rozwojowy=tak),ROUND(K524,0),0)</f>
        <v>0</v>
      </c>
      <c r="L1093" s="134">
        <f t="shared" si="586"/>
        <v>0</v>
      </c>
      <c r="M1093" s="134">
        <f t="shared" si="586"/>
        <v>0</v>
      </c>
      <c r="N1093" s="134">
        <f t="shared" si="586"/>
        <v>0</v>
      </c>
      <c r="O1093" s="134">
        <f t="shared" si="586"/>
        <v>0</v>
      </c>
      <c r="P1093" s="134">
        <f t="shared" si="586"/>
        <v>0</v>
      </c>
      <c r="Q1093" s="134">
        <f t="shared" si="586"/>
        <v>0</v>
      </c>
      <c r="R1093" s="134">
        <f t="shared" si="586"/>
        <v>0</v>
      </c>
      <c r="S1093" s="134">
        <f t="shared" si="586"/>
        <v>0</v>
      </c>
      <c r="T1093" s="134">
        <f t="shared" si="586"/>
        <v>0</v>
      </c>
      <c r="U1093" s="134">
        <f t="shared" si="586"/>
        <v>0</v>
      </c>
      <c r="V1093" s="134">
        <f t="shared" si="586"/>
        <v>0</v>
      </c>
      <c r="W1093" s="134">
        <f t="shared" si="586"/>
        <v>0</v>
      </c>
      <c r="X1093" s="134">
        <f t="shared" si="586"/>
        <v>0</v>
      </c>
    </row>
    <row r="1094" spans="2:24" hidden="1">
      <c r="B1094" s="132" t="str">
        <f t="shared" si="582"/>
        <v/>
      </c>
      <c r="C1094" s="132" t="str">
        <f t="shared" si="582"/>
        <v/>
      </c>
      <c r="D1094" s="132" t="str">
        <f t="shared" si="582"/>
        <v/>
      </c>
      <c r="E1094" s="132" t="str">
        <f t="shared" si="582"/>
        <v/>
      </c>
      <c r="F1094" s="132"/>
      <c r="G1094" s="132"/>
      <c r="H1094" s="132"/>
      <c r="I1094" s="132"/>
      <c r="J1094" s="132"/>
      <c r="K1094" s="134">
        <f t="shared" ref="K1094:X1094" si="587">IF(AND($C1094="B+R",$D1094="nie",$E1094="prace rozwojowe",LataProjekcji&lt;=Koniec_PR,Modul_badawczo_rozwojowy=tak),ROUND(K525,0),0)</f>
        <v>0</v>
      </c>
      <c r="L1094" s="134">
        <f t="shared" si="587"/>
        <v>0</v>
      </c>
      <c r="M1094" s="134">
        <f t="shared" si="587"/>
        <v>0</v>
      </c>
      <c r="N1094" s="134">
        <f t="shared" si="587"/>
        <v>0</v>
      </c>
      <c r="O1094" s="134">
        <f t="shared" si="587"/>
        <v>0</v>
      </c>
      <c r="P1094" s="134">
        <f t="shared" si="587"/>
        <v>0</v>
      </c>
      <c r="Q1094" s="134">
        <f t="shared" si="587"/>
        <v>0</v>
      </c>
      <c r="R1094" s="134">
        <f t="shared" si="587"/>
        <v>0</v>
      </c>
      <c r="S1094" s="134">
        <f t="shared" si="587"/>
        <v>0</v>
      </c>
      <c r="T1094" s="134">
        <f t="shared" si="587"/>
        <v>0</v>
      </c>
      <c r="U1094" s="134">
        <f t="shared" si="587"/>
        <v>0</v>
      </c>
      <c r="V1094" s="134">
        <f t="shared" si="587"/>
        <v>0</v>
      </c>
      <c r="W1094" s="134">
        <f t="shared" si="587"/>
        <v>0</v>
      </c>
      <c r="X1094" s="134">
        <f t="shared" si="587"/>
        <v>0</v>
      </c>
    </row>
    <row r="1095" spans="2:24" hidden="1">
      <c r="B1095" s="132" t="str">
        <f t="shared" si="582"/>
        <v/>
      </c>
      <c r="C1095" s="132" t="str">
        <f t="shared" si="582"/>
        <v/>
      </c>
      <c r="D1095" s="132" t="str">
        <f t="shared" si="582"/>
        <v/>
      </c>
      <c r="E1095" s="132" t="str">
        <f t="shared" si="582"/>
        <v/>
      </c>
      <c r="F1095" s="132"/>
      <c r="G1095" s="132"/>
      <c r="H1095" s="132"/>
      <c r="I1095" s="132"/>
      <c r="J1095" s="132"/>
      <c r="K1095" s="134">
        <f t="shared" ref="K1095:X1095" si="588">IF(AND($C1095="B+R",$D1095="nie",$E1095="prace rozwojowe",LataProjekcji&lt;=Koniec_PR,Modul_badawczo_rozwojowy=tak),ROUND(K526,0),0)</f>
        <v>0</v>
      </c>
      <c r="L1095" s="134">
        <f t="shared" si="588"/>
        <v>0</v>
      </c>
      <c r="M1095" s="134">
        <f t="shared" si="588"/>
        <v>0</v>
      </c>
      <c r="N1095" s="134">
        <f t="shared" si="588"/>
        <v>0</v>
      </c>
      <c r="O1095" s="134">
        <f t="shared" si="588"/>
        <v>0</v>
      </c>
      <c r="P1095" s="134">
        <f t="shared" si="588"/>
        <v>0</v>
      </c>
      <c r="Q1095" s="134">
        <f t="shared" si="588"/>
        <v>0</v>
      </c>
      <c r="R1095" s="134">
        <f t="shared" si="588"/>
        <v>0</v>
      </c>
      <c r="S1095" s="134">
        <f t="shared" si="588"/>
        <v>0</v>
      </c>
      <c r="T1095" s="134">
        <f t="shared" si="588"/>
        <v>0</v>
      </c>
      <c r="U1095" s="134">
        <f t="shared" si="588"/>
        <v>0</v>
      </c>
      <c r="V1095" s="134">
        <f t="shared" si="588"/>
        <v>0</v>
      </c>
      <c r="W1095" s="134">
        <f t="shared" si="588"/>
        <v>0</v>
      </c>
      <c r="X1095" s="134">
        <f t="shared" si="588"/>
        <v>0</v>
      </c>
    </row>
    <row r="1096" spans="2:24" hidden="1">
      <c r="B1096" s="132" t="str">
        <f t="shared" si="582"/>
        <v/>
      </c>
      <c r="C1096" s="132" t="str">
        <f t="shared" si="582"/>
        <v/>
      </c>
      <c r="D1096" s="132" t="str">
        <f t="shared" si="582"/>
        <v/>
      </c>
      <c r="E1096" s="132" t="str">
        <f t="shared" si="582"/>
        <v/>
      </c>
      <c r="F1096" s="132"/>
      <c r="G1096" s="132"/>
      <c r="H1096" s="132"/>
      <c r="I1096" s="132"/>
      <c r="J1096" s="132"/>
      <c r="K1096" s="134">
        <f t="shared" ref="K1096:X1096" si="589">IF(AND($C1096="B+R",$D1096="nie",$E1096="prace rozwojowe",LataProjekcji&lt;=Koniec_PR,Modul_badawczo_rozwojowy=tak),ROUND(K527,0),0)</f>
        <v>0</v>
      </c>
      <c r="L1096" s="134">
        <f t="shared" si="589"/>
        <v>0</v>
      </c>
      <c r="M1096" s="134">
        <f t="shared" si="589"/>
        <v>0</v>
      </c>
      <c r="N1096" s="134">
        <f t="shared" si="589"/>
        <v>0</v>
      </c>
      <c r="O1096" s="134">
        <f t="shared" si="589"/>
        <v>0</v>
      </c>
      <c r="P1096" s="134">
        <f t="shared" si="589"/>
        <v>0</v>
      </c>
      <c r="Q1096" s="134">
        <f t="shared" si="589"/>
        <v>0</v>
      </c>
      <c r="R1096" s="134">
        <f t="shared" si="589"/>
        <v>0</v>
      </c>
      <c r="S1096" s="134">
        <f t="shared" si="589"/>
        <v>0</v>
      </c>
      <c r="T1096" s="134">
        <f t="shared" si="589"/>
        <v>0</v>
      </c>
      <c r="U1096" s="134">
        <f t="shared" si="589"/>
        <v>0</v>
      </c>
      <c r="V1096" s="134">
        <f t="shared" si="589"/>
        <v>0</v>
      </c>
      <c r="W1096" s="134">
        <f t="shared" si="589"/>
        <v>0</v>
      </c>
      <c r="X1096" s="134">
        <f t="shared" si="589"/>
        <v>0</v>
      </c>
    </row>
    <row r="1097" spans="2:24" hidden="1">
      <c r="B1097" s="132" t="str">
        <f t="shared" si="582"/>
        <v/>
      </c>
      <c r="C1097" s="132" t="str">
        <f t="shared" si="582"/>
        <v/>
      </c>
      <c r="D1097" s="132" t="str">
        <f t="shared" si="582"/>
        <v/>
      </c>
      <c r="E1097" s="132" t="str">
        <f t="shared" si="582"/>
        <v/>
      </c>
      <c r="F1097" s="132"/>
      <c r="G1097" s="132"/>
      <c r="H1097" s="132"/>
      <c r="I1097" s="132"/>
      <c r="J1097" s="132"/>
      <c r="K1097" s="134">
        <f t="shared" ref="K1097:X1097" si="590">IF(AND($C1097="B+R",$D1097="nie",$E1097="prace rozwojowe",LataProjekcji&lt;=Koniec_PR,Modul_badawczo_rozwojowy=tak),ROUND(K528,0),0)</f>
        <v>0</v>
      </c>
      <c r="L1097" s="134">
        <f t="shared" si="590"/>
        <v>0</v>
      </c>
      <c r="M1097" s="134">
        <f t="shared" si="590"/>
        <v>0</v>
      </c>
      <c r="N1097" s="134">
        <f t="shared" si="590"/>
        <v>0</v>
      </c>
      <c r="O1097" s="134">
        <f t="shared" si="590"/>
        <v>0</v>
      </c>
      <c r="P1097" s="134">
        <f t="shared" si="590"/>
        <v>0</v>
      </c>
      <c r="Q1097" s="134">
        <f t="shared" si="590"/>
        <v>0</v>
      </c>
      <c r="R1097" s="134">
        <f t="shared" si="590"/>
        <v>0</v>
      </c>
      <c r="S1097" s="134">
        <f t="shared" si="590"/>
        <v>0</v>
      </c>
      <c r="T1097" s="134">
        <f t="shared" si="590"/>
        <v>0</v>
      </c>
      <c r="U1097" s="134">
        <f t="shared" si="590"/>
        <v>0</v>
      </c>
      <c r="V1097" s="134">
        <f t="shared" si="590"/>
        <v>0</v>
      </c>
      <c r="W1097" s="134">
        <f t="shared" si="590"/>
        <v>0</v>
      </c>
      <c r="X1097" s="134">
        <f t="shared" si="590"/>
        <v>0</v>
      </c>
    </row>
    <row r="1098" spans="2:24" hidden="1">
      <c r="B1098" s="132" t="str">
        <f t="shared" si="582"/>
        <v/>
      </c>
      <c r="C1098" s="132" t="str">
        <f t="shared" si="582"/>
        <v/>
      </c>
      <c r="D1098" s="132" t="str">
        <f t="shared" si="582"/>
        <v/>
      </c>
      <c r="E1098" s="132" t="str">
        <f t="shared" si="582"/>
        <v/>
      </c>
      <c r="F1098" s="132"/>
      <c r="G1098" s="132"/>
      <c r="H1098" s="132"/>
      <c r="I1098" s="132"/>
      <c r="J1098" s="132"/>
      <c r="K1098" s="134">
        <f t="shared" ref="K1098:X1098" si="591">IF(AND($C1098="B+R",$D1098="nie",$E1098="prace rozwojowe",LataProjekcji&lt;=Koniec_PR,Modul_badawczo_rozwojowy=tak),ROUND(K529,0),0)</f>
        <v>0</v>
      </c>
      <c r="L1098" s="134">
        <f t="shared" si="591"/>
        <v>0</v>
      </c>
      <c r="M1098" s="134">
        <f t="shared" si="591"/>
        <v>0</v>
      </c>
      <c r="N1098" s="134">
        <f t="shared" si="591"/>
        <v>0</v>
      </c>
      <c r="O1098" s="134">
        <f t="shared" si="591"/>
        <v>0</v>
      </c>
      <c r="P1098" s="134">
        <f t="shared" si="591"/>
        <v>0</v>
      </c>
      <c r="Q1098" s="134">
        <f t="shared" si="591"/>
        <v>0</v>
      </c>
      <c r="R1098" s="134">
        <f t="shared" si="591"/>
        <v>0</v>
      </c>
      <c r="S1098" s="134">
        <f t="shared" si="591"/>
        <v>0</v>
      </c>
      <c r="T1098" s="134">
        <f t="shared" si="591"/>
        <v>0</v>
      </c>
      <c r="U1098" s="134">
        <f t="shared" si="591"/>
        <v>0</v>
      </c>
      <c r="V1098" s="134">
        <f t="shared" si="591"/>
        <v>0</v>
      </c>
      <c r="W1098" s="134">
        <f t="shared" si="591"/>
        <v>0</v>
      </c>
      <c r="X1098" s="134">
        <f t="shared" si="591"/>
        <v>0</v>
      </c>
    </row>
    <row r="1099" spans="2:24" hidden="1">
      <c r="B1099" s="132" t="str">
        <f t="shared" si="582"/>
        <v/>
      </c>
      <c r="C1099" s="132" t="str">
        <f t="shared" si="582"/>
        <v/>
      </c>
      <c r="D1099" s="132" t="str">
        <f t="shared" si="582"/>
        <v/>
      </c>
      <c r="E1099" s="132" t="str">
        <f t="shared" si="582"/>
        <v/>
      </c>
      <c r="F1099" s="132"/>
      <c r="G1099" s="132"/>
      <c r="H1099" s="132"/>
      <c r="I1099" s="132"/>
      <c r="J1099" s="132"/>
      <c r="K1099" s="134">
        <f t="shared" ref="K1099:X1099" si="592">IF(AND($C1099="B+R",$D1099="nie",$E1099="prace rozwojowe",LataProjekcji&lt;=Koniec_PR,Modul_badawczo_rozwojowy=tak),ROUND(K530,0),0)</f>
        <v>0</v>
      </c>
      <c r="L1099" s="134">
        <f t="shared" si="592"/>
        <v>0</v>
      </c>
      <c r="M1099" s="134">
        <f t="shared" si="592"/>
        <v>0</v>
      </c>
      <c r="N1099" s="134">
        <f t="shared" si="592"/>
        <v>0</v>
      </c>
      <c r="O1099" s="134">
        <f t="shared" si="592"/>
        <v>0</v>
      </c>
      <c r="P1099" s="134">
        <f t="shared" si="592"/>
        <v>0</v>
      </c>
      <c r="Q1099" s="134">
        <f t="shared" si="592"/>
        <v>0</v>
      </c>
      <c r="R1099" s="134">
        <f t="shared" si="592"/>
        <v>0</v>
      </c>
      <c r="S1099" s="134">
        <f t="shared" si="592"/>
        <v>0</v>
      </c>
      <c r="T1099" s="134">
        <f t="shared" si="592"/>
        <v>0</v>
      </c>
      <c r="U1099" s="134">
        <f t="shared" si="592"/>
        <v>0</v>
      </c>
      <c r="V1099" s="134">
        <f t="shared" si="592"/>
        <v>0</v>
      </c>
      <c r="W1099" s="134">
        <f t="shared" si="592"/>
        <v>0</v>
      </c>
      <c r="X1099" s="134">
        <f t="shared" si="592"/>
        <v>0</v>
      </c>
    </row>
    <row r="1100" spans="2:24" hidden="1">
      <c r="B1100" s="132" t="str">
        <f t="shared" si="582"/>
        <v/>
      </c>
      <c r="C1100" s="132" t="str">
        <f t="shared" si="582"/>
        <v/>
      </c>
      <c r="D1100" s="132" t="str">
        <f t="shared" si="582"/>
        <v/>
      </c>
      <c r="E1100" s="132" t="str">
        <f t="shared" si="582"/>
        <v/>
      </c>
      <c r="F1100" s="132"/>
      <c r="G1100" s="132"/>
      <c r="H1100" s="132"/>
      <c r="I1100" s="132"/>
      <c r="J1100" s="132"/>
      <c r="K1100" s="134">
        <f t="shared" ref="K1100:X1100" si="593">IF(AND($C1100="B+R",$D1100="nie",$E1100="prace rozwojowe",LataProjekcji&lt;=Koniec_PR,Modul_badawczo_rozwojowy=tak),ROUND(K531,0),0)</f>
        <v>0</v>
      </c>
      <c r="L1100" s="134">
        <f t="shared" si="593"/>
        <v>0</v>
      </c>
      <c r="M1100" s="134">
        <f t="shared" si="593"/>
        <v>0</v>
      </c>
      <c r="N1100" s="134">
        <f t="shared" si="593"/>
        <v>0</v>
      </c>
      <c r="O1100" s="134">
        <f t="shared" si="593"/>
        <v>0</v>
      </c>
      <c r="P1100" s="134">
        <f t="shared" si="593"/>
        <v>0</v>
      </c>
      <c r="Q1100" s="134">
        <f t="shared" si="593"/>
        <v>0</v>
      </c>
      <c r="R1100" s="134">
        <f t="shared" si="593"/>
        <v>0</v>
      </c>
      <c r="S1100" s="134">
        <f t="shared" si="593"/>
        <v>0</v>
      </c>
      <c r="T1100" s="134">
        <f t="shared" si="593"/>
        <v>0</v>
      </c>
      <c r="U1100" s="134">
        <f t="shared" si="593"/>
        <v>0</v>
      </c>
      <c r="V1100" s="134">
        <f t="shared" si="593"/>
        <v>0</v>
      </c>
      <c r="W1100" s="134">
        <f t="shared" si="593"/>
        <v>0</v>
      </c>
      <c r="X1100" s="134">
        <f t="shared" si="593"/>
        <v>0</v>
      </c>
    </row>
    <row r="1101" spans="2:24" hidden="1">
      <c r="B1101" s="132" t="str">
        <f t="shared" si="582"/>
        <v/>
      </c>
      <c r="C1101" s="132" t="str">
        <f t="shared" si="582"/>
        <v/>
      </c>
      <c r="D1101" s="132" t="str">
        <f t="shared" si="582"/>
        <v/>
      </c>
      <c r="E1101" s="132" t="str">
        <f t="shared" si="582"/>
        <v/>
      </c>
      <c r="F1101" s="132"/>
      <c r="G1101" s="132"/>
      <c r="H1101" s="132"/>
      <c r="I1101" s="132"/>
      <c r="J1101" s="132"/>
      <c r="K1101" s="134">
        <f t="shared" ref="K1101:X1101" si="594">IF(AND($C1101="B+R",$D1101="nie",$E1101="prace rozwojowe",LataProjekcji&lt;=Koniec_PR,Modul_badawczo_rozwojowy=tak),ROUND(K532,0),0)</f>
        <v>0</v>
      </c>
      <c r="L1101" s="134">
        <f t="shared" si="594"/>
        <v>0</v>
      </c>
      <c r="M1101" s="134">
        <f t="shared" si="594"/>
        <v>0</v>
      </c>
      <c r="N1101" s="134">
        <f t="shared" si="594"/>
        <v>0</v>
      </c>
      <c r="O1101" s="134">
        <f t="shared" si="594"/>
        <v>0</v>
      </c>
      <c r="P1101" s="134">
        <f t="shared" si="594"/>
        <v>0</v>
      </c>
      <c r="Q1101" s="134">
        <f t="shared" si="594"/>
        <v>0</v>
      </c>
      <c r="R1101" s="134">
        <f t="shared" si="594"/>
        <v>0</v>
      </c>
      <c r="S1101" s="134">
        <f t="shared" si="594"/>
        <v>0</v>
      </c>
      <c r="T1101" s="134">
        <f t="shared" si="594"/>
        <v>0</v>
      </c>
      <c r="U1101" s="134">
        <f t="shared" si="594"/>
        <v>0</v>
      </c>
      <c r="V1101" s="134">
        <f t="shared" si="594"/>
        <v>0</v>
      </c>
      <c r="W1101" s="134">
        <f t="shared" si="594"/>
        <v>0</v>
      </c>
      <c r="X1101" s="134">
        <f t="shared" si="594"/>
        <v>0</v>
      </c>
    </row>
    <row r="1102" spans="2:24" hidden="1">
      <c r="B1102" s="132" t="str">
        <f t="shared" si="582"/>
        <v/>
      </c>
      <c r="C1102" s="132" t="str">
        <f t="shared" si="582"/>
        <v/>
      </c>
      <c r="D1102" s="132" t="str">
        <f t="shared" si="582"/>
        <v/>
      </c>
      <c r="E1102" s="132" t="str">
        <f t="shared" si="582"/>
        <v/>
      </c>
      <c r="F1102" s="132"/>
      <c r="G1102" s="132"/>
      <c r="H1102" s="132"/>
      <c r="I1102" s="132"/>
      <c r="J1102" s="132"/>
      <c r="K1102" s="134">
        <f t="shared" ref="K1102:X1102" si="595">IF(AND($C1102="B+R",$D1102="nie",$E1102="prace rozwojowe",LataProjekcji&lt;=Koniec_PR,Modul_badawczo_rozwojowy=tak),ROUND(K533,0),0)</f>
        <v>0</v>
      </c>
      <c r="L1102" s="134">
        <f t="shared" si="595"/>
        <v>0</v>
      </c>
      <c r="M1102" s="134">
        <f t="shared" si="595"/>
        <v>0</v>
      </c>
      <c r="N1102" s="134">
        <f t="shared" si="595"/>
        <v>0</v>
      </c>
      <c r="O1102" s="134">
        <f t="shared" si="595"/>
        <v>0</v>
      </c>
      <c r="P1102" s="134">
        <f t="shared" si="595"/>
        <v>0</v>
      </c>
      <c r="Q1102" s="134">
        <f t="shared" si="595"/>
        <v>0</v>
      </c>
      <c r="R1102" s="134">
        <f t="shared" si="595"/>
        <v>0</v>
      </c>
      <c r="S1102" s="134">
        <f t="shared" si="595"/>
        <v>0</v>
      </c>
      <c r="T1102" s="134">
        <f t="shared" si="595"/>
        <v>0</v>
      </c>
      <c r="U1102" s="134">
        <f t="shared" si="595"/>
        <v>0</v>
      </c>
      <c r="V1102" s="134">
        <f t="shared" si="595"/>
        <v>0</v>
      </c>
      <c r="W1102" s="134">
        <f t="shared" si="595"/>
        <v>0</v>
      </c>
      <c r="X1102" s="134">
        <f t="shared" si="595"/>
        <v>0</v>
      </c>
    </row>
    <row r="1103" spans="2:24" hidden="1">
      <c r="B1103" s="132" t="str">
        <f t="shared" si="582"/>
        <v/>
      </c>
      <c r="C1103" s="132" t="str">
        <f t="shared" si="582"/>
        <v/>
      </c>
      <c r="D1103" s="132" t="str">
        <f t="shared" si="582"/>
        <v/>
      </c>
      <c r="E1103" s="132" t="str">
        <f t="shared" si="582"/>
        <v/>
      </c>
      <c r="F1103" s="132"/>
      <c r="G1103" s="132"/>
      <c r="H1103" s="132"/>
      <c r="I1103" s="132"/>
      <c r="J1103" s="132"/>
      <c r="K1103" s="134">
        <f t="shared" ref="K1103:X1103" si="596">IF(AND($C1103="B+R",$D1103="nie",$E1103="prace rozwojowe",LataProjekcji&lt;=Koniec_PR,Modul_badawczo_rozwojowy=tak),ROUND(K534,0),0)</f>
        <v>0</v>
      </c>
      <c r="L1103" s="134">
        <f t="shared" si="596"/>
        <v>0</v>
      </c>
      <c r="M1103" s="134">
        <f t="shared" si="596"/>
        <v>0</v>
      </c>
      <c r="N1103" s="134">
        <f t="shared" si="596"/>
        <v>0</v>
      </c>
      <c r="O1103" s="134">
        <f t="shared" si="596"/>
        <v>0</v>
      </c>
      <c r="P1103" s="134">
        <f t="shared" si="596"/>
        <v>0</v>
      </c>
      <c r="Q1103" s="134">
        <f t="shared" si="596"/>
        <v>0</v>
      </c>
      <c r="R1103" s="134">
        <f t="shared" si="596"/>
        <v>0</v>
      </c>
      <c r="S1103" s="134">
        <f t="shared" si="596"/>
        <v>0</v>
      </c>
      <c r="T1103" s="134">
        <f t="shared" si="596"/>
        <v>0</v>
      </c>
      <c r="U1103" s="134">
        <f t="shared" si="596"/>
        <v>0</v>
      </c>
      <c r="V1103" s="134">
        <f t="shared" si="596"/>
        <v>0</v>
      </c>
      <c r="W1103" s="134">
        <f t="shared" si="596"/>
        <v>0</v>
      </c>
      <c r="X1103" s="134">
        <f t="shared" si="596"/>
        <v>0</v>
      </c>
    </row>
    <row r="1104" spans="2:24" hidden="1">
      <c r="B1104" s="132" t="str">
        <f t="shared" si="582"/>
        <v/>
      </c>
      <c r="C1104" s="132" t="str">
        <f t="shared" si="582"/>
        <v/>
      </c>
      <c r="D1104" s="132" t="str">
        <f t="shared" si="582"/>
        <v/>
      </c>
      <c r="E1104" s="132" t="str">
        <f t="shared" si="582"/>
        <v/>
      </c>
      <c r="F1104" s="132"/>
      <c r="G1104" s="132"/>
      <c r="H1104" s="132"/>
      <c r="I1104" s="132"/>
      <c r="J1104" s="132"/>
      <c r="K1104" s="134">
        <f t="shared" ref="K1104:X1104" si="597">IF(AND($C1104="B+R",$D1104="nie",$E1104="prace rozwojowe",LataProjekcji&lt;=Koniec_PR,Modul_badawczo_rozwojowy=tak),ROUND(K535,0),0)</f>
        <v>0</v>
      </c>
      <c r="L1104" s="134">
        <f t="shared" si="597"/>
        <v>0</v>
      </c>
      <c r="M1104" s="134">
        <f t="shared" si="597"/>
        <v>0</v>
      </c>
      <c r="N1104" s="134">
        <f t="shared" si="597"/>
        <v>0</v>
      </c>
      <c r="O1104" s="134">
        <f t="shared" si="597"/>
        <v>0</v>
      </c>
      <c r="P1104" s="134">
        <f t="shared" si="597"/>
        <v>0</v>
      </c>
      <c r="Q1104" s="134">
        <f t="shared" si="597"/>
        <v>0</v>
      </c>
      <c r="R1104" s="134">
        <f t="shared" si="597"/>
        <v>0</v>
      </c>
      <c r="S1104" s="134">
        <f t="shared" si="597"/>
        <v>0</v>
      </c>
      <c r="T1104" s="134">
        <f t="shared" si="597"/>
        <v>0</v>
      </c>
      <c r="U1104" s="134">
        <f t="shared" si="597"/>
        <v>0</v>
      </c>
      <c r="V1104" s="134">
        <f t="shared" si="597"/>
        <v>0</v>
      </c>
      <c r="W1104" s="134">
        <f t="shared" si="597"/>
        <v>0</v>
      </c>
      <c r="X1104" s="134">
        <f t="shared" si="597"/>
        <v>0</v>
      </c>
    </row>
    <row r="1105" spans="2:24" hidden="1">
      <c r="B1105" s="132" t="str">
        <f t="shared" si="582"/>
        <v/>
      </c>
      <c r="C1105" s="132" t="str">
        <f t="shared" si="582"/>
        <v/>
      </c>
      <c r="D1105" s="132" t="str">
        <f t="shared" si="582"/>
        <v/>
      </c>
      <c r="E1105" s="132" t="str">
        <f t="shared" si="582"/>
        <v/>
      </c>
      <c r="F1105" s="132"/>
      <c r="G1105" s="132"/>
      <c r="H1105" s="132"/>
      <c r="I1105" s="132"/>
      <c r="J1105" s="132"/>
      <c r="K1105" s="134">
        <f t="shared" ref="K1105:X1105" si="598">IF(AND($C1105="B+R",$D1105="nie",$E1105="prace rozwojowe",LataProjekcji&lt;=Koniec_PR,Modul_badawczo_rozwojowy=tak),ROUND(K536,0),0)</f>
        <v>0</v>
      </c>
      <c r="L1105" s="134">
        <f t="shared" si="598"/>
        <v>0</v>
      </c>
      <c r="M1105" s="134">
        <f t="shared" si="598"/>
        <v>0</v>
      </c>
      <c r="N1105" s="134">
        <f t="shared" si="598"/>
        <v>0</v>
      </c>
      <c r="O1105" s="134">
        <f t="shared" si="598"/>
        <v>0</v>
      </c>
      <c r="P1105" s="134">
        <f t="shared" si="598"/>
        <v>0</v>
      </c>
      <c r="Q1105" s="134">
        <f t="shared" si="598"/>
        <v>0</v>
      </c>
      <c r="R1105" s="134">
        <f t="shared" si="598"/>
        <v>0</v>
      </c>
      <c r="S1105" s="134">
        <f t="shared" si="598"/>
        <v>0</v>
      </c>
      <c r="T1105" s="134">
        <f t="shared" si="598"/>
        <v>0</v>
      </c>
      <c r="U1105" s="134">
        <f t="shared" si="598"/>
        <v>0</v>
      </c>
      <c r="V1105" s="134">
        <f t="shared" si="598"/>
        <v>0</v>
      </c>
      <c r="W1105" s="134">
        <f t="shared" si="598"/>
        <v>0</v>
      </c>
      <c r="X1105" s="134">
        <f t="shared" si="598"/>
        <v>0</v>
      </c>
    </row>
    <row r="1106" spans="2:24" hidden="1">
      <c r="B1106" s="132" t="str">
        <f t="shared" si="582"/>
        <v/>
      </c>
      <c r="C1106" s="132" t="str">
        <f t="shared" si="582"/>
        <v/>
      </c>
      <c r="D1106" s="132" t="str">
        <f t="shared" si="582"/>
        <v/>
      </c>
      <c r="E1106" s="132" t="str">
        <f t="shared" si="582"/>
        <v/>
      </c>
      <c r="F1106" s="132"/>
      <c r="G1106" s="132"/>
      <c r="H1106" s="132"/>
      <c r="I1106" s="132"/>
      <c r="J1106" s="132"/>
      <c r="K1106" s="134">
        <f t="shared" ref="K1106:X1106" si="599">IF(AND($C1106="B+R",$D1106="nie",$E1106="prace rozwojowe",LataProjekcji&lt;=Koniec_PR,Modul_badawczo_rozwojowy=tak),ROUND(K537,0),0)</f>
        <v>0</v>
      </c>
      <c r="L1106" s="134">
        <f t="shared" si="599"/>
        <v>0</v>
      </c>
      <c r="M1106" s="134">
        <f t="shared" si="599"/>
        <v>0</v>
      </c>
      <c r="N1106" s="134">
        <f t="shared" si="599"/>
        <v>0</v>
      </c>
      <c r="O1106" s="134">
        <f t="shared" si="599"/>
        <v>0</v>
      </c>
      <c r="P1106" s="134">
        <f t="shared" si="599"/>
        <v>0</v>
      </c>
      <c r="Q1106" s="134">
        <f t="shared" si="599"/>
        <v>0</v>
      </c>
      <c r="R1106" s="134">
        <f t="shared" si="599"/>
        <v>0</v>
      </c>
      <c r="S1106" s="134">
        <f t="shared" si="599"/>
        <v>0</v>
      </c>
      <c r="T1106" s="134">
        <f t="shared" si="599"/>
        <v>0</v>
      </c>
      <c r="U1106" s="134">
        <f t="shared" si="599"/>
        <v>0</v>
      </c>
      <c r="V1106" s="134">
        <f t="shared" si="599"/>
        <v>0</v>
      </c>
      <c r="W1106" s="134">
        <f t="shared" si="599"/>
        <v>0</v>
      </c>
      <c r="X1106" s="134">
        <f t="shared" si="599"/>
        <v>0</v>
      </c>
    </row>
    <row r="1107" spans="2:24" hidden="1">
      <c r="B1107" s="132" t="str">
        <f t="shared" si="582"/>
        <v/>
      </c>
      <c r="C1107" s="132" t="str">
        <f t="shared" si="582"/>
        <v/>
      </c>
      <c r="D1107" s="132" t="str">
        <f t="shared" si="582"/>
        <v/>
      </c>
      <c r="E1107" s="132" t="str">
        <f t="shared" si="582"/>
        <v/>
      </c>
      <c r="F1107" s="132"/>
      <c r="G1107" s="132"/>
      <c r="H1107" s="132"/>
      <c r="I1107" s="132"/>
      <c r="J1107" s="132"/>
      <c r="K1107" s="134">
        <f t="shared" ref="K1107:X1107" si="600">IF(AND($C1107="B+R",$D1107="nie",$E1107="prace rozwojowe",LataProjekcji&lt;=Koniec_PR,Modul_badawczo_rozwojowy=tak),ROUND(K538,0),0)</f>
        <v>0</v>
      </c>
      <c r="L1107" s="134">
        <f t="shared" si="600"/>
        <v>0</v>
      </c>
      <c r="M1107" s="134">
        <f t="shared" si="600"/>
        <v>0</v>
      </c>
      <c r="N1107" s="134">
        <f t="shared" si="600"/>
        <v>0</v>
      </c>
      <c r="O1107" s="134">
        <f t="shared" si="600"/>
        <v>0</v>
      </c>
      <c r="P1107" s="134">
        <f t="shared" si="600"/>
        <v>0</v>
      </c>
      <c r="Q1107" s="134">
        <f t="shared" si="600"/>
        <v>0</v>
      </c>
      <c r="R1107" s="134">
        <f t="shared" si="600"/>
        <v>0</v>
      </c>
      <c r="S1107" s="134">
        <f t="shared" si="600"/>
        <v>0</v>
      </c>
      <c r="T1107" s="134">
        <f t="shared" si="600"/>
        <v>0</v>
      </c>
      <c r="U1107" s="134">
        <f t="shared" si="600"/>
        <v>0</v>
      </c>
      <c r="V1107" s="134">
        <f t="shared" si="600"/>
        <v>0</v>
      </c>
      <c r="W1107" s="134">
        <f t="shared" si="600"/>
        <v>0</v>
      </c>
      <c r="X1107" s="134">
        <f t="shared" si="600"/>
        <v>0</v>
      </c>
    </row>
    <row r="1108" spans="2:24" hidden="1">
      <c r="B1108" s="132" t="str">
        <f t="shared" si="582"/>
        <v/>
      </c>
      <c r="C1108" s="132" t="str">
        <f t="shared" si="582"/>
        <v/>
      </c>
      <c r="D1108" s="132" t="str">
        <f t="shared" si="582"/>
        <v/>
      </c>
      <c r="E1108" s="132" t="str">
        <f t="shared" si="582"/>
        <v/>
      </c>
      <c r="F1108" s="132"/>
      <c r="G1108" s="132"/>
      <c r="H1108" s="132"/>
      <c r="I1108" s="132"/>
      <c r="J1108" s="132"/>
      <c r="K1108" s="134">
        <f t="shared" ref="K1108:X1108" si="601">IF(AND($C1108="B+R",$D1108="nie",$E1108="prace rozwojowe",LataProjekcji&lt;=Koniec_PR,Modul_badawczo_rozwojowy=tak),ROUND(K539,0),0)</f>
        <v>0</v>
      </c>
      <c r="L1108" s="134">
        <f t="shared" si="601"/>
        <v>0</v>
      </c>
      <c r="M1108" s="134">
        <f t="shared" si="601"/>
        <v>0</v>
      </c>
      <c r="N1108" s="134">
        <f t="shared" si="601"/>
        <v>0</v>
      </c>
      <c r="O1108" s="134">
        <f t="shared" si="601"/>
        <v>0</v>
      </c>
      <c r="P1108" s="134">
        <f t="shared" si="601"/>
        <v>0</v>
      </c>
      <c r="Q1108" s="134">
        <f t="shared" si="601"/>
        <v>0</v>
      </c>
      <c r="R1108" s="134">
        <f t="shared" si="601"/>
        <v>0</v>
      </c>
      <c r="S1108" s="134">
        <f t="shared" si="601"/>
        <v>0</v>
      </c>
      <c r="T1108" s="134">
        <f t="shared" si="601"/>
        <v>0</v>
      </c>
      <c r="U1108" s="134">
        <f t="shared" si="601"/>
        <v>0</v>
      </c>
      <c r="V1108" s="134">
        <f t="shared" si="601"/>
        <v>0</v>
      </c>
      <c r="W1108" s="134">
        <f t="shared" si="601"/>
        <v>0</v>
      </c>
      <c r="X1108" s="134">
        <f t="shared" si="601"/>
        <v>0</v>
      </c>
    </row>
    <row r="1109" spans="2:24" hidden="1">
      <c r="B1109" s="132" t="str">
        <f t="shared" si="582"/>
        <v/>
      </c>
      <c r="C1109" s="132" t="str">
        <f t="shared" si="582"/>
        <v/>
      </c>
      <c r="D1109" s="132" t="str">
        <f t="shared" si="582"/>
        <v/>
      </c>
      <c r="E1109" s="132" t="str">
        <f t="shared" si="582"/>
        <v/>
      </c>
      <c r="F1109" s="132"/>
      <c r="G1109" s="132"/>
      <c r="H1109" s="132"/>
      <c r="I1109" s="132"/>
      <c r="J1109" s="132"/>
      <c r="K1109" s="134">
        <f t="shared" ref="K1109:X1109" si="602">IF(AND($C1109="B+R",$D1109="nie",$E1109="prace rozwojowe",LataProjekcji&lt;=Koniec_PR,Modul_badawczo_rozwojowy=tak),ROUND(K540,0),0)</f>
        <v>0</v>
      </c>
      <c r="L1109" s="134">
        <f t="shared" si="602"/>
        <v>0</v>
      </c>
      <c r="M1109" s="134">
        <f t="shared" si="602"/>
        <v>0</v>
      </c>
      <c r="N1109" s="134">
        <f t="shared" si="602"/>
        <v>0</v>
      </c>
      <c r="O1109" s="134">
        <f t="shared" si="602"/>
        <v>0</v>
      </c>
      <c r="P1109" s="134">
        <f t="shared" si="602"/>
        <v>0</v>
      </c>
      <c r="Q1109" s="134">
        <f t="shared" si="602"/>
        <v>0</v>
      </c>
      <c r="R1109" s="134">
        <f t="shared" si="602"/>
        <v>0</v>
      </c>
      <c r="S1109" s="134">
        <f t="shared" si="602"/>
        <v>0</v>
      </c>
      <c r="T1109" s="134">
        <f t="shared" si="602"/>
        <v>0</v>
      </c>
      <c r="U1109" s="134">
        <f t="shared" si="602"/>
        <v>0</v>
      </c>
      <c r="V1109" s="134">
        <f t="shared" si="602"/>
        <v>0</v>
      </c>
      <c r="W1109" s="134">
        <f t="shared" si="602"/>
        <v>0</v>
      </c>
      <c r="X1109" s="134">
        <f t="shared" si="602"/>
        <v>0</v>
      </c>
    </row>
    <row r="1110" spans="2:24" hidden="1">
      <c r="B1110" s="132" t="str">
        <f t="shared" si="582"/>
        <v/>
      </c>
      <c r="C1110" s="132" t="str">
        <f t="shared" si="582"/>
        <v/>
      </c>
      <c r="D1110" s="132" t="str">
        <f t="shared" si="582"/>
        <v/>
      </c>
      <c r="E1110" s="132" t="str">
        <f t="shared" si="582"/>
        <v/>
      </c>
      <c r="F1110" s="132"/>
      <c r="G1110" s="132"/>
      <c r="H1110" s="132"/>
      <c r="I1110" s="132"/>
      <c r="J1110" s="132"/>
      <c r="K1110" s="134">
        <f t="shared" ref="K1110:X1110" si="603">IF(AND($C1110="B+R",$D1110="nie",$E1110="prace rozwojowe",LataProjekcji&lt;=Koniec_PR,Modul_badawczo_rozwojowy=tak),ROUND(K541,0),0)</f>
        <v>0</v>
      </c>
      <c r="L1110" s="134">
        <f t="shared" si="603"/>
        <v>0</v>
      </c>
      <c r="M1110" s="134">
        <f t="shared" si="603"/>
        <v>0</v>
      </c>
      <c r="N1110" s="134">
        <f t="shared" si="603"/>
        <v>0</v>
      </c>
      <c r="O1110" s="134">
        <f t="shared" si="603"/>
        <v>0</v>
      </c>
      <c r="P1110" s="134">
        <f t="shared" si="603"/>
        <v>0</v>
      </c>
      <c r="Q1110" s="134">
        <f t="shared" si="603"/>
        <v>0</v>
      </c>
      <c r="R1110" s="134">
        <f t="shared" si="603"/>
        <v>0</v>
      </c>
      <c r="S1110" s="134">
        <f t="shared" si="603"/>
        <v>0</v>
      </c>
      <c r="T1110" s="134">
        <f t="shared" si="603"/>
        <v>0</v>
      </c>
      <c r="U1110" s="134">
        <f t="shared" si="603"/>
        <v>0</v>
      </c>
      <c r="V1110" s="134">
        <f t="shared" si="603"/>
        <v>0</v>
      </c>
      <c r="W1110" s="134">
        <f t="shared" si="603"/>
        <v>0</v>
      </c>
      <c r="X1110" s="134">
        <f t="shared" si="603"/>
        <v>0</v>
      </c>
    </row>
    <row r="1111" spans="2:24" hidden="1">
      <c r="B1111" s="132" t="str">
        <f t="shared" si="582"/>
        <v/>
      </c>
      <c r="C1111" s="132" t="str">
        <f t="shared" si="582"/>
        <v/>
      </c>
      <c r="D1111" s="132" t="str">
        <f t="shared" si="582"/>
        <v/>
      </c>
      <c r="E1111" s="132" t="str">
        <f t="shared" si="582"/>
        <v/>
      </c>
      <c r="F1111" s="132"/>
      <c r="G1111" s="132"/>
      <c r="H1111" s="132"/>
      <c r="I1111" s="132"/>
      <c r="J1111" s="132"/>
      <c r="K1111" s="134">
        <f t="shared" ref="K1111:X1111" si="604">IF(AND($C1111="B+R",$D1111="nie",$E1111="prace rozwojowe",LataProjekcji&lt;=Koniec_PR,Modul_badawczo_rozwojowy=tak),ROUND(K542,0),0)</f>
        <v>0</v>
      </c>
      <c r="L1111" s="134">
        <f t="shared" si="604"/>
        <v>0</v>
      </c>
      <c r="M1111" s="134">
        <f t="shared" si="604"/>
        <v>0</v>
      </c>
      <c r="N1111" s="134">
        <f t="shared" si="604"/>
        <v>0</v>
      </c>
      <c r="O1111" s="134">
        <f t="shared" si="604"/>
        <v>0</v>
      </c>
      <c r="P1111" s="134">
        <f t="shared" si="604"/>
        <v>0</v>
      </c>
      <c r="Q1111" s="134">
        <f t="shared" si="604"/>
        <v>0</v>
      </c>
      <c r="R1111" s="134">
        <f t="shared" si="604"/>
        <v>0</v>
      </c>
      <c r="S1111" s="134">
        <f t="shared" si="604"/>
        <v>0</v>
      </c>
      <c r="T1111" s="134">
        <f t="shared" si="604"/>
        <v>0</v>
      </c>
      <c r="U1111" s="134">
        <f t="shared" si="604"/>
        <v>0</v>
      </c>
      <c r="V1111" s="134">
        <f t="shared" si="604"/>
        <v>0</v>
      </c>
      <c r="W1111" s="134">
        <f t="shared" si="604"/>
        <v>0</v>
      </c>
      <c r="X1111" s="134">
        <f t="shared" si="604"/>
        <v>0</v>
      </c>
    </row>
    <row r="1112" spans="2:24" hidden="1">
      <c r="B1112" s="132" t="str">
        <f t="shared" si="582"/>
        <v/>
      </c>
      <c r="C1112" s="132" t="str">
        <f t="shared" si="582"/>
        <v/>
      </c>
      <c r="D1112" s="132" t="str">
        <f t="shared" si="582"/>
        <v/>
      </c>
      <c r="E1112" s="132" t="str">
        <f t="shared" si="582"/>
        <v/>
      </c>
      <c r="F1112" s="132"/>
      <c r="G1112" s="132"/>
      <c r="H1112" s="132"/>
      <c r="I1112" s="132"/>
      <c r="J1112" s="132"/>
      <c r="K1112" s="134">
        <f t="shared" ref="K1112:X1112" si="605">IF(AND($C1112="B+R",$D1112="nie",$E1112="prace rozwojowe",LataProjekcji&lt;=Koniec_PR,Modul_badawczo_rozwojowy=tak),ROUND(K543,0),0)</f>
        <v>0</v>
      </c>
      <c r="L1112" s="134">
        <f t="shared" si="605"/>
        <v>0</v>
      </c>
      <c r="M1112" s="134">
        <f t="shared" si="605"/>
        <v>0</v>
      </c>
      <c r="N1112" s="134">
        <f t="shared" si="605"/>
        <v>0</v>
      </c>
      <c r="O1112" s="134">
        <f t="shared" si="605"/>
        <v>0</v>
      </c>
      <c r="P1112" s="134">
        <f t="shared" si="605"/>
        <v>0</v>
      </c>
      <c r="Q1112" s="134">
        <f t="shared" si="605"/>
        <v>0</v>
      </c>
      <c r="R1112" s="134">
        <f t="shared" si="605"/>
        <v>0</v>
      </c>
      <c r="S1112" s="134">
        <f t="shared" si="605"/>
        <v>0</v>
      </c>
      <c r="T1112" s="134">
        <f t="shared" si="605"/>
        <v>0</v>
      </c>
      <c r="U1112" s="134">
        <f t="shared" si="605"/>
        <v>0</v>
      </c>
      <c r="V1112" s="134">
        <f t="shared" si="605"/>
        <v>0</v>
      </c>
      <c r="W1112" s="134">
        <f t="shared" si="605"/>
        <v>0</v>
      </c>
      <c r="X1112" s="134">
        <f t="shared" si="605"/>
        <v>0</v>
      </c>
    </row>
    <row r="1113" spans="2:24" hidden="1">
      <c r="B1113" s="132" t="str">
        <f t="shared" si="582"/>
        <v/>
      </c>
      <c r="C1113" s="132" t="str">
        <f t="shared" si="582"/>
        <v/>
      </c>
      <c r="D1113" s="132" t="str">
        <f t="shared" si="582"/>
        <v/>
      </c>
      <c r="E1113" s="132" t="str">
        <f t="shared" si="582"/>
        <v/>
      </c>
      <c r="F1113" s="132"/>
      <c r="G1113" s="132"/>
      <c r="H1113" s="132"/>
      <c r="I1113" s="132"/>
      <c r="J1113" s="132"/>
      <c r="K1113" s="134">
        <f t="shared" ref="K1113:X1113" si="606">IF(AND($C1113="B+R",$D1113="nie",$E1113="prace rozwojowe",LataProjekcji&lt;=Koniec_PR,Modul_badawczo_rozwojowy=tak),ROUND(K544,0),0)</f>
        <v>0</v>
      </c>
      <c r="L1113" s="134">
        <f t="shared" si="606"/>
        <v>0</v>
      </c>
      <c r="M1113" s="134">
        <f t="shared" si="606"/>
        <v>0</v>
      </c>
      <c r="N1113" s="134">
        <f t="shared" si="606"/>
        <v>0</v>
      </c>
      <c r="O1113" s="134">
        <f t="shared" si="606"/>
        <v>0</v>
      </c>
      <c r="P1113" s="134">
        <f t="shared" si="606"/>
        <v>0</v>
      </c>
      <c r="Q1113" s="134">
        <f t="shared" si="606"/>
        <v>0</v>
      </c>
      <c r="R1113" s="134">
        <f t="shared" si="606"/>
        <v>0</v>
      </c>
      <c r="S1113" s="134">
        <f t="shared" si="606"/>
        <v>0</v>
      </c>
      <c r="T1113" s="134">
        <f t="shared" si="606"/>
        <v>0</v>
      </c>
      <c r="U1113" s="134">
        <f t="shared" si="606"/>
        <v>0</v>
      </c>
      <c r="V1113" s="134">
        <f t="shared" si="606"/>
        <v>0</v>
      </c>
      <c r="W1113" s="134">
        <f t="shared" si="606"/>
        <v>0</v>
      </c>
      <c r="X1113" s="134">
        <f t="shared" si="606"/>
        <v>0</v>
      </c>
    </row>
    <row r="1114" spans="2:24" hidden="1">
      <c r="B1114" s="132" t="str">
        <f t="shared" si="582"/>
        <v/>
      </c>
      <c r="C1114" s="132" t="str">
        <f t="shared" si="582"/>
        <v/>
      </c>
      <c r="D1114" s="132" t="str">
        <f t="shared" si="582"/>
        <v/>
      </c>
      <c r="E1114" s="132" t="str">
        <f t="shared" si="582"/>
        <v/>
      </c>
      <c r="F1114" s="132"/>
      <c r="G1114" s="132"/>
      <c r="H1114" s="132"/>
      <c r="I1114" s="132"/>
      <c r="J1114" s="132"/>
      <c r="K1114" s="134">
        <f t="shared" ref="K1114:X1114" si="607">IF(AND($C1114="B+R",$D1114="nie",$E1114="prace rozwojowe",LataProjekcji&lt;=Koniec_PR,Modul_badawczo_rozwojowy=tak),ROUND(K545,0),0)</f>
        <v>0</v>
      </c>
      <c r="L1114" s="134">
        <f t="shared" si="607"/>
        <v>0</v>
      </c>
      <c r="M1114" s="134">
        <f t="shared" si="607"/>
        <v>0</v>
      </c>
      <c r="N1114" s="134">
        <f t="shared" si="607"/>
        <v>0</v>
      </c>
      <c r="O1114" s="134">
        <f t="shared" si="607"/>
        <v>0</v>
      </c>
      <c r="P1114" s="134">
        <f t="shared" si="607"/>
        <v>0</v>
      </c>
      <c r="Q1114" s="134">
        <f t="shared" si="607"/>
        <v>0</v>
      </c>
      <c r="R1114" s="134">
        <f t="shared" si="607"/>
        <v>0</v>
      </c>
      <c r="S1114" s="134">
        <f t="shared" si="607"/>
        <v>0</v>
      </c>
      <c r="T1114" s="134">
        <f t="shared" si="607"/>
        <v>0</v>
      </c>
      <c r="U1114" s="134">
        <f t="shared" si="607"/>
        <v>0</v>
      </c>
      <c r="V1114" s="134">
        <f t="shared" si="607"/>
        <v>0</v>
      </c>
      <c r="W1114" s="134">
        <f t="shared" si="607"/>
        <v>0</v>
      </c>
      <c r="X1114" s="134">
        <f t="shared" si="607"/>
        <v>0</v>
      </c>
    </row>
    <row r="1115" spans="2:24" hidden="1">
      <c r="B1115" s="132" t="str">
        <f t="shared" si="582"/>
        <v/>
      </c>
      <c r="C1115" s="132" t="str">
        <f t="shared" si="582"/>
        <v/>
      </c>
      <c r="D1115" s="132" t="str">
        <f t="shared" si="582"/>
        <v/>
      </c>
      <c r="E1115" s="132" t="str">
        <f t="shared" si="582"/>
        <v/>
      </c>
      <c r="F1115" s="132"/>
      <c r="G1115" s="132"/>
      <c r="H1115" s="132"/>
      <c r="I1115" s="132"/>
      <c r="J1115" s="132"/>
      <c r="K1115" s="134">
        <f t="shared" ref="K1115:X1115" si="608">IF(AND($C1115="B+R",$D1115="nie",$E1115="prace rozwojowe",LataProjekcji&lt;=Koniec_PR,Modul_badawczo_rozwojowy=tak),ROUND(K546,0),0)</f>
        <v>0</v>
      </c>
      <c r="L1115" s="134">
        <f t="shared" si="608"/>
        <v>0</v>
      </c>
      <c r="M1115" s="134">
        <f t="shared" si="608"/>
        <v>0</v>
      </c>
      <c r="N1115" s="134">
        <f t="shared" si="608"/>
        <v>0</v>
      </c>
      <c r="O1115" s="134">
        <f t="shared" si="608"/>
        <v>0</v>
      </c>
      <c r="P1115" s="134">
        <f t="shared" si="608"/>
        <v>0</v>
      </c>
      <c r="Q1115" s="134">
        <f t="shared" si="608"/>
        <v>0</v>
      </c>
      <c r="R1115" s="134">
        <f t="shared" si="608"/>
        <v>0</v>
      </c>
      <c r="S1115" s="134">
        <f t="shared" si="608"/>
        <v>0</v>
      </c>
      <c r="T1115" s="134">
        <f t="shared" si="608"/>
        <v>0</v>
      </c>
      <c r="U1115" s="134">
        <f t="shared" si="608"/>
        <v>0</v>
      </c>
      <c r="V1115" s="134">
        <f t="shared" si="608"/>
        <v>0</v>
      </c>
      <c r="W1115" s="134">
        <f t="shared" si="608"/>
        <v>0</v>
      </c>
      <c r="X1115" s="134">
        <f t="shared" si="608"/>
        <v>0</v>
      </c>
    </row>
    <row r="1116" spans="2:24" hidden="1">
      <c r="B1116" s="132" t="str">
        <f t="shared" si="582"/>
        <v/>
      </c>
      <c r="C1116" s="132" t="str">
        <f t="shared" si="582"/>
        <v/>
      </c>
      <c r="D1116" s="132" t="str">
        <f t="shared" si="582"/>
        <v/>
      </c>
      <c r="E1116" s="132" t="str">
        <f t="shared" si="582"/>
        <v/>
      </c>
      <c r="F1116" s="132"/>
      <c r="G1116" s="132"/>
      <c r="H1116" s="132"/>
      <c r="I1116" s="132"/>
      <c r="J1116" s="132"/>
      <c r="K1116" s="134">
        <f t="shared" ref="K1116:X1116" si="609">IF(AND($C1116="B+R",$D1116="nie",$E1116="prace rozwojowe",LataProjekcji&lt;=Koniec_PR,Modul_badawczo_rozwojowy=tak),ROUND(K547,0),0)</f>
        <v>0</v>
      </c>
      <c r="L1116" s="134">
        <f t="shared" si="609"/>
        <v>0</v>
      </c>
      <c r="M1116" s="134">
        <f t="shared" si="609"/>
        <v>0</v>
      </c>
      <c r="N1116" s="134">
        <f t="shared" si="609"/>
        <v>0</v>
      </c>
      <c r="O1116" s="134">
        <f t="shared" si="609"/>
        <v>0</v>
      </c>
      <c r="P1116" s="134">
        <f t="shared" si="609"/>
        <v>0</v>
      </c>
      <c r="Q1116" s="134">
        <f t="shared" si="609"/>
        <v>0</v>
      </c>
      <c r="R1116" s="134">
        <f t="shared" si="609"/>
        <v>0</v>
      </c>
      <c r="S1116" s="134">
        <f t="shared" si="609"/>
        <v>0</v>
      </c>
      <c r="T1116" s="134">
        <f t="shared" si="609"/>
        <v>0</v>
      </c>
      <c r="U1116" s="134">
        <f t="shared" si="609"/>
        <v>0</v>
      </c>
      <c r="V1116" s="134">
        <f t="shared" si="609"/>
        <v>0</v>
      </c>
      <c r="W1116" s="134">
        <f t="shared" si="609"/>
        <v>0</v>
      </c>
      <c r="X1116" s="134">
        <f t="shared" si="609"/>
        <v>0</v>
      </c>
    </row>
    <row r="1117" spans="2:24" hidden="1">
      <c r="B1117" s="132" t="str">
        <f t="shared" si="582"/>
        <v/>
      </c>
      <c r="C1117" s="132" t="str">
        <f t="shared" si="582"/>
        <v/>
      </c>
      <c r="D1117" s="132" t="str">
        <f t="shared" si="582"/>
        <v/>
      </c>
      <c r="E1117" s="132" t="str">
        <f t="shared" si="582"/>
        <v/>
      </c>
      <c r="F1117" s="132"/>
      <c r="G1117" s="132"/>
      <c r="H1117" s="132"/>
      <c r="I1117" s="132"/>
      <c r="J1117" s="132"/>
      <c r="K1117" s="134">
        <f t="shared" ref="K1117:X1117" si="610">IF(AND($C1117="B+R",$D1117="nie",$E1117="prace rozwojowe",LataProjekcji&lt;=Koniec_PR,Modul_badawczo_rozwojowy=tak),ROUND(K548,0),0)</f>
        <v>0</v>
      </c>
      <c r="L1117" s="134">
        <f t="shared" si="610"/>
        <v>0</v>
      </c>
      <c r="M1117" s="134">
        <f t="shared" si="610"/>
        <v>0</v>
      </c>
      <c r="N1117" s="134">
        <f t="shared" si="610"/>
        <v>0</v>
      </c>
      <c r="O1117" s="134">
        <f t="shared" si="610"/>
        <v>0</v>
      </c>
      <c r="P1117" s="134">
        <f t="shared" si="610"/>
        <v>0</v>
      </c>
      <c r="Q1117" s="134">
        <f t="shared" si="610"/>
        <v>0</v>
      </c>
      <c r="R1117" s="134">
        <f t="shared" si="610"/>
        <v>0</v>
      </c>
      <c r="S1117" s="134">
        <f t="shared" si="610"/>
        <v>0</v>
      </c>
      <c r="T1117" s="134">
        <f t="shared" si="610"/>
        <v>0</v>
      </c>
      <c r="U1117" s="134">
        <f t="shared" si="610"/>
        <v>0</v>
      </c>
      <c r="V1117" s="134">
        <f t="shared" si="610"/>
        <v>0</v>
      </c>
      <c r="W1117" s="134">
        <f t="shared" si="610"/>
        <v>0</v>
      </c>
      <c r="X1117" s="134">
        <f t="shared" si="610"/>
        <v>0</v>
      </c>
    </row>
    <row r="1118" spans="2:24" hidden="1">
      <c r="B1118" s="132" t="str">
        <f t="shared" si="582"/>
        <v/>
      </c>
      <c r="C1118" s="132" t="str">
        <f t="shared" si="582"/>
        <v/>
      </c>
      <c r="D1118" s="132" t="str">
        <f t="shared" si="582"/>
        <v/>
      </c>
      <c r="E1118" s="132" t="str">
        <f t="shared" si="582"/>
        <v/>
      </c>
      <c r="F1118" s="132"/>
      <c r="G1118" s="132"/>
      <c r="H1118" s="132"/>
      <c r="I1118" s="132"/>
      <c r="J1118" s="132"/>
      <c r="K1118" s="134">
        <f t="shared" ref="K1118:X1118" si="611">IF(AND($C1118="B+R",$D1118="nie",$E1118="prace rozwojowe",LataProjekcji&lt;=Koniec_PR,Modul_badawczo_rozwojowy=tak),ROUND(K549,0),0)</f>
        <v>0</v>
      </c>
      <c r="L1118" s="134">
        <f t="shared" si="611"/>
        <v>0</v>
      </c>
      <c r="M1118" s="134">
        <f t="shared" si="611"/>
        <v>0</v>
      </c>
      <c r="N1118" s="134">
        <f t="shared" si="611"/>
        <v>0</v>
      </c>
      <c r="O1118" s="134">
        <f t="shared" si="611"/>
        <v>0</v>
      </c>
      <c r="P1118" s="134">
        <f t="shared" si="611"/>
        <v>0</v>
      </c>
      <c r="Q1118" s="134">
        <f t="shared" si="611"/>
        <v>0</v>
      </c>
      <c r="R1118" s="134">
        <f t="shared" si="611"/>
        <v>0</v>
      </c>
      <c r="S1118" s="134">
        <f t="shared" si="611"/>
        <v>0</v>
      </c>
      <c r="T1118" s="134">
        <f t="shared" si="611"/>
        <v>0</v>
      </c>
      <c r="U1118" s="134">
        <f t="shared" si="611"/>
        <v>0</v>
      </c>
      <c r="V1118" s="134">
        <f t="shared" si="611"/>
        <v>0</v>
      </c>
      <c r="W1118" s="134">
        <f t="shared" si="611"/>
        <v>0</v>
      </c>
      <c r="X1118" s="134">
        <f t="shared" si="611"/>
        <v>0</v>
      </c>
    </row>
    <row r="1119" spans="2:24" hidden="1">
      <c r="B1119" s="132" t="str">
        <f t="shared" si="582"/>
        <v/>
      </c>
      <c r="C1119" s="132" t="str">
        <f t="shared" si="582"/>
        <v/>
      </c>
      <c r="D1119" s="132" t="str">
        <f t="shared" si="582"/>
        <v/>
      </c>
      <c r="E1119" s="132" t="str">
        <f t="shared" si="582"/>
        <v/>
      </c>
      <c r="F1119" s="132"/>
      <c r="G1119" s="132"/>
      <c r="H1119" s="132"/>
      <c r="I1119" s="132"/>
      <c r="J1119" s="132"/>
      <c r="K1119" s="134">
        <f t="shared" ref="K1119:X1119" si="612">IF(AND($C1119="B+R",$D1119="nie",$E1119="prace rozwojowe",LataProjekcji&lt;=Koniec_PR,Modul_badawczo_rozwojowy=tak),ROUND(K550,0),0)</f>
        <v>0</v>
      </c>
      <c r="L1119" s="134">
        <f t="shared" si="612"/>
        <v>0</v>
      </c>
      <c r="M1119" s="134">
        <f t="shared" si="612"/>
        <v>0</v>
      </c>
      <c r="N1119" s="134">
        <f t="shared" si="612"/>
        <v>0</v>
      </c>
      <c r="O1119" s="134">
        <f t="shared" si="612"/>
        <v>0</v>
      </c>
      <c r="P1119" s="134">
        <f t="shared" si="612"/>
        <v>0</v>
      </c>
      <c r="Q1119" s="134">
        <f t="shared" si="612"/>
        <v>0</v>
      </c>
      <c r="R1119" s="134">
        <f t="shared" si="612"/>
        <v>0</v>
      </c>
      <c r="S1119" s="134">
        <f t="shared" si="612"/>
        <v>0</v>
      </c>
      <c r="T1119" s="134">
        <f t="shared" si="612"/>
        <v>0</v>
      </c>
      <c r="U1119" s="134">
        <f t="shared" si="612"/>
        <v>0</v>
      </c>
      <c r="V1119" s="134">
        <f t="shared" si="612"/>
        <v>0</v>
      </c>
      <c r="W1119" s="134">
        <f t="shared" si="612"/>
        <v>0</v>
      </c>
      <c r="X1119" s="134">
        <f t="shared" si="612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3">ROUND(SUM(K1090:K1119),0)</f>
        <v>0</v>
      </c>
      <c r="L1120" s="135">
        <f t="shared" si="613"/>
        <v>0</v>
      </c>
      <c r="M1120" s="135">
        <f t="shared" si="613"/>
        <v>0</v>
      </c>
      <c r="N1120" s="135">
        <f t="shared" si="613"/>
        <v>0</v>
      </c>
      <c r="O1120" s="135">
        <f t="shared" si="613"/>
        <v>0</v>
      </c>
      <c r="P1120" s="135">
        <f t="shared" si="613"/>
        <v>0</v>
      </c>
      <c r="Q1120" s="135">
        <f t="shared" si="613"/>
        <v>0</v>
      </c>
      <c r="R1120" s="135">
        <f t="shared" si="613"/>
        <v>0</v>
      </c>
      <c r="S1120" s="135">
        <f t="shared" si="613"/>
        <v>0</v>
      </c>
      <c r="T1120" s="135">
        <f t="shared" si="613"/>
        <v>0</v>
      </c>
      <c r="U1120" s="135">
        <f t="shared" si="613"/>
        <v>0</v>
      </c>
      <c r="V1120" s="135">
        <f t="shared" si="613"/>
        <v>0</v>
      </c>
      <c r="W1120" s="135">
        <f t="shared" si="613"/>
        <v>0</v>
      </c>
      <c r="X1120" s="135">
        <f t="shared" si="613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4">D882</f>
        <v>0</v>
      </c>
      <c r="E1124" s="133">
        <f t="shared" si="614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4"/>
        <v>0</v>
      </c>
      <c r="E1125" s="133">
        <f t="shared" si="614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4"/>
        <v>0</v>
      </c>
      <c r="E1126" s="133">
        <f t="shared" si="614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4"/>
        <v>0</v>
      </c>
      <c r="E1127" s="133">
        <f t="shared" si="614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4"/>
        <v>0</v>
      </c>
      <c r="E1128" s="133">
        <f t="shared" si="614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5">ROUND(SUM(L1124:L1128),0)</f>
        <v>0</v>
      </c>
      <c r="M1129" s="135">
        <f t="shared" si="615"/>
        <v>0</v>
      </c>
      <c r="N1129" s="135">
        <f t="shared" si="615"/>
        <v>0</v>
      </c>
      <c r="O1129" s="135">
        <f t="shared" si="615"/>
        <v>0</v>
      </c>
      <c r="P1129" s="135">
        <f t="shared" si="615"/>
        <v>0</v>
      </c>
      <c r="Q1129" s="135">
        <f t="shared" si="615"/>
        <v>0</v>
      </c>
      <c r="R1129" s="135">
        <f t="shared" si="615"/>
        <v>0</v>
      </c>
      <c r="S1129" s="135">
        <f t="shared" si="615"/>
        <v>0</v>
      </c>
      <c r="T1129" s="135">
        <f t="shared" si="615"/>
        <v>0</v>
      </c>
      <c r="U1129" s="135">
        <f t="shared" si="615"/>
        <v>0</v>
      </c>
      <c r="V1129" s="135">
        <f t="shared" si="615"/>
        <v>0</v>
      </c>
      <c r="W1129" s="135">
        <f t="shared" si="615"/>
        <v>0</v>
      </c>
      <c r="X1129" s="135">
        <f t="shared" si="615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16">B891</f>
        <v/>
      </c>
      <c r="C1133" s="132" t="str">
        <f t="shared" si="616"/>
        <v/>
      </c>
      <c r="D1133" s="132" t="str">
        <f t="shared" si="616"/>
        <v/>
      </c>
      <c r="E1133" s="132" t="str">
        <f t="shared" si="616"/>
        <v/>
      </c>
      <c r="F1133" s="132"/>
      <c r="G1133" s="132"/>
      <c r="H1133" s="132"/>
      <c r="I1133" s="132"/>
      <c r="J1133" s="132"/>
      <c r="K1133" s="134">
        <f t="shared" ref="K1133:X1133" si="617">IF(AND($C1133="B+R",$D1133="nie",$E1133="prace rozwojowe",LataProjekcji&lt;=Koniec_PR,Modul_badawczo_rozwojowy=tak),ROUND(K586,0),0)</f>
        <v>0</v>
      </c>
      <c r="L1133" s="134">
        <f t="shared" si="617"/>
        <v>0</v>
      </c>
      <c r="M1133" s="134">
        <f t="shared" si="617"/>
        <v>0</v>
      </c>
      <c r="N1133" s="134">
        <f t="shared" si="617"/>
        <v>0</v>
      </c>
      <c r="O1133" s="134">
        <f t="shared" si="617"/>
        <v>0</v>
      </c>
      <c r="P1133" s="134">
        <f t="shared" si="617"/>
        <v>0</v>
      </c>
      <c r="Q1133" s="134">
        <f t="shared" si="617"/>
        <v>0</v>
      </c>
      <c r="R1133" s="134">
        <f t="shared" si="617"/>
        <v>0</v>
      </c>
      <c r="S1133" s="134">
        <f t="shared" si="617"/>
        <v>0</v>
      </c>
      <c r="T1133" s="134">
        <f t="shared" si="617"/>
        <v>0</v>
      </c>
      <c r="U1133" s="134">
        <f t="shared" si="617"/>
        <v>0</v>
      </c>
      <c r="V1133" s="134">
        <f t="shared" si="617"/>
        <v>0</v>
      </c>
      <c r="W1133" s="134">
        <f t="shared" si="617"/>
        <v>0</v>
      </c>
      <c r="X1133" s="134">
        <f t="shared" si="617"/>
        <v>0</v>
      </c>
    </row>
    <row r="1134" spans="2:24" hidden="1">
      <c r="B1134" s="132" t="str">
        <f t="shared" si="616"/>
        <v/>
      </c>
      <c r="C1134" s="132" t="str">
        <f t="shared" si="616"/>
        <v/>
      </c>
      <c r="D1134" s="132" t="str">
        <f t="shared" si="616"/>
        <v/>
      </c>
      <c r="E1134" s="132" t="str">
        <f t="shared" si="616"/>
        <v/>
      </c>
      <c r="F1134" s="132"/>
      <c r="G1134" s="132"/>
      <c r="H1134" s="132"/>
      <c r="I1134" s="132"/>
      <c r="J1134" s="132"/>
      <c r="K1134" s="134">
        <f t="shared" ref="K1134:X1134" si="618">IF(AND($C1134="B+R",$D1134="nie",$E1134="prace rozwojowe",LataProjekcji&lt;=Koniec_PR,Modul_badawczo_rozwojowy=tak),ROUND(K587,0),0)</f>
        <v>0</v>
      </c>
      <c r="L1134" s="134">
        <f t="shared" si="618"/>
        <v>0</v>
      </c>
      <c r="M1134" s="134">
        <f t="shared" si="618"/>
        <v>0</v>
      </c>
      <c r="N1134" s="134">
        <f t="shared" si="618"/>
        <v>0</v>
      </c>
      <c r="O1134" s="134">
        <f t="shared" si="618"/>
        <v>0</v>
      </c>
      <c r="P1134" s="134">
        <f t="shared" si="618"/>
        <v>0</v>
      </c>
      <c r="Q1134" s="134">
        <f t="shared" si="618"/>
        <v>0</v>
      </c>
      <c r="R1134" s="134">
        <f t="shared" si="618"/>
        <v>0</v>
      </c>
      <c r="S1134" s="134">
        <f t="shared" si="618"/>
        <v>0</v>
      </c>
      <c r="T1134" s="134">
        <f t="shared" si="618"/>
        <v>0</v>
      </c>
      <c r="U1134" s="134">
        <f t="shared" si="618"/>
        <v>0</v>
      </c>
      <c r="V1134" s="134">
        <f t="shared" si="618"/>
        <v>0</v>
      </c>
      <c r="W1134" s="134">
        <f t="shared" si="618"/>
        <v>0</v>
      </c>
      <c r="X1134" s="134">
        <f t="shared" si="618"/>
        <v>0</v>
      </c>
    </row>
    <row r="1135" spans="2:24" hidden="1">
      <c r="B1135" s="132" t="str">
        <f t="shared" si="616"/>
        <v/>
      </c>
      <c r="C1135" s="132" t="str">
        <f t="shared" si="616"/>
        <v/>
      </c>
      <c r="D1135" s="132" t="str">
        <f t="shared" si="616"/>
        <v/>
      </c>
      <c r="E1135" s="132" t="str">
        <f t="shared" si="616"/>
        <v/>
      </c>
      <c r="F1135" s="132"/>
      <c r="G1135" s="132"/>
      <c r="H1135" s="132"/>
      <c r="I1135" s="132"/>
      <c r="J1135" s="132"/>
      <c r="K1135" s="134">
        <f t="shared" ref="K1135:X1135" si="619">IF(AND($C1135="B+R",$D1135="nie",$E1135="prace rozwojowe",LataProjekcji&lt;=Koniec_PR,Modul_badawczo_rozwojowy=tak),ROUND(K588,0),0)</f>
        <v>0</v>
      </c>
      <c r="L1135" s="134">
        <f t="shared" si="619"/>
        <v>0</v>
      </c>
      <c r="M1135" s="134">
        <f t="shared" si="619"/>
        <v>0</v>
      </c>
      <c r="N1135" s="134">
        <f t="shared" si="619"/>
        <v>0</v>
      </c>
      <c r="O1135" s="134">
        <f t="shared" si="619"/>
        <v>0</v>
      </c>
      <c r="P1135" s="134">
        <f t="shared" si="619"/>
        <v>0</v>
      </c>
      <c r="Q1135" s="134">
        <f t="shared" si="619"/>
        <v>0</v>
      </c>
      <c r="R1135" s="134">
        <f t="shared" si="619"/>
        <v>0</v>
      </c>
      <c r="S1135" s="134">
        <f t="shared" si="619"/>
        <v>0</v>
      </c>
      <c r="T1135" s="134">
        <f t="shared" si="619"/>
        <v>0</v>
      </c>
      <c r="U1135" s="134">
        <f t="shared" si="619"/>
        <v>0</v>
      </c>
      <c r="V1135" s="134">
        <f t="shared" si="619"/>
        <v>0</v>
      </c>
      <c r="W1135" s="134">
        <f t="shared" si="619"/>
        <v>0</v>
      </c>
      <c r="X1135" s="134">
        <f t="shared" si="619"/>
        <v>0</v>
      </c>
    </row>
    <row r="1136" spans="2:24" hidden="1">
      <c r="B1136" s="132" t="str">
        <f t="shared" si="616"/>
        <v/>
      </c>
      <c r="C1136" s="132" t="str">
        <f t="shared" si="616"/>
        <v/>
      </c>
      <c r="D1136" s="132" t="str">
        <f t="shared" si="616"/>
        <v/>
      </c>
      <c r="E1136" s="132" t="str">
        <f t="shared" si="616"/>
        <v/>
      </c>
      <c r="F1136" s="132"/>
      <c r="G1136" s="132"/>
      <c r="H1136" s="132"/>
      <c r="I1136" s="132"/>
      <c r="J1136" s="132"/>
      <c r="K1136" s="134">
        <f t="shared" ref="K1136:X1136" si="620">IF(AND($C1136="B+R",$D1136="nie",$E1136="prace rozwojowe",LataProjekcji&lt;=Koniec_PR,Modul_badawczo_rozwojowy=tak),ROUND(K589,0),0)</f>
        <v>0</v>
      </c>
      <c r="L1136" s="134">
        <f t="shared" si="620"/>
        <v>0</v>
      </c>
      <c r="M1136" s="134">
        <f t="shared" si="620"/>
        <v>0</v>
      </c>
      <c r="N1136" s="134">
        <f t="shared" si="620"/>
        <v>0</v>
      </c>
      <c r="O1136" s="134">
        <f t="shared" si="620"/>
        <v>0</v>
      </c>
      <c r="P1136" s="134">
        <f t="shared" si="620"/>
        <v>0</v>
      </c>
      <c r="Q1136" s="134">
        <f t="shared" si="620"/>
        <v>0</v>
      </c>
      <c r="R1136" s="134">
        <f t="shared" si="620"/>
        <v>0</v>
      </c>
      <c r="S1136" s="134">
        <f t="shared" si="620"/>
        <v>0</v>
      </c>
      <c r="T1136" s="134">
        <f t="shared" si="620"/>
        <v>0</v>
      </c>
      <c r="U1136" s="134">
        <f t="shared" si="620"/>
        <v>0</v>
      </c>
      <c r="V1136" s="134">
        <f t="shared" si="620"/>
        <v>0</v>
      </c>
      <c r="W1136" s="134">
        <f t="shared" si="620"/>
        <v>0</v>
      </c>
      <c r="X1136" s="134">
        <f t="shared" si="620"/>
        <v>0</v>
      </c>
    </row>
    <row r="1137" spans="2:24" hidden="1">
      <c r="B1137" s="132" t="str">
        <f t="shared" si="616"/>
        <v/>
      </c>
      <c r="C1137" s="132" t="str">
        <f t="shared" si="616"/>
        <v/>
      </c>
      <c r="D1137" s="132" t="str">
        <f t="shared" si="616"/>
        <v/>
      </c>
      <c r="E1137" s="132" t="str">
        <f t="shared" si="616"/>
        <v/>
      </c>
      <c r="F1137" s="132"/>
      <c r="G1137" s="132"/>
      <c r="H1137" s="132"/>
      <c r="I1137" s="132"/>
      <c r="J1137" s="132"/>
      <c r="K1137" s="134">
        <f t="shared" ref="K1137:X1137" si="621">IF(AND($C1137="B+R",$D1137="nie",$E1137="prace rozwojowe",LataProjekcji&lt;=Koniec_PR,Modul_badawczo_rozwojowy=tak),ROUND(K590,0),0)</f>
        <v>0</v>
      </c>
      <c r="L1137" s="134">
        <f t="shared" si="621"/>
        <v>0</v>
      </c>
      <c r="M1137" s="134">
        <f t="shared" si="621"/>
        <v>0</v>
      </c>
      <c r="N1137" s="134">
        <f t="shared" si="621"/>
        <v>0</v>
      </c>
      <c r="O1137" s="134">
        <f t="shared" si="621"/>
        <v>0</v>
      </c>
      <c r="P1137" s="134">
        <f t="shared" si="621"/>
        <v>0</v>
      </c>
      <c r="Q1137" s="134">
        <f t="shared" si="621"/>
        <v>0</v>
      </c>
      <c r="R1137" s="134">
        <f t="shared" si="621"/>
        <v>0</v>
      </c>
      <c r="S1137" s="134">
        <f t="shared" si="621"/>
        <v>0</v>
      </c>
      <c r="T1137" s="134">
        <f t="shared" si="621"/>
        <v>0</v>
      </c>
      <c r="U1137" s="134">
        <f t="shared" si="621"/>
        <v>0</v>
      </c>
      <c r="V1137" s="134">
        <f t="shared" si="621"/>
        <v>0</v>
      </c>
      <c r="W1137" s="134">
        <f t="shared" si="621"/>
        <v>0</v>
      </c>
      <c r="X1137" s="134">
        <f t="shared" si="621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2">ROUND(SUM(L1133:L1137),0)</f>
        <v>0</v>
      </c>
      <c r="M1138" s="135">
        <f t="shared" si="622"/>
        <v>0</v>
      </c>
      <c r="N1138" s="135">
        <f t="shared" si="622"/>
        <v>0</v>
      </c>
      <c r="O1138" s="135">
        <f t="shared" si="622"/>
        <v>0</v>
      </c>
      <c r="P1138" s="135">
        <f t="shared" si="622"/>
        <v>0</v>
      </c>
      <c r="Q1138" s="135">
        <f t="shared" si="622"/>
        <v>0</v>
      </c>
      <c r="R1138" s="135">
        <f t="shared" si="622"/>
        <v>0</v>
      </c>
      <c r="S1138" s="135">
        <f t="shared" si="622"/>
        <v>0</v>
      </c>
      <c r="T1138" s="135">
        <f t="shared" si="622"/>
        <v>0</v>
      </c>
      <c r="U1138" s="135">
        <f t="shared" si="622"/>
        <v>0</v>
      </c>
      <c r="V1138" s="135">
        <f t="shared" si="622"/>
        <v>0</v>
      </c>
      <c r="W1138" s="135">
        <f t="shared" si="622"/>
        <v>0</v>
      </c>
      <c r="X1138" s="135">
        <f t="shared" si="622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3">B900</f>
        <v>Koszty z tytułu oprocentowania kredytów i pożyczek</v>
      </c>
      <c r="C1142" s="132" t="str">
        <f t="shared" si="623"/>
        <v/>
      </c>
      <c r="D1142" s="132" t="str">
        <f t="shared" si="623"/>
        <v/>
      </c>
      <c r="E1142" s="132" t="str">
        <f t="shared" si="623"/>
        <v/>
      </c>
      <c r="F1142" s="132"/>
      <c r="G1142" s="132"/>
      <c r="H1142" s="132"/>
      <c r="I1142" s="132"/>
      <c r="J1142" s="132"/>
      <c r="K1142" s="134">
        <f t="shared" ref="K1142:X1142" si="624">IF(AND($C1142="B+R",$D1142="nie",$E1142="prace rozwojowe",LataProjekcji&lt;=Koniec_PR,Modul_badawczo_rozwojowy=tak),ROUND(K595,0),0)</f>
        <v>0</v>
      </c>
      <c r="L1142" s="134">
        <f t="shared" si="624"/>
        <v>0</v>
      </c>
      <c r="M1142" s="134">
        <f t="shared" si="624"/>
        <v>0</v>
      </c>
      <c r="N1142" s="134">
        <f t="shared" si="624"/>
        <v>0</v>
      </c>
      <c r="O1142" s="134">
        <f t="shared" si="624"/>
        <v>0</v>
      </c>
      <c r="P1142" s="134">
        <f t="shared" si="624"/>
        <v>0</v>
      </c>
      <c r="Q1142" s="134">
        <f t="shared" si="624"/>
        <v>0</v>
      </c>
      <c r="R1142" s="134">
        <f t="shared" si="624"/>
        <v>0</v>
      </c>
      <c r="S1142" s="134">
        <f t="shared" si="624"/>
        <v>0</v>
      </c>
      <c r="T1142" s="134">
        <f t="shared" si="624"/>
        <v>0</v>
      </c>
      <c r="U1142" s="134">
        <f t="shared" si="624"/>
        <v>0</v>
      </c>
      <c r="V1142" s="134">
        <f t="shared" si="624"/>
        <v>0</v>
      </c>
      <c r="W1142" s="134">
        <f t="shared" si="624"/>
        <v>0</v>
      </c>
      <c r="X1142" s="134">
        <f t="shared" si="624"/>
        <v>0</v>
      </c>
    </row>
    <row r="1143" spans="2:24" hidden="1">
      <c r="B1143" s="132" t="str">
        <f t="shared" si="623"/>
        <v/>
      </c>
      <c r="C1143" s="132" t="str">
        <f t="shared" si="623"/>
        <v/>
      </c>
      <c r="D1143" s="132" t="str">
        <f t="shared" si="623"/>
        <v/>
      </c>
      <c r="E1143" s="132" t="str">
        <f t="shared" si="623"/>
        <v/>
      </c>
      <c r="F1143" s="132"/>
      <c r="G1143" s="132"/>
      <c r="H1143" s="132"/>
      <c r="I1143" s="132"/>
      <c r="J1143" s="132"/>
      <c r="K1143" s="134">
        <f t="shared" ref="K1143:X1143" si="625">IF(AND($C1143="B+R",$D1143="nie",$E1143="prace rozwojowe",LataProjekcji&lt;=Koniec_PR,Modul_badawczo_rozwojowy=tak),ROUND(K596,0),0)</f>
        <v>0</v>
      </c>
      <c r="L1143" s="134">
        <f t="shared" si="625"/>
        <v>0</v>
      </c>
      <c r="M1143" s="134">
        <f t="shared" si="625"/>
        <v>0</v>
      </c>
      <c r="N1143" s="134">
        <f t="shared" si="625"/>
        <v>0</v>
      </c>
      <c r="O1143" s="134">
        <f t="shared" si="625"/>
        <v>0</v>
      </c>
      <c r="P1143" s="134">
        <f t="shared" si="625"/>
        <v>0</v>
      </c>
      <c r="Q1143" s="134">
        <f t="shared" si="625"/>
        <v>0</v>
      </c>
      <c r="R1143" s="134">
        <f t="shared" si="625"/>
        <v>0</v>
      </c>
      <c r="S1143" s="134">
        <f t="shared" si="625"/>
        <v>0</v>
      </c>
      <c r="T1143" s="134">
        <f t="shared" si="625"/>
        <v>0</v>
      </c>
      <c r="U1143" s="134">
        <f t="shared" si="625"/>
        <v>0</v>
      </c>
      <c r="V1143" s="134">
        <f t="shared" si="625"/>
        <v>0</v>
      </c>
      <c r="W1143" s="134">
        <f t="shared" si="625"/>
        <v>0</v>
      </c>
      <c r="X1143" s="134">
        <f t="shared" si="625"/>
        <v>0</v>
      </c>
    </row>
    <row r="1144" spans="2:24" hidden="1">
      <c r="B1144" s="132" t="str">
        <f t="shared" si="623"/>
        <v/>
      </c>
      <c r="C1144" s="132" t="str">
        <f t="shared" si="623"/>
        <v/>
      </c>
      <c r="D1144" s="132" t="str">
        <f t="shared" si="623"/>
        <v/>
      </c>
      <c r="E1144" s="132" t="str">
        <f t="shared" si="623"/>
        <v/>
      </c>
      <c r="F1144" s="132"/>
      <c r="G1144" s="132"/>
      <c r="H1144" s="132"/>
      <c r="I1144" s="132"/>
      <c r="J1144" s="132"/>
      <c r="K1144" s="134">
        <f t="shared" ref="K1144:X1144" si="626">IF(AND($C1144="B+R",$D1144="nie",$E1144="prace rozwojowe",LataProjekcji&lt;=Koniec_PR,Modul_badawczo_rozwojowy=tak),ROUND(K597,0),0)</f>
        <v>0</v>
      </c>
      <c r="L1144" s="134">
        <f t="shared" si="626"/>
        <v>0</v>
      </c>
      <c r="M1144" s="134">
        <f t="shared" si="626"/>
        <v>0</v>
      </c>
      <c r="N1144" s="134">
        <f t="shared" si="626"/>
        <v>0</v>
      </c>
      <c r="O1144" s="134">
        <f t="shared" si="626"/>
        <v>0</v>
      </c>
      <c r="P1144" s="134">
        <f t="shared" si="626"/>
        <v>0</v>
      </c>
      <c r="Q1144" s="134">
        <f t="shared" si="626"/>
        <v>0</v>
      </c>
      <c r="R1144" s="134">
        <f t="shared" si="626"/>
        <v>0</v>
      </c>
      <c r="S1144" s="134">
        <f t="shared" si="626"/>
        <v>0</v>
      </c>
      <c r="T1144" s="134">
        <f t="shared" si="626"/>
        <v>0</v>
      </c>
      <c r="U1144" s="134">
        <f t="shared" si="626"/>
        <v>0</v>
      </c>
      <c r="V1144" s="134">
        <f t="shared" si="626"/>
        <v>0</v>
      </c>
      <c r="W1144" s="134">
        <f t="shared" si="626"/>
        <v>0</v>
      </c>
      <c r="X1144" s="134">
        <f t="shared" si="626"/>
        <v>0</v>
      </c>
    </row>
    <row r="1145" spans="2:24" hidden="1">
      <c r="B1145" s="132" t="str">
        <f t="shared" si="623"/>
        <v/>
      </c>
      <c r="C1145" s="132" t="str">
        <f t="shared" si="623"/>
        <v/>
      </c>
      <c r="D1145" s="132" t="str">
        <f t="shared" si="623"/>
        <v/>
      </c>
      <c r="E1145" s="132" t="str">
        <f t="shared" si="623"/>
        <v/>
      </c>
      <c r="F1145" s="132"/>
      <c r="G1145" s="132"/>
      <c r="H1145" s="132"/>
      <c r="I1145" s="132"/>
      <c r="J1145" s="132"/>
      <c r="K1145" s="134">
        <f t="shared" ref="K1145:X1145" si="627">IF(AND($C1145="B+R",$D1145="nie",$E1145="prace rozwojowe",LataProjekcji&lt;=Koniec_PR,Modul_badawczo_rozwojowy=tak),ROUND(K598,0),0)</f>
        <v>0</v>
      </c>
      <c r="L1145" s="134">
        <f t="shared" si="627"/>
        <v>0</v>
      </c>
      <c r="M1145" s="134">
        <f t="shared" si="627"/>
        <v>0</v>
      </c>
      <c r="N1145" s="134">
        <f t="shared" si="627"/>
        <v>0</v>
      </c>
      <c r="O1145" s="134">
        <f t="shared" si="627"/>
        <v>0</v>
      </c>
      <c r="P1145" s="134">
        <f t="shared" si="627"/>
        <v>0</v>
      </c>
      <c r="Q1145" s="134">
        <f t="shared" si="627"/>
        <v>0</v>
      </c>
      <c r="R1145" s="134">
        <f t="shared" si="627"/>
        <v>0</v>
      </c>
      <c r="S1145" s="134">
        <f t="shared" si="627"/>
        <v>0</v>
      </c>
      <c r="T1145" s="134">
        <f t="shared" si="627"/>
        <v>0</v>
      </c>
      <c r="U1145" s="134">
        <f t="shared" si="627"/>
        <v>0</v>
      </c>
      <c r="V1145" s="134">
        <f t="shared" si="627"/>
        <v>0</v>
      </c>
      <c r="W1145" s="134">
        <f t="shared" si="627"/>
        <v>0</v>
      </c>
      <c r="X1145" s="134">
        <f t="shared" si="627"/>
        <v>0</v>
      </c>
    </row>
    <row r="1146" spans="2:24" hidden="1">
      <c r="B1146" s="132" t="str">
        <f t="shared" si="623"/>
        <v/>
      </c>
      <c r="C1146" s="132" t="str">
        <f t="shared" si="623"/>
        <v/>
      </c>
      <c r="D1146" s="132" t="str">
        <f t="shared" si="623"/>
        <v/>
      </c>
      <c r="E1146" s="132" t="str">
        <f t="shared" si="623"/>
        <v/>
      </c>
      <c r="F1146" s="132"/>
      <c r="G1146" s="132"/>
      <c r="H1146" s="132"/>
      <c r="I1146" s="132"/>
      <c r="J1146" s="132"/>
      <c r="K1146" s="134">
        <f t="shared" ref="K1146:X1146" si="628">IF(AND($C1146="B+R",$D1146="nie",$E1146="prace rozwojowe",LataProjekcji&lt;=Koniec_PR,Modul_badawczo_rozwojowy=tak),ROUND(K599,0),0)</f>
        <v>0</v>
      </c>
      <c r="L1146" s="134">
        <f t="shared" si="628"/>
        <v>0</v>
      </c>
      <c r="M1146" s="134">
        <f t="shared" si="628"/>
        <v>0</v>
      </c>
      <c r="N1146" s="134">
        <f t="shared" si="628"/>
        <v>0</v>
      </c>
      <c r="O1146" s="134">
        <f t="shared" si="628"/>
        <v>0</v>
      </c>
      <c r="P1146" s="134">
        <f t="shared" si="628"/>
        <v>0</v>
      </c>
      <c r="Q1146" s="134">
        <f t="shared" si="628"/>
        <v>0</v>
      </c>
      <c r="R1146" s="134">
        <f t="shared" si="628"/>
        <v>0</v>
      </c>
      <c r="S1146" s="134">
        <f t="shared" si="628"/>
        <v>0</v>
      </c>
      <c r="T1146" s="134">
        <f t="shared" si="628"/>
        <v>0</v>
      </c>
      <c r="U1146" s="134">
        <f t="shared" si="628"/>
        <v>0</v>
      </c>
      <c r="V1146" s="134">
        <f t="shared" si="628"/>
        <v>0</v>
      </c>
      <c r="W1146" s="134">
        <f t="shared" si="628"/>
        <v>0</v>
      </c>
      <c r="X1146" s="134">
        <f t="shared" si="628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29">ROUND(SUM(L1142:L1146),0)</f>
        <v>0</v>
      </c>
      <c r="M1147" s="135">
        <f t="shared" si="629"/>
        <v>0</v>
      </c>
      <c r="N1147" s="135">
        <f t="shared" si="629"/>
        <v>0</v>
      </c>
      <c r="O1147" s="135">
        <f t="shared" si="629"/>
        <v>0</v>
      </c>
      <c r="P1147" s="135">
        <f t="shared" si="629"/>
        <v>0</v>
      </c>
      <c r="Q1147" s="135">
        <f t="shared" si="629"/>
        <v>0</v>
      </c>
      <c r="R1147" s="135">
        <f t="shared" si="629"/>
        <v>0</v>
      </c>
      <c r="S1147" s="135">
        <f t="shared" si="629"/>
        <v>0</v>
      </c>
      <c r="T1147" s="135">
        <f t="shared" si="629"/>
        <v>0</v>
      </c>
      <c r="U1147" s="135">
        <f t="shared" si="629"/>
        <v>0</v>
      </c>
      <c r="V1147" s="135">
        <f t="shared" si="629"/>
        <v>0</v>
      </c>
      <c r="W1147" s="135">
        <f t="shared" si="629"/>
        <v>0</v>
      </c>
      <c r="X1147" s="135">
        <f t="shared" si="629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0">IF(LataProjekcji&lt;=Koniec_Projekt,ROUND(K963,0),0)</f>
        <v>0</v>
      </c>
      <c r="L1151" s="136">
        <f t="shared" si="630"/>
        <v>0</v>
      </c>
      <c r="M1151" s="136">
        <f t="shared" si="630"/>
        <v>0</v>
      </c>
      <c r="N1151" s="136">
        <f t="shared" si="630"/>
        <v>0</v>
      </c>
      <c r="O1151" s="136">
        <f t="shared" si="630"/>
        <v>0</v>
      </c>
      <c r="P1151" s="136">
        <f t="shared" si="630"/>
        <v>0</v>
      </c>
      <c r="Q1151" s="136">
        <f t="shared" si="630"/>
        <v>0</v>
      </c>
      <c r="R1151" s="136">
        <f t="shared" si="630"/>
        <v>0</v>
      </c>
      <c r="S1151" s="136">
        <f t="shared" si="630"/>
        <v>0</v>
      </c>
      <c r="T1151" s="136">
        <f t="shared" si="630"/>
        <v>0</v>
      </c>
      <c r="U1151" s="136">
        <f t="shared" si="630"/>
        <v>0</v>
      </c>
      <c r="V1151" s="136">
        <f t="shared" si="630"/>
        <v>0</v>
      </c>
      <c r="W1151" s="136">
        <f t="shared" si="630"/>
        <v>0</v>
      </c>
      <c r="X1151" s="136">
        <f t="shared" si="630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1">IF(LataProjekcji&lt;=Koniec_Projekt,ROUND(K987,0),0)</f>
        <v>0</v>
      </c>
      <c r="L1152" s="136">
        <f t="shared" si="631"/>
        <v>0</v>
      </c>
      <c r="M1152" s="136">
        <f t="shared" si="631"/>
        <v>0</v>
      </c>
      <c r="N1152" s="136">
        <f t="shared" si="631"/>
        <v>0</v>
      </c>
      <c r="O1152" s="136">
        <f t="shared" si="631"/>
        <v>0</v>
      </c>
      <c r="P1152" s="136">
        <f t="shared" si="631"/>
        <v>0</v>
      </c>
      <c r="Q1152" s="136">
        <f t="shared" si="631"/>
        <v>0</v>
      </c>
      <c r="R1152" s="136">
        <f t="shared" si="631"/>
        <v>0</v>
      </c>
      <c r="S1152" s="136">
        <f t="shared" si="631"/>
        <v>0</v>
      </c>
      <c r="T1152" s="136">
        <f t="shared" si="631"/>
        <v>0</v>
      </c>
      <c r="U1152" s="136">
        <f t="shared" si="631"/>
        <v>0</v>
      </c>
      <c r="V1152" s="136">
        <f t="shared" si="631"/>
        <v>0</v>
      </c>
      <c r="W1152" s="136">
        <f t="shared" si="631"/>
        <v>0</v>
      </c>
      <c r="X1152" s="136">
        <f t="shared" si="631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2">IF(LataProjekcji&lt;=Koniec_Projekt,ROUND(K996,0),0)</f>
        <v>0</v>
      </c>
      <c r="L1153" s="136">
        <f t="shared" si="632"/>
        <v>0</v>
      </c>
      <c r="M1153" s="136">
        <f t="shared" si="632"/>
        <v>0</v>
      </c>
      <c r="N1153" s="136">
        <f t="shared" si="632"/>
        <v>0</v>
      </c>
      <c r="O1153" s="136">
        <f t="shared" si="632"/>
        <v>0</v>
      </c>
      <c r="P1153" s="136">
        <f t="shared" si="632"/>
        <v>0</v>
      </c>
      <c r="Q1153" s="136">
        <f t="shared" si="632"/>
        <v>0</v>
      </c>
      <c r="R1153" s="136">
        <f t="shared" si="632"/>
        <v>0</v>
      </c>
      <c r="S1153" s="136">
        <f t="shared" si="632"/>
        <v>0</v>
      </c>
      <c r="T1153" s="136">
        <f t="shared" si="632"/>
        <v>0</v>
      </c>
      <c r="U1153" s="136">
        <f t="shared" si="632"/>
        <v>0</v>
      </c>
      <c r="V1153" s="136">
        <f t="shared" si="632"/>
        <v>0</v>
      </c>
      <c r="W1153" s="136">
        <f t="shared" si="632"/>
        <v>0</v>
      </c>
      <c r="X1153" s="136">
        <f t="shared" si="632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3">IF(LataProjekcji&lt;=Koniec_Projekt,ROUND(K1041,0),0)</f>
        <v>0</v>
      </c>
      <c r="L1154" s="136">
        <f t="shared" si="633"/>
        <v>0</v>
      </c>
      <c r="M1154" s="136">
        <f t="shared" si="633"/>
        <v>0</v>
      </c>
      <c r="N1154" s="136">
        <f t="shared" si="633"/>
        <v>0</v>
      </c>
      <c r="O1154" s="136">
        <f t="shared" si="633"/>
        <v>0</v>
      </c>
      <c r="P1154" s="136">
        <f t="shared" si="633"/>
        <v>0</v>
      </c>
      <c r="Q1154" s="136">
        <f t="shared" si="633"/>
        <v>0</v>
      </c>
      <c r="R1154" s="136">
        <f t="shared" si="633"/>
        <v>0</v>
      </c>
      <c r="S1154" s="136">
        <f t="shared" si="633"/>
        <v>0</v>
      </c>
      <c r="T1154" s="136">
        <f t="shared" si="633"/>
        <v>0</v>
      </c>
      <c r="U1154" s="136">
        <f t="shared" si="633"/>
        <v>0</v>
      </c>
      <c r="V1154" s="136">
        <f t="shared" si="633"/>
        <v>0</v>
      </c>
      <c r="W1154" s="136">
        <f t="shared" si="633"/>
        <v>0</v>
      </c>
      <c r="X1154" s="136">
        <f t="shared" si="633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4">IF(LataProjekcji&lt;=Koniec_Projekt,ROUND(K1086,0),0)</f>
        <v>0</v>
      </c>
      <c r="L1155" s="136">
        <f t="shared" si="634"/>
        <v>0</v>
      </c>
      <c r="M1155" s="136">
        <f t="shared" si="634"/>
        <v>0</v>
      </c>
      <c r="N1155" s="136">
        <f t="shared" si="634"/>
        <v>0</v>
      </c>
      <c r="O1155" s="136">
        <f t="shared" si="634"/>
        <v>0</v>
      </c>
      <c r="P1155" s="136">
        <f t="shared" si="634"/>
        <v>0</v>
      </c>
      <c r="Q1155" s="136">
        <f t="shared" si="634"/>
        <v>0</v>
      </c>
      <c r="R1155" s="136">
        <f t="shared" si="634"/>
        <v>0</v>
      </c>
      <c r="S1155" s="136">
        <f t="shared" si="634"/>
        <v>0</v>
      </c>
      <c r="T1155" s="136">
        <f t="shared" si="634"/>
        <v>0</v>
      </c>
      <c r="U1155" s="136">
        <f t="shared" si="634"/>
        <v>0</v>
      </c>
      <c r="V1155" s="136">
        <f t="shared" si="634"/>
        <v>0</v>
      </c>
      <c r="W1155" s="136">
        <f t="shared" si="634"/>
        <v>0</v>
      </c>
      <c r="X1155" s="136">
        <f t="shared" si="634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5">IF(LataProjekcji&lt;=Koniec_Projekt,ROUND(K1120,0),0)</f>
        <v>0</v>
      </c>
      <c r="L1156" s="136">
        <f t="shared" si="635"/>
        <v>0</v>
      </c>
      <c r="M1156" s="136">
        <f t="shared" si="635"/>
        <v>0</v>
      </c>
      <c r="N1156" s="136">
        <f t="shared" si="635"/>
        <v>0</v>
      </c>
      <c r="O1156" s="136">
        <f t="shared" si="635"/>
        <v>0</v>
      </c>
      <c r="P1156" s="136">
        <f t="shared" si="635"/>
        <v>0</v>
      </c>
      <c r="Q1156" s="136">
        <f t="shared" si="635"/>
        <v>0</v>
      </c>
      <c r="R1156" s="136">
        <f t="shared" si="635"/>
        <v>0</v>
      </c>
      <c r="S1156" s="136">
        <f t="shared" si="635"/>
        <v>0</v>
      </c>
      <c r="T1156" s="136">
        <f t="shared" si="635"/>
        <v>0</v>
      </c>
      <c r="U1156" s="136">
        <f t="shared" si="635"/>
        <v>0</v>
      </c>
      <c r="V1156" s="136">
        <f t="shared" si="635"/>
        <v>0</v>
      </c>
      <c r="W1156" s="136">
        <f t="shared" si="635"/>
        <v>0</v>
      </c>
      <c r="X1156" s="136">
        <f t="shared" si="635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36">IF(LataProjekcji&lt;=Koniec_Projekt,K1129,0)</f>
        <v>0</v>
      </c>
      <c r="L1157" s="136">
        <f t="shared" si="636"/>
        <v>0</v>
      </c>
      <c r="M1157" s="136">
        <f t="shared" si="636"/>
        <v>0</v>
      </c>
      <c r="N1157" s="136">
        <f t="shared" si="636"/>
        <v>0</v>
      </c>
      <c r="O1157" s="136">
        <f t="shared" si="636"/>
        <v>0</v>
      </c>
      <c r="P1157" s="136">
        <f t="shared" si="636"/>
        <v>0</v>
      </c>
      <c r="Q1157" s="136">
        <f t="shared" si="636"/>
        <v>0</v>
      </c>
      <c r="R1157" s="136">
        <f t="shared" si="636"/>
        <v>0</v>
      </c>
      <c r="S1157" s="136">
        <f t="shared" si="636"/>
        <v>0</v>
      </c>
      <c r="T1157" s="136">
        <f t="shared" si="636"/>
        <v>0</v>
      </c>
      <c r="U1157" s="136">
        <f t="shared" si="636"/>
        <v>0</v>
      </c>
      <c r="V1157" s="136">
        <f t="shared" si="636"/>
        <v>0</v>
      </c>
      <c r="W1157" s="136">
        <f t="shared" si="636"/>
        <v>0</v>
      </c>
      <c r="X1157" s="136">
        <f t="shared" si="636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37">IF(LataProjekcji&lt;=Koniec_Projekt,ROUND(K1138,0),0)</f>
        <v>0</v>
      </c>
      <c r="L1158" s="136">
        <f t="shared" si="637"/>
        <v>0</v>
      </c>
      <c r="M1158" s="136">
        <f t="shared" si="637"/>
        <v>0</v>
      </c>
      <c r="N1158" s="136">
        <f t="shared" si="637"/>
        <v>0</v>
      </c>
      <c r="O1158" s="136">
        <f t="shared" si="637"/>
        <v>0</v>
      </c>
      <c r="P1158" s="136">
        <f t="shared" si="637"/>
        <v>0</v>
      </c>
      <c r="Q1158" s="136">
        <f t="shared" si="637"/>
        <v>0</v>
      </c>
      <c r="R1158" s="136">
        <f t="shared" si="637"/>
        <v>0</v>
      </c>
      <c r="S1158" s="136">
        <f t="shared" si="637"/>
        <v>0</v>
      </c>
      <c r="T1158" s="136">
        <f t="shared" si="637"/>
        <v>0</v>
      </c>
      <c r="U1158" s="136">
        <f t="shared" si="637"/>
        <v>0</v>
      </c>
      <c r="V1158" s="136">
        <f t="shared" si="637"/>
        <v>0</v>
      </c>
      <c r="W1158" s="136">
        <f t="shared" si="637"/>
        <v>0</v>
      </c>
      <c r="X1158" s="136">
        <f t="shared" si="637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38">IF(LataProjekcji&lt;=Koniec_Projekt,ROUND(K1147,0),0)</f>
        <v>0</v>
      </c>
      <c r="L1159" s="136">
        <f t="shared" si="638"/>
        <v>0</v>
      </c>
      <c r="M1159" s="136">
        <f t="shared" si="638"/>
        <v>0</v>
      </c>
      <c r="N1159" s="136">
        <f t="shared" si="638"/>
        <v>0</v>
      </c>
      <c r="O1159" s="136">
        <f t="shared" si="638"/>
        <v>0</v>
      </c>
      <c r="P1159" s="136">
        <f t="shared" si="638"/>
        <v>0</v>
      </c>
      <c r="Q1159" s="136">
        <f t="shared" si="638"/>
        <v>0</v>
      </c>
      <c r="R1159" s="136">
        <f t="shared" si="638"/>
        <v>0</v>
      </c>
      <c r="S1159" s="136">
        <f t="shared" si="638"/>
        <v>0</v>
      </c>
      <c r="T1159" s="136">
        <f t="shared" si="638"/>
        <v>0</v>
      </c>
      <c r="U1159" s="136">
        <f t="shared" si="638"/>
        <v>0</v>
      </c>
      <c r="V1159" s="136">
        <f t="shared" si="638"/>
        <v>0</v>
      </c>
      <c r="W1159" s="136">
        <f t="shared" si="638"/>
        <v>0</v>
      </c>
      <c r="X1159" s="136">
        <f t="shared" si="638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39">ROUND(SUM(L1151:L1159),0)</f>
        <v>0</v>
      </c>
      <c r="M1160" s="139">
        <f t="shared" si="639"/>
        <v>0</v>
      </c>
      <c r="N1160" s="139">
        <f t="shared" si="639"/>
        <v>0</v>
      </c>
      <c r="O1160" s="139">
        <f t="shared" si="639"/>
        <v>0</v>
      </c>
      <c r="P1160" s="139">
        <f t="shared" si="639"/>
        <v>0</v>
      </c>
      <c r="Q1160" s="139">
        <f t="shared" si="639"/>
        <v>0</v>
      </c>
      <c r="R1160" s="139">
        <f t="shared" si="639"/>
        <v>0</v>
      </c>
      <c r="S1160" s="139">
        <f t="shared" si="639"/>
        <v>0</v>
      </c>
      <c r="T1160" s="139">
        <f t="shared" si="639"/>
        <v>0</v>
      </c>
      <c r="U1160" s="139">
        <f t="shared" si="639"/>
        <v>0</v>
      </c>
      <c r="V1160" s="139">
        <f t="shared" si="639"/>
        <v>0</v>
      </c>
      <c r="W1160" s="139">
        <f t="shared" si="639"/>
        <v>0</v>
      </c>
      <c r="X1160" s="139">
        <f t="shared" si="639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0">LataProjekcji</f>
        <v>Uzupełnij dane</v>
      </c>
      <c r="L1163" s="129" t="str">
        <f t="shared" si="640"/>
        <v/>
      </c>
      <c r="M1163" s="129" t="str">
        <f t="shared" si="640"/>
        <v/>
      </c>
      <c r="N1163" s="129" t="str">
        <f t="shared" si="640"/>
        <v/>
      </c>
      <c r="O1163" s="129" t="str">
        <f t="shared" si="640"/>
        <v/>
      </c>
      <c r="P1163" s="129" t="str">
        <f t="shared" si="640"/>
        <v/>
      </c>
      <c r="Q1163" s="129" t="str">
        <f t="shared" si="640"/>
        <v/>
      </c>
      <c r="R1163" s="129" t="str">
        <f t="shared" si="640"/>
        <v/>
      </c>
      <c r="S1163" s="129" t="str">
        <f t="shared" si="640"/>
        <v/>
      </c>
      <c r="T1163" s="129" t="str">
        <f t="shared" si="640"/>
        <v/>
      </c>
      <c r="U1163" s="129" t="str">
        <f t="shared" si="640"/>
        <v/>
      </c>
      <c r="V1163" s="129" t="str">
        <f t="shared" si="640"/>
        <v/>
      </c>
      <c r="W1163" s="129" t="str">
        <f t="shared" si="640"/>
        <v/>
      </c>
      <c r="X1163" s="129" t="str">
        <f t="shared" si="640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1">ROUND(K1165+L1160,0)</f>
        <v>0</v>
      </c>
      <c r="M1165" s="139">
        <f t="shared" si="641"/>
        <v>0</v>
      </c>
      <c r="N1165" s="139">
        <f t="shared" si="641"/>
        <v>0</v>
      </c>
      <c r="O1165" s="139">
        <f t="shared" si="641"/>
        <v>0</v>
      </c>
      <c r="P1165" s="139">
        <f t="shared" si="641"/>
        <v>0</v>
      </c>
      <c r="Q1165" s="139">
        <f t="shared" si="641"/>
        <v>0</v>
      </c>
      <c r="R1165" s="139">
        <f t="shared" si="641"/>
        <v>0</v>
      </c>
      <c r="S1165" s="139">
        <f t="shared" si="641"/>
        <v>0</v>
      </c>
      <c r="T1165" s="139">
        <f t="shared" si="641"/>
        <v>0</v>
      </c>
      <c r="U1165" s="139">
        <f t="shared" si="641"/>
        <v>0</v>
      </c>
      <c r="V1165" s="139">
        <f t="shared" si="641"/>
        <v>0</v>
      </c>
      <c r="W1165" s="139">
        <f t="shared" si="641"/>
        <v>0</v>
      </c>
      <c r="X1165" s="139">
        <f t="shared" si="641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258"/>
      <c r="B1168" s="140" t="s">
        <v>777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258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2">IF(LataProjekcji&lt;=Koniec_PR,K1160,0)</f>
        <v>0</v>
      </c>
      <c r="L1170" s="143">
        <f t="shared" si="642"/>
        <v>0</v>
      </c>
      <c r="M1170" s="143">
        <f t="shared" si="642"/>
        <v>0</v>
      </c>
      <c r="N1170" s="143">
        <f t="shared" si="642"/>
        <v>0</v>
      </c>
      <c r="O1170" s="143">
        <f t="shared" si="642"/>
        <v>0</v>
      </c>
      <c r="P1170" s="143">
        <f t="shared" si="642"/>
        <v>0</v>
      </c>
      <c r="Q1170" s="143">
        <f t="shared" si="642"/>
        <v>0</v>
      </c>
      <c r="R1170" s="143">
        <f t="shared" si="642"/>
        <v>0</v>
      </c>
      <c r="S1170" s="143">
        <f t="shared" si="642"/>
        <v>0</v>
      </c>
      <c r="T1170" s="143">
        <f t="shared" si="642"/>
        <v>0</v>
      </c>
      <c r="U1170" s="143">
        <f t="shared" si="642"/>
        <v>0</v>
      </c>
      <c r="V1170" s="143">
        <f t="shared" si="642"/>
        <v>0</v>
      </c>
      <c r="W1170" s="143">
        <f t="shared" si="642"/>
        <v>0</v>
      </c>
      <c r="X1170" s="143">
        <f t="shared" si="642"/>
        <v>0</v>
      </c>
    </row>
    <row r="1171" spans="1:24" hidden="1">
      <c r="A1171" s="258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3">IF(LataProjekcji&lt;Koniec_PR,K1170,0)</f>
        <v>0</v>
      </c>
      <c r="L1171" s="146">
        <f t="shared" si="643"/>
        <v>0</v>
      </c>
      <c r="M1171" s="146">
        <f t="shared" si="643"/>
        <v>0</v>
      </c>
      <c r="N1171" s="146">
        <f t="shared" si="643"/>
        <v>0</v>
      </c>
      <c r="O1171" s="146">
        <f t="shared" si="643"/>
        <v>0</v>
      </c>
      <c r="P1171" s="146">
        <f t="shared" si="643"/>
        <v>0</v>
      </c>
      <c r="Q1171" s="146">
        <f t="shared" si="643"/>
        <v>0</v>
      </c>
      <c r="R1171" s="146">
        <f t="shared" si="643"/>
        <v>0</v>
      </c>
      <c r="S1171" s="146">
        <f t="shared" si="643"/>
        <v>0</v>
      </c>
      <c r="T1171" s="146">
        <f t="shared" si="643"/>
        <v>0</v>
      </c>
      <c r="U1171" s="146">
        <f t="shared" si="643"/>
        <v>0</v>
      </c>
      <c r="V1171" s="146">
        <f t="shared" si="643"/>
        <v>0</v>
      </c>
      <c r="W1171" s="146">
        <f t="shared" si="643"/>
        <v>0</v>
      </c>
      <c r="X1171" s="146">
        <f t="shared" si="643"/>
        <v>0</v>
      </c>
    </row>
    <row r="1172" spans="1:24" hidden="1">
      <c r="A1172" s="258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4">IF(K1163=Koniec_PR,K1165,0)</f>
        <v>0</v>
      </c>
      <c r="L1172" s="146">
        <f t="shared" si="644"/>
        <v>0</v>
      </c>
      <c r="M1172" s="146">
        <f t="shared" si="644"/>
        <v>0</v>
      </c>
      <c r="N1172" s="146">
        <f t="shared" si="644"/>
        <v>0</v>
      </c>
      <c r="O1172" s="146">
        <f t="shared" si="644"/>
        <v>0</v>
      </c>
      <c r="P1172" s="146">
        <f t="shared" si="644"/>
        <v>0</v>
      </c>
      <c r="Q1172" s="146">
        <f t="shared" si="644"/>
        <v>0</v>
      </c>
      <c r="R1172" s="146">
        <f t="shared" si="644"/>
        <v>0</v>
      </c>
      <c r="S1172" s="146">
        <f t="shared" si="644"/>
        <v>0</v>
      </c>
      <c r="T1172" s="146">
        <f t="shared" si="644"/>
        <v>0</v>
      </c>
      <c r="U1172" s="146">
        <f t="shared" si="644"/>
        <v>0</v>
      </c>
      <c r="V1172" s="146">
        <f t="shared" si="644"/>
        <v>0</v>
      </c>
      <c r="W1172" s="146">
        <f t="shared" si="644"/>
        <v>0</v>
      </c>
      <c r="X1172" s="146">
        <f t="shared" si="644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675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5">LataProjekcji</f>
        <v>Uzupełnij dane</v>
      </c>
      <c r="L1181" s="63" t="str">
        <f t="shared" si="645"/>
        <v/>
      </c>
      <c r="M1181" s="63" t="str">
        <f t="shared" si="645"/>
        <v/>
      </c>
      <c r="N1181" s="63" t="str">
        <f t="shared" si="645"/>
        <v/>
      </c>
      <c r="O1181" s="63" t="str">
        <f t="shared" si="645"/>
        <v/>
      </c>
      <c r="P1181" s="63" t="str">
        <f t="shared" si="645"/>
        <v/>
      </c>
      <c r="Q1181" s="63" t="str">
        <f t="shared" si="645"/>
        <v/>
      </c>
      <c r="R1181" s="63" t="str">
        <f t="shared" si="645"/>
        <v/>
      </c>
      <c r="S1181" s="63" t="str">
        <f t="shared" si="645"/>
        <v/>
      </c>
      <c r="T1181" s="63" t="str">
        <f t="shared" si="645"/>
        <v/>
      </c>
      <c r="U1181" s="63" t="str">
        <f t="shared" si="645"/>
        <v/>
      </c>
      <c r="V1181" s="63" t="str">
        <f t="shared" si="645"/>
        <v/>
      </c>
      <c r="W1181" s="63" t="str">
        <f t="shared" si="645"/>
        <v/>
      </c>
      <c r="X1181" s="63" t="str">
        <f t="shared" si="645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58" t="str">
        <f t="shared" ref="B1184:E1203" si="646">IF(ISBLANK(B701),"",B701)</f>
        <v/>
      </c>
      <c r="C1184" s="58" t="str">
        <f t="shared" si="646"/>
        <v/>
      </c>
      <c r="D1184" s="58" t="str">
        <f t="shared" si="646"/>
        <v/>
      </c>
      <c r="E1184" s="58" t="str">
        <f t="shared" si="646"/>
        <v/>
      </c>
      <c r="F1184" s="58"/>
      <c r="G1184" s="58"/>
      <c r="H1184" s="58"/>
      <c r="I1184" s="58"/>
      <c r="J1184" s="58"/>
      <c r="K1184" s="59">
        <f t="shared" ref="K1184:X1184" si="647">IF(AND($D1184="tak",$E1184="prace rozwojowe",Modul_badawczo_rozwojowy=tak),ROUND(K701*K139,0),0)</f>
        <v>0</v>
      </c>
      <c r="L1184" s="59">
        <f t="shared" si="647"/>
        <v>0</v>
      </c>
      <c r="M1184" s="59">
        <f t="shared" si="647"/>
        <v>0</v>
      </c>
      <c r="N1184" s="59">
        <f t="shared" si="647"/>
        <v>0</v>
      </c>
      <c r="O1184" s="59">
        <f t="shared" si="647"/>
        <v>0</v>
      </c>
      <c r="P1184" s="59">
        <f t="shared" si="647"/>
        <v>0</v>
      </c>
      <c r="Q1184" s="59">
        <f t="shared" si="647"/>
        <v>0</v>
      </c>
      <c r="R1184" s="59">
        <f t="shared" si="647"/>
        <v>0</v>
      </c>
      <c r="S1184" s="59">
        <f t="shared" si="647"/>
        <v>0</v>
      </c>
      <c r="T1184" s="59">
        <f t="shared" si="647"/>
        <v>0</v>
      </c>
      <c r="U1184" s="59">
        <f t="shared" si="647"/>
        <v>0</v>
      </c>
      <c r="V1184" s="59">
        <f t="shared" si="647"/>
        <v>0</v>
      </c>
      <c r="W1184" s="59">
        <f t="shared" si="647"/>
        <v>0</v>
      </c>
      <c r="X1184" s="59">
        <f t="shared" si="647"/>
        <v>0</v>
      </c>
    </row>
    <row r="1185" spans="1:24" hidden="1">
      <c r="A1185" s="258"/>
      <c r="B1185" s="58" t="str">
        <f t="shared" si="646"/>
        <v/>
      </c>
      <c r="C1185" s="58" t="str">
        <f t="shared" si="646"/>
        <v/>
      </c>
      <c r="D1185" s="58" t="str">
        <f t="shared" si="646"/>
        <v/>
      </c>
      <c r="E1185" s="58" t="str">
        <f t="shared" si="646"/>
        <v/>
      </c>
      <c r="F1185" s="58"/>
      <c r="G1185" s="58"/>
      <c r="H1185" s="58"/>
      <c r="I1185" s="58"/>
      <c r="J1185" s="58"/>
      <c r="K1185" s="59">
        <f t="shared" ref="K1185:X1185" si="648">IF(AND($D1185="tak",$E1185="prace rozwojowe",Modul_badawczo_rozwojowy=tak),ROUND(K702*K140,0),0)</f>
        <v>0</v>
      </c>
      <c r="L1185" s="59">
        <f t="shared" si="648"/>
        <v>0</v>
      </c>
      <c r="M1185" s="59">
        <f t="shared" si="648"/>
        <v>0</v>
      </c>
      <c r="N1185" s="59">
        <f t="shared" si="648"/>
        <v>0</v>
      </c>
      <c r="O1185" s="59">
        <f t="shared" si="648"/>
        <v>0</v>
      </c>
      <c r="P1185" s="59">
        <f t="shared" si="648"/>
        <v>0</v>
      </c>
      <c r="Q1185" s="59">
        <f t="shared" si="648"/>
        <v>0</v>
      </c>
      <c r="R1185" s="59">
        <f t="shared" si="648"/>
        <v>0</v>
      </c>
      <c r="S1185" s="59">
        <f t="shared" si="648"/>
        <v>0</v>
      </c>
      <c r="T1185" s="59">
        <f t="shared" si="648"/>
        <v>0</v>
      </c>
      <c r="U1185" s="59">
        <f t="shared" si="648"/>
        <v>0</v>
      </c>
      <c r="V1185" s="59">
        <f t="shared" si="648"/>
        <v>0</v>
      </c>
      <c r="W1185" s="59">
        <f t="shared" si="648"/>
        <v>0</v>
      </c>
      <c r="X1185" s="59">
        <f t="shared" si="648"/>
        <v>0</v>
      </c>
    </row>
    <row r="1186" spans="1:24" hidden="1">
      <c r="A1186" s="258"/>
      <c r="B1186" s="58" t="str">
        <f t="shared" si="646"/>
        <v/>
      </c>
      <c r="C1186" s="58" t="str">
        <f t="shared" si="646"/>
        <v/>
      </c>
      <c r="D1186" s="58" t="str">
        <f t="shared" si="646"/>
        <v/>
      </c>
      <c r="E1186" s="58" t="str">
        <f t="shared" si="646"/>
        <v/>
      </c>
      <c r="F1186" s="58"/>
      <c r="G1186" s="58"/>
      <c r="H1186" s="58"/>
      <c r="I1186" s="58"/>
      <c r="J1186" s="58"/>
      <c r="K1186" s="59">
        <f t="shared" ref="K1186:X1186" si="649">IF(AND($D1186="tak",$E1186="prace rozwojowe",Modul_badawczo_rozwojowy=tak),ROUND(K703*K141,0),0)</f>
        <v>0</v>
      </c>
      <c r="L1186" s="59">
        <f t="shared" si="649"/>
        <v>0</v>
      </c>
      <c r="M1186" s="59">
        <f t="shared" si="649"/>
        <v>0</v>
      </c>
      <c r="N1186" s="59">
        <f t="shared" si="649"/>
        <v>0</v>
      </c>
      <c r="O1186" s="59">
        <f t="shared" si="649"/>
        <v>0</v>
      </c>
      <c r="P1186" s="59">
        <f t="shared" si="649"/>
        <v>0</v>
      </c>
      <c r="Q1186" s="59">
        <f t="shared" si="649"/>
        <v>0</v>
      </c>
      <c r="R1186" s="59">
        <f t="shared" si="649"/>
        <v>0</v>
      </c>
      <c r="S1186" s="59">
        <f t="shared" si="649"/>
        <v>0</v>
      </c>
      <c r="T1186" s="59">
        <f t="shared" si="649"/>
        <v>0</v>
      </c>
      <c r="U1186" s="59">
        <f t="shared" si="649"/>
        <v>0</v>
      </c>
      <c r="V1186" s="59">
        <f t="shared" si="649"/>
        <v>0</v>
      </c>
      <c r="W1186" s="59">
        <f t="shared" si="649"/>
        <v>0</v>
      </c>
      <c r="X1186" s="59">
        <f t="shared" si="649"/>
        <v>0</v>
      </c>
    </row>
    <row r="1187" spans="1:24" hidden="1">
      <c r="A1187" s="258"/>
      <c r="B1187" s="58" t="str">
        <f t="shared" si="646"/>
        <v/>
      </c>
      <c r="C1187" s="58" t="str">
        <f t="shared" si="646"/>
        <v/>
      </c>
      <c r="D1187" s="58" t="str">
        <f t="shared" si="646"/>
        <v/>
      </c>
      <c r="E1187" s="58" t="str">
        <f t="shared" si="646"/>
        <v/>
      </c>
      <c r="F1187" s="58"/>
      <c r="G1187" s="58"/>
      <c r="H1187" s="58"/>
      <c r="I1187" s="58"/>
      <c r="J1187" s="58"/>
      <c r="K1187" s="59">
        <f t="shared" ref="K1187:X1187" si="650">IF(AND($D1187="tak",$E1187="prace rozwojowe",Modul_badawczo_rozwojowy=tak),ROUND(K704*K142,0),0)</f>
        <v>0</v>
      </c>
      <c r="L1187" s="59">
        <f t="shared" si="650"/>
        <v>0</v>
      </c>
      <c r="M1187" s="59">
        <f t="shared" si="650"/>
        <v>0</v>
      </c>
      <c r="N1187" s="59">
        <f t="shared" si="650"/>
        <v>0</v>
      </c>
      <c r="O1187" s="59">
        <f t="shared" si="650"/>
        <v>0</v>
      </c>
      <c r="P1187" s="59">
        <f t="shared" si="650"/>
        <v>0</v>
      </c>
      <c r="Q1187" s="59">
        <f t="shared" si="650"/>
        <v>0</v>
      </c>
      <c r="R1187" s="59">
        <f t="shared" si="650"/>
        <v>0</v>
      </c>
      <c r="S1187" s="59">
        <f t="shared" si="650"/>
        <v>0</v>
      </c>
      <c r="T1187" s="59">
        <f t="shared" si="650"/>
        <v>0</v>
      </c>
      <c r="U1187" s="59">
        <f t="shared" si="650"/>
        <v>0</v>
      </c>
      <c r="V1187" s="59">
        <f t="shared" si="650"/>
        <v>0</v>
      </c>
      <c r="W1187" s="59">
        <f t="shared" si="650"/>
        <v>0</v>
      </c>
      <c r="X1187" s="59">
        <f t="shared" si="650"/>
        <v>0</v>
      </c>
    </row>
    <row r="1188" spans="1:24" hidden="1">
      <c r="A1188" s="258"/>
      <c r="B1188" s="58" t="str">
        <f t="shared" si="646"/>
        <v/>
      </c>
      <c r="C1188" s="58" t="str">
        <f t="shared" si="646"/>
        <v/>
      </c>
      <c r="D1188" s="58" t="str">
        <f t="shared" si="646"/>
        <v/>
      </c>
      <c r="E1188" s="58" t="str">
        <f t="shared" si="646"/>
        <v/>
      </c>
      <c r="F1188" s="58"/>
      <c r="G1188" s="58"/>
      <c r="H1188" s="58"/>
      <c r="I1188" s="58"/>
      <c r="J1188" s="58"/>
      <c r="K1188" s="59">
        <f t="shared" ref="K1188:X1188" si="651">IF(AND($D1188="tak",$E1188="prace rozwojowe",Modul_badawczo_rozwojowy=tak),ROUND(K705*K143,0),0)</f>
        <v>0</v>
      </c>
      <c r="L1188" s="59">
        <f t="shared" si="651"/>
        <v>0</v>
      </c>
      <c r="M1188" s="59">
        <f t="shared" si="651"/>
        <v>0</v>
      </c>
      <c r="N1188" s="59">
        <f t="shared" si="651"/>
        <v>0</v>
      </c>
      <c r="O1188" s="59">
        <f t="shared" si="651"/>
        <v>0</v>
      </c>
      <c r="P1188" s="59">
        <f t="shared" si="651"/>
        <v>0</v>
      </c>
      <c r="Q1188" s="59">
        <f t="shared" si="651"/>
        <v>0</v>
      </c>
      <c r="R1188" s="59">
        <f t="shared" si="651"/>
        <v>0</v>
      </c>
      <c r="S1188" s="59">
        <f t="shared" si="651"/>
        <v>0</v>
      </c>
      <c r="T1188" s="59">
        <f t="shared" si="651"/>
        <v>0</v>
      </c>
      <c r="U1188" s="59">
        <f t="shared" si="651"/>
        <v>0</v>
      </c>
      <c r="V1188" s="59">
        <f t="shared" si="651"/>
        <v>0</v>
      </c>
      <c r="W1188" s="59">
        <f t="shared" si="651"/>
        <v>0</v>
      </c>
      <c r="X1188" s="59">
        <f t="shared" si="651"/>
        <v>0</v>
      </c>
    </row>
    <row r="1189" spans="1:24" hidden="1">
      <c r="A1189" s="258"/>
      <c r="B1189" s="58" t="str">
        <f t="shared" si="646"/>
        <v/>
      </c>
      <c r="C1189" s="58" t="str">
        <f t="shared" si="646"/>
        <v/>
      </c>
      <c r="D1189" s="58" t="str">
        <f t="shared" si="646"/>
        <v/>
      </c>
      <c r="E1189" s="58" t="str">
        <f t="shared" si="646"/>
        <v/>
      </c>
      <c r="F1189" s="58"/>
      <c r="G1189" s="58"/>
      <c r="H1189" s="58"/>
      <c r="I1189" s="58"/>
      <c r="J1189" s="58"/>
      <c r="K1189" s="59">
        <f t="shared" ref="K1189:X1189" si="652">IF(AND($D1189="tak",$E1189="prace rozwojowe",Modul_badawczo_rozwojowy=tak),ROUND(K706*K144,0),0)</f>
        <v>0</v>
      </c>
      <c r="L1189" s="59">
        <f t="shared" si="652"/>
        <v>0</v>
      </c>
      <c r="M1189" s="59">
        <f t="shared" si="652"/>
        <v>0</v>
      </c>
      <c r="N1189" s="59">
        <f t="shared" si="652"/>
        <v>0</v>
      </c>
      <c r="O1189" s="59">
        <f t="shared" si="652"/>
        <v>0</v>
      </c>
      <c r="P1189" s="59">
        <f t="shared" si="652"/>
        <v>0</v>
      </c>
      <c r="Q1189" s="59">
        <f t="shared" si="652"/>
        <v>0</v>
      </c>
      <c r="R1189" s="59">
        <f t="shared" si="652"/>
        <v>0</v>
      </c>
      <c r="S1189" s="59">
        <f t="shared" si="652"/>
        <v>0</v>
      </c>
      <c r="T1189" s="59">
        <f t="shared" si="652"/>
        <v>0</v>
      </c>
      <c r="U1189" s="59">
        <f t="shared" si="652"/>
        <v>0</v>
      </c>
      <c r="V1189" s="59">
        <f t="shared" si="652"/>
        <v>0</v>
      </c>
      <c r="W1189" s="59">
        <f t="shared" si="652"/>
        <v>0</v>
      </c>
      <c r="X1189" s="59">
        <f t="shared" si="652"/>
        <v>0</v>
      </c>
    </row>
    <row r="1190" spans="1:24" hidden="1">
      <c r="A1190" s="258"/>
      <c r="B1190" s="58" t="str">
        <f t="shared" si="646"/>
        <v/>
      </c>
      <c r="C1190" s="58" t="str">
        <f t="shared" si="646"/>
        <v/>
      </c>
      <c r="D1190" s="58" t="str">
        <f t="shared" si="646"/>
        <v/>
      </c>
      <c r="E1190" s="58" t="str">
        <f t="shared" si="646"/>
        <v/>
      </c>
      <c r="F1190" s="58"/>
      <c r="G1190" s="58"/>
      <c r="H1190" s="58"/>
      <c r="I1190" s="58"/>
      <c r="J1190" s="58"/>
      <c r="K1190" s="59">
        <f t="shared" ref="K1190:X1190" si="653">IF(AND($D1190="tak",$E1190="prace rozwojowe",Modul_badawczo_rozwojowy=tak),ROUND(K707*K145,0),0)</f>
        <v>0</v>
      </c>
      <c r="L1190" s="59">
        <f t="shared" si="653"/>
        <v>0</v>
      </c>
      <c r="M1190" s="59">
        <f t="shared" si="653"/>
        <v>0</v>
      </c>
      <c r="N1190" s="59">
        <f t="shared" si="653"/>
        <v>0</v>
      </c>
      <c r="O1190" s="59">
        <f t="shared" si="653"/>
        <v>0</v>
      </c>
      <c r="P1190" s="59">
        <f t="shared" si="653"/>
        <v>0</v>
      </c>
      <c r="Q1190" s="59">
        <f t="shared" si="653"/>
        <v>0</v>
      </c>
      <c r="R1190" s="59">
        <f t="shared" si="653"/>
        <v>0</v>
      </c>
      <c r="S1190" s="59">
        <f t="shared" si="653"/>
        <v>0</v>
      </c>
      <c r="T1190" s="59">
        <f t="shared" si="653"/>
        <v>0</v>
      </c>
      <c r="U1190" s="59">
        <f t="shared" si="653"/>
        <v>0</v>
      </c>
      <c r="V1190" s="59">
        <f t="shared" si="653"/>
        <v>0</v>
      </c>
      <c r="W1190" s="59">
        <f t="shared" si="653"/>
        <v>0</v>
      </c>
      <c r="X1190" s="59">
        <f t="shared" si="653"/>
        <v>0</v>
      </c>
    </row>
    <row r="1191" spans="1:24" hidden="1">
      <c r="A1191" s="258"/>
      <c r="B1191" s="58" t="str">
        <f t="shared" si="646"/>
        <v/>
      </c>
      <c r="C1191" s="58" t="str">
        <f t="shared" si="646"/>
        <v/>
      </c>
      <c r="D1191" s="58" t="str">
        <f t="shared" si="646"/>
        <v/>
      </c>
      <c r="E1191" s="58" t="str">
        <f t="shared" si="646"/>
        <v/>
      </c>
      <c r="F1191" s="58"/>
      <c r="G1191" s="58"/>
      <c r="H1191" s="58"/>
      <c r="I1191" s="58"/>
      <c r="J1191" s="58"/>
      <c r="K1191" s="59">
        <f t="shared" ref="K1191:X1191" si="654">IF(AND($D1191="tak",$E1191="prace rozwojowe",Modul_badawczo_rozwojowy=tak),ROUND(K708*K146,0),0)</f>
        <v>0</v>
      </c>
      <c r="L1191" s="59">
        <f t="shared" si="654"/>
        <v>0</v>
      </c>
      <c r="M1191" s="59">
        <f t="shared" si="654"/>
        <v>0</v>
      </c>
      <c r="N1191" s="59">
        <f t="shared" si="654"/>
        <v>0</v>
      </c>
      <c r="O1191" s="59">
        <f t="shared" si="654"/>
        <v>0</v>
      </c>
      <c r="P1191" s="59">
        <f t="shared" si="654"/>
        <v>0</v>
      </c>
      <c r="Q1191" s="59">
        <f t="shared" si="654"/>
        <v>0</v>
      </c>
      <c r="R1191" s="59">
        <f t="shared" si="654"/>
        <v>0</v>
      </c>
      <c r="S1191" s="59">
        <f t="shared" si="654"/>
        <v>0</v>
      </c>
      <c r="T1191" s="59">
        <f t="shared" si="654"/>
        <v>0</v>
      </c>
      <c r="U1191" s="59">
        <f t="shared" si="654"/>
        <v>0</v>
      </c>
      <c r="V1191" s="59">
        <f t="shared" si="654"/>
        <v>0</v>
      </c>
      <c r="W1191" s="59">
        <f t="shared" si="654"/>
        <v>0</v>
      </c>
      <c r="X1191" s="59">
        <f t="shared" si="654"/>
        <v>0</v>
      </c>
    </row>
    <row r="1192" spans="1:24" hidden="1">
      <c r="A1192" s="258"/>
      <c r="B1192" s="58" t="str">
        <f t="shared" si="646"/>
        <v/>
      </c>
      <c r="C1192" s="58" t="str">
        <f t="shared" si="646"/>
        <v/>
      </c>
      <c r="D1192" s="58" t="str">
        <f t="shared" si="646"/>
        <v/>
      </c>
      <c r="E1192" s="58" t="str">
        <f t="shared" si="646"/>
        <v/>
      </c>
      <c r="F1192" s="58"/>
      <c r="G1192" s="58"/>
      <c r="H1192" s="58"/>
      <c r="I1192" s="58"/>
      <c r="J1192" s="58"/>
      <c r="K1192" s="59">
        <f t="shared" ref="K1192:X1192" si="655">IF(AND($D1192="tak",$E1192="prace rozwojowe",Modul_badawczo_rozwojowy=tak),ROUND(K709*K147,0),0)</f>
        <v>0</v>
      </c>
      <c r="L1192" s="59">
        <f t="shared" si="655"/>
        <v>0</v>
      </c>
      <c r="M1192" s="59">
        <f t="shared" si="655"/>
        <v>0</v>
      </c>
      <c r="N1192" s="59">
        <f t="shared" si="655"/>
        <v>0</v>
      </c>
      <c r="O1192" s="59">
        <f t="shared" si="655"/>
        <v>0</v>
      </c>
      <c r="P1192" s="59">
        <f t="shared" si="655"/>
        <v>0</v>
      </c>
      <c r="Q1192" s="59">
        <f t="shared" si="655"/>
        <v>0</v>
      </c>
      <c r="R1192" s="59">
        <f t="shared" si="655"/>
        <v>0</v>
      </c>
      <c r="S1192" s="59">
        <f t="shared" si="655"/>
        <v>0</v>
      </c>
      <c r="T1192" s="59">
        <f t="shared" si="655"/>
        <v>0</v>
      </c>
      <c r="U1192" s="59">
        <f t="shared" si="655"/>
        <v>0</v>
      </c>
      <c r="V1192" s="59">
        <f t="shared" si="655"/>
        <v>0</v>
      </c>
      <c r="W1192" s="59">
        <f t="shared" si="655"/>
        <v>0</v>
      </c>
      <c r="X1192" s="59">
        <f t="shared" si="655"/>
        <v>0</v>
      </c>
    </row>
    <row r="1193" spans="1:24" hidden="1">
      <c r="A1193" s="258"/>
      <c r="B1193" s="58" t="str">
        <f t="shared" si="646"/>
        <v/>
      </c>
      <c r="C1193" s="58" t="str">
        <f t="shared" si="646"/>
        <v/>
      </c>
      <c r="D1193" s="58" t="str">
        <f t="shared" si="646"/>
        <v/>
      </c>
      <c r="E1193" s="58" t="str">
        <f t="shared" si="646"/>
        <v/>
      </c>
      <c r="F1193" s="58"/>
      <c r="G1193" s="58"/>
      <c r="H1193" s="58"/>
      <c r="I1193" s="58"/>
      <c r="J1193" s="58"/>
      <c r="K1193" s="59">
        <f t="shared" ref="K1193:X1193" si="656">IF(AND($D1193="tak",$E1193="prace rozwojowe",Modul_badawczo_rozwojowy=tak),ROUND(K710*K148,0),0)</f>
        <v>0</v>
      </c>
      <c r="L1193" s="59">
        <f t="shared" si="656"/>
        <v>0</v>
      </c>
      <c r="M1193" s="59">
        <f t="shared" si="656"/>
        <v>0</v>
      </c>
      <c r="N1193" s="59">
        <f t="shared" si="656"/>
        <v>0</v>
      </c>
      <c r="O1193" s="59">
        <f t="shared" si="656"/>
        <v>0</v>
      </c>
      <c r="P1193" s="59">
        <f t="shared" si="656"/>
        <v>0</v>
      </c>
      <c r="Q1193" s="59">
        <f t="shared" si="656"/>
        <v>0</v>
      </c>
      <c r="R1193" s="59">
        <f t="shared" si="656"/>
        <v>0</v>
      </c>
      <c r="S1193" s="59">
        <f t="shared" si="656"/>
        <v>0</v>
      </c>
      <c r="T1193" s="59">
        <f t="shared" si="656"/>
        <v>0</v>
      </c>
      <c r="U1193" s="59">
        <f t="shared" si="656"/>
        <v>0</v>
      </c>
      <c r="V1193" s="59">
        <f t="shared" si="656"/>
        <v>0</v>
      </c>
      <c r="W1193" s="59">
        <f t="shared" si="656"/>
        <v>0</v>
      </c>
      <c r="X1193" s="59">
        <f t="shared" si="656"/>
        <v>0</v>
      </c>
    </row>
    <row r="1194" spans="1:24" hidden="1">
      <c r="A1194" s="258"/>
      <c r="B1194" s="58" t="str">
        <f t="shared" si="646"/>
        <v/>
      </c>
      <c r="C1194" s="58" t="str">
        <f t="shared" si="646"/>
        <v/>
      </c>
      <c r="D1194" s="58" t="str">
        <f t="shared" si="646"/>
        <v/>
      </c>
      <c r="E1194" s="58" t="str">
        <f t="shared" si="646"/>
        <v/>
      </c>
      <c r="F1194" s="58"/>
      <c r="G1194" s="58"/>
      <c r="H1194" s="58"/>
      <c r="I1194" s="58"/>
      <c r="J1194" s="58"/>
      <c r="K1194" s="59">
        <f t="shared" ref="K1194:X1194" si="657">IF(AND($D1194="tak",$E1194="prace rozwojowe",Modul_badawczo_rozwojowy=tak),ROUND(K711*K149,0),0)</f>
        <v>0</v>
      </c>
      <c r="L1194" s="59">
        <f t="shared" si="657"/>
        <v>0</v>
      </c>
      <c r="M1194" s="59">
        <f t="shared" si="657"/>
        <v>0</v>
      </c>
      <c r="N1194" s="59">
        <f t="shared" si="657"/>
        <v>0</v>
      </c>
      <c r="O1194" s="59">
        <f t="shared" si="657"/>
        <v>0</v>
      </c>
      <c r="P1194" s="59">
        <f t="shared" si="657"/>
        <v>0</v>
      </c>
      <c r="Q1194" s="59">
        <f t="shared" si="657"/>
        <v>0</v>
      </c>
      <c r="R1194" s="59">
        <f t="shared" si="657"/>
        <v>0</v>
      </c>
      <c r="S1194" s="59">
        <f t="shared" si="657"/>
        <v>0</v>
      </c>
      <c r="T1194" s="59">
        <f t="shared" si="657"/>
        <v>0</v>
      </c>
      <c r="U1194" s="59">
        <f t="shared" si="657"/>
        <v>0</v>
      </c>
      <c r="V1194" s="59">
        <f t="shared" si="657"/>
        <v>0</v>
      </c>
      <c r="W1194" s="59">
        <f t="shared" si="657"/>
        <v>0</v>
      </c>
      <c r="X1194" s="59">
        <f t="shared" si="657"/>
        <v>0</v>
      </c>
    </row>
    <row r="1195" spans="1:24" hidden="1">
      <c r="A1195" s="258"/>
      <c r="B1195" s="58" t="str">
        <f t="shared" si="646"/>
        <v/>
      </c>
      <c r="C1195" s="58" t="str">
        <f t="shared" si="646"/>
        <v/>
      </c>
      <c r="D1195" s="58" t="str">
        <f t="shared" si="646"/>
        <v/>
      </c>
      <c r="E1195" s="58" t="str">
        <f t="shared" si="646"/>
        <v/>
      </c>
      <c r="F1195" s="58"/>
      <c r="G1195" s="58"/>
      <c r="H1195" s="58"/>
      <c r="I1195" s="58"/>
      <c r="J1195" s="58"/>
      <c r="K1195" s="59">
        <f t="shared" ref="K1195:X1195" si="658">IF(AND($D1195="tak",$E1195="prace rozwojowe",Modul_badawczo_rozwojowy=tak),ROUND(K712*K150,0),0)</f>
        <v>0</v>
      </c>
      <c r="L1195" s="59">
        <f t="shared" si="658"/>
        <v>0</v>
      </c>
      <c r="M1195" s="59">
        <f t="shared" si="658"/>
        <v>0</v>
      </c>
      <c r="N1195" s="59">
        <f t="shared" si="658"/>
        <v>0</v>
      </c>
      <c r="O1195" s="59">
        <f t="shared" si="658"/>
        <v>0</v>
      </c>
      <c r="P1195" s="59">
        <f t="shared" si="658"/>
        <v>0</v>
      </c>
      <c r="Q1195" s="59">
        <f t="shared" si="658"/>
        <v>0</v>
      </c>
      <c r="R1195" s="59">
        <f t="shared" si="658"/>
        <v>0</v>
      </c>
      <c r="S1195" s="59">
        <f t="shared" si="658"/>
        <v>0</v>
      </c>
      <c r="T1195" s="59">
        <f t="shared" si="658"/>
        <v>0</v>
      </c>
      <c r="U1195" s="59">
        <f t="shared" si="658"/>
        <v>0</v>
      </c>
      <c r="V1195" s="59">
        <f t="shared" si="658"/>
        <v>0</v>
      </c>
      <c r="W1195" s="59">
        <f t="shared" si="658"/>
        <v>0</v>
      </c>
      <c r="X1195" s="59">
        <f t="shared" si="658"/>
        <v>0</v>
      </c>
    </row>
    <row r="1196" spans="1:24" hidden="1">
      <c r="A1196" s="258"/>
      <c r="B1196" s="58" t="str">
        <f t="shared" si="646"/>
        <v/>
      </c>
      <c r="C1196" s="58" t="str">
        <f t="shared" si="646"/>
        <v/>
      </c>
      <c r="D1196" s="58" t="str">
        <f t="shared" si="646"/>
        <v/>
      </c>
      <c r="E1196" s="58" t="str">
        <f t="shared" si="646"/>
        <v/>
      </c>
      <c r="F1196" s="58"/>
      <c r="G1196" s="58"/>
      <c r="H1196" s="58"/>
      <c r="I1196" s="58"/>
      <c r="J1196" s="58"/>
      <c r="K1196" s="59">
        <f t="shared" ref="K1196:X1196" si="659">IF(AND($D1196="tak",$E1196="prace rozwojowe",Modul_badawczo_rozwojowy=tak),ROUND(K713*K151,0),0)</f>
        <v>0</v>
      </c>
      <c r="L1196" s="59">
        <f t="shared" si="659"/>
        <v>0</v>
      </c>
      <c r="M1196" s="59">
        <f t="shared" si="659"/>
        <v>0</v>
      </c>
      <c r="N1196" s="59">
        <f t="shared" si="659"/>
        <v>0</v>
      </c>
      <c r="O1196" s="59">
        <f t="shared" si="659"/>
        <v>0</v>
      </c>
      <c r="P1196" s="59">
        <f t="shared" si="659"/>
        <v>0</v>
      </c>
      <c r="Q1196" s="59">
        <f t="shared" si="659"/>
        <v>0</v>
      </c>
      <c r="R1196" s="59">
        <f t="shared" si="659"/>
        <v>0</v>
      </c>
      <c r="S1196" s="59">
        <f t="shared" si="659"/>
        <v>0</v>
      </c>
      <c r="T1196" s="59">
        <f t="shared" si="659"/>
        <v>0</v>
      </c>
      <c r="U1196" s="59">
        <f t="shared" si="659"/>
        <v>0</v>
      </c>
      <c r="V1196" s="59">
        <f t="shared" si="659"/>
        <v>0</v>
      </c>
      <c r="W1196" s="59">
        <f t="shared" si="659"/>
        <v>0</v>
      </c>
      <c r="X1196" s="59">
        <f t="shared" si="659"/>
        <v>0</v>
      </c>
    </row>
    <row r="1197" spans="1:24" hidden="1">
      <c r="A1197" s="258"/>
      <c r="B1197" s="58" t="str">
        <f t="shared" si="646"/>
        <v/>
      </c>
      <c r="C1197" s="58" t="str">
        <f t="shared" si="646"/>
        <v/>
      </c>
      <c r="D1197" s="58" t="str">
        <f t="shared" si="646"/>
        <v/>
      </c>
      <c r="E1197" s="58" t="str">
        <f t="shared" si="646"/>
        <v/>
      </c>
      <c r="F1197" s="58"/>
      <c r="G1197" s="58"/>
      <c r="H1197" s="58"/>
      <c r="I1197" s="58"/>
      <c r="J1197" s="58"/>
      <c r="K1197" s="59">
        <f t="shared" ref="K1197:X1197" si="660">IF(AND($D1197="tak",$E1197="prace rozwojowe",Modul_badawczo_rozwojowy=tak),ROUND(K714*K152,0),0)</f>
        <v>0</v>
      </c>
      <c r="L1197" s="59">
        <f t="shared" si="660"/>
        <v>0</v>
      </c>
      <c r="M1197" s="59">
        <f t="shared" si="660"/>
        <v>0</v>
      </c>
      <c r="N1197" s="59">
        <f t="shared" si="660"/>
        <v>0</v>
      </c>
      <c r="O1197" s="59">
        <f t="shared" si="660"/>
        <v>0</v>
      </c>
      <c r="P1197" s="59">
        <f t="shared" si="660"/>
        <v>0</v>
      </c>
      <c r="Q1197" s="59">
        <f t="shared" si="660"/>
        <v>0</v>
      </c>
      <c r="R1197" s="59">
        <f t="shared" si="660"/>
        <v>0</v>
      </c>
      <c r="S1197" s="59">
        <f t="shared" si="660"/>
        <v>0</v>
      </c>
      <c r="T1197" s="59">
        <f t="shared" si="660"/>
        <v>0</v>
      </c>
      <c r="U1197" s="59">
        <f t="shared" si="660"/>
        <v>0</v>
      </c>
      <c r="V1197" s="59">
        <f t="shared" si="660"/>
        <v>0</v>
      </c>
      <c r="W1197" s="59">
        <f t="shared" si="660"/>
        <v>0</v>
      </c>
      <c r="X1197" s="59">
        <f t="shared" si="660"/>
        <v>0</v>
      </c>
    </row>
    <row r="1198" spans="1:24" hidden="1">
      <c r="A1198" s="258"/>
      <c r="B1198" s="58" t="str">
        <f t="shared" si="646"/>
        <v/>
      </c>
      <c r="C1198" s="58" t="str">
        <f t="shared" si="646"/>
        <v/>
      </c>
      <c r="D1198" s="58" t="str">
        <f t="shared" si="646"/>
        <v/>
      </c>
      <c r="E1198" s="58" t="str">
        <f t="shared" si="646"/>
        <v/>
      </c>
      <c r="F1198" s="58"/>
      <c r="G1198" s="58"/>
      <c r="H1198" s="58"/>
      <c r="I1198" s="58"/>
      <c r="J1198" s="58"/>
      <c r="K1198" s="59">
        <f t="shared" ref="K1198:X1198" si="661">IF(AND($D1198="tak",$E1198="prace rozwojowe",Modul_badawczo_rozwojowy=tak),ROUND(K715*K153,0),0)</f>
        <v>0</v>
      </c>
      <c r="L1198" s="59">
        <f t="shared" si="661"/>
        <v>0</v>
      </c>
      <c r="M1198" s="59">
        <f t="shared" si="661"/>
        <v>0</v>
      </c>
      <c r="N1198" s="59">
        <f t="shared" si="661"/>
        <v>0</v>
      </c>
      <c r="O1198" s="59">
        <f t="shared" si="661"/>
        <v>0</v>
      </c>
      <c r="P1198" s="59">
        <f t="shared" si="661"/>
        <v>0</v>
      </c>
      <c r="Q1198" s="59">
        <f t="shared" si="661"/>
        <v>0</v>
      </c>
      <c r="R1198" s="59">
        <f t="shared" si="661"/>
        <v>0</v>
      </c>
      <c r="S1198" s="59">
        <f t="shared" si="661"/>
        <v>0</v>
      </c>
      <c r="T1198" s="59">
        <f t="shared" si="661"/>
        <v>0</v>
      </c>
      <c r="U1198" s="59">
        <f t="shared" si="661"/>
        <v>0</v>
      </c>
      <c r="V1198" s="59">
        <f t="shared" si="661"/>
        <v>0</v>
      </c>
      <c r="W1198" s="59">
        <f t="shared" si="661"/>
        <v>0</v>
      </c>
      <c r="X1198" s="59">
        <f t="shared" si="661"/>
        <v>0</v>
      </c>
    </row>
    <row r="1199" spans="1:24" hidden="1">
      <c r="A1199" s="258"/>
      <c r="B1199" s="58" t="str">
        <f t="shared" si="646"/>
        <v/>
      </c>
      <c r="C1199" s="58" t="str">
        <f t="shared" si="646"/>
        <v/>
      </c>
      <c r="D1199" s="58" t="str">
        <f t="shared" si="646"/>
        <v/>
      </c>
      <c r="E1199" s="58" t="str">
        <f t="shared" si="646"/>
        <v/>
      </c>
      <c r="F1199" s="58"/>
      <c r="G1199" s="58"/>
      <c r="H1199" s="58"/>
      <c r="I1199" s="58"/>
      <c r="J1199" s="58"/>
      <c r="K1199" s="59">
        <f t="shared" ref="K1199:X1199" si="662">IF(AND($D1199="tak",$E1199="prace rozwojowe",Modul_badawczo_rozwojowy=tak),ROUND(K716*K154,0),0)</f>
        <v>0</v>
      </c>
      <c r="L1199" s="59">
        <f t="shared" si="662"/>
        <v>0</v>
      </c>
      <c r="M1199" s="59">
        <f t="shared" si="662"/>
        <v>0</v>
      </c>
      <c r="N1199" s="59">
        <f t="shared" si="662"/>
        <v>0</v>
      </c>
      <c r="O1199" s="59">
        <f t="shared" si="662"/>
        <v>0</v>
      </c>
      <c r="P1199" s="59">
        <f t="shared" si="662"/>
        <v>0</v>
      </c>
      <c r="Q1199" s="59">
        <f t="shared" si="662"/>
        <v>0</v>
      </c>
      <c r="R1199" s="59">
        <f t="shared" si="662"/>
        <v>0</v>
      </c>
      <c r="S1199" s="59">
        <f t="shared" si="662"/>
        <v>0</v>
      </c>
      <c r="T1199" s="59">
        <f t="shared" si="662"/>
        <v>0</v>
      </c>
      <c r="U1199" s="59">
        <f t="shared" si="662"/>
        <v>0</v>
      </c>
      <c r="V1199" s="59">
        <f t="shared" si="662"/>
        <v>0</v>
      </c>
      <c r="W1199" s="59">
        <f t="shared" si="662"/>
        <v>0</v>
      </c>
      <c r="X1199" s="59">
        <f t="shared" si="662"/>
        <v>0</v>
      </c>
    </row>
    <row r="1200" spans="1:24" hidden="1">
      <c r="A1200" s="258"/>
      <c r="B1200" s="58" t="str">
        <f t="shared" si="646"/>
        <v/>
      </c>
      <c r="C1200" s="58" t="str">
        <f t="shared" si="646"/>
        <v/>
      </c>
      <c r="D1200" s="58" t="str">
        <f t="shared" si="646"/>
        <v/>
      </c>
      <c r="E1200" s="58" t="str">
        <f t="shared" si="646"/>
        <v/>
      </c>
      <c r="F1200" s="58"/>
      <c r="G1200" s="58"/>
      <c r="H1200" s="58"/>
      <c r="I1200" s="58"/>
      <c r="J1200" s="58"/>
      <c r="K1200" s="59">
        <f t="shared" ref="K1200:X1200" si="663">IF(AND($D1200="tak",$E1200="prace rozwojowe",Modul_badawczo_rozwojowy=tak),ROUND(K717*K155,0),0)</f>
        <v>0</v>
      </c>
      <c r="L1200" s="59">
        <f t="shared" si="663"/>
        <v>0</v>
      </c>
      <c r="M1200" s="59">
        <f t="shared" si="663"/>
        <v>0</v>
      </c>
      <c r="N1200" s="59">
        <f t="shared" si="663"/>
        <v>0</v>
      </c>
      <c r="O1200" s="59">
        <f t="shared" si="663"/>
        <v>0</v>
      </c>
      <c r="P1200" s="59">
        <f t="shared" si="663"/>
        <v>0</v>
      </c>
      <c r="Q1200" s="59">
        <f t="shared" si="663"/>
        <v>0</v>
      </c>
      <c r="R1200" s="59">
        <f t="shared" si="663"/>
        <v>0</v>
      </c>
      <c r="S1200" s="59">
        <f t="shared" si="663"/>
        <v>0</v>
      </c>
      <c r="T1200" s="59">
        <f t="shared" si="663"/>
        <v>0</v>
      </c>
      <c r="U1200" s="59">
        <f t="shared" si="663"/>
        <v>0</v>
      </c>
      <c r="V1200" s="59">
        <f t="shared" si="663"/>
        <v>0</v>
      </c>
      <c r="W1200" s="59">
        <f t="shared" si="663"/>
        <v>0</v>
      </c>
      <c r="X1200" s="59">
        <f t="shared" si="663"/>
        <v>0</v>
      </c>
    </row>
    <row r="1201" spans="1:24" hidden="1">
      <c r="A1201" s="258"/>
      <c r="B1201" s="58" t="str">
        <f t="shared" si="646"/>
        <v/>
      </c>
      <c r="C1201" s="58" t="str">
        <f t="shared" si="646"/>
        <v/>
      </c>
      <c r="D1201" s="58" t="str">
        <f t="shared" si="646"/>
        <v/>
      </c>
      <c r="E1201" s="58" t="str">
        <f t="shared" si="646"/>
        <v/>
      </c>
      <c r="F1201" s="58"/>
      <c r="G1201" s="58"/>
      <c r="H1201" s="58"/>
      <c r="I1201" s="58"/>
      <c r="J1201" s="58"/>
      <c r="K1201" s="59">
        <f t="shared" ref="K1201:X1201" si="664">IF(AND($D1201="tak",$E1201="prace rozwojowe",Modul_badawczo_rozwojowy=tak),ROUND(K718*K156,0),0)</f>
        <v>0</v>
      </c>
      <c r="L1201" s="59">
        <f t="shared" si="664"/>
        <v>0</v>
      </c>
      <c r="M1201" s="59">
        <f t="shared" si="664"/>
        <v>0</v>
      </c>
      <c r="N1201" s="59">
        <f t="shared" si="664"/>
        <v>0</v>
      </c>
      <c r="O1201" s="59">
        <f t="shared" si="664"/>
        <v>0</v>
      </c>
      <c r="P1201" s="59">
        <f t="shared" si="664"/>
        <v>0</v>
      </c>
      <c r="Q1201" s="59">
        <f t="shared" si="664"/>
        <v>0</v>
      </c>
      <c r="R1201" s="59">
        <f t="shared" si="664"/>
        <v>0</v>
      </c>
      <c r="S1201" s="59">
        <f t="shared" si="664"/>
        <v>0</v>
      </c>
      <c r="T1201" s="59">
        <f t="shared" si="664"/>
        <v>0</v>
      </c>
      <c r="U1201" s="59">
        <f t="shared" si="664"/>
        <v>0</v>
      </c>
      <c r="V1201" s="59">
        <f t="shared" si="664"/>
        <v>0</v>
      </c>
      <c r="W1201" s="59">
        <f t="shared" si="664"/>
        <v>0</v>
      </c>
      <c r="X1201" s="59">
        <f t="shared" si="664"/>
        <v>0</v>
      </c>
    </row>
    <row r="1202" spans="1:24" hidden="1">
      <c r="A1202" s="258"/>
      <c r="B1202" s="58" t="str">
        <f t="shared" si="646"/>
        <v/>
      </c>
      <c r="C1202" s="58" t="str">
        <f t="shared" si="646"/>
        <v/>
      </c>
      <c r="D1202" s="58" t="str">
        <f t="shared" si="646"/>
        <v/>
      </c>
      <c r="E1202" s="58" t="str">
        <f t="shared" si="646"/>
        <v/>
      </c>
      <c r="F1202" s="58"/>
      <c r="G1202" s="58"/>
      <c r="H1202" s="58"/>
      <c r="I1202" s="58"/>
      <c r="J1202" s="58"/>
      <c r="K1202" s="59">
        <f t="shared" ref="K1202:X1202" si="665">IF(AND($D1202="tak",$E1202="prace rozwojowe",Modul_badawczo_rozwojowy=tak),ROUND(K719*K157,0),0)</f>
        <v>0</v>
      </c>
      <c r="L1202" s="59">
        <f t="shared" si="665"/>
        <v>0</v>
      </c>
      <c r="M1202" s="59">
        <f t="shared" si="665"/>
        <v>0</v>
      </c>
      <c r="N1202" s="59">
        <f t="shared" si="665"/>
        <v>0</v>
      </c>
      <c r="O1202" s="59">
        <f t="shared" si="665"/>
        <v>0</v>
      </c>
      <c r="P1202" s="59">
        <f t="shared" si="665"/>
        <v>0</v>
      </c>
      <c r="Q1202" s="59">
        <f t="shared" si="665"/>
        <v>0</v>
      </c>
      <c r="R1202" s="59">
        <f t="shared" si="665"/>
        <v>0</v>
      </c>
      <c r="S1202" s="59">
        <f t="shared" si="665"/>
        <v>0</v>
      </c>
      <c r="T1202" s="59">
        <f t="shared" si="665"/>
        <v>0</v>
      </c>
      <c r="U1202" s="59">
        <f t="shared" si="665"/>
        <v>0</v>
      </c>
      <c r="V1202" s="59">
        <f t="shared" si="665"/>
        <v>0</v>
      </c>
      <c r="W1202" s="59">
        <f t="shared" si="665"/>
        <v>0</v>
      </c>
      <c r="X1202" s="59">
        <f t="shared" si="665"/>
        <v>0</v>
      </c>
    </row>
    <row r="1203" spans="1:24" hidden="1">
      <c r="A1203" s="258"/>
      <c r="B1203" s="58" t="str">
        <f t="shared" si="646"/>
        <v/>
      </c>
      <c r="C1203" s="58" t="str">
        <f t="shared" si="646"/>
        <v/>
      </c>
      <c r="D1203" s="58" t="str">
        <f t="shared" si="646"/>
        <v/>
      </c>
      <c r="E1203" s="58" t="str">
        <f t="shared" si="646"/>
        <v/>
      </c>
      <c r="F1203" s="58"/>
      <c r="G1203" s="58"/>
      <c r="H1203" s="58"/>
      <c r="I1203" s="58"/>
      <c r="J1203" s="58"/>
      <c r="K1203" s="59">
        <f t="shared" ref="K1203:X1203" si="666">IF(AND($D1203="tak",$E1203="prace rozwojowe",Modul_badawczo_rozwojowy=tak),ROUND(K720*K158,0),0)</f>
        <v>0</v>
      </c>
      <c r="L1203" s="59">
        <f t="shared" si="666"/>
        <v>0</v>
      </c>
      <c r="M1203" s="59">
        <f t="shared" si="666"/>
        <v>0</v>
      </c>
      <c r="N1203" s="59">
        <f t="shared" si="666"/>
        <v>0</v>
      </c>
      <c r="O1203" s="59">
        <f t="shared" si="666"/>
        <v>0</v>
      </c>
      <c r="P1203" s="59">
        <f t="shared" si="666"/>
        <v>0</v>
      </c>
      <c r="Q1203" s="59">
        <f t="shared" si="666"/>
        <v>0</v>
      </c>
      <c r="R1203" s="59">
        <f t="shared" si="666"/>
        <v>0</v>
      </c>
      <c r="S1203" s="59">
        <f t="shared" si="666"/>
        <v>0</v>
      </c>
      <c r="T1203" s="59">
        <f t="shared" si="666"/>
        <v>0</v>
      </c>
      <c r="U1203" s="59">
        <f t="shared" si="666"/>
        <v>0</v>
      </c>
      <c r="V1203" s="59">
        <f t="shared" si="666"/>
        <v>0</v>
      </c>
      <c r="W1203" s="59">
        <f t="shared" si="666"/>
        <v>0</v>
      </c>
      <c r="X1203" s="59">
        <f t="shared" si="666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67">ROUND(SUM(K1184:K1203),0)</f>
        <v>0</v>
      </c>
      <c r="L1204" s="60">
        <f t="shared" si="667"/>
        <v>0</v>
      </c>
      <c r="M1204" s="60">
        <f t="shared" si="667"/>
        <v>0</v>
      </c>
      <c r="N1204" s="60">
        <f t="shared" si="667"/>
        <v>0</v>
      </c>
      <c r="O1204" s="60">
        <f t="shared" si="667"/>
        <v>0</v>
      </c>
      <c r="P1204" s="60">
        <f t="shared" si="667"/>
        <v>0</v>
      </c>
      <c r="Q1204" s="60">
        <f t="shared" si="667"/>
        <v>0</v>
      </c>
      <c r="R1204" s="60">
        <f t="shared" si="667"/>
        <v>0</v>
      </c>
      <c r="S1204" s="60">
        <f t="shared" si="667"/>
        <v>0</v>
      </c>
      <c r="T1204" s="60">
        <f t="shared" si="667"/>
        <v>0</v>
      </c>
      <c r="U1204" s="60">
        <f t="shared" si="667"/>
        <v>0</v>
      </c>
      <c r="V1204" s="60">
        <f t="shared" si="667"/>
        <v>0</v>
      </c>
      <c r="W1204" s="60">
        <f t="shared" si="667"/>
        <v>0</v>
      </c>
      <c r="X1204" s="60">
        <f t="shared" si="667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68">IF(ISBLANK(B725),"",B725)</f>
        <v/>
      </c>
      <c r="C1208" s="58" t="str">
        <f t="shared" si="668"/>
        <v/>
      </c>
      <c r="D1208" s="58" t="str">
        <f t="shared" si="668"/>
        <v/>
      </c>
      <c r="E1208" s="58" t="str">
        <f t="shared" si="668"/>
        <v/>
      </c>
      <c r="F1208" s="58"/>
      <c r="G1208" s="58"/>
      <c r="H1208" s="58"/>
      <c r="I1208" s="58"/>
      <c r="J1208" s="58"/>
      <c r="K1208" s="59">
        <f t="shared" ref="K1208:X1208" si="669">IF(AND($D1208="tak",$E1208="prace rozwojowe",Modul_badawczo_rozwojowy=tak),ROUND(K725*K184,0),0)</f>
        <v>0</v>
      </c>
      <c r="L1208" s="59">
        <f t="shared" si="669"/>
        <v>0</v>
      </c>
      <c r="M1208" s="59">
        <f t="shared" si="669"/>
        <v>0</v>
      </c>
      <c r="N1208" s="59">
        <f t="shared" si="669"/>
        <v>0</v>
      </c>
      <c r="O1208" s="59">
        <f t="shared" si="669"/>
        <v>0</v>
      </c>
      <c r="P1208" s="59">
        <f t="shared" si="669"/>
        <v>0</v>
      </c>
      <c r="Q1208" s="59">
        <f t="shared" si="669"/>
        <v>0</v>
      </c>
      <c r="R1208" s="59">
        <f t="shared" si="669"/>
        <v>0</v>
      </c>
      <c r="S1208" s="59">
        <f t="shared" si="669"/>
        <v>0</v>
      </c>
      <c r="T1208" s="59">
        <f t="shared" si="669"/>
        <v>0</v>
      </c>
      <c r="U1208" s="59">
        <f t="shared" si="669"/>
        <v>0</v>
      </c>
      <c r="V1208" s="59">
        <f t="shared" si="669"/>
        <v>0</v>
      </c>
      <c r="W1208" s="59">
        <f t="shared" si="669"/>
        <v>0</v>
      </c>
      <c r="X1208" s="59">
        <f t="shared" si="669"/>
        <v>0</v>
      </c>
    </row>
    <row r="1209" spans="1:24" hidden="1">
      <c r="B1209" s="58" t="str">
        <f t="shared" si="668"/>
        <v/>
      </c>
      <c r="C1209" s="58" t="str">
        <f t="shared" si="668"/>
        <v/>
      </c>
      <c r="D1209" s="58" t="str">
        <f t="shared" si="668"/>
        <v/>
      </c>
      <c r="E1209" s="58" t="str">
        <f t="shared" si="668"/>
        <v/>
      </c>
      <c r="F1209" s="58"/>
      <c r="G1209" s="58"/>
      <c r="H1209" s="58"/>
      <c r="I1209" s="58"/>
      <c r="J1209" s="58"/>
      <c r="K1209" s="59">
        <f t="shared" ref="K1209:X1209" si="670">IF(AND($D1209="tak",$E1209="prace rozwojowe",Modul_badawczo_rozwojowy=tak),ROUND(K726*K185,0),0)</f>
        <v>0</v>
      </c>
      <c r="L1209" s="59">
        <f t="shared" si="670"/>
        <v>0</v>
      </c>
      <c r="M1209" s="59">
        <f t="shared" si="670"/>
        <v>0</v>
      </c>
      <c r="N1209" s="59">
        <f t="shared" si="670"/>
        <v>0</v>
      </c>
      <c r="O1209" s="59">
        <f t="shared" si="670"/>
        <v>0</v>
      </c>
      <c r="P1209" s="59">
        <f t="shared" si="670"/>
        <v>0</v>
      </c>
      <c r="Q1209" s="59">
        <f t="shared" si="670"/>
        <v>0</v>
      </c>
      <c r="R1209" s="59">
        <f t="shared" si="670"/>
        <v>0</v>
      </c>
      <c r="S1209" s="59">
        <f t="shared" si="670"/>
        <v>0</v>
      </c>
      <c r="T1209" s="59">
        <f t="shared" si="670"/>
        <v>0</v>
      </c>
      <c r="U1209" s="59">
        <f t="shared" si="670"/>
        <v>0</v>
      </c>
      <c r="V1209" s="59">
        <f t="shared" si="670"/>
        <v>0</v>
      </c>
      <c r="W1209" s="59">
        <f t="shared" si="670"/>
        <v>0</v>
      </c>
      <c r="X1209" s="59">
        <f t="shared" si="670"/>
        <v>0</v>
      </c>
    </row>
    <row r="1210" spans="1:24" hidden="1">
      <c r="B1210" s="58" t="str">
        <f t="shared" si="668"/>
        <v/>
      </c>
      <c r="C1210" s="58" t="str">
        <f t="shared" si="668"/>
        <v/>
      </c>
      <c r="D1210" s="58" t="str">
        <f t="shared" si="668"/>
        <v/>
      </c>
      <c r="E1210" s="58" t="str">
        <f t="shared" si="668"/>
        <v/>
      </c>
      <c r="F1210" s="58"/>
      <c r="G1210" s="58"/>
      <c r="H1210" s="58"/>
      <c r="I1210" s="58"/>
      <c r="J1210" s="58"/>
      <c r="K1210" s="59">
        <f t="shared" ref="K1210:X1210" si="671">IF(AND($D1210="tak",$E1210="prace rozwojowe",Modul_badawczo_rozwojowy=tak),ROUND(K727*K186,0),0)</f>
        <v>0</v>
      </c>
      <c r="L1210" s="59">
        <f t="shared" si="671"/>
        <v>0</v>
      </c>
      <c r="M1210" s="59">
        <f t="shared" si="671"/>
        <v>0</v>
      </c>
      <c r="N1210" s="59">
        <f t="shared" si="671"/>
        <v>0</v>
      </c>
      <c r="O1210" s="59">
        <f t="shared" si="671"/>
        <v>0</v>
      </c>
      <c r="P1210" s="59">
        <f t="shared" si="671"/>
        <v>0</v>
      </c>
      <c r="Q1210" s="59">
        <f t="shared" si="671"/>
        <v>0</v>
      </c>
      <c r="R1210" s="59">
        <f t="shared" si="671"/>
        <v>0</v>
      </c>
      <c r="S1210" s="59">
        <f t="shared" si="671"/>
        <v>0</v>
      </c>
      <c r="T1210" s="59">
        <f t="shared" si="671"/>
        <v>0</v>
      </c>
      <c r="U1210" s="59">
        <f t="shared" si="671"/>
        <v>0</v>
      </c>
      <c r="V1210" s="59">
        <f t="shared" si="671"/>
        <v>0</v>
      </c>
      <c r="W1210" s="59">
        <f t="shared" si="671"/>
        <v>0</v>
      </c>
      <c r="X1210" s="59">
        <f t="shared" si="671"/>
        <v>0</v>
      </c>
    </row>
    <row r="1211" spans="1:24" hidden="1">
      <c r="B1211" s="58" t="str">
        <f t="shared" si="668"/>
        <v/>
      </c>
      <c r="C1211" s="58" t="str">
        <f t="shared" si="668"/>
        <v/>
      </c>
      <c r="D1211" s="58" t="str">
        <f t="shared" si="668"/>
        <v/>
      </c>
      <c r="E1211" s="58" t="str">
        <f t="shared" si="668"/>
        <v/>
      </c>
      <c r="F1211" s="58"/>
      <c r="G1211" s="58"/>
      <c r="H1211" s="58"/>
      <c r="I1211" s="58"/>
      <c r="J1211" s="58"/>
      <c r="K1211" s="59">
        <f t="shared" ref="K1211:X1211" si="672">IF(AND($D1211="tak",$E1211="prace rozwojowe",Modul_badawczo_rozwojowy=tak),ROUND(K728*K187,0),0)</f>
        <v>0</v>
      </c>
      <c r="L1211" s="59">
        <f t="shared" si="672"/>
        <v>0</v>
      </c>
      <c r="M1211" s="59">
        <f t="shared" si="672"/>
        <v>0</v>
      </c>
      <c r="N1211" s="59">
        <f t="shared" si="672"/>
        <v>0</v>
      </c>
      <c r="O1211" s="59">
        <f t="shared" si="672"/>
        <v>0</v>
      </c>
      <c r="P1211" s="59">
        <f t="shared" si="672"/>
        <v>0</v>
      </c>
      <c r="Q1211" s="59">
        <f t="shared" si="672"/>
        <v>0</v>
      </c>
      <c r="R1211" s="59">
        <f t="shared" si="672"/>
        <v>0</v>
      </c>
      <c r="S1211" s="59">
        <f t="shared" si="672"/>
        <v>0</v>
      </c>
      <c r="T1211" s="59">
        <f t="shared" si="672"/>
        <v>0</v>
      </c>
      <c r="U1211" s="59">
        <f t="shared" si="672"/>
        <v>0</v>
      </c>
      <c r="V1211" s="59">
        <f t="shared" si="672"/>
        <v>0</v>
      </c>
      <c r="W1211" s="59">
        <f t="shared" si="672"/>
        <v>0</v>
      </c>
      <c r="X1211" s="59">
        <f t="shared" si="672"/>
        <v>0</v>
      </c>
    </row>
    <row r="1212" spans="1:24" hidden="1">
      <c r="B1212" s="58" t="str">
        <f t="shared" si="668"/>
        <v/>
      </c>
      <c r="C1212" s="58" t="str">
        <f t="shared" si="668"/>
        <v/>
      </c>
      <c r="D1212" s="58" t="str">
        <f t="shared" si="668"/>
        <v/>
      </c>
      <c r="E1212" s="58" t="str">
        <f t="shared" si="668"/>
        <v/>
      </c>
      <c r="F1212" s="58"/>
      <c r="G1212" s="58"/>
      <c r="H1212" s="58"/>
      <c r="I1212" s="58"/>
      <c r="J1212" s="58"/>
      <c r="K1212" s="59">
        <f t="shared" ref="K1212:X1212" si="673">IF(AND($D1212="tak",$E1212="prace rozwojowe",Modul_badawczo_rozwojowy=tak),ROUND(K729*K188,0),0)</f>
        <v>0</v>
      </c>
      <c r="L1212" s="59">
        <f t="shared" si="673"/>
        <v>0</v>
      </c>
      <c r="M1212" s="59">
        <f t="shared" si="673"/>
        <v>0</v>
      </c>
      <c r="N1212" s="59">
        <f t="shared" si="673"/>
        <v>0</v>
      </c>
      <c r="O1212" s="59">
        <f t="shared" si="673"/>
        <v>0</v>
      </c>
      <c r="P1212" s="59">
        <f t="shared" si="673"/>
        <v>0</v>
      </c>
      <c r="Q1212" s="59">
        <f t="shared" si="673"/>
        <v>0</v>
      </c>
      <c r="R1212" s="59">
        <f t="shared" si="673"/>
        <v>0</v>
      </c>
      <c r="S1212" s="59">
        <f t="shared" si="673"/>
        <v>0</v>
      </c>
      <c r="T1212" s="59">
        <f t="shared" si="673"/>
        <v>0</v>
      </c>
      <c r="U1212" s="59">
        <f t="shared" si="673"/>
        <v>0</v>
      </c>
      <c r="V1212" s="59">
        <f t="shared" si="673"/>
        <v>0</v>
      </c>
      <c r="W1212" s="59">
        <f t="shared" si="673"/>
        <v>0</v>
      </c>
      <c r="X1212" s="59">
        <f t="shared" si="673"/>
        <v>0</v>
      </c>
    </row>
    <row r="1213" spans="1:24" hidden="1">
      <c r="B1213" s="58" t="str">
        <f t="shared" si="668"/>
        <v/>
      </c>
      <c r="C1213" s="58" t="str">
        <f t="shared" si="668"/>
        <v/>
      </c>
      <c r="D1213" s="58" t="str">
        <f t="shared" si="668"/>
        <v/>
      </c>
      <c r="E1213" s="58" t="str">
        <f t="shared" si="668"/>
        <v/>
      </c>
      <c r="F1213" s="58"/>
      <c r="G1213" s="58"/>
      <c r="H1213" s="58"/>
      <c r="I1213" s="58"/>
      <c r="J1213" s="58"/>
      <c r="K1213" s="59">
        <f t="shared" ref="K1213:X1213" si="674">IF(AND($D1213="tak",$E1213="prace rozwojowe",Modul_badawczo_rozwojowy=tak),ROUND(K730*K189,0),0)</f>
        <v>0</v>
      </c>
      <c r="L1213" s="59">
        <f t="shared" si="674"/>
        <v>0</v>
      </c>
      <c r="M1213" s="59">
        <f t="shared" si="674"/>
        <v>0</v>
      </c>
      <c r="N1213" s="59">
        <f t="shared" si="674"/>
        <v>0</v>
      </c>
      <c r="O1213" s="59">
        <f t="shared" si="674"/>
        <v>0</v>
      </c>
      <c r="P1213" s="59">
        <f t="shared" si="674"/>
        <v>0</v>
      </c>
      <c r="Q1213" s="59">
        <f t="shared" si="674"/>
        <v>0</v>
      </c>
      <c r="R1213" s="59">
        <f t="shared" si="674"/>
        <v>0</v>
      </c>
      <c r="S1213" s="59">
        <f t="shared" si="674"/>
        <v>0</v>
      </c>
      <c r="T1213" s="59">
        <f t="shared" si="674"/>
        <v>0</v>
      </c>
      <c r="U1213" s="59">
        <f t="shared" si="674"/>
        <v>0</v>
      </c>
      <c r="V1213" s="59">
        <f t="shared" si="674"/>
        <v>0</v>
      </c>
      <c r="W1213" s="59">
        <f t="shared" si="674"/>
        <v>0</v>
      </c>
      <c r="X1213" s="59">
        <f t="shared" si="674"/>
        <v>0</v>
      </c>
    </row>
    <row r="1214" spans="1:24" hidden="1">
      <c r="B1214" s="58" t="str">
        <f t="shared" si="668"/>
        <v/>
      </c>
      <c r="C1214" s="58" t="str">
        <f t="shared" si="668"/>
        <v/>
      </c>
      <c r="D1214" s="58" t="str">
        <f t="shared" si="668"/>
        <v/>
      </c>
      <c r="E1214" s="58" t="str">
        <f t="shared" si="668"/>
        <v/>
      </c>
      <c r="F1214" s="58"/>
      <c r="G1214" s="58"/>
      <c r="H1214" s="58"/>
      <c r="I1214" s="58"/>
      <c r="J1214" s="58"/>
      <c r="K1214" s="59">
        <f t="shared" ref="K1214:X1214" si="675">IF(AND($D1214="tak",$E1214="prace rozwojowe",Modul_badawczo_rozwojowy=tak),ROUND(K731*K190,0),0)</f>
        <v>0</v>
      </c>
      <c r="L1214" s="59">
        <f t="shared" si="675"/>
        <v>0</v>
      </c>
      <c r="M1214" s="59">
        <f t="shared" si="675"/>
        <v>0</v>
      </c>
      <c r="N1214" s="59">
        <f t="shared" si="675"/>
        <v>0</v>
      </c>
      <c r="O1214" s="59">
        <f t="shared" si="675"/>
        <v>0</v>
      </c>
      <c r="P1214" s="59">
        <f t="shared" si="675"/>
        <v>0</v>
      </c>
      <c r="Q1214" s="59">
        <f t="shared" si="675"/>
        <v>0</v>
      </c>
      <c r="R1214" s="59">
        <f t="shared" si="675"/>
        <v>0</v>
      </c>
      <c r="S1214" s="59">
        <f t="shared" si="675"/>
        <v>0</v>
      </c>
      <c r="T1214" s="59">
        <f t="shared" si="675"/>
        <v>0</v>
      </c>
      <c r="U1214" s="59">
        <f t="shared" si="675"/>
        <v>0</v>
      </c>
      <c r="V1214" s="59">
        <f t="shared" si="675"/>
        <v>0</v>
      </c>
      <c r="W1214" s="59">
        <f t="shared" si="675"/>
        <v>0</v>
      </c>
      <c r="X1214" s="59">
        <f t="shared" si="675"/>
        <v>0</v>
      </c>
    </row>
    <row r="1215" spans="1:24" hidden="1">
      <c r="B1215" s="58" t="str">
        <f t="shared" si="668"/>
        <v/>
      </c>
      <c r="C1215" s="58" t="str">
        <f t="shared" si="668"/>
        <v/>
      </c>
      <c r="D1215" s="58" t="str">
        <f t="shared" si="668"/>
        <v/>
      </c>
      <c r="E1215" s="58" t="str">
        <f t="shared" si="668"/>
        <v/>
      </c>
      <c r="F1215" s="58"/>
      <c r="G1215" s="58"/>
      <c r="H1215" s="58"/>
      <c r="I1215" s="58"/>
      <c r="J1215" s="58"/>
      <c r="K1215" s="59">
        <f t="shared" ref="K1215:X1215" si="676">IF(AND($D1215="tak",$E1215="prace rozwojowe",Modul_badawczo_rozwojowy=tak),ROUND(K732*K191,0),0)</f>
        <v>0</v>
      </c>
      <c r="L1215" s="59">
        <f t="shared" si="676"/>
        <v>0</v>
      </c>
      <c r="M1215" s="59">
        <f t="shared" si="676"/>
        <v>0</v>
      </c>
      <c r="N1215" s="59">
        <f t="shared" si="676"/>
        <v>0</v>
      </c>
      <c r="O1215" s="59">
        <f t="shared" si="676"/>
        <v>0</v>
      </c>
      <c r="P1215" s="59">
        <f t="shared" si="676"/>
        <v>0</v>
      </c>
      <c r="Q1215" s="59">
        <f t="shared" si="676"/>
        <v>0</v>
      </c>
      <c r="R1215" s="59">
        <f t="shared" si="676"/>
        <v>0</v>
      </c>
      <c r="S1215" s="59">
        <f t="shared" si="676"/>
        <v>0</v>
      </c>
      <c r="T1215" s="59">
        <f t="shared" si="676"/>
        <v>0</v>
      </c>
      <c r="U1215" s="59">
        <f t="shared" si="676"/>
        <v>0</v>
      </c>
      <c r="V1215" s="59">
        <f t="shared" si="676"/>
        <v>0</v>
      </c>
      <c r="W1215" s="59">
        <f t="shared" si="676"/>
        <v>0</v>
      </c>
      <c r="X1215" s="59">
        <f t="shared" si="676"/>
        <v>0</v>
      </c>
    </row>
    <row r="1216" spans="1:24" hidden="1">
      <c r="B1216" s="58" t="str">
        <f t="shared" si="668"/>
        <v/>
      </c>
      <c r="C1216" s="58" t="str">
        <f t="shared" si="668"/>
        <v/>
      </c>
      <c r="D1216" s="58" t="str">
        <f t="shared" si="668"/>
        <v/>
      </c>
      <c r="E1216" s="58" t="str">
        <f t="shared" si="668"/>
        <v/>
      </c>
      <c r="F1216" s="58"/>
      <c r="G1216" s="58"/>
      <c r="H1216" s="58"/>
      <c r="I1216" s="58"/>
      <c r="J1216" s="58"/>
      <c r="K1216" s="59">
        <f t="shared" ref="K1216:X1216" si="677">IF(AND($D1216="tak",$E1216="prace rozwojowe",Modul_badawczo_rozwojowy=tak),ROUND(K733*K192,0),0)</f>
        <v>0</v>
      </c>
      <c r="L1216" s="59">
        <f t="shared" si="677"/>
        <v>0</v>
      </c>
      <c r="M1216" s="59">
        <f t="shared" si="677"/>
        <v>0</v>
      </c>
      <c r="N1216" s="59">
        <f t="shared" si="677"/>
        <v>0</v>
      </c>
      <c r="O1216" s="59">
        <f t="shared" si="677"/>
        <v>0</v>
      </c>
      <c r="P1216" s="59">
        <f t="shared" si="677"/>
        <v>0</v>
      </c>
      <c r="Q1216" s="59">
        <f t="shared" si="677"/>
        <v>0</v>
      </c>
      <c r="R1216" s="59">
        <f t="shared" si="677"/>
        <v>0</v>
      </c>
      <c r="S1216" s="59">
        <f t="shared" si="677"/>
        <v>0</v>
      </c>
      <c r="T1216" s="59">
        <f t="shared" si="677"/>
        <v>0</v>
      </c>
      <c r="U1216" s="59">
        <f t="shared" si="677"/>
        <v>0</v>
      </c>
      <c r="V1216" s="59">
        <f t="shared" si="677"/>
        <v>0</v>
      </c>
      <c r="W1216" s="59">
        <f t="shared" si="677"/>
        <v>0</v>
      </c>
      <c r="X1216" s="59">
        <f t="shared" si="677"/>
        <v>0</v>
      </c>
    </row>
    <row r="1217" spans="2:24" hidden="1">
      <c r="B1217" s="58" t="str">
        <f t="shared" si="668"/>
        <v/>
      </c>
      <c r="C1217" s="58" t="str">
        <f t="shared" si="668"/>
        <v/>
      </c>
      <c r="D1217" s="58" t="str">
        <f t="shared" si="668"/>
        <v/>
      </c>
      <c r="E1217" s="58" t="str">
        <f t="shared" si="668"/>
        <v/>
      </c>
      <c r="F1217" s="58"/>
      <c r="G1217" s="58"/>
      <c r="H1217" s="58"/>
      <c r="I1217" s="58"/>
      <c r="J1217" s="58"/>
      <c r="K1217" s="59">
        <f t="shared" ref="K1217:X1217" si="678">IF(AND($D1217="tak",$E1217="prace rozwojowe",Modul_badawczo_rozwojowy=tak),ROUND(K734*K193,0),0)</f>
        <v>0</v>
      </c>
      <c r="L1217" s="59">
        <f t="shared" si="678"/>
        <v>0</v>
      </c>
      <c r="M1217" s="59">
        <f t="shared" si="678"/>
        <v>0</v>
      </c>
      <c r="N1217" s="59">
        <f t="shared" si="678"/>
        <v>0</v>
      </c>
      <c r="O1217" s="59">
        <f t="shared" si="678"/>
        <v>0</v>
      </c>
      <c r="P1217" s="59">
        <f t="shared" si="678"/>
        <v>0</v>
      </c>
      <c r="Q1217" s="59">
        <f t="shared" si="678"/>
        <v>0</v>
      </c>
      <c r="R1217" s="59">
        <f t="shared" si="678"/>
        <v>0</v>
      </c>
      <c r="S1217" s="59">
        <f t="shared" si="678"/>
        <v>0</v>
      </c>
      <c r="T1217" s="59">
        <f t="shared" si="678"/>
        <v>0</v>
      </c>
      <c r="U1217" s="59">
        <f t="shared" si="678"/>
        <v>0</v>
      </c>
      <c r="V1217" s="59">
        <f t="shared" si="678"/>
        <v>0</v>
      </c>
      <c r="W1217" s="59">
        <f t="shared" si="678"/>
        <v>0</v>
      </c>
      <c r="X1217" s="59">
        <f t="shared" si="678"/>
        <v>0</v>
      </c>
    </row>
    <row r="1218" spans="2:24" hidden="1">
      <c r="B1218" s="58" t="str">
        <f t="shared" si="668"/>
        <v/>
      </c>
      <c r="C1218" s="58" t="str">
        <f t="shared" si="668"/>
        <v/>
      </c>
      <c r="D1218" s="58" t="str">
        <f t="shared" si="668"/>
        <v/>
      </c>
      <c r="E1218" s="58" t="str">
        <f t="shared" si="668"/>
        <v/>
      </c>
      <c r="F1218" s="58"/>
      <c r="G1218" s="58"/>
      <c r="H1218" s="58"/>
      <c r="I1218" s="58"/>
      <c r="J1218" s="58"/>
      <c r="K1218" s="59">
        <f t="shared" ref="K1218:X1218" si="679">IF(AND($D1218="tak",$E1218="prace rozwojowe",Modul_badawczo_rozwojowy=tak),ROUND(K735*K194,0),0)</f>
        <v>0</v>
      </c>
      <c r="L1218" s="59">
        <f t="shared" si="679"/>
        <v>0</v>
      </c>
      <c r="M1218" s="59">
        <f t="shared" si="679"/>
        <v>0</v>
      </c>
      <c r="N1218" s="59">
        <f t="shared" si="679"/>
        <v>0</v>
      </c>
      <c r="O1218" s="59">
        <f t="shared" si="679"/>
        <v>0</v>
      </c>
      <c r="P1218" s="59">
        <f t="shared" si="679"/>
        <v>0</v>
      </c>
      <c r="Q1218" s="59">
        <f t="shared" si="679"/>
        <v>0</v>
      </c>
      <c r="R1218" s="59">
        <f t="shared" si="679"/>
        <v>0</v>
      </c>
      <c r="S1218" s="59">
        <f t="shared" si="679"/>
        <v>0</v>
      </c>
      <c r="T1218" s="59">
        <f t="shared" si="679"/>
        <v>0</v>
      </c>
      <c r="U1218" s="59">
        <f t="shared" si="679"/>
        <v>0</v>
      </c>
      <c r="V1218" s="59">
        <f t="shared" si="679"/>
        <v>0</v>
      </c>
      <c r="W1218" s="59">
        <f t="shared" si="679"/>
        <v>0</v>
      </c>
      <c r="X1218" s="59">
        <f t="shared" si="679"/>
        <v>0</v>
      </c>
    </row>
    <row r="1219" spans="2:24" hidden="1">
      <c r="B1219" s="58" t="str">
        <f t="shared" si="668"/>
        <v/>
      </c>
      <c r="C1219" s="58" t="str">
        <f t="shared" si="668"/>
        <v/>
      </c>
      <c r="D1219" s="58" t="str">
        <f t="shared" si="668"/>
        <v/>
      </c>
      <c r="E1219" s="58" t="str">
        <f t="shared" si="668"/>
        <v/>
      </c>
      <c r="F1219" s="58"/>
      <c r="G1219" s="58"/>
      <c r="H1219" s="58"/>
      <c r="I1219" s="58"/>
      <c r="J1219" s="58"/>
      <c r="K1219" s="59">
        <f t="shared" ref="K1219:X1219" si="680">IF(AND($D1219="tak",$E1219="prace rozwojowe",Modul_badawczo_rozwojowy=tak),ROUND(K736*K195,0),0)</f>
        <v>0</v>
      </c>
      <c r="L1219" s="59">
        <f t="shared" si="680"/>
        <v>0</v>
      </c>
      <c r="M1219" s="59">
        <f t="shared" si="680"/>
        <v>0</v>
      </c>
      <c r="N1219" s="59">
        <f t="shared" si="680"/>
        <v>0</v>
      </c>
      <c r="O1219" s="59">
        <f t="shared" si="680"/>
        <v>0</v>
      </c>
      <c r="P1219" s="59">
        <f t="shared" si="680"/>
        <v>0</v>
      </c>
      <c r="Q1219" s="59">
        <f t="shared" si="680"/>
        <v>0</v>
      </c>
      <c r="R1219" s="59">
        <f t="shared" si="680"/>
        <v>0</v>
      </c>
      <c r="S1219" s="59">
        <f t="shared" si="680"/>
        <v>0</v>
      </c>
      <c r="T1219" s="59">
        <f t="shared" si="680"/>
        <v>0</v>
      </c>
      <c r="U1219" s="59">
        <f t="shared" si="680"/>
        <v>0</v>
      </c>
      <c r="V1219" s="59">
        <f t="shared" si="680"/>
        <v>0</v>
      </c>
      <c r="W1219" s="59">
        <f t="shared" si="680"/>
        <v>0</v>
      </c>
      <c r="X1219" s="59">
        <f t="shared" si="680"/>
        <v>0</v>
      </c>
    </row>
    <row r="1220" spans="2:24" hidden="1">
      <c r="B1220" s="58" t="str">
        <f t="shared" si="668"/>
        <v/>
      </c>
      <c r="C1220" s="58" t="str">
        <f t="shared" si="668"/>
        <v/>
      </c>
      <c r="D1220" s="58" t="str">
        <f t="shared" si="668"/>
        <v/>
      </c>
      <c r="E1220" s="58" t="str">
        <f t="shared" si="668"/>
        <v/>
      </c>
      <c r="F1220" s="58"/>
      <c r="G1220" s="58"/>
      <c r="H1220" s="58"/>
      <c r="I1220" s="58"/>
      <c r="J1220" s="58"/>
      <c r="K1220" s="59">
        <f t="shared" ref="K1220:X1220" si="681">IF(AND($D1220="tak",$E1220="prace rozwojowe",Modul_badawczo_rozwojowy=tak),ROUND(K737*K196,0),0)</f>
        <v>0</v>
      </c>
      <c r="L1220" s="59">
        <f t="shared" si="681"/>
        <v>0</v>
      </c>
      <c r="M1220" s="59">
        <f t="shared" si="681"/>
        <v>0</v>
      </c>
      <c r="N1220" s="59">
        <f t="shared" si="681"/>
        <v>0</v>
      </c>
      <c r="O1220" s="59">
        <f t="shared" si="681"/>
        <v>0</v>
      </c>
      <c r="P1220" s="59">
        <f t="shared" si="681"/>
        <v>0</v>
      </c>
      <c r="Q1220" s="59">
        <f t="shared" si="681"/>
        <v>0</v>
      </c>
      <c r="R1220" s="59">
        <f t="shared" si="681"/>
        <v>0</v>
      </c>
      <c r="S1220" s="59">
        <f t="shared" si="681"/>
        <v>0</v>
      </c>
      <c r="T1220" s="59">
        <f t="shared" si="681"/>
        <v>0</v>
      </c>
      <c r="U1220" s="59">
        <f t="shared" si="681"/>
        <v>0</v>
      </c>
      <c r="V1220" s="59">
        <f t="shared" si="681"/>
        <v>0</v>
      </c>
      <c r="W1220" s="59">
        <f t="shared" si="681"/>
        <v>0</v>
      </c>
      <c r="X1220" s="59">
        <f t="shared" si="681"/>
        <v>0</v>
      </c>
    </row>
    <row r="1221" spans="2:24" hidden="1">
      <c r="B1221" s="58" t="str">
        <f t="shared" si="668"/>
        <v/>
      </c>
      <c r="C1221" s="58" t="str">
        <f t="shared" si="668"/>
        <v/>
      </c>
      <c r="D1221" s="58" t="str">
        <f t="shared" si="668"/>
        <v/>
      </c>
      <c r="E1221" s="58" t="str">
        <f t="shared" si="668"/>
        <v/>
      </c>
      <c r="F1221" s="58"/>
      <c r="G1221" s="58"/>
      <c r="H1221" s="58"/>
      <c r="I1221" s="58"/>
      <c r="J1221" s="58"/>
      <c r="K1221" s="59">
        <f t="shared" ref="K1221:X1221" si="682">IF(AND($D1221="tak",$E1221="prace rozwojowe",Modul_badawczo_rozwojowy=tak),ROUND(K738*K197,0),0)</f>
        <v>0</v>
      </c>
      <c r="L1221" s="59">
        <f t="shared" si="682"/>
        <v>0</v>
      </c>
      <c r="M1221" s="59">
        <f t="shared" si="682"/>
        <v>0</v>
      </c>
      <c r="N1221" s="59">
        <f t="shared" si="682"/>
        <v>0</v>
      </c>
      <c r="O1221" s="59">
        <f t="shared" si="682"/>
        <v>0</v>
      </c>
      <c r="P1221" s="59">
        <f t="shared" si="682"/>
        <v>0</v>
      </c>
      <c r="Q1221" s="59">
        <f t="shared" si="682"/>
        <v>0</v>
      </c>
      <c r="R1221" s="59">
        <f t="shared" si="682"/>
        <v>0</v>
      </c>
      <c r="S1221" s="59">
        <f t="shared" si="682"/>
        <v>0</v>
      </c>
      <c r="T1221" s="59">
        <f t="shared" si="682"/>
        <v>0</v>
      </c>
      <c r="U1221" s="59">
        <f t="shared" si="682"/>
        <v>0</v>
      </c>
      <c r="V1221" s="59">
        <f t="shared" si="682"/>
        <v>0</v>
      </c>
      <c r="W1221" s="59">
        <f t="shared" si="682"/>
        <v>0</v>
      </c>
      <c r="X1221" s="59">
        <f t="shared" si="682"/>
        <v>0</v>
      </c>
    </row>
    <row r="1222" spans="2:24" hidden="1">
      <c r="B1222" s="58" t="str">
        <f t="shared" si="668"/>
        <v/>
      </c>
      <c r="C1222" s="58" t="str">
        <f t="shared" si="668"/>
        <v/>
      </c>
      <c r="D1222" s="58" t="str">
        <f t="shared" si="668"/>
        <v/>
      </c>
      <c r="E1222" s="58" t="str">
        <f t="shared" si="668"/>
        <v/>
      </c>
      <c r="F1222" s="58"/>
      <c r="G1222" s="58"/>
      <c r="H1222" s="58"/>
      <c r="I1222" s="58"/>
      <c r="J1222" s="58"/>
      <c r="K1222" s="59">
        <f t="shared" ref="K1222:X1222" si="683">IF(AND($D1222="tak",$E1222="prace rozwojowe",Modul_badawczo_rozwojowy=tak),ROUND(K739*K198,0),0)</f>
        <v>0</v>
      </c>
      <c r="L1222" s="59">
        <f t="shared" si="683"/>
        <v>0</v>
      </c>
      <c r="M1222" s="59">
        <f t="shared" si="683"/>
        <v>0</v>
      </c>
      <c r="N1222" s="59">
        <f t="shared" si="683"/>
        <v>0</v>
      </c>
      <c r="O1222" s="59">
        <f t="shared" si="683"/>
        <v>0</v>
      </c>
      <c r="P1222" s="59">
        <f t="shared" si="683"/>
        <v>0</v>
      </c>
      <c r="Q1222" s="59">
        <f t="shared" si="683"/>
        <v>0</v>
      </c>
      <c r="R1222" s="59">
        <f t="shared" si="683"/>
        <v>0</v>
      </c>
      <c r="S1222" s="59">
        <f t="shared" si="683"/>
        <v>0</v>
      </c>
      <c r="T1222" s="59">
        <f t="shared" si="683"/>
        <v>0</v>
      </c>
      <c r="U1222" s="59">
        <f t="shared" si="683"/>
        <v>0</v>
      </c>
      <c r="V1222" s="59">
        <f t="shared" si="683"/>
        <v>0</v>
      </c>
      <c r="W1222" s="59">
        <f t="shared" si="683"/>
        <v>0</v>
      </c>
      <c r="X1222" s="59">
        <f t="shared" si="683"/>
        <v>0</v>
      </c>
    </row>
    <row r="1223" spans="2:24" hidden="1">
      <c r="B1223" s="58" t="str">
        <f t="shared" si="668"/>
        <v/>
      </c>
      <c r="C1223" s="58" t="str">
        <f t="shared" si="668"/>
        <v/>
      </c>
      <c r="D1223" s="58" t="str">
        <f t="shared" si="668"/>
        <v/>
      </c>
      <c r="E1223" s="58" t="str">
        <f t="shared" si="668"/>
        <v/>
      </c>
      <c r="F1223" s="58"/>
      <c r="G1223" s="58"/>
      <c r="H1223" s="58"/>
      <c r="I1223" s="58"/>
      <c r="J1223" s="58"/>
      <c r="K1223" s="59">
        <f t="shared" ref="K1223:X1223" si="684">IF(AND($D1223="tak",$E1223="prace rozwojowe",Modul_badawczo_rozwojowy=tak),ROUND(K740*K199,0),0)</f>
        <v>0</v>
      </c>
      <c r="L1223" s="59">
        <f t="shared" si="684"/>
        <v>0</v>
      </c>
      <c r="M1223" s="59">
        <f t="shared" si="684"/>
        <v>0</v>
      </c>
      <c r="N1223" s="59">
        <f t="shared" si="684"/>
        <v>0</v>
      </c>
      <c r="O1223" s="59">
        <f t="shared" si="684"/>
        <v>0</v>
      </c>
      <c r="P1223" s="59">
        <f t="shared" si="684"/>
        <v>0</v>
      </c>
      <c r="Q1223" s="59">
        <f t="shared" si="684"/>
        <v>0</v>
      </c>
      <c r="R1223" s="59">
        <f t="shared" si="684"/>
        <v>0</v>
      </c>
      <c r="S1223" s="59">
        <f t="shared" si="684"/>
        <v>0</v>
      </c>
      <c r="T1223" s="59">
        <f t="shared" si="684"/>
        <v>0</v>
      </c>
      <c r="U1223" s="59">
        <f t="shared" si="684"/>
        <v>0</v>
      </c>
      <c r="V1223" s="59">
        <f t="shared" si="684"/>
        <v>0</v>
      </c>
      <c r="W1223" s="59">
        <f t="shared" si="684"/>
        <v>0</v>
      </c>
      <c r="X1223" s="59">
        <f t="shared" si="684"/>
        <v>0</v>
      </c>
    </row>
    <row r="1224" spans="2:24" hidden="1">
      <c r="B1224" s="58" t="str">
        <f t="shared" si="668"/>
        <v/>
      </c>
      <c r="C1224" s="58" t="str">
        <f t="shared" si="668"/>
        <v/>
      </c>
      <c r="D1224" s="58" t="str">
        <f t="shared" si="668"/>
        <v/>
      </c>
      <c r="E1224" s="58" t="str">
        <f t="shared" si="668"/>
        <v/>
      </c>
      <c r="F1224" s="58"/>
      <c r="G1224" s="58"/>
      <c r="H1224" s="58"/>
      <c r="I1224" s="58"/>
      <c r="J1224" s="58"/>
      <c r="K1224" s="59">
        <f t="shared" ref="K1224:X1224" si="685">IF(AND($D1224="tak",$E1224="prace rozwojowe",Modul_badawczo_rozwojowy=tak),ROUND(K741*K200,0),0)</f>
        <v>0</v>
      </c>
      <c r="L1224" s="59">
        <f t="shared" si="685"/>
        <v>0</v>
      </c>
      <c r="M1224" s="59">
        <f t="shared" si="685"/>
        <v>0</v>
      </c>
      <c r="N1224" s="59">
        <f t="shared" si="685"/>
        <v>0</v>
      </c>
      <c r="O1224" s="59">
        <f t="shared" si="685"/>
        <v>0</v>
      </c>
      <c r="P1224" s="59">
        <f t="shared" si="685"/>
        <v>0</v>
      </c>
      <c r="Q1224" s="59">
        <f t="shared" si="685"/>
        <v>0</v>
      </c>
      <c r="R1224" s="59">
        <f t="shared" si="685"/>
        <v>0</v>
      </c>
      <c r="S1224" s="59">
        <f t="shared" si="685"/>
        <v>0</v>
      </c>
      <c r="T1224" s="59">
        <f t="shared" si="685"/>
        <v>0</v>
      </c>
      <c r="U1224" s="59">
        <f t="shared" si="685"/>
        <v>0</v>
      </c>
      <c r="V1224" s="59">
        <f t="shared" si="685"/>
        <v>0</v>
      </c>
      <c r="W1224" s="59">
        <f t="shared" si="685"/>
        <v>0</v>
      </c>
      <c r="X1224" s="59">
        <f t="shared" si="685"/>
        <v>0</v>
      </c>
    </row>
    <row r="1225" spans="2:24" hidden="1">
      <c r="B1225" s="58" t="str">
        <f t="shared" si="668"/>
        <v/>
      </c>
      <c r="C1225" s="58" t="str">
        <f t="shared" si="668"/>
        <v/>
      </c>
      <c r="D1225" s="58" t="str">
        <f t="shared" si="668"/>
        <v/>
      </c>
      <c r="E1225" s="58" t="str">
        <f t="shared" si="668"/>
        <v/>
      </c>
      <c r="F1225" s="58"/>
      <c r="G1225" s="58"/>
      <c r="H1225" s="58"/>
      <c r="I1225" s="58"/>
      <c r="J1225" s="58"/>
      <c r="K1225" s="59">
        <f t="shared" ref="K1225:X1225" si="686">IF(AND($D1225="tak",$E1225="prace rozwojowe",Modul_badawczo_rozwojowy=tak),ROUND(K742*K201,0),0)</f>
        <v>0</v>
      </c>
      <c r="L1225" s="59">
        <f t="shared" si="686"/>
        <v>0</v>
      </c>
      <c r="M1225" s="59">
        <f t="shared" si="686"/>
        <v>0</v>
      </c>
      <c r="N1225" s="59">
        <f t="shared" si="686"/>
        <v>0</v>
      </c>
      <c r="O1225" s="59">
        <f t="shared" si="686"/>
        <v>0</v>
      </c>
      <c r="P1225" s="59">
        <f t="shared" si="686"/>
        <v>0</v>
      </c>
      <c r="Q1225" s="59">
        <f t="shared" si="686"/>
        <v>0</v>
      </c>
      <c r="R1225" s="59">
        <f t="shared" si="686"/>
        <v>0</v>
      </c>
      <c r="S1225" s="59">
        <f t="shared" si="686"/>
        <v>0</v>
      </c>
      <c r="T1225" s="59">
        <f t="shared" si="686"/>
        <v>0</v>
      </c>
      <c r="U1225" s="59">
        <f t="shared" si="686"/>
        <v>0</v>
      </c>
      <c r="V1225" s="59">
        <f t="shared" si="686"/>
        <v>0</v>
      </c>
      <c r="W1225" s="59">
        <f t="shared" si="686"/>
        <v>0</v>
      </c>
      <c r="X1225" s="59">
        <f t="shared" si="686"/>
        <v>0</v>
      </c>
    </row>
    <row r="1226" spans="2:24" hidden="1">
      <c r="B1226" s="58" t="str">
        <f t="shared" si="668"/>
        <v/>
      </c>
      <c r="C1226" s="58" t="str">
        <f t="shared" si="668"/>
        <v/>
      </c>
      <c r="D1226" s="58" t="str">
        <f t="shared" si="668"/>
        <v/>
      </c>
      <c r="E1226" s="58" t="str">
        <f t="shared" si="668"/>
        <v/>
      </c>
      <c r="F1226" s="58"/>
      <c r="G1226" s="58"/>
      <c r="H1226" s="58"/>
      <c r="I1226" s="58"/>
      <c r="J1226" s="58"/>
      <c r="K1226" s="59">
        <f t="shared" ref="K1226:X1226" si="687">IF(AND($D1226="tak",$E1226="prace rozwojowe",Modul_badawczo_rozwojowy=tak),ROUND(K743*K202,0),0)</f>
        <v>0</v>
      </c>
      <c r="L1226" s="59">
        <f t="shared" si="687"/>
        <v>0</v>
      </c>
      <c r="M1226" s="59">
        <f t="shared" si="687"/>
        <v>0</v>
      </c>
      <c r="N1226" s="59">
        <f t="shared" si="687"/>
        <v>0</v>
      </c>
      <c r="O1226" s="59">
        <f t="shared" si="687"/>
        <v>0</v>
      </c>
      <c r="P1226" s="59">
        <f t="shared" si="687"/>
        <v>0</v>
      </c>
      <c r="Q1226" s="59">
        <f t="shared" si="687"/>
        <v>0</v>
      </c>
      <c r="R1226" s="59">
        <f t="shared" si="687"/>
        <v>0</v>
      </c>
      <c r="S1226" s="59">
        <f t="shared" si="687"/>
        <v>0</v>
      </c>
      <c r="T1226" s="59">
        <f t="shared" si="687"/>
        <v>0</v>
      </c>
      <c r="U1226" s="59">
        <f t="shared" si="687"/>
        <v>0</v>
      </c>
      <c r="V1226" s="59">
        <f t="shared" si="687"/>
        <v>0</v>
      </c>
      <c r="W1226" s="59">
        <f t="shared" si="687"/>
        <v>0</v>
      </c>
      <c r="X1226" s="59">
        <f t="shared" si="687"/>
        <v>0</v>
      </c>
    </row>
    <row r="1227" spans="2:24" hidden="1">
      <c r="B1227" s="58" t="str">
        <f t="shared" si="668"/>
        <v/>
      </c>
      <c r="C1227" s="58" t="str">
        <f t="shared" si="668"/>
        <v/>
      </c>
      <c r="D1227" s="58" t="str">
        <f t="shared" si="668"/>
        <v/>
      </c>
      <c r="E1227" s="58" t="str">
        <f t="shared" si="668"/>
        <v/>
      </c>
      <c r="F1227" s="58"/>
      <c r="G1227" s="58"/>
      <c r="H1227" s="58"/>
      <c r="I1227" s="58"/>
      <c r="J1227" s="58"/>
      <c r="K1227" s="59">
        <f t="shared" ref="K1227:X1227" si="688">IF(AND($D1227="tak",$E1227="prace rozwojowe",Modul_badawczo_rozwojowy=tak),ROUND(K744*K203,0),0)</f>
        <v>0</v>
      </c>
      <c r="L1227" s="59">
        <f t="shared" si="688"/>
        <v>0</v>
      </c>
      <c r="M1227" s="59">
        <f t="shared" si="688"/>
        <v>0</v>
      </c>
      <c r="N1227" s="59">
        <f t="shared" si="688"/>
        <v>0</v>
      </c>
      <c r="O1227" s="59">
        <f t="shared" si="688"/>
        <v>0</v>
      </c>
      <c r="P1227" s="59">
        <f t="shared" si="688"/>
        <v>0</v>
      </c>
      <c r="Q1227" s="59">
        <f t="shared" si="688"/>
        <v>0</v>
      </c>
      <c r="R1227" s="59">
        <f t="shared" si="688"/>
        <v>0</v>
      </c>
      <c r="S1227" s="59">
        <f t="shared" si="688"/>
        <v>0</v>
      </c>
      <c r="T1227" s="59">
        <f t="shared" si="688"/>
        <v>0</v>
      </c>
      <c r="U1227" s="59">
        <f t="shared" si="688"/>
        <v>0</v>
      </c>
      <c r="V1227" s="59">
        <f t="shared" si="688"/>
        <v>0</v>
      </c>
      <c r="W1227" s="59">
        <f t="shared" si="688"/>
        <v>0</v>
      </c>
      <c r="X1227" s="59">
        <f t="shared" si="688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89">ROUND(SUM(K1208:K1227),0)</f>
        <v>0</v>
      </c>
      <c r="L1228" s="60">
        <f t="shared" si="689"/>
        <v>0</v>
      </c>
      <c r="M1228" s="60">
        <f t="shared" si="689"/>
        <v>0</v>
      </c>
      <c r="N1228" s="60">
        <f t="shared" si="689"/>
        <v>0</v>
      </c>
      <c r="O1228" s="60">
        <f t="shared" si="689"/>
        <v>0</v>
      </c>
      <c r="P1228" s="60">
        <f t="shared" si="689"/>
        <v>0</v>
      </c>
      <c r="Q1228" s="60">
        <f t="shared" si="689"/>
        <v>0</v>
      </c>
      <c r="R1228" s="60">
        <f t="shared" si="689"/>
        <v>0</v>
      </c>
      <c r="S1228" s="60">
        <f t="shared" si="689"/>
        <v>0</v>
      </c>
      <c r="T1228" s="60">
        <f t="shared" si="689"/>
        <v>0</v>
      </c>
      <c r="U1228" s="60">
        <f t="shared" si="689"/>
        <v>0</v>
      </c>
      <c r="V1228" s="60">
        <f t="shared" si="689"/>
        <v>0</v>
      </c>
      <c r="W1228" s="60">
        <f t="shared" si="689"/>
        <v>0</v>
      </c>
      <c r="X1228" s="60">
        <f t="shared" si="689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0">IF(ISBLANK(B749),"",B749)</f>
        <v/>
      </c>
      <c r="C1232" s="58" t="str">
        <f t="shared" si="690"/>
        <v/>
      </c>
      <c r="D1232" s="58" t="str">
        <f t="shared" si="690"/>
        <v/>
      </c>
      <c r="E1232" s="58" t="str">
        <f t="shared" si="690"/>
        <v/>
      </c>
      <c r="F1232" s="58"/>
      <c r="G1232" s="58"/>
      <c r="H1232" s="58"/>
      <c r="I1232" s="58"/>
      <c r="J1232" s="58"/>
      <c r="K1232" s="59">
        <f t="shared" ref="K1232:X1232" si="691">IF(AND($D1232="tak",$E1232="prace rozwojowe",Modul_badawczo_rozwojowy=tak),ROUND(K749*K214,0),0)</f>
        <v>0</v>
      </c>
      <c r="L1232" s="59">
        <f t="shared" si="691"/>
        <v>0</v>
      </c>
      <c r="M1232" s="59">
        <f t="shared" si="691"/>
        <v>0</v>
      </c>
      <c r="N1232" s="59">
        <f t="shared" si="691"/>
        <v>0</v>
      </c>
      <c r="O1232" s="59">
        <f t="shared" si="691"/>
        <v>0</v>
      </c>
      <c r="P1232" s="59">
        <f t="shared" si="691"/>
        <v>0</v>
      </c>
      <c r="Q1232" s="59">
        <f t="shared" si="691"/>
        <v>0</v>
      </c>
      <c r="R1232" s="59">
        <f t="shared" si="691"/>
        <v>0</v>
      </c>
      <c r="S1232" s="59">
        <f t="shared" si="691"/>
        <v>0</v>
      </c>
      <c r="T1232" s="59">
        <f t="shared" si="691"/>
        <v>0</v>
      </c>
      <c r="U1232" s="59">
        <f t="shared" si="691"/>
        <v>0</v>
      </c>
      <c r="V1232" s="59">
        <f t="shared" si="691"/>
        <v>0</v>
      </c>
      <c r="W1232" s="59">
        <f t="shared" si="691"/>
        <v>0</v>
      </c>
      <c r="X1232" s="59">
        <f t="shared" si="691"/>
        <v>0</v>
      </c>
    </row>
    <row r="1233" spans="2:24" hidden="1">
      <c r="B1233" s="58" t="str">
        <f t="shared" si="690"/>
        <v/>
      </c>
      <c r="C1233" s="58" t="str">
        <f t="shared" si="690"/>
        <v/>
      </c>
      <c r="D1233" s="58" t="str">
        <f t="shared" si="690"/>
        <v/>
      </c>
      <c r="E1233" s="58" t="str">
        <f t="shared" si="690"/>
        <v/>
      </c>
      <c r="F1233" s="58"/>
      <c r="G1233" s="58"/>
      <c r="H1233" s="58"/>
      <c r="I1233" s="58"/>
      <c r="J1233" s="58"/>
      <c r="K1233" s="59">
        <f t="shared" ref="K1233:X1233" si="692">IF(AND($D1233="tak",$E1233="prace rozwojowe",Modul_badawczo_rozwojowy=tak),ROUND(K750*K215,0),0)</f>
        <v>0</v>
      </c>
      <c r="L1233" s="59">
        <f t="shared" si="692"/>
        <v>0</v>
      </c>
      <c r="M1233" s="59">
        <f t="shared" si="692"/>
        <v>0</v>
      </c>
      <c r="N1233" s="59">
        <f t="shared" si="692"/>
        <v>0</v>
      </c>
      <c r="O1233" s="59">
        <f t="shared" si="692"/>
        <v>0</v>
      </c>
      <c r="P1233" s="59">
        <f t="shared" si="692"/>
        <v>0</v>
      </c>
      <c r="Q1233" s="59">
        <f t="shared" si="692"/>
        <v>0</v>
      </c>
      <c r="R1233" s="59">
        <f t="shared" si="692"/>
        <v>0</v>
      </c>
      <c r="S1233" s="59">
        <f t="shared" si="692"/>
        <v>0</v>
      </c>
      <c r="T1233" s="59">
        <f t="shared" si="692"/>
        <v>0</v>
      </c>
      <c r="U1233" s="59">
        <f t="shared" si="692"/>
        <v>0</v>
      </c>
      <c r="V1233" s="59">
        <f t="shared" si="692"/>
        <v>0</v>
      </c>
      <c r="W1233" s="59">
        <f t="shared" si="692"/>
        <v>0</v>
      </c>
      <c r="X1233" s="59">
        <f t="shared" si="692"/>
        <v>0</v>
      </c>
    </row>
    <row r="1234" spans="2:24" hidden="1">
      <c r="B1234" s="58" t="str">
        <f t="shared" si="690"/>
        <v/>
      </c>
      <c r="C1234" s="58" t="str">
        <f t="shared" si="690"/>
        <v/>
      </c>
      <c r="D1234" s="58" t="str">
        <f t="shared" si="690"/>
        <v/>
      </c>
      <c r="E1234" s="58" t="str">
        <f t="shared" si="690"/>
        <v/>
      </c>
      <c r="F1234" s="58"/>
      <c r="G1234" s="58"/>
      <c r="H1234" s="58"/>
      <c r="I1234" s="58"/>
      <c r="J1234" s="58"/>
      <c r="K1234" s="59">
        <f t="shared" ref="K1234:X1234" si="693">IF(AND($D1234="tak",$E1234="prace rozwojowe",Modul_badawczo_rozwojowy=tak),ROUND(K751*K216,0),0)</f>
        <v>0</v>
      </c>
      <c r="L1234" s="59">
        <f t="shared" si="693"/>
        <v>0</v>
      </c>
      <c r="M1234" s="59">
        <f t="shared" si="693"/>
        <v>0</v>
      </c>
      <c r="N1234" s="59">
        <f t="shared" si="693"/>
        <v>0</v>
      </c>
      <c r="O1234" s="59">
        <f t="shared" si="693"/>
        <v>0</v>
      </c>
      <c r="P1234" s="59">
        <f t="shared" si="693"/>
        <v>0</v>
      </c>
      <c r="Q1234" s="59">
        <f t="shared" si="693"/>
        <v>0</v>
      </c>
      <c r="R1234" s="59">
        <f t="shared" si="693"/>
        <v>0</v>
      </c>
      <c r="S1234" s="59">
        <f t="shared" si="693"/>
        <v>0</v>
      </c>
      <c r="T1234" s="59">
        <f t="shared" si="693"/>
        <v>0</v>
      </c>
      <c r="U1234" s="59">
        <f t="shared" si="693"/>
        <v>0</v>
      </c>
      <c r="V1234" s="59">
        <f t="shared" si="693"/>
        <v>0</v>
      </c>
      <c r="W1234" s="59">
        <f t="shared" si="693"/>
        <v>0</v>
      </c>
      <c r="X1234" s="59">
        <f t="shared" si="693"/>
        <v>0</v>
      </c>
    </row>
    <row r="1235" spans="2:24" hidden="1">
      <c r="B1235" s="58" t="str">
        <f t="shared" si="690"/>
        <v/>
      </c>
      <c r="C1235" s="58" t="str">
        <f t="shared" si="690"/>
        <v/>
      </c>
      <c r="D1235" s="58" t="str">
        <f t="shared" si="690"/>
        <v/>
      </c>
      <c r="E1235" s="58" t="str">
        <f t="shared" si="690"/>
        <v/>
      </c>
      <c r="F1235" s="58"/>
      <c r="G1235" s="58"/>
      <c r="H1235" s="58"/>
      <c r="I1235" s="58"/>
      <c r="J1235" s="58"/>
      <c r="K1235" s="59">
        <f t="shared" ref="K1235:X1235" si="694">IF(AND($D1235="tak",$E1235="prace rozwojowe",Modul_badawczo_rozwojowy=tak),ROUND(K752*K217,0),0)</f>
        <v>0</v>
      </c>
      <c r="L1235" s="59">
        <f t="shared" si="694"/>
        <v>0</v>
      </c>
      <c r="M1235" s="59">
        <f t="shared" si="694"/>
        <v>0</v>
      </c>
      <c r="N1235" s="59">
        <f t="shared" si="694"/>
        <v>0</v>
      </c>
      <c r="O1235" s="59">
        <f t="shared" si="694"/>
        <v>0</v>
      </c>
      <c r="P1235" s="59">
        <f t="shared" si="694"/>
        <v>0</v>
      </c>
      <c r="Q1235" s="59">
        <f t="shared" si="694"/>
        <v>0</v>
      </c>
      <c r="R1235" s="59">
        <f t="shared" si="694"/>
        <v>0</v>
      </c>
      <c r="S1235" s="59">
        <f t="shared" si="694"/>
        <v>0</v>
      </c>
      <c r="T1235" s="59">
        <f t="shared" si="694"/>
        <v>0</v>
      </c>
      <c r="U1235" s="59">
        <f t="shared" si="694"/>
        <v>0</v>
      </c>
      <c r="V1235" s="59">
        <f t="shared" si="694"/>
        <v>0</v>
      </c>
      <c r="W1235" s="59">
        <f t="shared" si="694"/>
        <v>0</v>
      </c>
      <c r="X1235" s="59">
        <f t="shared" si="694"/>
        <v>0</v>
      </c>
    </row>
    <row r="1236" spans="2:24" hidden="1">
      <c r="B1236" s="58" t="str">
        <f t="shared" si="690"/>
        <v/>
      </c>
      <c r="C1236" s="58" t="str">
        <f t="shared" si="690"/>
        <v/>
      </c>
      <c r="D1236" s="58" t="str">
        <f t="shared" si="690"/>
        <v/>
      </c>
      <c r="E1236" s="58" t="str">
        <f t="shared" si="690"/>
        <v/>
      </c>
      <c r="F1236" s="58"/>
      <c r="G1236" s="58"/>
      <c r="H1236" s="58"/>
      <c r="I1236" s="58"/>
      <c r="J1236" s="58"/>
      <c r="K1236" s="59">
        <f t="shared" ref="K1236:X1236" si="695">IF(AND($D1236="tak",$E1236="prace rozwojowe",Modul_badawczo_rozwojowy=tak),ROUND(K753*K218,0),0)</f>
        <v>0</v>
      </c>
      <c r="L1236" s="59">
        <f t="shared" si="695"/>
        <v>0</v>
      </c>
      <c r="M1236" s="59">
        <f t="shared" si="695"/>
        <v>0</v>
      </c>
      <c r="N1236" s="59">
        <f t="shared" si="695"/>
        <v>0</v>
      </c>
      <c r="O1236" s="59">
        <f t="shared" si="695"/>
        <v>0</v>
      </c>
      <c r="P1236" s="59">
        <f t="shared" si="695"/>
        <v>0</v>
      </c>
      <c r="Q1236" s="59">
        <f t="shared" si="695"/>
        <v>0</v>
      </c>
      <c r="R1236" s="59">
        <f t="shared" si="695"/>
        <v>0</v>
      </c>
      <c r="S1236" s="59">
        <f t="shared" si="695"/>
        <v>0</v>
      </c>
      <c r="T1236" s="59">
        <f t="shared" si="695"/>
        <v>0</v>
      </c>
      <c r="U1236" s="59">
        <f t="shared" si="695"/>
        <v>0</v>
      </c>
      <c r="V1236" s="59">
        <f t="shared" si="695"/>
        <v>0</v>
      </c>
      <c r="W1236" s="59">
        <f t="shared" si="695"/>
        <v>0</v>
      </c>
      <c r="X1236" s="59">
        <f t="shared" si="695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696">ROUND(SUM(K1232:K1236),0)</f>
        <v>0</v>
      </c>
      <c r="L1237" s="60">
        <f t="shared" si="696"/>
        <v>0</v>
      </c>
      <c r="M1237" s="60">
        <f t="shared" si="696"/>
        <v>0</v>
      </c>
      <c r="N1237" s="60">
        <f t="shared" si="696"/>
        <v>0</v>
      </c>
      <c r="O1237" s="60">
        <f t="shared" si="696"/>
        <v>0</v>
      </c>
      <c r="P1237" s="60">
        <f t="shared" si="696"/>
        <v>0</v>
      </c>
      <c r="Q1237" s="60">
        <f t="shared" si="696"/>
        <v>0</v>
      </c>
      <c r="R1237" s="60">
        <f t="shared" si="696"/>
        <v>0</v>
      </c>
      <c r="S1237" s="60">
        <f t="shared" si="696"/>
        <v>0</v>
      </c>
      <c r="T1237" s="60">
        <f t="shared" si="696"/>
        <v>0</v>
      </c>
      <c r="U1237" s="60">
        <f t="shared" si="696"/>
        <v>0</v>
      </c>
      <c r="V1237" s="60">
        <f t="shared" si="696"/>
        <v>0</v>
      </c>
      <c r="W1237" s="60">
        <f t="shared" si="696"/>
        <v>0</v>
      </c>
      <c r="X1237" s="60">
        <f t="shared" si="696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697">IF(ISBLANK(B759),"",B759)</f>
        <v/>
      </c>
      <c r="C1242" s="58" t="str">
        <f t="shared" si="697"/>
        <v/>
      </c>
      <c r="D1242" s="58" t="str">
        <f t="shared" si="697"/>
        <v/>
      </c>
      <c r="E1242" s="58" t="str">
        <f t="shared" si="697"/>
        <v/>
      </c>
      <c r="F1242" s="58"/>
      <c r="G1242" s="58"/>
      <c r="H1242" s="58"/>
      <c r="I1242" s="58"/>
      <c r="J1242" s="58"/>
      <c r="K1242" s="59">
        <f t="shared" ref="K1242:X1242" si="698">IF(AND($D1242="tak",$E1242="prace rozwojowe",Modul_badawczo_rozwojowy=tak),ROUND(K759*K349,0),0)</f>
        <v>0</v>
      </c>
      <c r="L1242" s="59">
        <f t="shared" si="698"/>
        <v>0</v>
      </c>
      <c r="M1242" s="59">
        <f t="shared" si="698"/>
        <v>0</v>
      </c>
      <c r="N1242" s="59">
        <f t="shared" si="698"/>
        <v>0</v>
      </c>
      <c r="O1242" s="59">
        <f t="shared" si="698"/>
        <v>0</v>
      </c>
      <c r="P1242" s="59">
        <f t="shared" si="698"/>
        <v>0</v>
      </c>
      <c r="Q1242" s="59">
        <f t="shared" si="698"/>
        <v>0</v>
      </c>
      <c r="R1242" s="59">
        <f t="shared" si="698"/>
        <v>0</v>
      </c>
      <c r="S1242" s="59">
        <f t="shared" si="698"/>
        <v>0</v>
      </c>
      <c r="T1242" s="59">
        <f t="shared" si="698"/>
        <v>0</v>
      </c>
      <c r="U1242" s="59">
        <f t="shared" si="698"/>
        <v>0</v>
      </c>
      <c r="V1242" s="59">
        <f t="shared" si="698"/>
        <v>0</v>
      </c>
      <c r="W1242" s="59">
        <f t="shared" si="698"/>
        <v>0</v>
      </c>
      <c r="X1242" s="59">
        <f t="shared" si="698"/>
        <v>0</v>
      </c>
    </row>
    <row r="1243" spans="2:24" hidden="1">
      <c r="B1243" s="58" t="str">
        <f t="shared" si="697"/>
        <v/>
      </c>
      <c r="C1243" s="58" t="str">
        <f t="shared" si="697"/>
        <v/>
      </c>
      <c r="D1243" s="58" t="str">
        <f t="shared" si="697"/>
        <v/>
      </c>
      <c r="E1243" s="58" t="str">
        <f t="shared" si="697"/>
        <v/>
      </c>
      <c r="F1243" s="58"/>
      <c r="G1243" s="58"/>
      <c r="H1243" s="58"/>
      <c r="I1243" s="58"/>
      <c r="J1243" s="58"/>
      <c r="K1243" s="59">
        <f t="shared" ref="K1243:X1243" si="699">IF(AND($D1243="tak",$E1243="prace rozwojowe",Modul_badawczo_rozwojowy=tak),ROUND(K760*K350,0),0)</f>
        <v>0</v>
      </c>
      <c r="L1243" s="59">
        <f t="shared" si="699"/>
        <v>0</v>
      </c>
      <c r="M1243" s="59">
        <f t="shared" si="699"/>
        <v>0</v>
      </c>
      <c r="N1243" s="59">
        <f t="shared" si="699"/>
        <v>0</v>
      </c>
      <c r="O1243" s="59">
        <f t="shared" si="699"/>
        <v>0</v>
      </c>
      <c r="P1243" s="59">
        <f t="shared" si="699"/>
        <v>0</v>
      </c>
      <c r="Q1243" s="59">
        <f t="shared" si="699"/>
        <v>0</v>
      </c>
      <c r="R1243" s="59">
        <f t="shared" si="699"/>
        <v>0</v>
      </c>
      <c r="S1243" s="59">
        <f t="shared" si="699"/>
        <v>0</v>
      </c>
      <c r="T1243" s="59">
        <f t="shared" si="699"/>
        <v>0</v>
      </c>
      <c r="U1243" s="59">
        <f t="shared" si="699"/>
        <v>0</v>
      </c>
      <c r="V1243" s="59">
        <f t="shared" si="699"/>
        <v>0</v>
      </c>
      <c r="W1243" s="59">
        <f t="shared" si="699"/>
        <v>0</v>
      </c>
      <c r="X1243" s="59">
        <f t="shared" si="699"/>
        <v>0</v>
      </c>
    </row>
    <row r="1244" spans="2:24" hidden="1">
      <c r="B1244" s="58" t="str">
        <f t="shared" si="697"/>
        <v/>
      </c>
      <c r="C1244" s="58" t="str">
        <f t="shared" si="697"/>
        <v/>
      </c>
      <c r="D1244" s="58" t="str">
        <f t="shared" si="697"/>
        <v/>
      </c>
      <c r="E1244" s="58" t="str">
        <f t="shared" si="697"/>
        <v/>
      </c>
      <c r="F1244" s="58"/>
      <c r="G1244" s="58"/>
      <c r="H1244" s="58"/>
      <c r="I1244" s="58"/>
      <c r="J1244" s="58"/>
      <c r="K1244" s="59">
        <f t="shared" ref="K1244:X1244" si="700">IF(AND($D1244="tak",$E1244="prace rozwojowe",Modul_badawczo_rozwojowy=tak),ROUND(K761*K351,0),0)</f>
        <v>0</v>
      </c>
      <c r="L1244" s="59">
        <f t="shared" si="700"/>
        <v>0</v>
      </c>
      <c r="M1244" s="59">
        <f t="shared" si="700"/>
        <v>0</v>
      </c>
      <c r="N1244" s="59">
        <f t="shared" si="700"/>
        <v>0</v>
      </c>
      <c r="O1244" s="59">
        <f t="shared" si="700"/>
        <v>0</v>
      </c>
      <c r="P1244" s="59">
        <f t="shared" si="700"/>
        <v>0</v>
      </c>
      <c r="Q1244" s="59">
        <f t="shared" si="700"/>
        <v>0</v>
      </c>
      <c r="R1244" s="59">
        <f t="shared" si="700"/>
        <v>0</v>
      </c>
      <c r="S1244" s="59">
        <f t="shared" si="700"/>
        <v>0</v>
      </c>
      <c r="T1244" s="59">
        <f t="shared" si="700"/>
        <v>0</v>
      </c>
      <c r="U1244" s="59">
        <f t="shared" si="700"/>
        <v>0</v>
      </c>
      <c r="V1244" s="59">
        <f t="shared" si="700"/>
        <v>0</v>
      </c>
      <c r="W1244" s="59">
        <f t="shared" si="700"/>
        <v>0</v>
      </c>
      <c r="X1244" s="59">
        <f t="shared" si="700"/>
        <v>0</v>
      </c>
    </row>
    <row r="1245" spans="2:24" hidden="1">
      <c r="B1245" s="58" t="str">
        <f t="shared" si="697"/>
        <v/>
      </c>
      <c r="C1245" s="58" t="str">
        <f t="shared" si="697"/>
        <v/>
      </c>
      <c r="D1245" s="58" t="str">
        <f t="shared" si="697"/>
        <v/>
      </c>
      <c r="E1245" s="58" t="str">
        <f t="shared" si="697"/>
        <v/>
      </c>
      <c r="F1245" s="58"/>
      <c r="G1245" s="58"/>
      <c r="H1245" s="58"/>
      <c r="I1245" s="58"/>
      <c r="J1245" s="58"/>
      <c r="K1245" s="59">
        <f t="shared" ref="K1245:X1245" si="701">IF(AND($D1245="tak",$E1245="prace rozwojowe",Modul_badawczo_rozwojowy=tak),ROUND(K762*K352,0),0)</f>
        <v>0</v>
      </c>
      <c r="L1245" s="59">
        <f t="shared" si="701"/>
        <v>0</v>
      </c>
      <c r="M1245" s="59">
        <f t="shared" si="701"/>
        <v>0</v>
      </c>
      <c r="N1245" s="59">
        <f t="shared" si="701"/>
        <v>0</v>
      </c>
      <c r="O1245" s="59">
        <f t="shared" si="701"/>
        <v>0</v>
      </c>
      <c r="P1245" s="59">
        <f t="shared" si="701"/>
        <v>0</v>
      </c>
      <c r="Q1245" s="59">
        <f t="shared" si="701"/>
        <v>0</v>
      </c>
      <c r="R1245" s="59">
        <f t="shared" si="701"/>
        <v>0</v>
      </c>
      <c r="S1245" s="59">
        <f t="shared" si="701"/>
        <v>0</v>
      </c>
      <c r="T1245" s="59">
        <f t="shared" si="701"/>
        <v>0</v>
      </c>
      <c r="U1245" s="59">
        <f t="shared" si="701"/>
        <v>0</v>
      </c>
      <c r="V1245" s="59">
        <f t="shared" si="701"/>
        <v>0</v>
      </c>
      <c r="W1245" s="59">
        <f t="shared" si="701"/>
        <v>0</v>
      </c>
      <c r="X1245" s="59">
        <f t="shared" si="701"/>
        <v>0</v>
      </c>
    </row>
    <row r="1246" spans="2:24" hidden="1">
      <c r="B1246" s="58" t="str">
        <f t="shared" si="697"/>
        <v/>
      </c>
      <c r="C1246" s="58" t="str">
        <f t="shared" si="697"/>
        <v/>
      </c>
      <c r="D1246" s="58" t="str">
        <f t="shared" si="697"/>
        <v/>
      </c>
      <c r="E1246" s="58" t="str">
        <f t="shared" si="697"/>
        <v/>
      </c>
      <c r="F1246" s="58"/>
      <c r="G1246" s="58"/>
      <c r="H1246" s="58"/>
      <c r="I1246" s="58"/>
      <c r="J1246" s="58"/>
      <c r="K1246" s="59">
        <f t="shared" ref="K1246:X1246" si="702">IF(AND($D1246="tak",$E1246="prace rozwojowe",Modul_badawczo_rozwojowy=tak),ROUND(K763*K353,0),0)</f>
        <v>0</v>
      </c>
      <c r="L1246" s="59">
        <f t="shared" si="702"/>
        <v>0</v>
      </c>
      <c r="M1246" s="59">
        <f t="shared" si="702"/>
        <v>0</v>
      </c>
      <c r="N1246" s="59">
        <f t="shared" si="702"/>
        <v>0</v>
      </c>
      <c r="O1246" s="59">
        <f t="shared" si="702"/>
        <v>0</v>
      </c>
      <c r="P1246" s="59">
        <f t="shared" si="702"/>
        <v>0</v>
      </c>
      <c r="Q1246" s="59">
        <f t="shared" si="702"/>
        <v>0</v>
      </c>
      <c r="R1246" s="59">
        <f t="shared" si="702"/>
        <v>0</v>
      </c>
      <c r="S1246" s="59">
        <f t="shared" si="702"/>
        <v>0</v>
      </c>
      <c r="T1246" s="59">
        <f t="shared" si="702"/>
        <v>0</v>
      </c>
      <c r="U1246" s="59">
        <f t="shared" si="702"/>
        <v>0</v>
      </c>
      <c r="V1246" s="59">
        <f t="shared" si="702"/>
        <v>0</v>
      </c>
      <c r="W1246" s="59">
        <f t="shared" si="702"/>
        <v>0</v>
      </c>
      <c r="X1246" s="59">
        <f t="shared" si="702"/>
        <v>0</v>
      </c>
    </row>
    <row r="1247" spans="2:24" hidden="1">
      <c r="B1247" s="58" t="str">
        <f t="shared" si="697"/>
        <v/>
      </c>
      <c r="C1247" s="58" t="str">
        <f t="shared" si="697"/>
        <v/>
      </c>
      <c r="D1247" s="58" t="str">
        <f t="shared" si="697"/>
        <v/>
      </c>
      <c r="E1247" s="58" t="str">
        <f t="shared" si="697"/>
        <v/>
      </c>
      <c r="F1247" s="58"/>
      <c r="G1247" s="58"/>
      <c r="H1247" s="58"/>
      <c r="I1247" s="58"/>
      <c r="J1247" s="58"/>
      <c r="K1247" s="59">
        <f t="shared" ref="K1247:X1247" si="703">IF(AND($D1247="tak",$E1247="prace rozwojowe",Modul_badawczo_rozwojowy=tak),ROUND(K764*K354,0),0)</f>
        <v>0</v>
      </c>
      <c r="L1247" s="59">
        <f t="shared" si="703"/>
        <v>0</v>
      </c>
      <c r="M1247" s="59">
        <f t="shared" si="703"/>
        <v>0</v>
      </c>
      <c r="N1247" s="59">
        <f t="shared" si="703"/>
        <v>0</v>
      </c>
      <c r="O1247" s="59">
        <f t="shared" si="703"/>
        <v>0</v>
      </c>
      <c r="P1247" s="59">
        <f t="shared" si="703"/>
        <v>0</v>
      </c>
      <c r="Q1247" s="59">
        <f t="shared" si="703"/>
        <v>0</v>
      </c>
      <c r="R1247" s="59">
        <f t="shared" si="703"/>
        <v>0</v>
      </c>
      <c r="S1247" s="59">
        <f t="shared" si="703"/>
        <v>0</v>
      </c>
      <c r="T1247" s="59">
        <f t="shared" si="703"/>
        <v>0</v>
      </c>
      <c r="U1247" s="59">
        <f t="shared" si="703"/>
        <v>0</v>
      </c>
      <c r="V1247" s="59">
        <f t="shared" si="703"/>
        <v>0</v>
      </c>
      <c r="W1247" s="59">
        <f t="shared" si="703"/>
        <v>0</v>
      </c>
      <c r="X1247" s="59">
        <f t="shared" si="703"/>
        <v>0</v>
      </c>
    </row>
    <row r="1248" spans="2:24" hidden="1">
      <c r="B1248" s="58" t="str">
        <f t="shared" si="697"/>
        <v/>
      </c>
      <c r="C1248" s="58" t="str">
        <f t="shared" si="697"/>
        <v/>
      </c>
      <c r="D1248" s="58" t="str">
        <f t="shared" si="697"/>
        <v/>
      </c>
      <c r="E1248" s="58" t="str">
        <f t="shared" si="697"/>
        <v/>
      </c>
      <c r="F1248" s="58"/>
      <c r="G1248" s="58"/>
      <c r="H1248" s="58"/>
      <c r="I1248" s="58"/>
      <c r="J1248" s="58"/>
      <c r="K1248" s="59">
        <f t="shared" ref="K1248:X1248" si="704">IF(AND($D1248="tak",$E1248="prace rozwojowe",Modul_badawczo_rozwojowy=tak),ROUND(K765*K355,0),0)</f>
        <v>0</v>
      </c>
      <c r="L1248" s="59">
        <f t="shared" si="704"/>
        <v>0</v>
      </c>
      <c r="M1248" s="59">
        <f t="shared" si="704"/>
        <v>0</v>
      </c>
      <c r="N1248" s="59">
        <f t="shared" si="704"/>
        <v>0</v>
      </c>
      <c r="O1248" s="59">
        <f t="shared" si="704"/>
        <v>0</v>
      </c>
      <c r="P1248" s="59">
        <f t="shared" si="704"/>
        <v>0</v>
      </c>
      <c r="Q1248" s="59">
        <f t="shared" si="704"/>
        <v>0</v>
      </c>
      <c r="R1248" s="59">
        <f t="shared" si="704"/>
        <v>0</v>
      </c>
      <c r="S1248" s="59">
        <f t="shared" si="704"/>
        <v>0</v>
      </c>
      <c r="T1248" s="59">
        <f t="shared" si="704"/>
        <v>0</v>
      </c>
      <c r="U1248" s="59">
        <f t="shared" si="704"/>
        <v>0</v>
      </c>
      <c r="V1248" s="59">
        <f t="shared" si="704"/>
        <v>0</v>
      </c>
      <c r="W1248" s="59">
        <f t="shared" si="704"/>
        <v>0</v>
      </c>
      <c r="X1248" s="59">
        <f t="shared" si="704"/>
        <v>0</v>
      </c>
    </row>
    <row r="1249" spans="2:24" hidden="1">
      <c r="B1249" s="58" t="str">
        <f t="shared" si="697"/>
        <v/>
      </c>
      <c r="C1249" s="58" t="str">
        <f t="shared" si="697"/>
        <v/>
      </c>
      <c r="D1249" s="58" t="str">
        <f t="shared" si="697"/>
        <v/>
      </c>
      <c r="E1249" s="58" t="str">
        <f t="shared" si="697"/>
        <v/>
      </c>
      <c r="F1249" s="58"/>
      <c r="G1249" s="58"/>
      <c r="H1249" s="58"/>
      <c r="I1249" s="58"/>
      <c r="J1249" s="58"/>
      <c r="K1249" s="59">
        <f t="shared" ref="K1249:X1249" si="705">IF(AND($D1249="tak",$E1249="prace rozwojowe",Modul_badawczo_rozwojowy=tak),ROUND(K766*K356,0),0)</f>
        <v>0</v>
      </c>
      <c r="L1249" s="59">
        <f t="shared" si="705"/>
        <v>0</v>
      </c>
      <c r="M1249" s="59">
        <f t="shared" si="705"/>
        <v>0</v>
      </c>
      <c r="N1249" s="59">
        <f t="shared" si="705"/>
        <v>0</v>
      </c>
      <c r="O1249" s="59">
        <f t="shared" si="705"/>
        <v>0</v>
      </c>
      <c r="P1249" s="59">
        <f t="shared" si="705"/>
        <v>0</v>
      </c>
      <c r="Q1249" s="59">
        <f t="shared" si="705"/>
        <v>0</v>
      </c>
      <c r="R1249" s="59">
        <f t="shared" si="705"/>
        <v>0</v>
      </c>
      <c r="S1249" s="59">
        <f t="shared" si="705"/>
        <v>0</v>
      </c>
      <c r="T1249" s="59">
        <f t="shared" si="705"/>
        <v>0</v>
      </c>
      <c r="U1249" s="59">
        <f t="shared" si="705"/>
        <v>0</v>
      </c>
      <c r="V1249" s="59">
        <f t="shared" si="705"/>
        <v>0</v>
      </c>
      <c r="W1249" s="59">
        <f t="shared" si="705"/>
        <v>0</v>
      </c>
      <c r="X1249" s="59">
        <f t="shared" si="705"/>
        <v>0</v>
      </c>
    </row>
    <row r="1250" spans="2:24" hidden="1">
      <c r="B1250" s="58" t="str">
        <f t="shared" si="697"/>
        <v/>
      </c>
      <c r="C1250" s="58" t="str">
        <f t="shared" si="697"/>
        <v/>
      </c>
      <c r="D1250" s="58" t="str">
        <f t="shared" si="697"/>
        <v/>
      </c>
      <c r="E1250" s="58" t="str">
        <f t="shared" si="697"/>
        <v/>
      </c>
      <c r="F1250" s="58"/>
      <c r="G1250" s="58"/>
      <c r="H1250" s="58"/>
      <c r="I1250" s="58"/>
      <c r="J1250" s="58"/>
      <c r="K1250" s="59">
        <f t="shared" ref="K1250:X1250" si="706">IF(AND($D1250="tak",$E1250="prace rozwojowe",Modul_badawczo_rozwojowy=tak),ROUND(K767*K357,0),0)</f>
        <v>0</v>
      </c>
      <c r="L1250" s="59">
        <f t="shared" si="706"/>
        <v>0</v>
      </c>
      <c r="M1250" s="59">
        <f t="shared" si="706"/>
        <v>0</v>
      </c>
      <c r="N1250" s="59">
        <f t="shared" si="706"/>
        <v>0</v>
      </c>
      <c r="O1250" s="59">
        <f t="shared" si="706"/>
        <v>0</v>
      </c>
      <c r="P1250" s="59">
        <f t="shared" si="706"/>
        <v>0</v>
      </c>
      <c r="Q1250" s="59">
        <f t="shared" si="706"/>
        <v>0</v>
      </c>
      <c r="R1250" s="59">
        <f t="shared" si="706"/>
        <v>0</v>
      </c>
      <c r="S1250" s="59">
        <f t="shared" si="706"/>
        <v>0</v>
      </c>
      <c r="T1250" s="59">
        <f t="shared" si="706"/>
        <v>0</v>
      </c>
      <c r="U1250" s="59">
        <f t="shared" si="706"/>
        <v>0</v>
      </c>
      <c r="V1250" s="59">
        <f t="shared" si="706"/>
        <v>0</v>
      </c>
      <c r="W1250" s="59">
        <f t="shared" si="706"/>
        <v>0</v>
      </c>
      <c r="X1250" s="59">
        <f t="shared" si="706"/>
        <v>0</v>
      </c>
    </row>
    <row r="1251" spans="2:24" hidden="1">
      <c r="B1251" s="58" t="str">
        <f t="shared" si="697"/>
        <v/>
      </c>
      <c r="C1251" s="58" t="str">
        <f t="shared" si="697"/>
        <v/>
      </c>
      <c r="D1251" s="58" t="str">
        <f t="shared" si="697"/>
        <v/>
      </c>
      <c r="E1251" s="58" t="str">
        <f t="shared" si="697"/>
        <v/>
      </c>
      <c r="F1251" s="58"/>
      <c r="G1251" s="58"/>
      <c r="H1251" s="58"/>
      <c r="I1251" s="58"/>
      <c r="J1251" s="58"/>
      <c r="K1251" s="59">
        <f t="shared" ref="K1251:X1251" si="707">IF(AND($D1251="tak",$E1251="prace rozwojowe",Modul_badawczo_rozwojowy=tak),ROUND(K768*K358,0),0)</f>
        <v>0</v>
      </c>
      <c r="L1251" s="59">
        <f t="shared" si="707"/>
        <v>0</v>
      </c>
      <c r="M1251" s="59">
        <f t="shared" si="707"/>
        <v>0</v>
      </c>
      <c r="N1251" s="59">
        <f t="shared" si="707"/>
        <v>0</v>
      </c>
      <c r="O1251" s="59">
        <f t="shared" si="707"/>
        <v>0</v>
      </c>
      <c r="P1251" s="59">
        <f t="shared" si="707"/>
        <v>0</v>
      </c>
      <c r="Q1251" s="59">
        <f t="shared" si="707"/>
        <v>0</v>
      </c>
      <c r="R1251" s="59">
        <f t="shared" si="707"/>
        <v>0</v>
      </c>
      <c r="S1251" s="59">
        <f t="shared" si="707"/>
        <v>0</v>
      </c>
      <c r="T1251" s="59">
        <f t="shared" si="707"/>
        <v>0</v>
      </c>
      <c r="U1251" s="59">
        <f t="shared" si="707"/>
        <v>0</v>
      </c>
      <c r="V1251" s="59">
        <f t="shared" si="707"/>
        <v>0</v>
      </c>
      <c r="W1251" s="59">
        <f t="shared" si="707"/>
        <v>0</v>
      </c>
      <c r="X1251" s="59">
        <f t="shared" si="707"/>
        <v>0</v>
      </c>
    </row>
    <row r="1252" spans="2:24" hidden="1">
      <c r="B1252" s="58" t="str">
        <f t="shared" si="697"/>
        <v/>
      </c>
      <c r="C1252" s="58" t="str">
        <f t="shared" si="697"/>
        <v/>
      </c>
      <c r="D1252" s="58" t="str">
        <f t="shared" si="697"/>
        <v/>
      </c>
      <c r="E1252" s="58" t="str">
        <f t="shared" si="697"/>
        <v/>
      </c>
      <c r="F1252" s="58"/>
      <c r="G1252" s="58"/>
      <c r="H1252" s="58"/>
      <c r="I1252" s="58"/>
      <c r="J1252" s="58"/>
      <c r="K1252" s="59">
        <f t="shared" ref="K1252:X1252" si="708">IF(AND($D1252="tak",$E1252="prace rozwojowe",Modul_badawczo_rozwojowy=tak),ROUND(K769*K359,0),0)</f>
        <v>0</v>
      </c>
      <c r="L1252" s="59">
        <f t="shared" si="708"/>
        <v>0</v>
      </c>
      <c r="M1252" s="59">
        <f t="shared" si="708"/>
        <v>0</v>
      </c>
      <c r="N1252" s="59">
        <f t="shared" si="708"/>
        <v>0</v>
      </c>
      <c r="O1252" s="59">
        <f t="shared" si="708"/>
        <v>0</v>
      </c>
      <c r="P1252" s="59">
        <f t="shared" si="708"/>
        <v>0</v>
      </c>
      <c r="Q1252" s="59">
        <f t="shared" si="708"/>
        <v>0</v>
      </c>
      <c r="R1252" s="59">
        <f t="shared" si="708"/>
        <v>0</v>
      </c>
      <c r="S1252" s="59">
        <f t="shared" si="708"/>
        <v>0</v>
      </c>
      <c r="T1252" s="59">
        <f t="shared" si="708"/>
        <v>0</v>
      </c>
      <c r="U1252" s="59">
        <f t="shared" si="708"/>
        <v>0</v>
      </c>
      <c r="V1252" s="59">
        <f t="shared" si="708"/>
        <v>0</v>
      </c>
      <c r="W1252" s="59">
        <f t="shared" si="708"/>
        <v>0</v>
      </c>
      <c r="X1252" s="59">
        <f t="shared" si="708"/>
        <v>0</v>
      </c>
    </row>
    <row r="1253" spans="2:24" hidden="1">
      <c r="B1253" s="58" t="str">
        <f t="shared" si="697"/>
        <v/>
      </c>
      <c r="C1253" s="58" t="str">
        <f t="shared" si="697"/>
        <v/>
      </c>
      <c r="D1253" s="58" t="str">
        <f t="shared" si="697"/>
        <v/>
      </c>
      <c r="E1253" s="58" t="str">
        <f t="shared" si="697"/>
        <v/>
      </c>
      <c r="F1253" s="58"/>
      <c r="G1253" s="58"/>
      <c r="H1253" s="58"/>
      <c r="I1253" s="58"/>
      <c r="J1253" s="58"/>
      <c r="K1253" s="59">
        <f t="shared" ref="K1253:X1253" si="709">IF(AND($D1253="tak",$E1253="prace rozwojowe",Modul_badawczo_rozwojowy=tak),ROUND(K770*K360,0),0)</f>
        <v>0</v>
      </c>
      <c r="L1253" s="59">
        <f t="shared" si="709"/>
        <v>0</v>
      </c>
      <c r="M1253" s="59">
        <f t="shared" si="709"/>
        <v>0</v>
      </c>
      <c r="N1253" s="59">
        <f t="shared" si="709"/>
        <v>0</v>
      </c>
      <c r="O1253" s="59">
        <f t="shared" si="709"/>
        <v>0</v>
      </c>
      <c r="P1253" s="59">
        <f t="shared" si="709"/>
        <v>0</v>
      </c>
      <c r="Q1253" s="59">
        <f t="shared" si="709"/>
        <v>0</v>
      </c>
      <c r="R1253" s="59">
        <f t="shared" si="709"/>
        <v>0</v>
      </c>
      <c r="S1253" s="59">
        <f t="shared" si="709"/>
        <v>0</v>
      </c>
      <c r="T1253" s="59">
        <f t="shared" si="709"/>
        <v>0</v>
      </c>
      <c r="U1253" s="59">
        <f t="shared" si="709"/>
        <v>0</v>
      </c>
      <c r="V1253" s="59">
        <f t="shared" si="709"/>
        <v>0</v>
      </c>
      <c r="W1253" s="59">
        <f t="shared" si="709"/>
        <v>0</v>
      </c>
      <c r="X1253" s="59">
        <f t="shared" si="709"/>
        <v>0</v>
      </c>
    </row>
    <row r="1254" spans="2:24" hidden="1">
      <c r="B1254" s="58" t="str">
        <f t="shared" si="697"/>
        <v/>
      </c>
      <c r="C1254" s="58" t="str">
        <f t="shared" si="697"/>
        <v/>
      </c>
      <c r="D1254" s="58" t="str">
        <f t="shared" si="697"/>
        <v/>
      </c>
      <c r="E1254" s="58" t="str">
        <f t="shared" si="697"/>
        <v/>
      </c>
      <c r="F1254" s="58"/>
      <c r="G1254" s="58"/>
      <c r="H1254" s="58"/>
      <c r="I1254" s="58"/>
      <c r="J1254" s="58"/>
      <c r="K1254" s="59">
        <f t="shared" ref="K1254:X1254" si="710">IF(AND($D1254="tak",$E1254="prace rozwojowe",Modul_badawczo_rozwojowy=tak),ROUND(K771*K361,0),0)</f>
        <v>0</v>
      </c>
      <c r="L1254" s="59">
        <f t="shared" si="710"/>
        <v>0</v>
      </c>
      <c r="M1254" s="59">
        <f t="shared" si="710"/>
        <v>0</v>
      </c>
      <c r="N1254" s="59">
        <f t="shared" si="710"/>
        <v>0</v>
      </c>
      <c r="O1254" s="59">
        <f t="shared" si="710"/>
        <v>0</v>
      </c>
      <c r="P1254" s="59">
        <f t="shared" si="710"/>
        <v>0</v>
      </c>
      <c r="Q1254" s="59">
        <f t="shared" si="710"/>
        <v>0</v>
      </c>
      <c r="R1254" s="59">
        <f t="shared" si="710"/>
        <v>0</v>
      </c>
      <c r="S1254" s="59">
        <f t="shared" si="710"/>
        <v>0</v>
      </c>
      <c r="T1254" s="59">
        <f t="shared" si="710"/>
        <v>0</v>
      </c>
      <c r="U1254" s="59">
        <f t="shared" si="710"/>
        <v>0</v>
      </c>
      <c r="V1254" s="59">
        <f t="shared" si="710"/>
        <v>0</v>
      </c>
      <c r="W1254" s="59">
        <f t="shared" si="710"/>
        <v>0</v>
      </c>
      <c r="X1254" s="59">
        <f t="shared" si="710"/>
        <v>0</v>
      </c>
    </row>
    <row r="1255" spans="2:24" hidden="1">
      <c r="B1255" s="58" t="str">
        <f t="shared" si="697"/>
        <v/>
      </c>
      <c r="C1255" s="58" t="str">
        <f t="shared" si="697"/>
        <v/>
      </c>
      <c r="D1255" s="58" t="str">
        <f t="shared" si="697"/>
        <v/>
      </c>
      <c r="E1255" s="58" t="str">
        <f t="shared" si="697"/>
        <v/>
      </c>
      <c r="F1255" s="58"/>
      <c r="G1255" s="58"/>
      <c r="H1255" s="58"/>
      <c r="I1255" s="58"/>
      <c r="J1255" s="58"/>
      <c r="K1255" s="59">
        <f t="shared" ref="K1255:X1255" si="711">IF(AND($D1255="tak",$E1255="prace rozwojowe",Modul_badawczo_rozwojowy=tak),ROUND(K772*K362,0),0)</f>
        <v>0</v>
      </c>
      <c r="L1255" s="59">
        <f t="shared" si="711"/>
        <v>0</v>
      </c>
      <c r="M1255" s="59">
        <f t="shared" si="711"/>
        <v>0</v>
      </c>
      <c r="N1255" s="59">
        <f t="shared" si="711"/>
        <v>0</v>
      </c>
      <c r="O1255" s="59">
        <f t="shared" si="711"/>
        <v>0</v>
      </c>
      <c r="P1255" s="59">
        <f t="shared" si="711"/>
        <v>0</v>
      </c>
      <c r="Q1255" s="59">
        <f t="shared" si="711"/>
        <v>0</v>
      </c>
      <c r="R1255" s="59">
        <f t="shared" si="711"/>
        <v>0</v>
      </c>
      <c r="S1255" s="59">
        <f t="shared" si="711"/>
        <v>0</v>
      </c>
      <c r="T1255" s="59">
        <f t="shared" si="711"/>
        <v>0</v>
      </c>
      <c r="U1255" s="59">
        <f t="shared" si="711"/>
        <v>0</v>
      </c>
      <c r="V1255" s="59">
        <f t="shared" si="711"/>
        <v>0</v>
      </c>
      <c r="W1255" s="59">
        <f t="shared" si="711"/>
        <v>0</v>
      </c>
      <c r="X1255" s="59">
        <f t="shared" si="711"/>
        <v>0</v>
      </c>
    </row>
    <row r="1256" spans="2:24" hidden="1">
      <c r="B1256" s="58" t="str">
        <f t="shared" si="697"/>
        <v/>
      </c>
      <c r="C1256" s="58" t="str">
        <f t="shared" si="697"/>
        <v/>
      </c>
      <c r="D1256" s="58" t="str">
        <f t="shared" si="697"/>
        <v/>
      </c>
      <c r="E1256" s="58" t="str">
        <f t="shared" si="697"/>
        <v/>
      </c>
      <c r="F1256" s="58"/>
      <c r="G1256" s="58"/>
      <c r="H1256" s="58"/>
      <c r="I1256" s="58"/>
      <c r="J1256" s="58"/>
      <c r="K1256" s="59">
        <f t="shared" ref="K1256:X1256" si="712">IF(AND($D1256="tak",$E1256="prace rozwojowe",Modul_badawczo_rozwojowy=tak),ROUND(K773*K363,0),0)</f>
        <v>0</v>
      </c>
      <c r="L1256" s="59">
        <f t="shared" si="712"/>
        <v>0</v>
      </c>
      <c r="M1256" s="59">
        <f t="shared" si="712"/>
        <v>0</v>
      </c>
      <c r="N1256" s="59">
        <f t="shared" si="712"/>
        <v>0</v>
      </c>
      <c r="O1256" s="59">
        <f t="shared" si="712"/>
        <v>0</v>
      </c>
      <c r="P1256" s="59">
        <f t="shared" si="712"/>
        <v>0</v>
      </c>
      <c r="Q1256" s="59">
        <f t="shared" si="712"/>
        <v>0</v>
      </c>
      <c r="R1256" s="59">
        <f t="shared" si="712"/>
        <v>0</v>
      </c>
      <c r="S1256" s="59">
        <f t="shared" si="712"/>
        <v>0</v>
      </c>
      <c r="T1256" s="59">
        <f t="shared" si="712"/>
        <v>0</v>
      </c>
      <c r="U1256" s="59">
        <f t="shared" si="712"/>
        <v>0</v>
      </c>
      <c r="V1256" s="59">
        <f t="shared" si="712"/>
        <v>0</v>
      </c>
      <c r="W1256" s="59">
        <f t="shared" si="712"/>
        <v>0</v>
      </c>
      <c r="X1256" s="59">
        <f t="shared" si="712"/>
        <v>0</v>
      </c>
    </row>
    <row r="1257" spans="2:24" hidden="1">
      <c r="B1257" s="58" t="str">
        <f t="shared" si="697"/>
        <v/>
      </c>
      <c r="C1257" s="58" t="str">
        <f t="shared" si="697"/>
        <v/>
      </c>
      <c r="D1257" s="58" t="str">
        <f t="shared" si="697"/>
        <v/>
      </c>
      <c r="E1257" s="58" t="str">
        <f t="shared" si="697"/>
        <v/>
      </c>
      <c r="F1257" s="58"/>
      <c r="G1257" s="58"/>
      <c r="H1257" s="58"/>
      <c r="I1257" s="58"/>
      <c r="J1257" s="58"/>
      <c r="K1257" s="59">
        <f t="shared" ref="K1257:X1257" si="713">IF(AND($D1257="tak",$E1257="prace rozwojowe",Modul_badawczo_rozwojowy=tak),ROUND(K774*K364,0),0)</f>
        <v>0</v>
      </c>
      <c r="L1257" s="59">
        <f t="shared" si="713"/>
        <v>0</v>
      </c>
      <c r="M1257" s="59">
        <f t="shared" si="713"/>
        <v>0</v>
      </c>
      <c r="N1257" s="59">
        <f t="shared" si="713"/>
        <v>0</v>
      </c>
      <c r="O1257" s="59">
        <f t="shared" si="713"/>
        <v>0</v>
      </c>
      <c r="P1257" s="59">
        <f t="shared" si="713"/>
        <v>0</v>
      </c>
      <c r="Q1257" s="59">
        <f t="shared" si="713"/>
        <v>0</v>
      </c>
      <c r="R1257" s="59">
        <f t="shared" si="713"/>
        <v>0</v>
      </c>
      <c r="S1257" s="59">
        <f t="shared" si="713"/>
        <v>0</v>
      </c>
      <c r="T1257" s="59">
        <f t="shared" si="713"/>
        <v>0</v>
      </c>
      <c r="U1257" s="59">
        <f t="shared" si="713"/>
        <v>0</v>
      </c>
      <c r="V1257" s="59">
        <f t="shared" si="713"/>
        <v>0</v>
      </c>
      <c r="W1257" s="59">
        <f t="shared" si="713"/>
        <v>0</v>
      </c>
      <c r="X1257" s="59">
        <f t="shared" si="713"/>
        <v>0</v>
      </c>
    </row>
    <row r="1258" spans="2:24" hidden="1">
      <c r="B1258" s="58" t="str">
        <f t="shared" si="697"/>
        <v/>
      </c>
      <c r="C1258" s="58" t="str">
        <f t="shared" si="697"/>
        <v/>
      </c>
      <c r="D1258" s="58" t="str">
        <f t="shared" si="697"/>
        <v/>
      </c>
      <c r="E1258" s="58" t="str">
        <f t="shared" si="697"/>
        <v/>
      </c>
      <c r="F1258" s="58"/>
      <c r="G1258" s="58"/>
      <c r="H1258" s="58"/>
      <c r="I1258" s="58"/>
      <c r="J1258" s="58"/>
      <c r="K1258" s="59">
        <f t="shared" ref="K1258:X1258" si="714">IF(AND($D1258="tak",$E1258="prace rozwojowe",Modul_badawczo_rozwojowy=tak),ROUND(K775*K365,0),0)</f>
        <v>0</v>
      </c>
      <c r="L1258" s="59">
        <f t="shared" si="714"/>
        <v>0</v>
      </c>
      <c r="M1258" s="59">
        <f t="shared" si="714"/>
        <v>0</v>
      </c>
      <c r="N1258" s="59">
        <f t="shared" si="714"/>
        <v>0</v>
      </c>
      <c r="O1258" s="59">
        <f t="shared" si="714"/>
        <v>0</v>
      </c>
      <c r="P1258" s="59">
        <f t="shared" si="714"/>
        <v>0</v>
      </c>
      <c r="Q1258" s="59">
        <f t="shared" si="714"/>
        <v>0</v>
      </c>
      <c r="R1258" s="59">
        <f t="shared" si="714"/>
        <v>0</v>
      </c>
      <c r="S1258" s="59">
        <f t="shared" si="714"/>
        <v>0</v>
      </c>
      <c r="T1258" s="59">
        <f t="shared" si="714"/>
        <v>0</v>
      </c>
      <c r="U1258" s="59">
        <f t="shared" si="714"/>
        <v>0</v>
      </c>
      <c r="V1258" s="59">
        <f t="shared" si="714"/>
        <v>0</v>
      </c>
      <c r="W1258" s="59">
        <f t="shared" si="714"/>
        <v>0</v>
      </c>
      <c r="X1258" s="59">
        <f t="shared" si="714"/>
        <v>0</v>
      </c>
    </row>
    <row r="1259" spans="2:24" hidden="1">
      <c r="B1259" s="58" t="str">
        <f t="shared" si="697"/>
        <v/>
      </c>
      <c r="C1259" s="58" t="str">
        <f t="shared" si="697"/>
        <v/>
      </c>
      <c r="D1259" s="58" t="str">
        <f t="shared" si="697"/>
        <v/>
      </c>
      <c r="E1259" s="58" t="str">
        <f t="shared" si="697"/>
        <v/>
      </c>
      <c r="F1259" s="58"/>
      <c r="G1259" s="58"/>
      <c r="H1259" s="58"/>
      <c r="I1259" s="58"/>
      <c r="J1259" s="58"/>
      <c r="K1259" s="59">
        <f t="shared" ref="K1259:X1259" si="715">IF(AND($D1259="tak",$E1259="prace rozwojowe",Modul_badawczo_rozwojowy=tak),ROUND(K776*K366,0),0)</f>
        <v>0</v>
      </c>
      <c r="L1259" s="59">
        <f t="shared" si="715"/>
        <v>0</v>
      </c>
      <c r="M1259" s="59">
        <f t="shared" si="715"/>
        <v>0</v>
      </c>
      <c r="N1259" s="59">
        <f t="shared" si="715"/>
        <v>0</v>
      </c>
      <c r="O1259" s="59">
        <f t="shared" si="715"/>
        <v>0</v>
      </c>
      <c r="P1259" s="59">
        <f t="shared" si="715"/>
        <v>0</v>
      </c>
      <c r="Q1259" s="59">
        <f t="shared" si="715"/>
        <v>0</v>
      </c>
      <c r="R1259" s="59">
        <f t="shared" si="715"/>
        <v>0</v>
      </c>
      <c r="S1259" s="59">
        <f t="shared" si="715"/>
        <v>0</v>
      </c>
      <c r="T1259" s="59">
        <f t="shared" si="715"/>
        <v>0</v>
      </c>
      <c r="U1259" s="59">
        <f t="shared" si="715"/>
        <v>0</v>
      </c>
      <c r="V1259" s="59">
        <f t="shared" si="715"/>
        <v>0</v>
      </c>
      <c r="W1259" s="59">
        <f t="shared" si="715"/>
        <v>0</v>
      </c>
      <c r="X1259" s="59">
        <f t="shared" si="715"/>
        <v>0</v>
      </c>
    </row>
    <row r="1260" spans="2:24" hidden="1">
      <c r="B1260" s="58" t="str">
        <f t="shared" si="697"/>
        <v/>
      </c>
      <c r="C1260" s="58" t="str">
        <f t="shared" si="697"/>
        <v/>
      </c>
      <c r="D1260" s="58" t="str">
        <f t="shared" si="697"/>
        <v/>
      </c>
      <c r="E1260" s="58" t="str">
        <f t="shared" si="697"/>
        <v/>
      </c>
      <c r="F1260" s="58"/>
      <c r="G1260" s="58"/>
      <c r="H1260" s="58"/>
      <c r="I1260" s="58"/>
      <c r="J1260" s="58"/>
      <c r="K1260" s="59">
        <f t="shared" ref="K1260:X1260" si="716">IF(AND($D1260="tak",$E1260="prace rozwojowe",Modul_badawczo_rozwojowy=tak),ROUND(K777*K367,0),0)</f>
        <v>0</v>
      </c>
      <c r="L1260" s="59">
        <f t="shared" si="716"/>
        <v>0</v>
      </c>
      <c r="M1260" s="59">
        <f t="shared" si="716"/>
        <v>0</v>
      </c>
      <c r="N1260" s="59">
        <f t="shared" si="716"/>
        <v>0</v>
      </c>
      <c r="O1260" s="59">
        <f t="shared" si="716"/>
        <v>0</v>
      </c>
      <c r="P1260" s="59">
        <f t="shared" si="716"/>
        <v>0</v>
      </c>
      <c r="Q1260" s="59">
        <f t="shared" si="716"/>
        <v>0</v>
      </c>
      <c r="R1260" s="59">
        <f t="shared" si="716"/>
        <v>0</v>
      </c>
      <c r="S1260" s="59">
        <f t="shared" si="716"/>
        <v>0</v>
      </c>
      <c r="T1260" s="59">
        <f t="shared" si="716"/>
        <v>0</v>
      </c>
      <c r="U1260" s="59">
        <f t="shared" si="716"/>
        <v>0</v>
      </c>
      <c r="V1260" s="59">
        <f t="shared" si="716"/>
        <v>0</v>
      </c>
      <c r="W1260" s="59">
        <f t="shared" si="716"/>
        <v>0</v>
      </c>
      <c r="X1260" s="59">
        <f t="shared" si="716"/>
        <v>0</v>
      </c>
    </row>
    <row r="1261" spans="2:24" hidden="1">
      <c r="B1261" s="58" t="str">
        <f t="shared" si="697"/>
        <v/>
      </c>
      <c r="C1261" s="58" t="str">
        <f t="shared" si="697"/>
        <v/>
      </c>
      <c r="D1261" s="58" t="str">
        <f t="shared" si="697"/>
        <v/>
      </c>
      <c r="E1261" s="58" t="str">
        <f t="shared" si="697"/>
        <v/>
      </c>
      <c r="F1261" s="58"/>
      <c r="G1261" s="58"/>
      <c r="H1261" s="58"/>
      <c r="I1261" s="58"/>
      <c r="J1261" s="58"/>
      <c r="K1261" s="59">
        <f t="shared" ref="K1261:X1261" si="717">IF(AND($D1261="tak",$E1261="prace rozwojowe",Modul_badawczo_rozwojowy=tak),ROUND(K778*K368,0),0)</f>
        <v>0</v>
      </c>
      <c r="L1261" s="59">
        <f t="shared" si="717"/>
        <v>0</v>
      </c>
      <c r="M1261" s="59">
        <f t="shared" si="717"/>
        <v>0</v>
      </c>
      <c r="N1261" s="59">
        <f t="shared" si="717"/>
        <v>0</v>
      </c>
      <c r="O1261" s="59">
        <f t="shared" si="717"/>
        <v>0</v>
      </c>
      <c r="P1261" s="59">
        <f t="shared" si="717"/>
        <v>0</v>
      </c>
      <c r="Q1261" s="59">
        <f t="shared" si="717"/>
        <v>0</v>
      </c>
      <c r="R1261" s="59">
        <f t="shared" si="717"/>
        <v>0</v>
      </c>
      <c r="S1261" s="59">
        <f t="shared" si="717"/>
        <v>0</v>
      </c>
      <c r="T1261" s="59">
        <f t="shared" si="717"/>
        <v>0</v>
      </c>
      <c r="U1261" s="59">
        <f t="shared" si="717"/>
        <v>0</v>
      </c>
      <c r="V1261" s="59">
        <f t="shared" si="717"/>
        <v>0</v>
      </c>
      <c r="W1261" s="59">
        <f t="shared" si="717"/>
        <v>0</v>
      </c>
      <c r="X1261" s="59">
        <f t="shared" si="717"/>
        <v>0</v>
      </c>
    </row>
    <row r="1262" spans="2:24" hidden="1">
      <c r="B1262" s="58" t="str">
        <f t="shared" ref="B1262:E1281" si="718">IF(ISBLANK(B779),"",B779)</f>
        <v/>
      </c>
      <c r="C1262" s="58" t="str">
        <f t="shared" si="718"/>
        <v/>
      </c>
      <c r="D1262" s="58" t="str">
        <f t="shared" si="718"/>
        <v/>
      </c>
      <c r="E1262" s="58" t="str">
        <f t="shared" si="718"/>
        <v/>
      </c>
      <c r="F1262" s="58"/>
      <c r="G1262" s="58"/>
      <c r="H1262" s="58"/>
      <c r="I1262" s="58"/>
      <c r="J1262" s="58"/>
      <c r="K1262" s="59">
        <f t="shared" ref="K1262:X1262" si="719">IF(AND($D1262="tak",$E1262="prace rozwojowe",Modul_badawczo_rozwojowy=tak),ROUND(K779*K369,0),0)</f>
        <v>0</v>
      </c>
      <c r="L1262" s="59">
        <f t="shared" si="719"/>
        <v>0</v>
      </c>
      <c r="M1262" s="59">
        <f t="shared" si="719"/>
        <v>0</v>
      </c>
      <c r="N1262" s="59">
        <f t="shared" si="719"/>
        <v>0</v>
      </c>
      <c r="O1262" s="59">
        <f t="shared" si="719"/>
        <v>0</v>
      </c>
      <c r="P1262" s="59">
        <f t="shared" si="719"/>
        <v>0</v>
      </c>
      <c r="Q1262" s="59">
        <f t="shared" si="719"/>
        <v>0</v>
      </c>
      <c r="R1262" s="59">
        <f t="shared" si="719"/>
        <v>0</v>
      </c>
      <c r="S1262" s="59">
        <f t="shared" si="719"/>
        <v>0</v>
      </c>
      <c r="T1262" s="59">
        <f t="shared" si="719"/>
        <v>0</v>
      </c>
      <c r="U1262" s="59">
        <f t="shared" si="719"/>
        <v>0</v>
      </c>
      <c r="V1262" s="59">
        <f t="shared" si="719"/>
        <v>0</v>
      </c>
      <c r="W1262" s="59">
        <f t="shared" si="719"/>
        <v>0</v>
      </c>
      <c r="X1262" s="59">
        <f t="shared" si="719"/>
        <v>0</v>
      </c>
    </row>
    <row r="1263" spans="2:24" hidden="1">
      <c r="B1263" s="58" t="str">
        <f t="shared" si="718"/>
        <v/>
      </c>
      <c r="C1263" s="58" t="str">
        <f t="shared" si="718"/>
        <v/>
      </c>
      <c r="D1263" s="58" t="str">
        <f t="shared" si="718"/>
        <v/>
      </c>
      <c r="E1263" s="58" t="str">
        <f t="shared" si="718"/>
        <v/>
      </c>
      <c r="F1263" s="58"/>
      <c r="G1263" s="58"/>
      <c r="H1263" s="58"/>
      <c r="I1263" s="58"/>
      <c r="J1263" s="58"/>
      <c r="K1263" s="59">
        <f t="shared" ref="K1263:X1263" si="720">IF(AND($D1263="tak",$E1263="prace rozwojowe",Modul_badawczo_rozwojowy=tak),ROUND(K780*K370,0),0)</f>
        <v>0</v>
      </c>
      <c r="L1263" s="59">
        <f t="shared" si="720"/>
        <v>0</v>
      </c>
      <c r="M1263" s="59">
        <f t="shared" si="720"/>
        <v>0</v>
      </c>
      <c r="N1263" s="59">
        <f t="shared" si="720"/>
        <v>0</v>
      </c>
      <c r="O1263" s="59">
        <f t="shared" si="720"/>
        <v>0</v>
      </c>
      <c r="P1263" s="59">
        <f t="shared" si="720"/>
        <v>0</v>
      </c>
      <c r="Q1263" s="59">
        <f t="shared" si="720"/>
        <v>0</v>
      </c>
      <c r="R1263" s="59">
        <f t="shared" si="720"/>
        <v>0</v>
      </c>
      <c r="S1263" s="59">
        <f t="shared" si="720"/>
        <v>0</v>
      </c>
      <c r="T1263" s="59">
        <f t="shared" si="720"/>
        <v>0</v>
      </c>
      <c r="U1263" s="59">
        <f t="shared" si="720"/>
        <v>0</v>
      </c>
      <c r="V1263" s="59">
        <f t="shared" si="720"/>
        <v>0</v>
      </c>
      <c r="W1263" s="59">
        <f t="shared" si="720"/>
        <v>0</v>
      </c>
      <c r="X1263" s="59">
        <f t="shared" si="720"/>
        <v>0</v>
      </c>
    </row>
    <row r="1264" spans="2:24" hidden="1">
      <c r="B1264" s="58" t="str">
        <f t="shared" si="718"/>
        <v/>
      </c>
      <c r="C1264" s="58" t="str">
        <f t="shared" si="718"/>
        <v/>
      </c>
      <c r="D1264" s="58" t="str">
        <f t="shared" si="718"/>
        <v/>
      </c>
      <c r="E1264" s="58" t="str">
        <f t="shared" si="718"/>
        <v/>
      </c>
      <c r="F1264" s="58"/>
      <c r="G1264" s="58"/>
      <c r="H1264" s="58"/>
      <c r="I1264" s="58"/>
      <c r="J1264" s="58"/>
      <c r="K1264" s="59">
        <f t="shared" ref="K1264:X1264" si="721">IF(AND($D1264="tak",$E1264="prace rozwojowe",Modul_badawczo_rozwojowy=tak),ROUND(K781*K371,0),0)</f>
        <v>0</v>
      </c>
      <c r="L1264" s="59">
        <f t="shared" si="721"/>
        <v>0</v>
      </c>
      <c r="M1264" s="59">
        <f t="shared" si="721"/>
        <v>0</v>
      </c>
      <c r="N1264" s="59">
        <f t="shared" si="721"/>
        <v>0</v>
      </c>
      <c r="O1264" s="59">
        <f t="shared" si="721"/>
        <v>0</v>
      </c>
      <c r="P1264" s="59">
        <f t="shared" si="721"/>
        <v>0</v>
      </c>
      <c r="Q1264" s="59">
        <f t="shared" si="721"/>
        <v>0</v>
      </c>
      <c r="R1264" s="59">
        <f t="shared" si="721"/>
        <v>0</v>
      </c>
      <c r="S1264" s="59">
        <f t="shared" si="721"/>
        <v>0</v>
      </c>
      <c r="T1264" s="59">
        <f t="shared" si="721"/>
        <v>0</v>
      </c>
      <c r="U1264" s="59">
        <f t="shared" si="721"/>
        <v>0</v>
      </c>
      <c r="V1264" s="59">
        <f t="shared" si="721"/>
        <v>0</v>
      </c>
      <c r="W1264" s="59">
        <f t="shared" si="721"/>
        <v>0</v>
      </c>
      <c r="X1264" s="59">
        <f t="shared" si="721"/>
        <v>0</v>
      </c>
    </row>
    <row r="1265" spans="2:24" hidden="1">
      <c r="B1265" s="58" t="str">
        <f t="shared" si="718"/>
        <v/>
      </c>
      <c r="C1265" s="58" t="str">
        <f t="shared" si="718"/>
        <v/>
      </c>
      <c r="D1265" s="58" t="str">
        <f t="shared" si="718"/>
        <v/>
      </c>
      <c r="E1265" s="58" t="str">
        <f t="shared" si="718"/>
        <v/>
      </c>
      <c r="F1265" s="58"/>
      <c r="G1265" s="58"/>
      <c r="H1265" s="58"/>
      <c r="I1265" s="58"/>
      <c r="J1265" s="58"/>
      <c r="K1265" s="59">
        <f t="shared" ref="K1265:X1265" si="722">IF(AND($D1265="tak",$E1265="prace rozwojowe",Modul_badawczo_rozwojowy=tak),ROUND(K782*K372,0),0)</f>
        <v>0</v>
      </c>
      <c r="L1265" s="59">
        <f t="shared" si="722"/>
        <v>0</v>
      </c>
      <c r="M1265" s="59">
        <f t="shared" si="722"/>
        <v>0</v>
      </c>
      <c r="N1265" s="59">
        <f t="shared" si="722"/>
        <v>0</v>
      </c>
      <c r="O1265" s="59">
        <f t="shared" si="722"/>
        <v>0</v>
      </c>
      <c r="P1265" s="59">
        <f t="shared" si="722"/>
        <v>0</v>
      </c>
      <c r="Q1265" s="59">
        <f t="shared" si="722"/>
        <v>0</v>
      </c>
      <c r="R1265" s="59">
        <f t="shared" si="722"/>
        <v>0</v>
      </c>
      <c r="S1265" s="59">
        <f t="shared" si="722"/>
        <v>0</v>
      </c>
      <c r="T1265" s="59">
        <f t="shared" si="722"/>
        <v>0</v>
      </c>
      <c r="U1265" s="59">
        <f t="shared" si="722"/>
        <v>0</v>
      </c>
      <c r="V1265" s="59">
        <f t="shared" si="722"/>
        <v>0</v>
      </c>
      <c r="W1265" s="59">
        <f t="shared" si="722"/>
        <v>0</v>
      </c>
      <c r="X1265" s="59">
        <f t="shared" si="722"/>
        <v>0</v>
      </c>
    </row>
    <row r="1266" spans="2:24" hidden="1">
      <c r="B1266" s="58" t="str">
        <f t="shared" si="718"/>
        <v/>
      </c>
      <c r="C1266" s="58" t="str">
        <f t="shared" si="718"/>
        <v/>
      </c>
      <c r="D1266" s="58" t="str">
        <f t="shared" si="718"/>
        <v/>
      </c>
      <c r="E1266" s="58" t="str">
        <f t="shared" si="718"/>
        <v/>
      </c>
      <c r="F1266" s="58"/>
      <c r="G1266" s="58"/>
      <c r="H1266" s="58"/>
      <c r="I1266" s="58"/>
      <c r="J1266" s="58"/>
      <c r="K1266" s="59">
        <f t="shared" ref="K1266:X1266" si="723">IF(AND($D1266="tak",$E1266="prace rozwojowe",Modul_badawczo_rozwojowy=tak),ROUND(K783*K373,0),0)</f>
        <v>0</v>
      </c>
      <c r="L1266" s="59">
        <f t="shared" si="723"/>
        <v>0</v>
      </c>
      <c r="M1266" s="59">
        <f t="shared" si="723"/>
        <v>0</v>
      </c>
      <c r="N1266" s="59">
        <f t="shared" si="723"/>
        <v>0</v>
      </c>
      <c r="O1266" s="59">
        <f t="shared" si="723"/>
        <v>0</v>
      </c>
      <c r="P1266" s="59">
        <f t="shared" si="723"/>
        <v>0</v>
      </c>
      <c r="Q1266" s="59">
        <f t="shared" si="723"/>
        <v>0</v>
      </c>
      <c r="R1266" s="59">
        <f t="shared" si="723"/>
        <v>0</v>
      </c>
      <c r="S1266" s="59">
        <f t="shared" si="723"/>
        <v>0</v>
      </c>
      <c r="T1266" s="59">
        <f t="shared" si="723"/>
        <v>0</v>
      </c>
      <c r="U1266" s="59">
        <f t="shared" si="723"/>
        <v>0</v>
      </c>
      <c r="V1266" s="59">
        <f t="shared" si="723"/>
        <v>0</v>
      </c>
      <c r="W1266" s="59">
        <f t="shared" si="723"/>
        <v>0</v>
      </c>
      <c r="X1266" s="59">
        <f t="shared" si="723"/>
        <v>0</v>
      </c>
    </row>
    <row r="1267" spans="2:24" hidden="1">
      <c r="B1267" s="58" t="str">
        <f t="shared" si="718"/>
        <v/>
      </c>
      <c r="C1267" s="58" t="str">
        <f t="shared" si="718"/>
        <v/>
      </c>
      <c r="D1267" s="58" t="str">
        <f t="shared" si="718"/>
        <v/>
      </c>
      <c r="E1267" s="58" t="str">
        <f t="shared" si="718"/>
        <v/>
      </c>
      <c r="F1267" s="58"/>
      <c r="G1267" s="58"/>
      <c r="H1267" s="58"/>
      <c r="I1267" s="58"/>
      <c r="J1267" s="58"/>
      <c r="K1267" s="59">
        <f t="shared" ref="K1267:X1267" si="724">IF(AND($D1267="tak",$E1267="prace rozwojowe",Modul_badawczo_rozwojowy=tak),ROUND(K784*K374,0),0)</f>
        <v>0</v>
      </c>
      <c r="L1267" s="59">
        <f t="shared" si="724"/>
        <v>0</v>
      </c>
      <c r="M1267" s="59">
        <f t="shared" si="724"/>
        <v>0</v>
      </c>
      <c r="N1267" s="59">
        <f t="shared" si="724"/>
        <v>0</v>
      </c>
      <c r="O1267" s="59">
        <f t="shared" si="724"/>
        <v>0</v>
      </c>
      <c r="P1267" s="59">
        <f t="shared" si="724"/>
        <v>0</v>
      </c>
      <c r="Q1267" s="59">
        <f t="shared" si="724"/>
        <v>0</v>
      </c>
      <c r="R1267" s="59">
        <f t="shared" si="724"/>
        <v>0</v>
      </c>
      <c r="S1267" s="59">
        <f t="shared" si="724"/>
        <v>0</v>
      </c>
      <c r="T1267" s="59">
        <f t="shared" si="724"/>
        <v>0</v>
      </c>
      <c r="U1267" s="59">
        <f t="shared" si="724"/>
        <v>0</v>
      </c>
      <c r="V1267" s="59">
        <f t="shared" si="724"/>
        <v>0</v>
      </c>
      <c r="W1267" s="59">
        <f t="shared" si="724"/>
        <v>0</v>
      </c>
      <c r="X1267" s="59">
        <f t="shared" si="724"/>
        <v>0</v>
      </c>
    </row>
    <row r="1268" spans="2:24" hidden="1">
      <c r="B1268" s="58" t="str">
        <f t="shared" si="718"/>
        <v/>
      </c>
      <c r="C1268" s="58" t="str">
        <f t="shared" si="718"/>
        <v/>
      </c>
      <c r="D1268" s="58" t="str">
        <f t="shared" si="718"/>
        <v/>
      </c>
      <c r="E1268" s="58" t="str">
        <f t="shared" si="718"/>
        <v/>
      </c>
      <c r="F1268" s="58"/>
      <c r="G1268" s="58"/>
      <c r="H1268" s="58"/>
      <c r="I1268" s="58"/>
      <c r="J1268" s="58"/>
      <c r="K1268" s="59">
        <f t="shared" ref="K1268:X1268" si="725">IF(AND($D1268="tak",$E1268="prace rozwojowe",Modul_badawczo_rozwojowy=tak),ROUND(K785*K375,0),0)</f>
        <v>0</v>
      </c>
      <c r="L1268" s="59">
        <f t="shared" si="725"/>
        <v>0</v>
      </c>
      <c r="M1268" s="59">
        <f t="shared" si="725"/>
        <v>0</v>
      </c>
      <c r="N1268" s="59">
        <f t="shared" si="725"/>
        <v>0</v>
      </c>
      <c r="O1268" s="59">
        <f t="shared" si="725"/>
        <v>0</v>
      </c>
      <c r="P1268" s="59">
        <f t="shared" si="725"/>
        <v>0</v>
      </c>
      <c r="Q1268" s="59">
        <f t="shared" si="725"/>
        <v>0</v>
      </c>
      <c r="R1268" s="59">
        <f t="shared" si="725"/>
        <v>0</v>
      </c>
      <c r="S1268" s="59">
        <f t="shared" si="725"/>
        <v>0</v>
      </c>
      <c r="T1268" s="59">
        <f t="shared" si="725"/>
        <v>0</v>
      </c>
      <c r="U1268" s="59">
        <f t="shared" si="725"/>
        <v>0</v>
      </c>
      <c r="V1268" s="59">
        <f t="shared" si="725"/>
        <v>0</v>
      </c>
      <c r="W1268" s="59">
        <f t="shared" si="725"/>
        <v>0</v>
      </c>
      <c r="X1268" s="59">
        <f t="shared" si="725"/>
        <v>0</v>
      </c>
    </row>
    <row r="1269" spans="2:24" hidden="1">
      <c r="B1269" s="58" t="str">
        <f t="shared" si="718"/>
        <v/>
      </c>
      <c r="C1269" s="58" t="str">
        <f t="shared" si="718"/>
        <v/>
      </c>
      <c r="D1269" s="58" t="str">
        <f t="shared" si="718"/>
        <v/>
      </c>
      <c r="E1269" s="58" t="str">
        <f t="shared" si="718"/>
        <v/>
      </c>
      <c r="F1269" s="58"/>
      <c r="G1269" s="58"/>
      <c r="H1269" s="58"/>
      <c r="I1269" s="58"/>
      <c r="J1269" s="58"/>
      <c r="K1269" s="59">
        <f t="shared" ref="K1269:X1269" si="726">IF(AND($D1269="tak",$E1269="prace rozwojowe",Modul_badawczo_rozwojowy=tak),ROUND(K786*K376,0),0)</f>
        <v>0</v>
      </c>
      <c r="L1269" s="59">
        <f t="shared" si="726"/>
        <v>0</v>
      </c>
      <c r="M1269" s="59">
        <f t="shared" si="726"/>
        <v>0</v>
      </c>
      <c r="N1269" s="59">
        <f t="shared" si="726"/>
        <v>0</v>
      </c>
      <c r="O1269" s="59">
        <f t="shared" si="726"/>
        <v>0</v>
      </c>
      <c r="P1269" s="59">
        <f t="shared" si="726"/>
        <v>0</v>
      </c>
      <c r="Q1269" s="59">
        <f t="shared" si="726"/>
        <v>0</v>
      </c>
      <c r="R1269" s="59">
        <f t="shared" si="726"/>
        <v>0</v>
      </c>
      <c r="S1269" s="59">
        <f t="shared" si="726"/>
        <v>0</v>
      </c>
      <c r="T1269" s="59">
        <f t="shared" si="726"/>
        <v>0</v>
      </c>
      <c r="U1269" s="59">
        <f t="shared" si="726"/>
        <v>0</v>
      </c>
      <c r="V1269" s="59">
        <f t="shared" si="726"/>
        <v>0</v>
      </c>
      <c r="W1269" s="59">
        <f t="shared" si="726"/>
        <v>0</v>
      </c>
      <c r="X1269" s="59">
        <f t="shared" si="726"/>
        <v>0</v>
      </c>
    </row>
    <row r="1270" spans="2:24" hidden="1">
      <c r="B1270" s="58" t="str">
        <f t="shared" si="718"/>
        <v/>
      </c>
      <c r="C1270" s="58" t="str">
        <f t="shared" si="718"/>
        <v/>
      </c>
      <c r="D1270" s="58" t="str">
        <f t="shared" si="718"/>
        <v/>
      </c>
      <c r="E1270" s="58" t="str">
        <f t="shared" si="718"/>
        <v/>
      </c>
      <c r="F1270" s="58"/>
      <c r="G1270" s="58"/>
      <c r="H1270" s="58"/>
      <c r="I1270" s="58"/>
      <c r="J1270" s="58"/>
      <c r="K1270" s="59">
        <f t="shared" ref="K1270:X1270" si="727">IF(AND($D1270="tak",$E1270="prace rozwojowe",Modul_badawczo_rozwojowy=tak),ROUND(K787*K377,0),0)</f>
        <v>0</v>
      </c>
      <c r="L1270" s="59">
        <f t="shared" si="727"/>
        <v>0</v>
      </c>
      <c r="M1270" s="59">
        <f t="shared" si="727"/>
        <v>0</v>
      </c>
      <c r="N1270" s="59">
        <f t="shared" si="727"/>
        <v>0</v>
      </c>
      <c r="O1270" s="59">
        <f t="shared" si="727"/>
        <v>0</v>
      </c>
      <c r="P1270" s="59">
        <f t="shared" si="727"/>
        <v>0</v>
      </c>
      <c r="Q1270" s="59">
        <f t="shared" si="727"/>
        <v>0</v>
      </c>
      <c r="R1270" s="59">
        <f t="shared" si="727"/>
        <v>0</v>
      </c>
      <c r="S1270" s="59">
        <f t="shared" si="727"/>
        <v>0</v>
      </c>
      <c r="T1270" s="59">
        <f t="shared" si="727"/>
        <v>0</v>
      </c>
      <c r="U1270" s="59">
        <f t="shared" si="727"/>
        <v>0</v>
      </c>
      <c r="V1270" s="59">
        <f t="shared" si="727"/>
        <v>0</v>
      </c>
      <c r="W1270" s="59">
        <f t="shared" si="727"/>
        <v>0</v>
      </c>
      <c r="X1270" s="59">
        <f t="shared" si="727"/>
        <v>0</v>
      </c>
    </row>
    <row r="1271" spans="2:24" hidden="1">
      <c r="B1271" s="58" t="str">
        <f t="shared" si="718"/>
        <v/>
      </c>
      <c r="C1271" s="58" t="str">
        <f t="shared" si="718"/>
        <v/>
      </c>
      <c r="D1271" s="58" t="str">
        <f t="shared" si="718"/>
        <v/>
      </c>
      <c r="E1271" s="58" t="str">
        <f t="shared" si="718"/>
        <v/>
      </c>
      <c r="F1271" s="58"/>
      <c r="G1271" s="58"/>
      <c r="H1271" s="58"/>
      <c r="I1271" s="58"/>
      <c r="J1271" s="58"/>
      <c r="K1271" s="59">
        <f t="shared" ref="K1271:X1271" si="728">IF(AND($D1271="tak",$E1271="prace rozwojowe",Modul_badawczo_rozwojowy=tak),ROUND(K788*K378,0),0)</f>
        <v>0</v>
      </c>
      <c r="L1271" s="59">
        <f t="shared" si="728"/>
        <v>0</v>
      </c>
      <c r="M1271" s="59">
        <f t="shared" si="728"/>
        <v>0</v>
      </c>
      <c r="N1271" s="59">
        <f t="shared" si="728"/>
        <v>0</v>
      </c>
      <c r="O1271" s="59">
        <f t="shared" si="728"/>
        <v>0</v>
      </c>
      <c r="P1271" s="59">
        <f t="shared" si="728"/>
        <v>0</v>
      </c>
      <c r="Q1271" s="59">
        <f t="shared" si="728"/>
        <v>0</v>
      </c>
      <c r="R1271" s="59">
        <f t="shared" si="728"/>
        <v>0</v>
      </c>
      <c r="S1271" s="59">
        <f t="shared" si="728"/>
        <v>0</v>
      </c>
      <c r="T1271" s="59">
        <f t="shared" si="728"/>
        <v>0</v>
      </c>
      <c r="U1271" s="59">
        <f t="shared" si="728"/>
        <v>0</v>
      </c>
      <c r="V1271" s="59">
        <f t="shared" si="728"/>
        <v>0</v>
      </c>
      <c r="W1271" s="59">
        <f t="shared" si="728"/>
        <v>0</v>
      </c>
      <c r="X1271" s="59">
        <f t="shared" si="728"/>
        <v>0</v>
      </c>
    </row>
    <row r="1272" spans="2:24" hidden="1">
      <c r="B1272" s="58" t="str">
        <f t="shared" si="718"/>
        <v/>
      </c>
      <c r="C1272" s="58" t="str">
        <f t="shared" si="718"/>
        <v/>
      </c>
      <c r="D1272" s="58" t="str">
        <f t="shared" si="718"/>
        <v/>
      </c>
      <c r="E1272" s="58" t="str">
        <f t="shared" si="718"/>
        <v/>
      </c>
      <c r="F1272" s="58"/>
      <c r="G1272" s="58"/>
      <c r="H1272" s="58"/>
      <c r="I1272" s="58"/>
      <c r="J1272" s="58"/>
      <c r="K1272" s="59">
        <f t="shared" ref="K1272:X1272" si="729">IF(AND($D1272="tak",$E1272="prace rozwojowe",Modul_badawczo_rozwojowy=tak),ROUND(K789*K379,0),0)</f>
        <v>0</v>
      </c>
      <c r="L1272" s="59">
        <f t="shared" si="729"/>
        <v>0</v>
      </c>
      <c r="M1272" s="59">
        <f t="shared" si="729"/>
        <v>0</v>
      </c>
      <c r="N1272" s="59">
        <f t="shared" si="729"/>
        <v>0</v>
      </c>
      <c r="O1272" s="59">
        <f t="shared" si="729"/>
        <v>0</v>
      </c>
      <c r="P1272" s="59">
        <f t="shared" si="729"/>
        <v>0</v>
      </c>
      <c r="Q1272" s="59">
        <f t="shared" si="729"/>
        <v>0</v>
      </c>
      <c r="R1272" s="59">
        <f t="shared" si="729"/>
        <v>0</v>
      </c>
      <c r="S1272" s="59">
        <f t="shared" si="729"/>
        <v>0</v>
      </c>
      <c r="T1272" s="59">
        <f t="shared" si="729"/>
        <v>0</v>
      </c>
      <c r="U1272" s="59">
        <f t="shared" si="729"/>
        <v>0</v>
      </c>
      <c r="V1272" s="59">
        <f t="shared" si="729"/>
        <v>0</v>
      </c>
      <c r="W1272" s="59">
        <f t="shared" si="729"/>
        <v>0</v>
      </c>
      <c r="X1272" s="59">
        <f t="shared" si="729"/>
        <v>0</v>
      </c>
    </row>
    <row r="1273" spans="2:24" hidden="1">
      <c r="B1273" s="58" t="str">
        <f t="shared" si="718"/>
        <v/>
      </c>
      <c r="C1273" s="58" t="str">
        <f t="shared" si="718"/>
        <v/>
      </c>
      <c r="D1273" s="58" t="str">
        <f t="shared" si="718"/>
        <v/>
      </c>
      <c r="E1273" s="58" t="str">
        <f t="shared" si="718"/>
        <v/>
      </c>
      <c r="F1273" s="58"/>
      <c r="G1273" s="58"/>
      <c r="H1273" s="58"/>
      <c r="I1273" s="58"/>
      <c r="J1273" s="58"/>
      <c r="K1273" s="59">
        <f t="shared" ref="K1273:X1273" si="730">IF(AND($D1273="tak",$E1273="prace rozwojowe",Modul_badawczo_rozwojowy=tak),ROUND(K790*K380,0),0)</f>
        <v>0</v>
      </c>
      <c r="L1273" s="59">
        <f t="shared" si="730"/>
        <v>0</v>
      </c>
      <c r="M1273" s="59">
        <f t="shared" si="730"/>
        <v>0</v>
      </c>
      <c r="N1273" s="59">
        <f t="shared" si="730"/>
        <v>0</v>
      </c>
      <c r="O1273" s="59">
        <f t="shared" si="730"/>
        <v>0</v>
      </c>
      <c r="P1273" s="59">
        <f t="shared" si="730"/>
        <v>0</v>
      </c>
      <c r="Q1273" s="59">
        <f t="shared" si="730"/>
        <v>0</v>
      </c>
      <c r="R1273" s="59">
        <f t="shared" si="730"/>
        <v>0</v>
      </c>
      <c r="S1273" s="59">
        <f t="shared" si="730"/>
        <v>0</v>
      </c>
      <c r="T1273" s="59">
        <f t="shared" si="730"/>
        <v>0</v>
      </c>
      <c r="U1273" s="59">
        <f t="shared" si="730"/>
        <v>0</v>
      </c>
      <c r="V1273" s="59">
        <f t="shared" si="730"/>
        <v>0</v>
      </c>
      <c r="W1273" s="59">
        <f t="shared" si="730"/>
        <v>0</v>
      </c>
      <c r="X1273" s="59">
        <f t="shared" si="730"/>
        <v>0</v>
      </c>
    </row>
    <row r="1274" spans="2:24" hidden="1">
      <c r="B1274" s="58" t="str">
        <f t="shared" si="718"/>
        <v/>
      </c>
      <c r="C1274" s="58" t="str">
        <f t="shared" si="718"/>
        <v/>
      </c>
      <c r="D1274" s="58" t="str">
        <f t="shared" si="718"/>
        <v/>
      </c>
      <c r="E1274" s="58" t="str">
        <f t="shared" si="718"/>
        <v/>
      </c>
      <c r="F1274" s="58"/>
      <c r="G1274" s="58"/>
      <c r="H1274" s="58"/>
      <c r="I1274" s="58"/>
      <c r="J1274" s="58"/>
      <c r="K1274" s="59">
        <f t="shared" ref="K1274:X1274" si="731">IF(AND($D1274="tak",$E1274="prace rozwojowe",Modul_badawczo_rozwojowy=tak),ROUND(K791*K381,0),0)</f>
        <v>0</v>
      </c>
      <c r="L1274" s="59">
        <f t="shared" si="731"/>
        <v>0</v>
      </c>
      <c r="M1274" s="59">
        <f t="shared" si="731"/>
        <v>0</v>
      </c>
      <c r="N1274" s="59">
        <f t="shared" si="731"/>
        <v>0</v>
      </c>
      <c r="O1274" s="59">
        <f t="shared" si="731"/>
        <v>0</v>
      </c>
      <c r="P1274" s="59">
        <f t="shared" si="731"/>
        <v>0</v>
      </c>
      <c r="Q1274" s="59">
        <f t="shared" si="731"/>
        <v>0</v>
      </c>
      <c r="R1274" s="59">
        <f t="shared" si="731"/>
        <v>0</v>
      </c>
      <c r="S1274" s="59">
        <f t="shared" si="731"/>
        <v>0</v>
      </c>
      <c r="T1274" s="59">
        <f t="shared" si="731"/>
        <v>0</v>
      </c>
      <c r="U1274" s="59">
        <f t="shared" si="731"/>
        <v>0</v>
      </c>
      <c r="V1274" s="59">
        <f t="shared" si="731"/>
        <v>0</v>
      </c>
      <c r="W1274" s="59">
        <f t="shared" si="731"/>
        <v>0</v>
      </c>
      <c r="X1274" s="59">
        <f t="shared" si="731"/>
        <v>0</v>
      </c>
    </row>
    <row r="1275" spans="2:24" hidden="1">
      <c r="B1275" s="58" t="str">
        <f t="shared" si="718"/>
        <v/>
      </c>
      <c r="C1275" s="58" t="str">
        <f t="shared" si="718"/>
        <v/>
      </c>
      <c r="D1275" s="58" t="str">
        <f t="shared" si="718"/>
        <v/>
      </c>
      <c r="E1275" s="58" t="str">
        <f t="shared" si="718"/>
        <v/>
      </c>
      <c r="F1275" s="58"/>
      <c r="G1275" s="58"/>
      <c r="H1275" s="58"/>
      <c r="I1275" s="58"/>
      <c r="J1275" s="58"/>
      <c r="K1275" s="59">
        <f t="shared" ref="K1275:X1275" si="732">IF(AND($D1275="tak",$E1275="prace rozwojowe",Modul_badawczo_rozwojowy=tak),ROUND(K792*K382,0),0)</f>
        <v>0</v>
      </c>
      <c r="L1275" s="59">
        <f t="shared" si="732"/>
        <v>0</v>
      </c>
      <c r="M1275" s="59">
        <f t="shared" si="732"/>
        <v>0</v>
      </c>
      <c r="N1275" s="59">
        <f t="shared" si="732"/>
        <v>0</v>
      </c>
      <c r="O1275" s="59">
        <f t="shared" si="732"/>
        <v>0</v>
      </c>
      <c r="P1275" s="59">
        <f t="shared" si="732"/>
        <v>0</v>
      </c>
      <c r="Q1275" s="59">
        <f t="shared" si="732"/>
        <v>0</v>
      </c>
      <c r="R1275" s="59">
        <f t="shared" si="732"/>
        <v>0</v>
      </c>
      <c r="S1275" s="59">
        <f t="shared" si="732"/>
        <v>0</v>
      </c>
      <c r="T1275" s="59">
        <f t="shared" si="732"/>
        <v>0</v>
      </c>
      <c r="U1275" s="59">
        <f t="shared" si="732"/>
        <v>0</v>
      </c>
      <c r="V1275" s="59">
        <f t="shared" si="732"/>
        <v>0</v>
      </c>
      <c r="W1275" s="59">
        <f t="shared" si="732"/>
        <v>0</v>
      </c>
      <c r="X1275" s="59">
        <f t="shared" si="732"/>
        <v>0</v>
      </c>
    </row>
    <row r="1276" spans="2:24" hidden="1">
      <c r="B1276" s="58" t="str">
        <f t="shared" si="718"/>
        <v/>
      </c>
      <c r="C1276" s="58" t="str">
        <f t="shared" si="718"/>
        <v/>
      </c>
      <c r="D1276" s="58" t="str">
        <f t="shared" si="718"/>
        <v/>
      </c>
      <c r="E1276" s="58" t="str">
        <f t="shared" si="718"/>
        <v/>
      </c>
      <c r="F1276" s="58"/>
      <c r="G1276" s="58"/>
      <c r="H1276" s="58"/>
      <c r="I1276" s="58"/>
      <c r="J1276" s="58"/>
      <c r="K1276" s="59">
        <f t="shared" ref="K1276:X1276" si="733">IF(AND($D1276="tak",$E1276="prace rozwojowe",Modul_badawczo_rozwojowy=tak),ROUND(K793*K383,0),0)</f>
        <v>0</v>
      </c>
      <c r="L1276" s="59">
        <f t="shared" si="733"/>
        <v>0</v>
      </c>
      <c r="M1276" s="59">
        <f t="shared" si="733"/>
        <v>0</v>
      </c>
      <c r="N1276" s="59">
        <f t="shared" si="733"/>
        <v>0</v>
      </c>
      <c r="O1276" s="59">
        <f t="shared" si="733"/>
        <v>0</v>
      </c>
      <c r="P1276" s="59">
        <f t="shared" si="733"/>
        <v>0</v>
      </c>
      <c r="Q1276" s="59">
        <f t="shared" si="733"/>
        <v>0</v>
      </c>
      <c r="R1276" s="59">
        <f t="shared" si="733"/>
        <v>0</v>
      </c>
      <c r="S1276" s="59">
        <f t="shared" si="733"/>
        <v>0</v>
      </c>
      <c r="T1276" s="59">
        <f t="shared" si="733"/>
        <v>0</v>
      </c>
      <c r="U1276" s="59">
        <f t="shared" si="733"/>
        <v>0</v>
      </c>
      <c r="V1276" s="59">
        <f t="shared" si="733"/>
        <v>0</v>
      </c>
      <c r="W1276" s="59">
        <f t="shared" si="733"/>
        <v>0</v>
      </c>
      <c r="X1276" s="59">
        <f t="shared" si="733"/>
        <v>0</v>
      </c>
    </row>
    <row r="1277" spans="2:24" hidden="1">
      <c r="B1277" s="58" t="str">
        <f t="shared" si="718"/>
        <v/>
      </c>
      <c r="C1277" s="58" t="str">
        <f t="shared" si="718"/>
        <v/>
      </c>
      <c r="D1277" s="58" t="str">
        <f t="shared" si="718"/>
        <v/>
      </c>
      <c r="E1277" s="58" t="str">
        <f t="shared" si="718"/>
        <v/>
      </c>
      <c r="F1277" s="58"/>
      <c r="G1277" s="58"/>
      <c r="H1277" s="58"/>
      <c r="I1277" s="58"/>
      <c r="J1277" s="58"/>
      <c r="K1277" s="59">
        <f t="shared" ref="K1277:X1277" si="734">IF(AND($D1277="tak",$E1277="prace rozwojowe",Modul_badawczo_rozwojowy=tak),ROUND(K794*K384,0),0)</f>
        <v>0</v>
      </c>
      <c r="L1277" s="59">
        <f t="shared" si="734"/>
        <v>0</v>
      </c>
      <c r="M1277" s="59">
        <f t="shared" si="734"/>
        <v>0</v>
      </c>
      <c r="N1277" s="59">
        <f t="shared" si="734"/>
        <v>0</v>
      </c>
      <c r="O1277" s="59">
        <f t="shared" si="734"/>
        <v>0</v>
      </c>
      <c r="P1277" s="59">
        <f t="shared" si="734"/>
        <v>0</v>
      </c>
      <c r="Q1277" s="59">
        <f t="shared" si="734"/>
        <v>0</v>
      </c>
      <c r="R1277" s="59">
        <f t="shared" si="734"/>
        <v>0</v>
      </c>
      <c r="S1277" s="59">
        <f t="shared" si="734"/>
        <v>0</v>
      </c>
      <c r="T1277" s="59">
        <f t="shared" si="734"/>
        <v>0</v>
      </c>
      <c r="U1277" s="59">
        <f t="shared" si="734"/>
        <v>0</v>
      </c>
      <c r="V1277" s="59">
        <f t="shared" si="734"/>
        <v>0</v>
      </c>
      <c r="W1277" s="59">
        <f t="shared" si="734"/>
        <v>0</v>
      </c>
      <c r="X1277" s="59">
        <f t="shared" si="734"/>
        <v>0</v>
      </c>
    </row>
    <row r="1278" spans="2:24" hidden="1">
      <c r="B1278" s="58" t="str">
        <f t="shared" si="718"/>
        <v/>
      </c>
      <c r="C1278" s="58" t="str">
        <f t="shared" si="718"/>
        <v/>
      </c>
      <c r="D1278" s="58" t="str">
        <f t="shared" si="718"/>
        <v/>
      </c>
      <c r="E1278" s="58" t="str">
        <f t="shared" si="718"/>
        <v/>
      </c>
      <c r="F1278" s="58"/>
      <c r="G1278" s="58"/>
      <c r="H1278" s="58"/>
      <c r="I1278" s="58"/>
      <c r="J1278" s="58"/>
      <c r="K1278" s="59">
        <f t="shared" ref="K1278:X1278" si="735">IF(AND($D1278="tak",$E1278="prace rozwojowe",Modul_badawczo_rozwojowy=tak),ROUND(K795*K385,0),0)</f>
        <v>0</v>
      </c>
      <c r="L1278" s="59">
        <f t="shared" si="735"/>
        <v>0</v>
      </c>
      <c r="M1278" s="59">
        <f t="shared" si="735"/>
        <v>0</v>
      </c>
      <c r="N1278" s="59">
        <f t="shared" si="735"/>
        <v>0</v>
      </c>
      <c r="O1278" s="59">
        <f t="shared" si="735"/>
        <v>0</v>
      </c>
      <c r="P1278" s="59">
        <f t="shared" si="735"/>
        <v>0</v>
      </c>
      <c r="Q1278" s="59">
        <f t="shared" si="735"/>
        <v>0</v>
      </c>
      <c r="R1278" s="59">
        <f t="shared" si="735"/>
        <v>0</v>
      </c>
      <c r="S1278" s="59">
        <f t="shared" si="735"/>
        <v>0</v>
      </c>
      <c r="T1278" s="59">
        <f t="shared" si="735"/>
        <v>0</v>
      </c>
      <c r="U1278" s="59">
        <f t="shared" si="735"/>
        <v>0</v>
      </c>
      <c r="V1278" s="59">
        <f t="shared" si="735"/>
        <v>0</v>
      </c>
      <c r="W1278" s="59">
        <f t="shared" si="735"/>
        <v>0</v>
      </c>
      <c r="X1278" s="59">
        <f t="shared" si="735"/>
        <v>0</v>
      </c>
    </row>
    <row r="1279" spans="2:24" hidden="1">
      <c r="B1279" s="58" t="str">
        <f t="shared" si="718"/>
        <v/>
      </c>
      <c r="C1279" s="58" t="str">
        <f t="shared" si="718"/>
        <v/>
      </c>
      <c r="D1279" s="58" t="str">
        <f t="shared" si="718"/>
        <v/>
      </c>
      <c r="E1279" s="58" t="str">
        <f t="shared" si="718"/>
        <v/>
      </c>
      <c r="F1279" s="58"/>
      <c r="G1279" s="58"/>
      <c r="H1279" s="58"/>
      <c r="I1279" s="58"/>
      <c r="J1279" s="58"/>
      <c r="K1279" s="59">
        <f t="shared" ref="K1279:X1279" si="736">IF(AND($D1279="tak",$E1279="prace rozwojowe",Modul_badawczo_rozwojowy=tak),ROUND(K796*K386,0),0)</f>
        <v>0</v>
      </c>
      <c r="L1279" s="59">
        <f t="shared" si="736"/>
        <v>0</v>
      </c>
      <c r="M1279" s="59">
        <f t="shared" si="736"/>
        <v>0</v>
      </c>
      <c r="N1279" s="59">
        <f t="shared" si="736"/>
        <v>0</v>
      </c>
      <c r="O1279" s="59">
        <f t="shared" si="736"/>
        <v>0</v>
      </c>
      <c r="P1279" s="59">
        <f t="shared" si="736"/>
        <v>0</v>
      </c>
      <c r="Q1279" s="59">
        <f t="shared" si="736"/>
        <v>0</v>
      </c>
      <c r="R1279" s="59">
        <f t="shared" si="736"/>
        <v>0</v>
      </c>
      <c r="S1279" s="59">
        <f t="shared" si="736"/>
        <v>0</v>
      </c>
      <c r="T1279" s="59">
        <f t="shared" si="736"/>
        <v>0</v>
      </c>
      <c r="U1279" s="59">
        <f t="shared" si="736"/>
        <v>0</v>
      </c>
      <c r="V1279" s="59">
        <f t="shared" si="736"/>
        <v>0</v>
      </c>
      <c r="W1279" s="59">
        <f t="shared" si="736"/>
        <v>0</v>
      </c>
      <c r="X1279" s="59">
        <f t="shared" si="736"/>
        <v>0</v>
      </c>
    </row>
    <row r="1280" spans="2:24" hidden="1">
      <c r="B1280" s="58" t="str">
        <f t="shared" si="718"/>
        <v/>
      </c>
      <c r="C1280" s="58" t="str">
        <f t="shared" si="718"/>
        <v/>
      </c>
      <c r="D1280" s="58" t="str">
        <f t="shared" si="718"/>
        <v/>
      </c>
      <c r="E1280" s="58" t="str">
        <f t="shared" si="718"/>
        <v/>
      </c>
      <c r="F1280" s="58"/>
      <c r="G1280" s="58"/>
      <c r="H1280" s="58"/>
      <c r="I1280" s="58"/>
      <c r="J1280" s="58"/>
      <c r="K1280" s="59">
        <f t="shared" ref="K1280:X1280" si="737">IF(AND($D1280="tak",$E1280="prace rozwojowe",Modul_badawczo_rozwojowy=tak),ROUND(K797*K387,0),0)</f>
        <v>0</v>
      </c>
      <c r="L1280" s="59">
        <f t="shared" si="737"/>
        <v>0</v>
      </c>
      <c r="M1280" s="59">
        <f t="shared" si="737"/>
        <v>0</v>
      </c>
      <c r="N1280" s="59">
        <f t="shared" si="737"/>
        <v>0</v>
      </c>
      <c r="O1280" s="59">
        <f t="shared" si="737"/>
        <v>0</v>
      </c>
      <c r="P1280" s="59">
        <f t="shared" si="737"/>
        <v>0</v>
      </c>
      <c r="Q1280" s="59">
        <f t="shared" si="737"/>
        <v>0</v>
      </c>
      <c r="R1280" s="59">
        <f t="shared" si="737"/>
        <v>0</v>
      </c>
      <c r="S1280" s="59">
        <f t="shared" si="737"/>
        <v>0</v>
      </c>
      <c r="T1280" s="59">
        <f t="shared" si="737"/>
        <v>0</v>
      </c>
      <c r="U1280" s="59">
        <f t="shared" si="737"/>
        <v>0</v>
      </c>
      <c r="V1280" s="59">
        <f t="shared" si="737"/>
        <v>0</v>
      </c>
      <c r="W1280" s="59">
        <f t="shared" si="737"/>
        <v>0</v>
      </c>
      <c r="X1280" s="59">
        <f t="shared" si="737"/>
        <v>0</v>
      </c>
    </row>
    <row r="1281" spans="2:24" hidden="1">
      <c r="B1281" s="58" t="str">
        <f t="shared" si="718"/>
        <v/>
      </c>
      <c r="C1281" s="58" t="str">
        <f t="shared" si="718"/>
        <v/>
      </c>
      <c r="D1281" s="58" t="str">
        <f t="shared" si="718"/>
        <v/>
      </c>
      <c r="E1281" s="58" t="str">
        <f t="shared" si="718"/>
        <v/>
      </c>
      <c r="F1281" s="58"/>
      <c r="G1281" s="58"/>
      <c r="H1281" s="58"/>
      <c r="I1281" s="58"/>
      <c r="J1281" s="58"/>
      <c r="K1281" s="59">
        <f t="shared" ref="K1281:X1281" si="738">IF(AND($D1281="tak",$E1281="prace rozwojowe",Modul_badawczo_rozwojowy=tak),ROUND(K798*K388,0),0)</f>
        <v>0</v>
      </c>
      <c r="L1281" s="59">
        <f t="shared" si="738"/>
        <v>0</v>
      </c>
      <c r="M1281" s="59">
        <f t="shared" si="738"/>
        <v>0</v>
      </c>
      <c r="N1281" s="59">
        <f t="shared" si="738"/>
        <v>0</v>
      </c>
      <c r="O1281" s="59">
        <f t="shared" si="738"/>
        <v>0</v>
      </c>
      <c r="P1281" s="59">
        <f t="shared" si="738"/>
        <v>0</v>
      </c>
      <c r="Q1281" s="59">
        <f t="shared" si="738"/>
        <v>0</v>
      </c>
      <c r="R1281" s="59">
        <f t="shared" si="738"/>
        <v>0</v>
      </c>
      <c r="S1281" s="59">
        <f t="shared" si="738"/>
        <v>0</v>
      </c>
      <c r="T1281" s="59">
        <f t="shared" si="738"/>
        <v>0</v>
      </c>
      <c r="U1281" s="59">
        <f t="shared" si="738"/>
        <v>0</v>
      </c>
      <c r="V1281" s="59">
        <f t="shared" si="738"/>
        <v>0</v>
      </c>
      <c r="W1281" s="59">
        <f t="shared" si="738"/>
        <v>0</v>
      </c>
      <c r="X1281" s="59">
        <f t="shared" si="738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39">ROUND(SUM(K1242:K1281),0)</f>
        <v>0</v>
      </c>
      <c r="L1282" s="60">
        <f t="shared" si="739"/>
        <v>0</v>
      </c>
      <c r="M1282" s="60">
        <f t="shared" si="739"/>
        <v>0</v>
      </c>
      <c r="N1282" s="60">
        <f t="shared" si="739"/>
        <v>0</v>
      </c>
      <c r="O1282" s="60">
        <f t="shared" si="739"/>
        <v>0</v>
      </c>
      <c r="P1282" s="60">
        <f t="shared" si="739"/>
        <v>0</v>
      </c>
      <c r="Q1282" s="60">
        <f t="shared" si="739"/>
        <v>0</v>
      </c>
      <c r="R1282" s="60">
        <f t="shared" si="739"/>
        <v>0</v>
      </c>
      <c r="S1282" s="60">
        <f t="shared" si="739"/>
        <v>0</v>
      </c>
      <c r="T1282" s="60">
        <f t="shared" si="739"/>
        <v>0</v>
      </c>
      <c r="U1282" s="60">
        <f t="shared" si="739"/>
        <v>0</v>
      </c>
      <c r="V1282" s="60">
        <f t="shared" si="739"/>
        <v>0</v>
      </c>
      <c r="W1282" s="60">
        <f t="shared" si="739"/>
        <v>0</v>
      </c>
      <c r="X1282" s="60">
        <f t="shared" si="739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0">IF(ISBLANK(B804),"",B804)</f>
        <v/>
      </c>
      <c r="C1287" s="58" t="str">
        <f t="shared" si="740"/>
        <v/>
      </c>
      <c r="D1287" s="58" t="str">
        <f t="shared" si="740"/>
        <v/>
      </c>
      <c r="E1287" s="58" t="str">
        <f t="shared" si="740"/>
        <v/>
      </c>
      <c r="F1287" s="58"/>
      <c r="G1287" s="58"/>
      <c r="H1287" s="58"/>
      <c r="I1287" s="58"/>
      <c r="J1287" s="58"/>
      <c r="K1287" s="59">
        <f t="shared" ref="K1287:X1287" si="741">IF(AND($D1287="tak",$E1287="prace rozwojowe",Modul_badawczo_rozwojowy=tak),ROUND(K804*K478,0),0)</f>
        <v>0</v>
      </c>
      <c r="L1287" s="59">
        <f t="shared" si="741"/>
        <v>0</v>
      </c>
      <c r="M1287" s="59">
        <f t="shared" si="741"/>
        <v>0</v>
      </c>
      <c r="N1287" s="59">
        <f t="shared" si="741"/>
        <v>0</v>
      </c>
      <c r="O1287" s="59">
        <f t="shared" si="741"/>
        <v>0</v>
      </c>
      <c r="P1287" s="59">
        <f t="shared" si="741"/>
        <v>0</v>
      </c>
      <c r="Q1287" s="59">
        <f t="shared" si="741"/>
        <v>0</v>
      </c>
      <c r="R1287" s="59">
        <f t="shared" si="741"/>
        <v>0</v>
      </c>
      <c r="S1287" s="59">
        <f t="shared" si="741"/>
        <v>0</v>
      </c>
      <c r="T1287" s="59">
        <f t="shared" si="741"/>
        <v>0</v>
      </c>
      <c r="U1287" s="59">
        <f t="shared" si="741"/>
        <v>0</v>
      </c>
      <c r="V1287" s="59">
        <f t="shared" si="741"/>
        <v>0</v>
      </c>
      <c r="W1287" s="59">
        <f t="shared" si="741"/>
        <v>0</v>
      </c>
      <c r="X1287" s="59">
        <f t="shared" si="741"/>
        <v>0</v>
      </c>
    </row>
    <row r="1288" spans="2:24" hidden="1">
      <c r="B1288" s="58" t="str">
        <f t="shared" si="740"/>
        <v/>
      </c>
      <c r="C1288" s="58" t="str">
        <f t="shared" si="740"/>
        <v/>
      </c>
      <c r="D1288" s="58" t="str">
        <f t="shared" si="740"/>
        <v/>
      </c>
      <c r="E1288" s="58" t="str">
        <f t="shared" si="740"/>
        <v/>
      </c>
      <c r="F1288" s="58"/>
      <c r="G1288" s="58"/>
      <c r="H1288" s="58"/>
      <c r="I1288" s="58"/>
      <c r="J1288" s="58"/>
      <c r="K1288" s="59">
        <f t="shared" ref="K1288:X1288" si="742">IF(AND($D1288="tak",$E1288="prace rozwojowe",Modul_badawczo_rozwojowy=tak),ROUND(K805*K479,0),0)</f>
        <v>0</v>
      </c>
      <c r="L1288" s="59">
        <f t="shared" si="742"/>
        <v>0</v>
      </c>
      <c r="M1288" s="59">
        <f t="shared" si="742"/>
        <v>0</v>
      </c>
      <c r="N1288" s="59">
        <f t="shared" si="742"/>
        <v>0</v>
      </c>
      <c r="O1288" s="59">
        <f t="shared" si="742"/>
        <v>0</v>
      </c>
      <c r="P1288" s="59">
        <f t="shared" si="742"/>
        <v>0</v>
      </c>
      <c r="Q1288" s="59">
        <f t="shared" si="742"/>
        <v>0</v>
      </c>
      <c r="R1288" s="59">
        <f t="shared" si="742"/>
        <v>0</v>
      </c>
      <c r="S1288" s="59">
        <f t="shared" si="742"/>
        <v>0</v>
      </c>
      <c r="T1288" s="59">
        <f t="shared" si="742"/>
        <v>0</v>
      </c>
      <c r="U1288" s="59">
        <f t="shared" si="742"/>
        <v>0</v>
      </c>
      <c r="V1288" s="59">
        <f t="shared" si="742"/>
        <v>0</v>
      </c>
      <c r="W1288" s="59">
        <f t="shared" si="742"/>
        <v>0</v>
      </c>
      <c r="X1288" s="59">
        <f t="shared" si="742"/>
        <v>0</v>
      </c>
    </row>
    <row r="1289" spans="2:24" hidden="1">
      <c r="B1289" s="58" t="str">
        <f t="shared" si="740"/>
        <v/>
      </c>
      <c r="C1289" s="58" t="str">
        <f t="shared" si="740"/>
        <v/>
      </c>
      <c r="D1289" s="58" t="str">
        <f t="shared" si="740"/>
        <v/>
      </c>
      <c r="E1289" s="58" t="str">
        <f t="shared" si="740"/>
        <v/>
      </c>
      <c r="F1289" s="58"/>
      <c r="G1289" s="58"/>
      <c r="H1289" s="58"/>
      <c r="I1289" s="58"/>
      <c r="J1289" s="58"/>
      <c r="K1289" s="59">
        <f t="shared" ref="K1289:X1289" si="743">IF(AND($D1289="tak",$E1289="prace rozwojowe",Modul_badawczo_rozwojowy=tak),ROUND(K806*K480,0),0)</f>
        <v>0</v>
      </c>
      <c r="L1289" s="59">
        <f t="shared" si="743"/>
        <v>0</v>
      </c>
      <c r="M1289" s="59">
        <f t="shared" si="743"/>
        <v>0</v>
      </c>
      <c r="N1289" s="59">
        <f t="shared" si="743"/>
        <v>0</v>
      </c>
      <c r="O1289" s="59">
        <f t="shared" si="743"/>
        <v>0</v>
      </c>
      <c r="P1289" s="59">
        <f t="shared" si="743"/>
        <v>0</v>
      </c>
      <c r="Q1289" s="59">
        <f t="shared" si="743"/>
        <v>0</v>
      </c>
      <c r="R1289" s="59">
        <f t="shared" si="743"/>
        <v>0</v>
      </c>
      <c r="S1289" s="59">
        <f t="shared" si="743"/>
        <v>0</v>
      </c>
      <c r="T1289" s="59">
        <f t="shared" si="743"/>
        <v>0</v>
      </c>
      <c r="U1289" s="59">
        <f t="shared" si="743"/>
        <v>0</v>
      </c>
      <c r="V1289" s="59">
        <f t="shared" si="743"/>
        <v>0</v>
      </c>
      <c r="W1289" s="59">
        <f t="shared" si="743"/>
        <v>0</v>
      </c>
      <c r="X1289" s="59">
        <f t="shared" si="743"/>
        <v>0</v>
      </c>
    </row>
    <row r="1290" spans="2:24" hidden="1">
      <c r="B1290" s="58" t="str">
        <f t="shared" si="740"/>
        <v/>
      </c>
      <c r="C1290" s="58" t="str">
        <f t="shared" si="740"/>
        <v/>
      </c>
      <c r="D1290" s="58" t="str">
        <f t="shared" si="740"/>
        <v/>
      </c>
      <c r="E1290" s="58" t="str">
        <f t="shared" si="740"/>
        <v/>
      </c>
      <c r="F1290" s="58"/>
      <c r="G1290" s="58"/>
      <c r="H1290" s="58"/>
      <c r="I1290" s="58"/>
      <c r="J1290" s="58"/>
      <c r="K1290" s="59">
        <f t="shared" ref="K1290:X1290" si="744">IF(AND($D1290="tak",$E1290="prace rozwojowe",Modul_badawczo_rozwojowy=tak),ROUND(K807*K481,0),0)</f>
        <v>0</v>
      </c>
      <c r="L1290" s="59">
        <f t="shared" si="744"/>
        <v>0</v>
      </c>
      <c r="M1290" s="59">
        <f t="shared" si="744"/>
        <v>0</v>
      </c>
      <c r="N1290" s="59">
        <f t="shared" si="744"/>
        <v>0</v>
      </c>
      <c r="O1290" s="59">
        <f t="shared" si="744"/>
        <v>0</v>
      </c>
      <c r="P1290" s="59">
        <f t="shared" si="744"/>
        <v>0</v>
      </c>
      <c r="Q1290" s="59">
        <f t="shared" si="744"/>
        <v>0</v>
      </c>
      <c r="R1290" s="59">
        <f t="shared" si="744"/>
        <v>0</v>
      </c>
      <c r="S1290" s="59">
        <f t="shared" si="744"/>
        <v>0</v>
      </c>
      <c r="T1290" s="59">
        <f t="shared" si="744"/>
        <v>0</v>
      </c>
      <c r="U1290" s="59">
        <f t="shared" si="744"/>
        <v>0</v>
      </c>
      <c r="V1290" s="59">
        <f t="shared" si="744"/>
        <v>0</v>
      </c>
      <c r="W1290" s="59">
        <f t="shared" si="744"/>
        <v>0</v>
      </c>
      <c r="X1290" s="59">
        <f t="shared" si="744"/>
        <v>0</v>
      </c>
    </row>
    <row r="1291" spans="2:24" hidden="1">
      <c r="B1291" s="58" t="str">
        <f t="shared" si="740"/>
        <v/>
      </c>
      <c r="C1291" s="58" t="str">
        <f t="shared" si="740"/>
        <v/>
      </c>
      <c r="D1291" s="58" t="str">
        <f t="shared" si="740"/>
        <v/>
      </c>
      <c r="E1291" s="58" t="str">
        <f t="shared" si="740"/>
        <v/>
      </c>
      <c r="F1291" s="58"/>
      <c r="G1291" s="58"/>
      <c r="H1291" s="58"/>
      <c r="I1291" s="58"/>
      <c r="J1291" s="58"/>
      <c r="K1291" s="59">
        <f t="shared" ref="K1291:X1291" si="745">IF(AND($D1291="tak",$E1291="prace rozwojowe",Modul_badawczo_rozwojowy=tak),ROUND(K808*K482,0),0)</f>
        <v>0</v>
      </c>
      <c r="L1291" s="59">
        <f t="shared" si="745"/>
        <v>0</v>
      </c>
      <c r="M1291" s="59">
        <f t="shared" si="745"/>
        <v>0</v>
      </c>
      <c r="N1291" s="59">
        <f t="shared" si="745"/>
        <v>0</v>
      </c>
      <c r="O1291" s="59">
        <f t="shared" si="745"/>
        <v>0</v>
      </c>
      <c r="P1291" s="59">
        <f t="shared" si="745"/>
        <v>0</v>
      </c>
      <c r="Q1291" s="59">
        <f t="shared" si="745"/>
        <v>0</v>
      </c>
      <c r="R1291" s="59">
        <f t="shared" si="745"/>
        <v>0</v>
      </c>
      <c r="S1291" s="59">
        <f t="shared" si="745"/>
        <v>0</v>
      </c>
      <c r="T1291" s="59">
        <f t="shared" si="745"/>
        <v>0</v>
      </c>
      <c r="U1291" s="59">
        <f t="shared" si="745"/>
        <v>0</v>
      </c>
      <c r="V1291" s="59">
        <f t="shared" si="745"/>
        <v>0</v>
      </c>
      <c r="W1291" s="59">
        <f t="shared" si="745"/>
        <v>0</v>
      </c>
      <c r="X1291" s="59">
        <f t="shared" si="745"/>
        <v>0</v>
      </c>
    </row>
    <row r="1292" spans="2:24" hidden="1">
      <c r="B1292" s="58" t="str">
        <f t="shared" si="740"/>
        <v/>
      </c>
      <c r="C1292" s="58" t="str">
        <f t="shared" si="740"/>
        <v/>
      </c>
      <c r="D1292" s="58" t="str">
        <f t="shared" si="740"/>
        <v/>
      </c>
      <c r="E1292" s="58" t="str">
        <f t="shared" si="740"/>
        <v/>
      </c>
      <c r="F1292" s="58"/>
      <c r="G1292" s="58"/>
      <c r="H1292" s="58"/>
      <c r="I1292" s="58"/>
      <c r="J1292" s="58"/>
      <c r="K1292" s="59">
        <f t="shared" ref="K1292:X1292" si="746">IF(AND($D1292="tak",$E1292="prace rozwojowe",Modul_badawczo_rozwojowy=tak),ROUND(K809*K483,0),0)</f>
        <v>0</v>
      </c>
      <c r="L1292" s="59">
        <f t="shared" si="746"/>
        <v>0</v>
      </c>
      <c r="M1292" s="59">
        <f t="shared" si="746"/>
        <v>0</v>
      </c>
      <c r="N1292" s="59">
        <f t="shared" si="746"/>
        <v>0</v>
      </c>
      <c r="O1292" s="59">
        <f t="shared" si="746"/>
        <v>0</v>
      </c>
      <c r="P1292" s="59">
        <f t="shared" si="746"/>
        <v>0</v>
      </c>
      <c r="Q1292" s="59">
        <f t="shared" si="746"/>
        <v>0</v>
      </c>
      <c r="R1292" s="59">
        <f t="shared" si="746"/>
        <v>0</v>
      </c>
      <c r="S1292" s="59">
        <f t="shared" si="746"/>
        <v>0</v>
      </c>
      <c r="T1292" s="59">
        <f t="shared" si="746"/>
        <v>0</v>
      </c>
      <c r="U1292" s="59">
        <f t="shared" si="746"/>
        <v>0</v>
      </c>
      <c r="V1292" s="59">
        <f t="shared" si="746"/>
        <v>0</v>
      </c>
      <c r="W1292" s="59">
        <f t="shared" si="746"/>
        <v>0</v>
      </c>
      <c r="X1292" s="59">
        <f t="shared" si="746"/>
        <v>0</v>
      </c>
    </row>
    <row r="1293" spans="2:24" hidden="1">
      <c r="B1293" s="58" t="str">
        <f t="shared" si="740"/>
        <v/>
      </c>
      <c r="C1293" s="58" t="str">
        <f t="shared" si="740"/>
        <v/>
      </c>
      <c r="D1293" s="58" t="str">
        <f t="shared" si="740"/>
        <v/>
      </c>
      <c r="E1293" s="58" t="str">
        <f t="shared" si="740"/>
        <v/>
      </c>
      <c r="F1293" s="58"/>
      <c r="G1293" s="58"/>
      <c r="H1293" s="58"/>
      <c r="I1293" s="58"/>
      <c r="J1293" s="58"/>
      <c r="K1293" s="59">
        <f t="shared" ref="K1293:X1293" si="747">IF(AND($D1293="tak",$E1293="prace rozwojowe",Modul_badawczo_rozwojowy=tak),ROUND(K810*K484,0),0)</f>
        <v>0</v>
      </c>
      <c r="L1293" s="59">
        <f t="shared" si="747"/>
        <v>0</v>
      </c>
      <c r="M1293" s="59">
        <f t="shared" si="747"/>
        <v>0</v>
      </c>
      <c r="N1293" s="59">
        <f t="shared" si="747"/>
        <v>0</v>
      </c>
      <c r="O1293" s="59">
        <f t="shared" si="747"/>
        <v>0</v>
      </c>
      <c r="P1293" s="59">
        <f t="shared" si="747"/>
        <v>0</v>
      </c>
      <c r="Q1293" s="59">
        <f t="shared" si="747"/>
        <v>0</v>
      </c>
      <c r="R1293" s="59">
        <f t="shared" si="747"/>
        <v>0</v>
      </c>
      <c r="S1293" s="59">
        <f t="shared" si="747"/>
        <v>0</v>
      </c>
      <c r="T1293" s="59">
        <f t="shared" si="747"/>
        <v>0</v>
      </c>
      <c r="U1293" s="59">
        <f t="shared" si="747"/>
        <v>0</v>
      </c>
      <c r="V1293" s="59">
        <f t="shared" si="747"/>
        <v>0</v>
      </c>
      <c r="W1293" s="59">
        <f t="shared" si="747"/>
        <v>0</v>
      </c>
      <c r="X1293" s="59">
        <f t="shared" si="747"/>
        <v>0</v>
      </c>
    </row>
    <row r="1294" spans="2:24" hidden="1">
      <c r="B1294" s="58" t="str">
        <f t="shared" si="740"/>
        <v/>
      </c>
      <c r="C1294" s="58" t="str">
        <f t="shared" si="740"/>
        <v/>
      </c>
      <c r="D1294" s="58" t="str">
        <f t="shared" si="740"/>
        <v/>
      </c>
      <c r="E1294" s="58" t="str">
        <f t="shared" si="740"/>
        <v/>
      </c>
      <c r="F1294" s="58"/>
      <c r="G1294" s="58"/>
      <c r="H1294" s="58"/>
      <c r="I1294" s="58"/>
      <c r="J1294" s="58"/>
      <c r="K1294" s="59">
        <f t="shared" ref="K1294:X1294" si="748">IF(AND($D1294="tak",$E1294="prace rozwojowe",Modul_badawczo_rozwojowy=tak),ROUND(K811*K485,0),0)</f>
        <v>0</v>
      </c>
      <c r="L1294" s="59">
        <f t="shared" si="748"/>
        <v>0</v>
      </c>
      <c r="M1294" s="59">
        <f t="shared" si="748"/>
        <v>0</v>
      </c>
      <c r="N1294" s="59">
        <f t="shared" si="748"/>
        <v>0</v>
      </c>
      <c r="O1294" s="59">
        <f t="shared" si="748"/>
        <v>0</v>
      </c>
      <c r="P1294" s="59">
        <f t="shared" si="748"/>
        <v>0</v>
      </c>
      <c r="Q1294" s="59">
        <f t="shared" si="748"/>
        <v>0</v>
      </c>
      <c r="R1294" s="59">
        <f t="shared" si="748"/>
        <v>0</v>
      </c>
      <c r="S1294" s="59">
        <f t="shared" si="748"/>
        <v>0</v>
      </c>
      <c r="T1294" s="59">
        <f t="shared" si="748"/>
        <v>0</v>
      </c>
      <c r="U1294" s="59">
        <f t="shared" si="748"/>
        <v>0</v>
      </c>
      <c r="V1294" s="59">
        <f t="shared" si="748"/>
        <v>0</v>
      </c>
      <c r="W1294" s="59">
        <f t="shared" si="748"/>
        <v>0</v>
      </c>
      <c r="X1294" s="59">
        <f t="shared" si="748"/>
        <v>0</v>
      </c>
    </row>
    <row r="1295" spans="2:24" hidden="1">
      <c r="B1295" s="58" t="str">
        <f t="shared" si="740"/>
        <v/>
      </c>
      <c r="C1295" s="58" t="str">
        <f t="shared" si="740"/>
        <v/>
      </c>
      <c r="D1295" s="58" t="str">
        <f t="shared" si="740"/>
        <v/>
      </c>
      <c r="E1295" s="58" t="str">
        <f t="shared" si="740"/>
        <v/>
      </c>
      <c r="F1295" s="58"/>
      <c r="G1295" s="58"/>
      <c r="H1295" s="58"/>
      <c r="I1295" s="58"/>
      <c r="J1295" s="58"/>
      <c r="K1295" s="59">
        <f t="shared" ref="K1295:X1295" si="749">IF(AND($D1295="tak",$E1295="prace rozwojowe",Modul_badawczo_rozwojowy=tak),ROUND(K812*K486,0),0)</f>
        <v>0</v>
      </c>
      <c r="L1295" s="59">
        <f t="shared" si="749"/>
        <v>0</v>
      </c>
      <c r="M1295" s="59">
        <f t="shared" si="749"/>
        <v>0</v>
      </c>
      <c r="N1295" s="59">
        <f t="shared" si="749"/>
        <v>0</v>
      </c>
      <c r="O1295" s="59">
        <f t="shared" si="749"/>
        <v>0</v>
      </c>
      <c r="P1295" s="59">
        <f t="shared" si="749"/>
        <v>0</v>
      </c>
      <c r="Q1295" s="59">
        <f t="shared" si="749"/>
        <v>0</v>
      </c>
      <c r="R1295" s="59">
        <f t="shared" si="749"/>
        <v>0</v>
      </c>
      <c r="S1295" s="59">
        <f t="shared" si="749"/>
        <v>0</v>
      </c>
      <c r="T1295" s="59">
        <f t="shared" si="749"/>
        <v>0</v>
      </c>
      <c r="U1295" s="59">
        <f t="shared" si="749"/>
        <v>0</v>
      </c>
      <c r="V1295" s="59">
        <f t="shared" si="749"/>
        <v>0</v>
      </c>
      <c r="W1295" s="59">
        <f t="shared" si="749"/>
        <v>0</v>
      </c>
      <c r="X1295" s="59">
        <f t="shared" si="749"/>
        <v>0</v>
      </c>
    </row>
    <row r="1296" spans="2:24" hidden="1">
      <c r="B1296" s="58" t="str">
        <f t="shared" si="740"/>
        <v/>
      </c>
      <c r="C1296" s="58" t="str">
        <f t="shared" si="740"/>
        <v/>
      </c>
      <c r="D1296" s="58" t="str">
        <f t="shared" si="740"/>
        <v/>
      </c>
      <c r="E1296" s="58" t="str">
        <f t="shared" si="740"/>
        <v/>
      </c>
      <c r="F1296" s="58"/>
      <c r="G1296" s="58"/>
      <c r="H1296" s="58"/>
      <c r="I1296" s="58"/>
      <c r="J1296" s="58"/>
      <c r="K1296" s="59">
        <f t="shared" ref="K1296:X1296" si="750">IF(AND($D1296="tak",$E1296="prace rozwojowe",Modul_badawczo_rozwojowy=tak),ROUND(K813*K487,0),0)</f>
        <v>0</v>
      </c>
      <c r="L1296" s="59">
        <f t="shared" si="750"/>
        <v>0</v>
      </c>
      <c r="M1296" s="59">
        <f t="shared" si="750"/>
        <v>0</v>
      </c>
      <c r="N1296" s="59">
        <f t="shared" si="750"/>
        <v>0</v>
      </c>
      <c r="O1296" s="59">
        <f t="shared" si="750"/>
        <v>0</v>
      </c>
      <c r="P1296" s="59">
        <f t="shared" si="750"/>
        <v>0</v>
      </c>
      <c r="Q1296" s="59">
        <f t="shared" si="750"/>
        <v>0</v>
      </c>
      <c r="R1296" s="59">
        <f t="shared" si="750"/>
        <v>0</v>
      </c>
      <c r="S1296" s="59">
        <f t="shared" si="750"/>
        <v>0</v>
      </c>
      <c r="T1296" s="59">
        <f t="shared" si="750"/>
        <v>0</v>
      </c>
      <c r="U1296" s="59">
        <f t="shared" si="750"/>
        <v>0</v>
      </c>
      <c r="V1296" s="59">
        <f t="shared" si="750"/>
        <v>0</v>
      </c>
      <c r="W1296" s="59">
        <f t="shared" si="750"/>
        <v>0</v>
      </c>
      <c r="X1296" s="59">
        <f t="shared" si="750"/>
        <v>0</v>
      </c>
    </row>
    <row r="1297" spans="2:24" hidden="1">
      <c r="B1297" s="58" t="str">
        <f t="shared" si="740"/>
        <v/>
      </c>
      <c r="C1297" s="58" t="str">
        <f t="shared" si="740"/>
        <v/>
      </c>
      <c r="D1297" s="58" t="str">
        <f t="shared" si="740"/>
        <v/>
      </c>
      <c r="E1297" s="58" t="str">
        <f t="shared" si="740"/>
        <v/>
      </c>
      <c r="F1297" s="58"/>
      <c r="G1297" s="58"/>
      <c r="H1297" s="58"/>
      <c r="I1297" s="58"/>
      <c r="J1297" s="58"/>
      <c r="K1297" s="59">
        <f t="shared" ref="K1297:X1297" si="751">IF(AND($D1297="tak",$E1297="prace rozwojowe",Modul_badawczo_rozwojowy=tak),ROUND(K814*K488,0),0)</f>
        <v>0</v>
      </c>
      <c r="L1297" s="59">
        <f t="shared" si="751"/>
        <v>0</v>
      </c>
      <c r="M1297" s="59">
        <f t="shared" si="751"/>
        <v>0</v>
      </c>
      <c r="N1297" s="59">
        <f t="shared" si="751"/>
        <v>0</v>
      </c>
      <c r="O1297" s="59">
        <f t="shared" si="751"/>
        <v>0</v>
      </c>
      <c r="P1297" s="59">
        <f t="shared" si="751"/>
        <v>0</v>
      </c>
      <c r="Q1297" s="59">
        <f t="shared" si="751"/>
        <v>0</v>
      </c>
      <c r="R1297" s="59">
        <f t="shared" si="751"/>
        <v>0</v>
      </c>
      <c r="S1297" s="59">
        <f t="shared" si="751"/>
        <v>0</v>
      </c>
      <c r="T1297" s="59">
        <f t="shared" si="751"/>
        <v>0</v>
      </c>
      <c r="U1297" s="59">
        <f t="shared" si="751"/>
        <v>0</v>
      </c>
      <c r="V1297" s="59">
        <f t="shared" si="751"/>
        <v>0</v>
      </c>
      <c r="W1297" s="59">
        <f t="shared" si="751"/>
        <v>0</v>
      </c>
      <c r="X1297" s="59">
        <f t="shared" si="751"/>
        <v>0</v>
      </c>
    </row>
    <row r="1298" spans="2:24" hidden="1">
      <c r="B1298" s="58" t="str">
        <f t="shared" si="740"/>
        <v/>
      </c>
      <c r="C1298" s="58" t="str">
        <f t="shared" si="740"/>
        <v/>
      </c>
      <c r="D1298" s="58" t="str">
        <f t="shared" si="740"/>
        <v/>
      </c>
      <c r="E1298" s="58" t="str">
        <f t="shared" si="740"/>
        <v/>
      </c>
      <c r="F1298" s="58"/>
      <c r="G1298" s="58"/>
      <c r="H1298" s="58"/>
      <c r="I1298" s="58"/>
      <c r="J1298" s="58"/>
      <c r="K1298" s="59">
        <f t="shared" ref="K1298:X1298" si="752">IF(AND($D1298="tak",$E1298="prace rozwojowe",Modul_badawczo_rozwojowy=tak),ROUND(K815*K489,0),0)</f>
        <v>0</v>
      </c>
      <c r="L1298" s="59">
        <f t="shared" si="752"/>
        <v>0</v>
      </c>
      <c r="M1298" s="59">
        <f t="shared" si="752"/>
        <v>0</v>
      </c>
      <c r="N1298" s="59">
        <f t="shared" si="752"/>
        <v>0</v>
      </c>
      <c r="O1298" s="59">
        <f t="shared" si="752"/>
        <v>0</v>
      </c>
      <c r="P1298" s="59">
        <f t="shared" si="752"/>
        <v>0</v>
      </c>
      <c r="Q1298" s="59">
        <f t="shared" si="752"/>
        <v>0</v>
      </c>
      <c r="R1298" s="59">
        <f t="shared" si="752"/>
        <v>0</v>
      </c>
      <c r="S1298" s="59">
        <f t="shared" si="752"/>
        <v>0</v>
      </c>
      <c r="T1298" s="59">
        <f t="shared" si="752"/>
        <v>0</v>
      </c>
      <c r="U1298" s="59">
        <f t="shared" si="752"/>
        <v>0</v>
      </c>
      <c r="V1298" s="59">
        <f t="shared" si="752"/>
        <v>0</v>
      </c>
      <c r="W1298" s="59">
        <f t="shared" si="752"/>
        <v>0</v>
      </c>
      <c r="X1298" s="59">
        <f t="shared" si="752"/>
        <v>0</v>
      </c>
    </row>
    <row r="1299" spans="2:24" hidden="1">
      <c r="B1299" s="58" t="str">
        <f t="shared" si="740"/>
        <v/>
      </c>
      <c r="C1299" s="58" t="str">
        <f t="shared" si="740"/>
        <v/>
      </c>
      <c r="D1299" s="58" t="str">
        <f t="shared" si="740"/>
        <v/>
      </c>
      <c r="E1299" s="58" t="str">
        <f t="shared" si="740"/>
        <v/>
      </c>
      <c r="F1299" s="58"/>
      <c r="G1299" s="58"/>
      <c r="H1299" s="58"/>
      <c r="I1299" s="58"/>
      <c r="J1299" s="58"/>
      <c r="K1299" s="59">
        <f t="shared" ref="K1299:X1299" si="753">IF(AND($D1299="tak",$E1299="prace rozwojowe",Modul_badawczo_rozwojowy=tak),ROUND(K816*K490,0),0)</f>
        <v>0</v>
      </c>
      <c r="L1299" s="59">
        <f t="shared" si="753"/>
        <v>0</v>
      </c>
      <c r="M1299" s="59">
        <f t="shared" si="753"/>
        <v>0</v>
      </c>
      <c r="N1299" s="59">
        <f t="shared" si="753"/>
        <v>0</v>
      </c>
      <c r="O1299" s="59">
        <f t="shared" si="753"/>
        <v>0</v>
      </c>
      <c r="P1299" s="59">
        <f t="shared" si="753"/>
        <v>0</v>
      </c>
      <c r="Q1299" s="59">
        <f t="shared" si="753"/>
        <v>0</v>
      </c>
      <c r="R1299" s="59">
        <f t="shared" si="753"/>
        <v>0</v>
      </c>
      <c r="S1299" s="59">
        <f t="shared" si="753"/>
        <v>0</v>
      </c>
      <c r="T1299" s="59">
        <f t="shared" si="753"/>
        <v>0</v>
      </c>
      <c r="U1299" s="59">
        <f t="shared" si="753"/>
        <v>0</v>
      </c>
      <c r="V1299" s="59">
        <f t="shared" si="753"/>
        <v>0</v>
      </c>
      <c r="W1299" s="59">
        <f t="shared" si="753"/>
        <v>0</v>
      </c>
      <c r="X1299" s="59">
        <f t="shared" si="753"/>
        <v>0</v>
      </c>
    </row>
    <row r="1300" spans="2:24" hidden="1">
      <c r="B1300" s="58" t="str">
        <f t="shared" si="740"/>
        <v/>
      </c>
      <c r="C1300" s="58" t="str">
        <f t="shared" si="740"/>
        <v/>
      </c>
      <c r="D1300" s="58" t="str">
        <f t="shared" si="740"/>
        <v/>
      </c>
      <c r="E1300" s="58" t="str">
        <f t="shared" si="740"/>
        <v/>
      </c>
      <c r="F1300" s="58"/>
      <c r="G1300" s="58"/>
      <c r="H1300" s="58"/>
      <c r="I1300" s="58"/>
      <c r="J1300" s="58"/>
      <c r="K1300" s="59">
        <f t="shared" ref="K1300:X1300" si="754">IF(AND($D1300="tak",$E1300="prace rozwojowe",Modul_badawczo_rozwojowy=tak),ROUND(K817*K491,0),0)</f>
        <v>0</v>
      </c>
      <c r="L1300" s="59">
        <f t="shared" si="754"/>
        <v>0</v>
      </c>
      <c r="M1300" s="59">
        <f t="shared" si="754"/>
        <v>0</v>
      </c>
      <c r="N1300" s="59">
        <f t="shared" si="754"/>
        <v>0</v>
      </c>
      <c r="O1300" s="59">
        <f t="shared" si="754"/>
        <v>0</v>
      </c>
      <c r="P1300" s="59">
        <f t="shared" si="754"/>
        <v>0</v>
      </c>
      <c r="Q1300" s="59">
        <f t="shared" si="754"/>
        <v>0</v>
      </c>
      <c r="R1300" s="59">
        <f t="shared" si="754"/>
        <v>0</v>
      </c>
      <c r="S1300" s="59">
        <f t="shared" si="754"/>
        <v>0</v>
      </c>
      <c r="T1300" s="59">
        <f t="shared" si="754"/>
        <v>0</v>
      </c>
      <c r="U1300" s="59">
        <f t="shared" si="754"/>
        <v>0</v>
      </c>
      <c r="V1300" s="59">
        <f t="shared" si="754"/>
        <v>0</v>
      </c>
      <c r="W1300" s="59">
        <f t="shared" si="754"/>
        <v>0</v>
      </c>
      <c r="X1300" s="59">
        <f t="shared" si="754"/>
        <v>0</v>
      </c>
    </row>
    <row r="1301" spans="2:24" hidden="1">
      <c r="B1301" s="58" t="str">
        <f t="shared" si="740"/>
        <v/>
      </c>
      <c r="C1301" s="58" t="str">
        <f t="shared" si="740"/>
        <v/>
      </c>
      <c r="D1301" s="58" t="str">
        <f t="shared" si="740"/>
        <v/>
      </c>
      <c r="E1301" s="58" t="str">
        <f t="shared" si="740"/>
        <v/>
      </c>
      <c r="F1301" s="58"/>
      <c r="G1301" s="58"/>
      <c r="H1301" s="58"/>
      <c r="I1301" s="58"/>
      <c r="J1301" s="58"/>
      <c r="K1301" s="59">
        <f t="shared" ref="K1301:X1301" si="755">IF(AND($D1301="tak",$E1301="prace rozwojowe",Modul_badawczo_rozwojowy=tak),ROUND(K818*K492,0),0)</f>
        <v>0</v>
      </c>
      <c r="L1301" s="59">
        <f t="shared" si="755"/>
        <v>0</v>
      </c>
      <c r="M1301" s="59">
        <f t="shared" si="755"/>
        <v>0</v>
      </c>
      <c r="N1301" s="59">
        <f t="shared" si="755"/>
        <v>0</v>
      </c>
      <c r="O1301" s="59">
        <f t="shared" si="755"/>
        <v>0</v>
      </c>
      <c r="P1301" s="59">
        <f t="shared" si="755"/>
        <v>0</v>
      </c>
      <c r="Q1301" s="59">
        <f t="shared" si="755"/>
        <v>0</v>
      </c>
      <c r="R1301" s="59">
        <f t="shared" si="755"/>
        <v>0</v>
      </c>
      <c r="S1301" s="59">
        <f t="shared" si="755"/>
        <v>0</v>
      </c>
      <c r="T1301" s="59">
        <f t="shared" si="755"/>
        <v>0</v>
      </c>
      <c r="U1301" s="59">
        <f t="shared" si="755"/>
        <v>0</v>
      </c>
      <c r="V1301" s="59">
        <f t="shared" si="755"/>
        <v>0</v>
      </c>
      <c r="W1301" s="59">
        <f t="shared" si="755"/>
        <v>0</v>
      </c>
      <c r="X1301" s="59">
        <f t="shared" si="755"/>
        <v>0</v>
      </c>
    </row>
    <row r="1302" spans="2:24" hidden="1">
      <c r="B1302" s="58" t="str">
        <f t="shared" si="740"/>
        <v/>
      </c>
      <c r="C1302" s="58" t="str">
        <f t="shared" si="740"/>
        <v/>
      </c>
      <c r="D1302" s="58" t="str">
        <f t="shared" si="740"/>
        <v/>
      </c>
      <c r="E1302" s="58" t="str">
        <f t="shared" si="740"/>
        <v/>
      </c>
      <c r="F1302" s="58"/>
      <c r="G1302" s="58"/>
      <c r="H1302" s="58"/>
      <c r="I1302" s="58"/>
      <c r="J1302" s="58"/>
      <c r="K1302" s="59">
        <f t="shared" ref="K1302:X1302" si="756">IF(AND($D1302="tak",$E1302="prace rozwojowe",Modul_badawczo_rozwojowy=tak),ROUND(K819*K493,0),0)</f>
        <v>0</v>
      </c>
      <c r="L1302" s="59">
        <f t="shared" si="756"/>
        <v>0</v>
      </c>
      <c r="M1302" s="59">
        <f t="shared" si="756"/>
        <v>0</v>
      </c>
      <c r="N1302" s="59">
        <f t="shared" si="756"/>
        <v>0</v>
      </c>
      <c r="O1302" s="59">
        <f t="shared" si="756"/>
        <v>0</v>
      </c>
      <c r="P1302" s="59">
        <f t="shared" si="756"/>
        <v>0</v>
      </c>
      <c r="Q1302" s="59">
        <f t="shared" si="756"/>
        <v>0</v>
      </c>
      <c r="R1302" s="59">
        <f t="shared" si="756"/>
        <v>0</v>
      </c>
      <c r="S1302" s="59">
        <f t="shared" si="756"/>
        <v>0</v>
      </c>
      <c r="T1302" s="59">
        <f t="shared" si="756"/>
        <v>0</v>
      </c>
      <c r="U1302" s="59">
        <f t="shared" si="756"/>
        <v>0</v>
      </c>
      <c r="V1302" s="59">
        <f t="shared" si="756"/>
        <v>0</v>
      </c>
      <c r="W1302" s="59">
        <f t="shared" si="756"/>
        <v>0</v>
      </c>
      <c r="X1302" s="59">
        <f t="shared" si="756"/>
        <v>0</v>
      </c>
    </row>
    <row r="1303" spans="2:24" hidden="1">
      <c r="B1303" s="58" t="str">
        <f t="shared" si="740"/>
        <v/>
      </c>
      <c r="C1303" s="58" t="str">
        <f t="shared" si="740"/>
        <v/>
      </c>
      <c r="D1303" s="58" t="str">
        <f t="shared" si="740"/>
        <v/>
      </c>
      <c r="E1303" s="58" t="str">
        <f t="shared" si="740"/>
        <v/>
      </c>
      <c r="F1303" s="58"/>
      <c r="G1303" s="58"/>
      <c r="H1303" s="58"/>
      <c r="I1303" s="58"/>
      <c r="J1303" s="58"/>
      <c r="K1303" s="59">
        <f t="shared" ref="K1303:X1303" si="757">IF(AND($D1303="tak",$E1303="prace rozwojowe",Modul_badawczo_rozwojowy=tak),ROUND(K820*K494,0),0)</f>
        <v>0</v>
      </c>
      <c r="L1303" s="59">
        <f t="shared" si="757"/>
        <v>0</v>
      </c>
      <c r="M1303" s="59">
        <f t="shared" si="757"/>
        <v>0</v>
      </c>
      <c r="N1303" s="59">
        <f t="shared" si="757"/>
        <v>0</v>
      </c>
      <c r="O1303" s="59">
        <f t="shared" si="757"/>
        <v>0</v>
      </c>
      <c r="P1303" s="59">
        <f t="shared" si="757"/>
        <v>0</v>
      </c>
      <c r="Q1303" s="59">
        <f t="shared" si="757"/>
        <v>0</v>
      </c>
      <c r="R1303" s="59">
        <f t="shared" si="757"/>
        <v>0</v>
      </c>
      <c r="S1303" s="59">
        <f t="shared" si="757"/>
        <v>0</v>
      </c>
      <c r="T1303" s="59">
        <f t="shared" si="757"/>
        <v>0</v>
      </c>
      <c r="U1303" s="59">
        <f t="shared" si="757"/>
        <v>0</v>
      </c>
      <c r="V1303" s="59">
        <f t="shared" si="757"/>
        <v>0</v>
      </c>
      <c r="W1303" s="59">
        <f t="shared" si="757"/>
        <v>0</v>
      </c>
      <c r="X1303" s="59">
        <f t="shared" si="757"/>
        <v>0</v>
      </c>
    </row>
    <row r="1304" spans="2:24" hidden="1">
      <c r="B1304" s="58" t="str">
        <f t="shared" si="740"/>
        <v/>
      </c>
      <c r="C1304" s="58" t="str">
        <f t="shared" si="740"/>
        <v/>
      </c>
      <c r="D1304" s="58" t="str">
        <f t="shared" si="740"/>
        <v/>
      </c>
      <c r="E1304" s="58" t="str">
        <f t="shared" si="740"/>
        <v/>
      </c>
      <c r="F1304" s="58"/>
      <c r="G1304" s="58"/>
      <c r="H1304" s="58"/>
      <c r="I1304" s="58"/>
      <c r="J1304" s="58"/>
      <c r="K1304" s="59">
        <f t="shared" ref="K1304:X1304" si="758">IF(AND($D1304="tak",$E1304="prace rozwojowe",Modul_badawczo_rozwojowy=tak),ROUND(K821*K495,0),0)</f>
        <v>0</v>
      </c>
      <c r="L1304" s="59">
        <f t="shared" si="758"/>
        <v>0</v>
      </c>
      <c r="M1304" s="59">
        <f t="shared" si="758"/>
        <v>0</v>
      </c>
      <c r="N1304" s="59">
        <f t="shared" si="758"/>
        <v>0</v>
      </c>
      <c r="O1304" s="59">
        <f t="shared" si="758"/>
        <v>0</v>
      </c>
      <c r="P1304" s="59">
        <f t="shared" si="758"/>
        <v>0</v>
      </c>
      <c r="Q1304" s="59">
        <f t="shared" si="758"/>
        <v>0</v>
      </c>
      <c r="R1304" s="59">
        <f t="shared" si="758"/>
        <v>0</v>
      </c>
      <c r="S1304" s="59">
        <f t="shared" si="758"/>
        <v>0</v>
      </c>
      <c r="T1304" s="59">
        <f t="shared" si="758"/>
        <v>0</v>
      </c>
      <c r="U1304" s="59">
        <f t="shared" si="758"/>
        <v>0</v>
      </c>
      <c r="V1304" s="59">
        <f t="shared" si="758"/>
        <v>0</v>
      </c>
      <c r="W1304" s="59">
        <f t="shared" si="758"/>
        <v>0</v>
      </c>
      <c r="X1304" s="59">
        <f t="shared" si="758"/>
        <v>0</v>
      </c>
    </row>
    <row r="1305" spans="2:24" hidden="1">
      <c r="B1305" s="58" t="str">
        <f t="shared" si="740"/>
        <v/>
      </c>
      <c r="C1305" s="58" t="str">
        <f t="shared" si="740"/>
        <v/>
      </c>
      <c r="D1305" s="58" t="str">
        <f t="shared" si="740"/>
        <v/>
      </c>
      <c r="E1305" s="58" t="str">
        <f t="shared" si="740"/>
        <v/>
      </c>
      <c r="F1305" s="58"/>
      <c r="G1305" s="58"/>
      <c r="H1305" s="58"/>
      <c r="I1305" s="58"/>
      <c r="J1305" s="58"/>
      <c r="K1305" s="59">
        <f t="shared" ref="K1305:X1305" si="759">IF(AND($D1305="tak",$E1305="prace rozwojowe",Modul_badawczo_rozwojowy=tak),ROUND(K822*K496,0),0)</f>
        <v>0</v>
      </c>
      <c r="L1305" s="59">
        <f t="shared" si="759"/>
        <v>0</v>
      </c>
      <c r="M1305" s="59">
        <f t="shared" si="759"/>
        <v>0</v>
      </c>
      <c r="N1305" s="59">
        <f t="shared" si="759"/>
        <v>0</v>
      </c>
      <c r="O1305" s="59">
        <f t="shared" si="759"/>
        <v>0</v>
      </c>
      <c r="P1305" s="59">
        <f t="shared" si="759"/>
        <v>0</v>
      </c>
      <c r="Q1305" s="59">
        <f t="shared" si="759"/>
        <v>0</v>
      </c>
      <c r="R1305" s="59">
        <f t="shared" si="759"/>
        <v>0</v>
      </c>
      <c r="S1305" s="59">
        <f t="shared" si="759"/>
        <v>0</v>
      </c>
      <c r="T1305" s="59">
        <f t="shared" si="759"/>
        <v>0</v>
      </c>
      <c r="U1305" s="59">
        <f t="shared" si="759"/>
        <v>0</v>
      </c>
      <c r="V1305" s="59">
        <f t="shared" si="759"/>
        <v>0</v>
      </c>
      <c r="W1305" s="59">
        <f t="shared" si="759"/>
        <v>0</v>
      </c>
      <c r="X1305" s="59">
        <f t="shared" si="759"/>
        <v>0</v>
      </c>
    </row>
    <row r="1306" spans="2:24" hidden="1">
      <c r="B1306" s="58" t="str">
        <f t="shared" si="740"/>
        <v/>
      </c>
      <c r="C1306" s="58" t="str">
        <f t="shared" si="740"/>
        <v/>
      </c>
      <c r="D1306" s="58" t="str">
        <f t="shared" si="740"/>
        <v/>
      </c>
      <c r="E1306" s="58" t="str">
        <f t="shared" si="740"/>
        <v/>
      </c>
      <c r="F1306" s="58"/>
      <c r="G1306" s="58"/>
      <c r="H1306" s="58"/>
      <c r="I1306" s="58"/>
      <c r="J1306" s="58"/>
      <c r="K1306" s="59">
        <f t="shared" ref="K1306:X1306" si="760">IF(AND($D1306="tak",$E1306="prace rozwojowe",Modul_badawczo_rozwojowy=tak),ROUND(K823*K497,0),0)</f>
        <v>0</v>
      </c>
      <c r="L1306" s="59">
        <f t="shared" si="760"/>
        <v>0</v>
      </c>
      <c r="M1306" s="59">
        <f t="shared" si="760"/>
        <v>0</v>
      </c>
      <c r="N1306" s="59">
        <f t="shared" si="760"/>
        <v>0</v>
      </c>
      <c r="O1306" s="59">
        <f t="shared" si="760"/>
        <v>0</v>
      </c>
      <c r="P1306" s="59">
        <f t="shared" si="760"/>
        <v>0</v>
      </c>
      <c r="Q1306" s="59">
        <f t="shared" si="760"/>
        <v>0</v>
      </c>
      <c r="R1306" s="59">
        <f t="shared" si="760"/>
        <v>0</v>
      </c>
      <c r="S1306" s="59">
        <f t="shared" si="760"/>
        <v>0</v>
      </c>
      <c r="T1306" s="59">
        <f t="shared" si="760"/>
        <v>0</v>
      </c>
      <c r="U1306" s="59">
        <f t="shared" si="760"/>
        <v>0</v>
      </c>
      <c r="V1306" s="59">
        <f t="shared" si="760"/>
        <v>0</v>
      </c>
      <c r="W1306" s="59">
        <f t="shared" si="760"/>
        <v>0</v>
      </c>
      <c r="X1306" s="59">
        <f t="shared" si="760"/>
        <v>0</v>
      </c>
    </row>
    <row r="1307" spans="2:24" hidden="1">
      <c r="B1307" s="58" t="str">
        <f t="shared" ref="B1307:E1326" si="761">IF(ISBLANK(B824),"",B824)</f>
        <v/>
      </c>
      <c r="C1307" s="58" t="str">
        <f t="shared" si="761"/>
        <v/>
      </c>
      <c r="D1307" s="58" t="str">
        <f t="shared" si="761"/>
        <v/>
      </c>
      <c r="E1307" s="58" t="str">
        <f t="shared" si="761"/>
        <v/>
      </c>
      <c r="F1307" s="58"/>
      <c r="G1307" s="58"/>
      <c r="H1307" s="58"/>
      <c r="I1307" s="58"/>
      <c r="J1307" s="58"/>
      <c r="K1307" s="59">
        <f t="shared" ref="K1307:X1307" si="762">IF(AND($D1307="tak",$E1307="prace rozwojowe",Modul_badawczo_rozwojowy=tak),ROUND(K824*K498,0),0)</f>
        <v>0</v>
      </c>
      <c r="L1307" s="59">
        <f t="shared" si="762"/>
        <v>0</v>
      </c>
      <c r="M1307" s="59">
        <f t="shared" si="762"/>
        <v>0</v>
      </c>
      <c r="N1307" s="59">
        <f t="shared" si="762"/>
        <v>0</v>
      </c>
      <c r="O1307" s="59">
        <f t="shared" si="762"/>
        <v>0</v>
      </c>
      <c r="P1307" s="59">
        <f t="shared" si="762"/>
        <v>0</v>
      </c>
      <c r="Q1307" s="59">
        <f t="shared" si="762"/>
        <v>0</v>
      </c>
      <c r="R1307" s="59">
        <f t="shared" si="762"/>
        <v>0</v>
      </c>
      <c r="S1307" s="59">
        <f t="shared" si="762"/>
        <v>0</v>
      </c>
      <c r="T1307" s="59">
        <f t="shared" si="762"/>
        <v>0</v>
      </c>
      <c r="U1307" s="59">
        <f t="shared" si="762"/>
        <v>0</v>
      </c>
      <c r="V1307" s="59">
        <f t="shared" si="762"/>
        <v>0</v>
      </c>
      <c r="W1307" s="59">
        <f t="shared" si="762"/>
        <v>0</v>
      </c>
      <c r="X1307" s="59">
        <f t="shared" si="762"/>
        <v>0</v>
      </c>
    </row>
    <row r="1308" spans="2:24" hidden="1">
      <c r="B1308" s="58" t="str">
        <f t="shared" si="761"/>
        <v/>
      </c>
      <c r="C1308" s="58" t="str">
        <f t="shared" si="761"/>
        <v/>
      </c>
      <c r="D1308" s="58" t="str">
        <f t="shared" si="761"/>
        <v/>
      </c>
      <c r="E1308" s="58" t="str">
        <f t="shared" si="761"/>
        <v/>
      </c>
      <c r="F1308" s="58"/>
      <c r="G1308" s="58"/>
      <c r="H1308" s="58"/>
      <c r="I1308" s="58"/>
      <c r="J1308" s="58"/>
      <c r="K1308" s="59">
        <f t="shared" ref="K1308:X1308" si="763">IF(AND($D1308="tak",$E1308="prace rozwojowe",Modul_badawczo_rozwojowy=tak),ROUND(K825*K499,0),0)</f>
        <v>0</v>
      </c>
      <c r="L1308" s="59">
        <f t="shared" si="763"/>
        <v>0</v>
      </c>
      <c r="M1308" s="59">
        <f t="shared" si="763"/>
        <v>0</v>
      </c>
      <c r="N1308" s="59">
        <f t="shared" si="763"/>
        <v>0</v>
      </c>
      <c r="O1308" s="59">
        <f t="shared" si="763"/>
        <v>0</v>
      </c>
      <c r="P1308" s="59">
        <f t="shared" si="763"/>
        <v>0</v>
      </c>
      <c r="Q1308" s="59">
        <f t="shared" si="763"/>
        <v>0</v>
      </c>
      <c r="R1308" s="59">
        <f t="shared" si="763"/>
        <v>0</v>
      </c>
      <c r="S1308" s="59">
        <f t="shared" si="763"/>
        <v>0</v>
      </c>
      <c r="T1308" s="59">
        <f t="shared" si="763"/>
        <v>0</v>
      </c>
      <c r="U1308" s="59">
        <f t="shared" si="763"/>
        <v>0</v>
      </c>
      <c r="V1308" s="59">
        <f t="shared" si="763"/>
        <v>0</v>
      </c>
      <c r="W1308" s="59">
        <f t="shared" si="763"/>
        <v>0</v>
      </c>
      <c r="X1308" s="59">
        <f t="shared" si="763"/>
        <v>0</v>
      </c>
    </row>
    <row r="1309" spans="2:24" hidden="1">
      <c r="B1309" s="58" t="str">
        <f t="shared" si="761"/>
        <v/>
      </c>
      <c r="C1309" s="58" t="str">
        <f t="shared" si="761"/>
        <v/>
      </c>
      <c r="D1309" s="58" t="str">
        <f t="shared" si="761"/>
        <v/>
      </c>
      <c r="E1309" s="58" t="str">
        <f t="shared" si="761"/>
        <v/>
      </c>
      <c r="F1309" s="58"/>
      <c r="G1309" s="58"/>
      <c r="H1309" s="58"/>
      <c r="I1309" s="58"/>
      <c r="J1309" s="58"/>
      <c r="K1309" s="59">
        <f t="shared" ref="K1309:X1309" si="764">IF(AND($D1309="tak",$E1309="prace rozwojowe",Modul_badawczo_rozwojowy=tak),ROUND(K826*K500,0),0)</f>
        <v>0</v>
      </c>
      <c r="L1309" s="59">
        <f t="shared" si="764"/>
        <v>0</v>
      </c>
      <c r="M1309" s="59">
        <f t="shared" si="764"/>
        <v>0</v>
      </c>
      <c r="N1309" s="59">
        <f t="shared" si="764"/>
        <v>0</v>
      </c>
      <c r="O1309" s="59">
        <f t="shared" si="764"/>
        <v>0</v>
      </c>
      <c r="P1309" s="59">
        <f t="shared" si="764"/>
        <v>0</v>
      </c>
      <c r="Q1309" s="59">
        <f t="shared" si="764"/>
        <v>0</v>
      </c>
      <c r="R1309" s="59">
        <f t="shared" si="764"/>
        <v>0</v>
      </c>
      <c r="S1309" s="59">
        <f t="shared" si="764"/>
        <v>0</v>
      </c>
      <c r="T1309" s="59">
        <f t="shared" si="764"/>
        <v>0</v>
      </c>
      <c r="U1309" s="59">
        <f t="shared" si="764"/>
        <v>0</v>
      </c>
      <c r="V1309" s="59">
        <f t="shared" si="764"/>
        <v>0</v>
      </c>
      <c r="W1309" s="59">
        <f t="shared" si="764"/>
        <v>0</v>
      </c>
      <c r="X1309" s="59">
        <f t="shared" si="764"/>
        <v>0</v>
      </c>
    </row>
    <row r="1310" spans="2:24" hidden="1">
      <c r="B1310" s="58" t="str">
        <f t="shared" si="761"/>
        <v/>
      </c>
      <c r="C1310" s="58" t="str">
        <f t="shared" si="761"/>
        <v/>
      </c>
      <c r="D1310" s="58" t="str">
        <f t="shared" si="761"/>
        <v/>
      </c>
      <c r="E1310" s="58" t="str">
        <f t="shared" si="761"/>
        <v/>
      </c>
      <c r="F1310" s="58"/>
      <c r="G1310" s="58"/>
      <c r="H1310" s="58"/>
      <c r="I1310" s="58"/>
      <c r="J1310" s="58"/>
      <c r="K1310" s="59">
        <f t="shared" ref="K1310:X1310" si="765">IF(AND($D1310="tak",$E1310="prace rozwojowe",Modul_badawczo_rozwojowy=tak),ROUND(K827*K501,0),0)</f>
        <v>0</v>
      </c>
      <c r="L1310" s="59">
        <f t="shared" si="765"/>
        <v>0</v>
      </c>
      <c r="M1310" s="59">
        <f t="shared" si="765"/>
        <v>0</v>
      </c>
      <c r="N1310" s="59">
        <f t="shared" si="765"/>
        <v>0</v>
      </c>
      <c r="O1310" s="59">
        <f t="shared" si="765"/>
        <v>0</v>
      </c>
      <c r="P1310" s="59">
        <f t="shared" si="765"/>
        <v>0</v>
      </c>
      <c r="Q1310" s="59">
        <f t="shared" si="765"/>
        <v>0</v>
      </c>
      <c r="R1310" s="59">
        <f t="shared" si="765"/>
        <v>0</v>
      </c>
      <c r="S1310" s="59">
        <f t="shared" si="765"/>
        <v>0</v>
      </c>
      <c r="T1310" s="59">
        <f t="shared" si="765"/>
        <v>0</v>
      </c>
      <c r="U1310" s="59">
        <f t="shared" si="765"/>
        <v>0</v>
      </c>
      <c r="V1310" s="59">
        <f t="shared" si="765"/>
        <v>0</v>
      </c>
      <c r="W1310" s="59">
        <f t="shared" si="765"/>
        <v>0</v>
      </c>
      <c r="X1310" s="59">
        <f t="shared" si="765"/>
        <v>0</v>
      </c>
    </row>
    <row r="1311" spans="2:24" hidden="1">
      <c r="B1311" s="58" t="str">
        <f t="shared" si="761"/>
        <v/>
      </c>
      <c r="C1311" s="58" t="str">
        <f t="shared" si="761"/>
        <v/>
      </c>
      <c r="D1311" s="58" t="str">
        <f t="shared" si="761"/>
        <v/>
      </c>
      <c r="E1311" s="58" t="str">
        <f t="shared" si="761"/>
        <v/>
      </c>
      <c r="F1311" s="58"/>
      <c r="G1311" s="58"/>
      <c r="H1311" s="58"/>
      <c r="I1311" s="58"/>
      <c r="J1311" s="58"/>
      <c r="K1311" s="59">
        <f t="shared" ref="K1311:X1311" si="766">IF(AND($D1311="tak",$E1311="prace rozwojowe",Modul_badawczo_rozwojowy=tak),ROUND(K828*K502,0),0)</f>
        <v>0</v>
      </c>
      <c r="L1311" s="59">
        <f t="shared" si="766"/>
        <v>0</v>
      </c>
      <c r="M1311" s="59">
        <f t="shared" si="766"/>
        <v>0</v>
      </c>
      <c r="N1311" s="59">
        <f t="shared" si="766"/>
        <v>0</v>
      </c>
      <c r="O1311" s="59">
        <f t="shared" si="766"/>
        <v>0</v>
      </c>
      <c r="P1311" s="59">
        <f t="shared" si="766"/>
        <v>0</v>
      </c>
      <c r="Q1311" s="59">
        <f t="shared" si="766"/>
        <v>0</v>
      </c>
      <c r="R1311" s="59">
        <f t="shared" si="766"/>
        <v>0</v>
      </c>
      <c r="S1311" s="59">
        <f t="shared" si="766"/>
        <v>0</v>
      </c>
      <c r="T1311" s="59">
        <f t="shared" si="766"/>
        <v>0</v>
      </c>
      <c r="U1311" s="59">
        <f t="shared" si="766"/>
        <v>0</v>
      </c>
      <c r="V1311" s="59">
        <f t="shared" si="766"/>
        <v>0</v>
      </c>
      <c r="W1311" s="59">
        <f t="shared" si="766"/>
        <v>0</v>
      </c>
      <c r="X1311" s="59">
        <f t="shared" si="766"/>
        <v>0</v>
      </c>
    </row>
    <row r="1312" spans="2:24" hidden="1">
      <c r="B1312" s="58" t="str">
        <f t="shared" si="761"/>
        <v/>
      </c>
      <c r="C1312" s="58" t="str">
        <f t="shared" si="761"/>
        <v/>
      </c>
      <c r="D1312" s="58" t="str">
        <f t="shared" si="761"/>
        <v/>
      </c>
      <c r="E1312" s="58" t="str">
        <f t="shared" si="761"/>
        <v/>
      </c>
      <c r="F1312" s="58"/>
      <c r="G1312" s="58"/>
      <c r="H1312" s="58"/>
      <c r="I1312" s="58"/>
      <c r="J1312" s="58"/>
      <c r="K1312" s="59">
        <f t="shared" ref="K1312:X1312" si="767">IF(AND($D1312="tak",$E1312="prace rozwojowe",Modul_badawczo_rozwojowy=tak),ROUND(K829*K503,0),0)</f>
        <v>0</v>
      </c>
      <c r="L1312" s="59">
        <f t="shared" si="767"/>
        <v>0</v>
      </c>
      <c r="M1312" s="59">
        <f t="shared" si="767"/>
        <v>0</v>
      </c>
      <c r="N1312" s="59">
        <f t="shared" si="767"/>
        <v>0</v>
      </c>
      <c r="O1312" s="59">
        <f t="shared" si="767"/>
        <v>0</v>
      </c>
      <c r="P1312" s="59">
        <f t="shared" si="767"/>
        <v>0</v>
      </c>
      <c r="Q1312" s="59">
        <f t="shared" si="767"/>
        <v>0</v>
      </c>
      <c r="R1312" s="59">
        <f t="shared" si="767"/>
        <v>0</v>
      </c>
      <c r="S1312" s="59">
        <f t="shared" si="767"/>
        <v>0</v>
      </c>
      <c r="T1312" s="59">
        <f t="shared" si="767"/>
        <v>0</v>
      </c>
      <c r="U1312" s="59">
        <f t="shared" si="767"/>
        <v>0</v>
      </c>
      <c r="V1312" s="59">
        <f t="shared" si="767"/>
        <v>0</v>
      </c>
      <c r="W1312" s="59">
        <f t="shared" si="767"/>
        <v>0</v>
      </c>
      <c r="X1312" s="59">
        <f t="shared" si="767"/>
        <v>0</v>
      </c>
    </row>
    <row r="1313" spans="2:24" hidden="1">
      <c r="B1313" s="58" t="str">
        <f t="shared" si="761"/>
        <v/>
      </c>
      <c r="C1313" s="58" t="str">
        <f t="shared" si="761"/>
        <v/>
      </c>
      <c r="D1313" s="58" t="str">
        <f t="shared" si="761"/>
        <v/>
      </c>
      <c r="E1313" s="58" t="str">
        <f t="shared" si="761"/>
        <v/>
      </c>
      <c r="F1313" s="58"/>
      <c r="G1313" s="58"/>
      <c r="H1313" s="58"/>
      <c r="I1313" s="58"/>
      <c r="J1313" s="58"/>
      <c r="K1313" s="59">
        <f t="shared" ref="K1313:X1313" si="768">IF(AND($D1313="tak",$E1313="prace rozwojowe",Modul_badawczo_rozwojowy=tak),ROUND(K830*K504,0),0)</f>
        <v>0</v>
      </c>
      <c r="L1313" s="59">
        <f t="shared" si="768"/>
        <v>0</v>
      </c>
      <c r="M1313" s="59">
        <f t="shared" si="768"/>
        <v>0</v>
      </c>
      <c r="N1313" s="59">
        <f t="shared" si="768"/>
        <v>0</v>
      </c>
      <c r="O1313" s="59">
        <f t="shared" si="768"/>
        <v>0</v>
      </c>
      <c r="P1313" s="59">
        <f t="shared" si="768"/>
        <v>0</v>
      </c>
      <c r="Q1313" s="59">
        <f t="shared" si="768"/>
        <v>0</v>
      </c>
      <c r="R1313" s="59">
        <f t="shared" si="768"/>
        <v>0</v>
      </c>
      <c r="S1313" s="59">
        <f t="shared" si="768"/>
        <v>0</v>
      </c>
      <c r="T1313" s="59">
        <f t="shared" si="768"/>
        <v>0</v>
      </c>
      <c r="U1313" s="59">
        <f t="shared" si="768"/>
        <v>0</v>
      </c>
      <c r="V1313" s="59">
        <f t="shared" si="768"/>
        <v>0</v>
      </c>
      <c r="W1313" s="59">
        <f t="shared" si="768"/>
        <v>0</v>
      </c>
      <c r="X1313" s="59">
        <f t="shared" si="768"/>
        <v>0</v>
      </c>
    </row>
    <row r="1314" spans="2:24" hidden="1">
      <c r="B1314" s="58" t="str">
        <f t="shared" si="761"/>
        <v/>
      </c>
      <c r="C1314" s="58" t="str">
        <f t="shared" si="761"/>
        <v/>
      </c>
      <c r="D1314" s="58" t="str">
        <f t="shared" si="761"/>
        <v/>
      </c>
      <c r="E1314" s="58" t="str">
        <f t="shared" si="761"/>
        <v/>
      </c>
      <c r="F1314" s="58"/>
      <c r="G1314" s="58"/>
      <c r="H1314" s="58"/>
      <c r="I1314" s="58"/>
      <c r="J1314" s="58"/>
      <c r="K1314" s="59">
        <f t="shared" ref="K1314:X1314" si="769">IF(AND($D1314="tak",$E1314="prace rozwojowe",Modul_badawczo_rozwojowy=tak),ROUND(K831*K505,0),0)</f>
        <v>0</v>
      </c>
      <c r="L1314" s="59">
        <f t="shared" si="769"/>
        <v>0</v>
      </c>
      <c r="M1314" s="59">
        <f t="shared" si="769"/>
        <v>0</v>
      </c>
      <c r="N1314" s="59">
        <f t="shared" si="769"/>
        <v>0</v>
      </c>
      <c r="O1314" s="59">
        <f t="shared" si="769"/>
        <v>0</v>
      </c>
      <c r="P1314" s="59">
        <f t="shared" si="769"/>
        <v>0</v>
      </c>
      <c r="Q1314" s="59">
        <f t="shared" si="769"/>
        <v>0</v>
      </c>
      <c r="R1314" s="59">
        <f t="shared" si="769"/>
        <v>0</v>
      </c>
      <c r="S1314" s="59">
        <f t="shared" si="769"/>
        <v>0</v>
      </c>
      <c r="T1314" s="59">
        <f t="shared" si="769"/>
        <v>0</v>
      </c>
      <c r="U1314" s="59">
        <f t="shared" si="769"/>
        <v>0</v>
      </c>
      <c r="V1314" s="59">
        <f t="shared" si="769"/>
        <v>0</v>
      </c>
      <c r="W1314" s="59">
        <f t="shared" si="769"/>
        <v>0</v>
      </c>
      <c r="X1314" s="59">
        <f t="shared" si="769"/>
        <v>0</v>
      </c>
    </row>
    <row r="1315" spans="2:24" hidden="1">
      <c r="B1315" s="58" t="str">
        <f t="shared" si="761"/>
        <v/>
      </c>
      <c r="C1315" s="58" t="str">
        <f t="shared" si="761"/>
        <v/>
      </c>
      <c r="D1315" s="58" t="str">
        <f t="shared" si="761"/>
        <v/>
      </c>
      <c r="E1315" s="58" t="str">
        <f t="shared" si="761"/>
        <v/>
      </c>
      <c r="F1315" s="58"/>
      <c r="G1315" s="58"/>
      <c r="H1315" s="58"/>
      <c r="I1315" s="58"/>
      <c r="J1315" s="58"/>
      <c r="K1315" s="59">
        <f t="shared" ref="K1315:X1315" si="770">IF(AND($D1315="tak",$E1315="prace rozwojowe",Modul_badawczo_rozwojowy=tak),ROUND(K832*K506,0),0)</f>
        <v>0</v>
      </c>
      <c r="L1315" s="59">
        <f t="shared" si="770"/>
        <v>0</v>
      </c>
      <c r="M1315" s="59">
        <f t="shared" si="770"/>
        <v>0</v>
      </c>
      <c r="N1315" s="59">
        <f t="shared" si="770"/>
        <v>0</v>
      </c>
      <c r="O1315" s="59">
        <f t="shared" si="770"/>
        <v>0</v>
      </c>
      <c r="P1315" s="59">
        <f t="shared" si="770"/>
        <v>0</v>
      </c>
      <c r="Q1315" s="59">
        <f t="shared" si="770"/>
        <v>0</v>
      </c>
      <c r="R1315" s="59">
        <f t="shared" si="770"/>
        <v>0</v>
      </c>
      <c r="S1315" s="59">
        <f t="shared" si="770"/>
        <v>0</v>
      </c>
      <c r="T1315" s="59">
        <f t="shared" si="770"/>
        <v>0</v>
      </c>
      <c r="U1315" s="59">
        <f t="shared" si="770"/>
        <v>0</v>
      </c>
      <c r="V1315" s="59">
        <f t="shared" si="770"/>
        <v>0</v>
      </c>
      <c r="W1315" s="59">
        <f t="shared" si="770"/>
        <v>0</v>
      </c>
      <c r="X1315" s="59">
        <f t="shared" si="770"/>
        <v>0</v>
      </c>
    </row>
    <row r="1316" spans="2:24" hidden="1">
      <c r="B1316" s="58" t="str">
        <f t="shared" si="761"/>
        <v/>
      </c>
      <c r="C1316" s="58" t="str">
        <f t="shared" si="761"/>
        <v/>
      </c>
      <c r="D1316" s="58" t="str">
        <f t="shared" si="761"/>
        <v/>
      </c>
      <c r="E1316" s="58" t="str">
        <f t="shared" si="761"/>
        <v/>
      </c>
      <c r="F1316" s="58"/>
      <c r="G1316" s="58"/>
      <c r="H1316" s="58"/>
      <c r="I1316" s="58"/>
      <c r="J1316" s="58"/>
      <c r="K1316" s="59">
        <f t="shared" ref="K1316:X1316" si="771">IF(AND($D1316="tak",$E1316="prace rozwojowe",Modul_badawczo_rozwojowy=tak),ROUND(K833*K507,0),0)</f>
        <v>0</v>
      </c>
      <c r="L1316" s="59">
        <f t="shared" si="771"/>
        <v>0</v>
      </c>
      <c r="M1316" s="59">
        <f t="shared" si="771"/>
        <v>0</v>
      </c>
      <c r="N1316" s="59">
        <f t="shared" si="771"/>
        <v>0</v>
      </c>
      <c r="O1316" s="59">
        <f t="shared" si="771"/>
        <v>0</v>
      </c>
      <c r="P1316" s="59">
        <f t="shared" si="771"/>
        <v>0</v>
      </c>
      <c r="Q1316" s="59">
        <f t="shared" si="771"/>
        <v>0</v>
      </c>
      <c r="R1316" s="59">
        <f t="shared" si="771"/>
        <v>0</v>
      </c>
      <c r="S1316" s="59">
        <f t="shared" si="771"/>
        <v>0</v>
      </c>
      <c r="T1316" s="59">
        <f t="shared" si="771"/>
        <v>0</v>
      </c>
      <c r="U1316" s="59">
        <f t="shared" si="771"/>
        <v>0</v>
      </c>
      <c r="V1316" s="59">
        <f t="shared" si="771"/>
        <v>0</v>
      </c>
      <c r="W1316" s="59">
        <f t="shared" si="771"/>
        <v>0</v>
      </c>
      <c r="X1316" s="59">
        <f t="shared" si="771"/>
        <v>0</v>
      </c>
    </row>
    <row r="1317" spans="2:24" hidden="1">
      <c r="B1317" s="58" t="str">
        <f t="shared" si="761"/>
        <v/>
      </c>
      <c r="C1317" s="58" t="str">
        <f t="shared" si="761"/>
        <v/>
      </c>
      <c r="D1317" s="58" t="str">
        <f t="shared" si="761"/>
        <v/>
      </c>
      <c r="E1317" s="58" t="str">
        <f t="shared" si="761"/>
        <v/>
      </c>
      <c r="F1317" s="58"/>
      <c r="G1317" s="58"/>
      <c r="H1317" s="58"/>
      <c r="I1317" s="58"/>
      <c r="J1317" s="58"/>
      <c r="K1317" s="59">
        <f t="shared" ref="K1317:X1317" si="772">IF(AND($D1317="tak",$E1317="prace rozwojowe",Modul_badawczo_rozwojowy=tak),ROUND(K834*K508,0),0)</f>
        <v>0</v>
      </c>
      <c r="L1317" s="59">
        <f t="shared" si="772"/>
        <v>0</v>
      </c>
      <c r="M1317" s="59">
        <f t="shared" si="772"/>
        <v>0</v>
      </c>
      <c r="N1317" s="59">
        <f t="shared" si="772"/>
        <v>0</v>
      </c>
      <c r="O1317" s="59">
        <f t="shared" si="772"/>
        <v>0</v>
      </c>
      <c r="P1317" s="59">
        <f t="shared" si="772"/>
        <v>0</v>
      </c>
      <c r="Q1317" s="59">
        <f t="shared" si="772"/>
        <v>0</v>
      </c>
      <c r="R1317" s="59">
        <f t="shared" si="772"/>
        <v>0</v>
      </c>
      <c r="S1317" s="59">
        <f t="shared" si="772"/>
        <v>0</v>
      </c>
      <c r="T1317" s="59">
        <f t="shared" si="772"/>
        <v>0</v>
      </c>
      <c r="U1317" s="59">
        <f t="shared" si="772"/>
        <v>0</v>
      </c>
      <c r="V1317" s="59">
        <f t="shared" si="772"/>
        <v>0</v>
      </c>
      <c r="W1317" s="59">
        <f t="shared" si="772"/>
        <v>0</v>
      </c>
      <c r="X1317" s="59">
        <f t="shared" si="772"/>
        <v>0</v>
      </c>
    </row>
    <row r="1318" spans="2:24" hidden="1">
      <c r="B1318" s="58" t="str">
        <f t="shared" si="761"/>
        <v/>
      </c>
      <c r="C1318" s="58" t="str">
        <f t="shared" si="761"/>
        <v/>
      </c>
      <c r="D1318" s="58" t="str">
        <f t="shared" si="761"/>
        <v/>
      </c>
      <c r="E1318" s="58" t="str">
        <f t="shared" si="761"/>
        <v/>
      </c>
      <c r="F1318" s="58"/>
      <c r="G1318" s="58"/>
      <c r="H1318" s="58"/>
      <c r="I1318" s="58"/>
      <c r="J1318" s="58"/>
      <c r="K1318" s="59">
        <f t="shared" ref="K1318:X1318" si="773">IF(AND($D1318="tak",$E1318="prace rozwojowe",Modul_badawczo_rozwojowy=tak),ROUND(K835*K509,0),0)</f>
        <v>0</v>
      </c>
      <c r="L1318" s="59">
        <f t="shared" si="773"/>
        <v>0</v>
      </c>
      <c r="M1318" s="59">
        <f t="shared" si="773"/>
        <v>0</v>
      </c>
      <c r="N1318" s="59">
        <f t="shared" si="773"/>
        <v>0</v>
      </c>
      <c r="O1318" s="59">
        <f t="shared" si="773"/>
        <v>0</v>
      </c>
      <c r="P1318" s="59">
        <f t="shared" si="773"/>
        <v>0</v>
      </c>
      <c r="Q1318" s="59">
        <f t="shared" si="773"/>
        <v>0</v>
      </c>
      <c r="R1318" s="59">
        <f t="shared" si="773"/>
        <v>0</v>
      </c>
      <c r="S1318" s="59">
        <f t="shared" si="773"/>
        <v>0</v>
      </c>
      <c r="T1318" s="59">
        <f t="shared" si="773"/>
        <v>0</v>
      </c>
      <c r="U1318" s="59">
        <f t="shared" si="773"/>
        <v>0</v>
      </c>
      <c r="V1318" s="59">
        <f t="shared" si="773"/>
        <v>0</v>
      </c>
      <c r="W1318" s="59">
        <f t="shared" si="773"/>
        <v>0</v>
      </c>
      <c r="X1318" s="59">
        <f t="shared" si="773"/>
        <v>0</v>
      </c>
    </row>
    <row r="1319" spans="2:24" hidden="1">
      <c r="B1319" s="58" t="str">
        <f t="shared" si="761"/>
        <v/>
      </c>
      <c r="C1319" s="58" t="str">
        <f t="shared" si="761"/>
        <v/>
      </c>
      <c r="D1319" s="58" t="str">
        <f t="shared" si="761"/>
        <v/>
      </c>
      <c r="E1319" s="58" t="str">
        <f t="shared" si="761"/>
        <v/>
      </c>
      <c r="F1319" s="58"/>
      <c r="G1319" s="58"/>
      <c r="H1319" s="58"/>
      <c r="I1319" s="58"/>
      <c r="J1319" s="58"/>
      <c r="K1319" s="59">
        <f t="shared" ref="K1319:X1319" si="774">IF(AND($D1319="tak",$E1319="prace rozwojowe",Modul_badawczo_rozwojowy=tak),ROUND(K836*K510,0),0)</f>
        <v>0</v>
      </c>
      <c r="L1319" s="59">
        <f t="shared" si="774"/>
        <v>0</v>
      </c>
      <c r="M1319" s="59">
        <f t="shared" si="774"/>
        <v>0</v>
      </c>
      <c r="N1319" s="59">
        <f t="shared" si="774"/>
        <v>0</v>
      </c>
      <c r="O1319" s="59">
        <f t="shared" si="774"/>
        <v>0</v>
      </c>
      <c r="P1319" s="59">
        <f t="shared" si="774"/>
        <v>0</v>
      </c>
      <c r="Q1319" s="59">
        <f t="shared" si="774"/>
        <v>0</v>
      </c>
      <c r="R1319" s="59">
        <f t="shared" si="774"/>
        <v>0</v>
      </c>
      <c r="S1319" s="59">
        <f t="shared" si="774"/>
        <v>0</v>
      </c>
      <c r="T1319" s="59">
        <f t="shared" si="774"/>
        <v>0</v>
      </c>
      <c r="U1319" s="59">
        <f t="shared" si="774"/>
        <v>0</v>
      </c>
      <c r="V1319" s="59">
        <f t="shared" si="774"/>
        <v>0</v>
      </c>
      <c r="W1319" s="59">
        <f t="shared" si="774"/>
        <v>0</v>
      </c>
      <c r="X1319" s="59">
        <f t="shared" si="774"/>
        <v>0</v>
      </c>
    </row>
    <row r="1320" spans="2:24" hidden="1">
      <c r="B1320" s="58" t="str">
        <f t="shared" si="761"/>
        <v/>
      </c>
      <c r="C1320" s="58" t="str">
        <f t="shared" si="761"/>
        <v/>
      </c>
      <c r="D1320" s="58" t="str">
        <f t="shared" si="761"/>
        <v/>
      </c>
      <c r="E1320" s="58" t="str">
        <f t="shared" si="761"/>
        <v/>
      </c>
      <c r="F1320" s="58"/>
      <c r="G1320" s="58"/>
      <c r="H1320" s="58"/>
      <c r="I1320" s="58"/>
      <c r="J1320" s="58"/>
      <c r="K1320" s="59">
        <f t="shared" ref="K1320:X1320" si="775">IF(AND($D1320="tak",$E1320="prace rozwojowe",Modul_badawczo_rozwojowy=tak),ROUND(K837*K511,0),0)</f>
        <v>0</v>
      </c>
      <c r="L1320" s="59">
        <f t="shared" si="775"/>
        <v>0</v>
      </c>
      <c r="M1320" s="59">
        <f t="shared" si="775"/>
        <v>0</v>
      </c>
      <c r="N1320" s="59">
        <f t="shared" si="775"/>
        <v>0</v>
      </c>
      <c r="O1320" s="59">
        <f t="shared" si="775"/>
        <v>0</v>
      </c>
      <c r="P1320" s="59">
        <f t="shared" si="775"/>
        <v>0</v>
      </c>
      <c r="Q1320" s="59">
        <f t="shared" si="775"/>
        <v>0</v>
      </c>
      <c r="R1320" s="59">
        <f t="shared" si="775"/>
        <v>0</v>
      </c>
      <c r="S1320" s="59">
        <f t="shared" si="775"/>
        <v>0</v>
      </c>
      <c r="T1320" s="59">
        <f t="shared" si="775"/>
        <v>0</v>
      </c>
      <c r="U1320" s="59">
        <f t="shared" si="775"/>
        <v>0</v>
      </c>
      <c r="V1320" s="59">
        <f t="shared" si="775"/>
        <v>0</v>
      </c>
      <c r="W1320" s="59">
        <f t="shared" si="775"/>
        <v>0</v>
      </c>
      <c r="X1320" s="59">
        <f t="shared" si="775"/>
        <v>0</v>
      </c>
    </row>
    <row r="1321" spans="2:24" hidden="1">
      <c r="B1321" s="58" t="str">
        <f t="shared" si="761"/>
        <v/>
      </c>
      <c r="C1321" s="58" t="str">
        <f t="shared" si="761"/>
        <v/>
      </c>
      <c r="D1321" s="58" t="str">
        <f t="shared" si="761"/>
        <v/>
      </c>
      <c r="E1321" s="58" t="str">
        <f t="shared" si="761"/>
        <v/>
      </c>
      <c r="F1321" s="58"/>
      <c r="G1321" s="58"/>
      <c r="H1321" s="58"/>
      <c r="I1321" s="58"/>
      <c r="J1321" s="58"/>
      <c r="K1321" s="59">
        <f t="shared" ref="K1321:X1321" si="776">IF(AND($D1321="tak",$E1321="prace rozwojowe",Modul_badawczo_rozwojowy=tak),ROUND(K838*K512,0),0)</f>
        <v>0</v>
      </c>
      <c r="L1321" s="59">
        <f t="shared" si="776"/>
        <v>0</v>
      </c>
      <c r="M1321" s="59">
        <f t="shared" si="776"/>
        <v>0</v>
      </c>
      <c r="N1321" s="59">
        <f t="shared" si="776"/>
        <v>0</v>
      </c>
      <c r="O1321" s="59">
        <f t="shared" si="776"/>
        <v>0</v>
      </c>
      <c r="P1321" s="59">
        <f t="shared" si="776"/>
        <v>0</v>
      </c>
      <c r="Q1321" s="59">
        <f t="shared" si="776"/>
        <v>0</v>
      </c>
      <c r="R1321" s="59">
        <f t="shared" si="776"/>
        <v>0</v>
      </c>
      <c r="S1321" s="59">
        <f t="shared" si="776"/>
        <v>0</v>
      </c>
      <c r="T1321" s="59">
        <f t="shared" si="776"/>
        <v>0</v>
      </c>
      <c r="U1321" s="59">
        <f t="shared" si="776"/>
        <v>0</v>
      </c>
      <c r="V1321" s="59">
        <f t="shared" si="776"/>
        <v>0</v>
      </c>
      <c r="W1321" s="59">
        <f t="shared" si="776"/>
        <v>0</v>
      </c>
      <c r="X1321" s="59">
        <f t="shared" si="776"/>
        <v>0</v>
      </c>
    </row>
    <row r="1322" spans="2:24" hidden="1">
      <c r="B1322" s="58" t="str">
        <f t="shared" si="761"/>
        <v/>
      </c>
      <c r="C1322" s="58" t="str">
        <f t="shared" si="761"/>
        <v/>
      </c>
      <c r="D1322" s="58" t="str">
        <f t="shared" si="761"/>
        <v/>
      </c>
      <c r="E1322" s="58" t="str">
        <f t="shared" si="761"/>
        <v/>
      </c>
      <c r="F1322" s="58"/>
      <c r="G1322" s="58"/>
      <c r="H1322" s="58"/>
      <c r="I1322" s="58"/>
      <c r="J1322" s="58"/>
      <c r="K1322" s="59">
        <f t="shared" ref="K1322:X1322" si="777">IF(AND($D1322="tak",$E1322="prace rozwojowe",Modul_badawczo_rozwojowy=tak),ROUND(K839*K513,0),0)</f>
        <v>0</v>
      </c>
      <c r="L1322" s="59">
        <f t="shared" si="777"/>
        <v>0</v>
      </c>
      <c r="M1322" s="59">
        <f t="shared" si="777"/>
        <v>0</v>
      </c>
      <c r="N1322" s="59">
        <f t="shared" si="777"/>
        <v>0</v>
      </c>
      <c r="O1322" s="59">
        <f t="shared" si="777"/>
        <v>0</v>
      </c>
      <c r="P1322" s="59">
        <f t="shared" si="777"/>
        <v>0</v>
      </c>
      <c r="Q1322" s="59">
        <f t="shared" si="777"/>
        <v>0</v>
      </c>
      <c r="R1322" s="59">
        <f t="shared" si="777"/>
        <v>0</v>
      </c>
      <c r="S1322" s="59">
        <f t="shared" si="777"/>
        <v>0</v>
      </c>
      <c r="T1322" s="59">
        <f t="shared" si="777"/>
        <v>0</v>
      </c>
      <c r="U1322" s="59">
        <f t="shared" si="777"/>
        <v>0</v>
      </c>
      <c r="V1322" s="59">
        <f t="shared" si="777"/>
        <v>0</v>
      </c>
      <c r="W1322" s="59">
        <f t="shared" si="777"/>
        <v>0</v>
      </c>
      <c r="X1322" s="59">
        <f t="shared" si="777"/>
        <v>0</v>
      </c>
    </row>
    <row r="1323" spans="2:24" hidden="1">
      <c r="B1323" s="58" t="str">
        <f t="shared" si="761"/>
        <v/>
      </c>
      <c r="C1323" s="58" t="str">
        <f t="shared" si="761"/>
        <v/>
      </c>
      <c r="D1323" s="58" t="str">
        <f t="shared" si="761"/>
        <v/>
      </c>
      <c r="E1323" s="58" t="str">
        <f t="shared" si="761"/>
        <v/>
      </c>
      <c r="F1323" s="58"/>
      <c r="G1323" s="58"/>
      <c r="H1323" s="58"/>
      <c r="I1323" s="58"/>
      <c r="J1323" s="58"/>
      <c r="K1323" s="59">
        <f t="shared" ref="K1323:X1323" si="778">IF(AND($D1323="tak",$E1323="prace rozwojowe",Modul_badawczo_rozwojowy=tak),ROUND(K840*K514,0),0)</f>
        <v>0</v>
      </c>
      <c r="L1323" s="59">
        <f t="shared" si="778"/>
        <v>0</v>
      </c>
      <c r="M1323" s="59">
        <f t="shared" si="778"/>
        <v>0</v>
      </c>
      <c r="N1323" s="59">
        <f t="shared" si="778"/>
        <v>0</v>
      </c>
      <c r="O1323" s="59">
        <f t="shared" si="778"/>
        <v>0</v>
      </c>
      <c r="P1323" s="59">
        <f t="shared" si="778"/>
        <v>0</v>
      </c>
      <c r="Q1323" s="59">
        <f t="shared" si="778"/>
        <v>0</v>
      </c>
      <c r="R1323" s="59">
        <f t="shared" si="778"/>
        <v>0</v>
      </c>
      <c r="S1323" s="59">
        <f t="shared" si="778"/>
        <v>0</v>
      </c>
      <c r="T1323" s="59">
        <f t="shared" si="778"/>
        <v>0</v>
      </c>
      <c r="U1323" s="59">
        <f t="shared" si="778"/>
        <v>0</v>
      </c>
      <c r="V1323" s="59">
        <f t="shared" si="778"/>
        <v>0</v>
      </c>
      <c r="W1323" s="59">
        <f t="shared" si="778"/>
        <v>0</v>
      </c>
      <c r="X1323" s="59">
        <f t="shared" si="778"/>
        <v>0</v>
      </c>
    </row>
    <row r="1324" spans="2:24" hidden="1">
      <c r="B1324" s="58" t="str">
        <f t="shared" si="761"/>
        <v/>
      </c>
      <c r="C1324" s="58" t="str">
        <f t="shared" si="761"/>
        <v/>
      </c>
      <c r="D1324" s="58" t="str">
        <f t="shared" si="761"/>
        <v/>
      </c>
      <c r="E1324" s="58" t="str">
        <f t="shared" si="761"/>
        <v/>
      </c>
      <c r="F1324" s="58"/>
      <c r="G1324" s="58"/>
      <c r="H1324" s="58"/>
      <c r="I1324" s="58"/>
      <c r="J1324" s="58"/>
      <c r="K1324" s="59">
        <f t="shared" ref="K1324:X1324" si="779">IF(AND($D1324="tak",$E1324="prace rozwojowe",Modul_badawczo_rozwojowy=tak),ROUND(K841*K515,0),0)</f>
        <v>0</v>
      </c>
      <c r="L1324" s="59">
        <f t="shared" si="779"/>
        <v>0</v>
      </c>
      <c r="M1324" s="59">
        <f t="shared" si="779"/>
        <v>0</v>
      </c>
      <c r="N1324" s="59">
        <f t="shared" si="779"/>
        <v>0</v>
      </c>
      <c r="O1324" s="59">
        <f t="shared" si="779"/>
        <v>0</v>
      </c>
      <c r="P1324" s="59">
        <f t="shared" si="779"/>
        <v>0</v>
      </c>
      <c r="Q1324" s="59">
        <f t="shared" si="779"/>
        <v>0</v>
      </c>
      <c r="R1324" s="59">
        <f t="shared" si="779"/>
        <v>0</v>
      </c>
      <c r="S1324" s="59">
        <f t="shared" si="779"/>
        <v>0</v>
      </c>
      <c r="T1324" s="59">
        <f t="shared" si="779"/>
        <v>0</v>
      </c>
      <c r="U1324" s="59">
        <f t="shared" si="779"/>
        <v>0</v>
      </c>
      <c r="V1324" s="59">
        <f t="shared" si="779"/>
        <v>0</v>
      </c>
      <c r="W1324" s="59">
        <f t="shared" si="779"/>
        <v>0</v>
      </c>
      <c r="X1324" s="59">
        <f t="shared" si="779"/>
        <v>0</v>
      </c>
    </row>
    <row r="1325" spans="2:24" hidden="1">
      <c r="B1325" s="58" t="str">
        <f t="shared" si="761"/>
        <v/>
      </c>
      <c r="C1325" s="58" t="str">
        <f t="shared" si="761"/>
        <v/>
      </c>
      <c r="D1325" s="58" t="str">
        <f t="shared" si="761"/>
        <v/>
      </c>
      <c r="E1325" s="58" t="str">
        <f t="shared" si="761"/>
        <v/>
      </c>
      <c r="F1325" s="58"/>
      <c r="G1325" s="58"/>
      <c r="H1325" s="58"/>
      <c r="I1325" s="58"/>
      <c r="J1325" s="58"/>
      <c r="K1325" s="59">
        <f t="shared" ref="K1325:X1325" si="780">IF(AND($D1325="tak",$E1325="prace rozwojowe",Modul_badawczo_rozwojowy=tak),ROUND(K842*K516,0),0)</f>
        <v>0</v>
      </c>
      <c r="L1325" s="59">
        <f t="shared" si="780"/>
        <v>0</v>
      </c>
      <c r="M1325" s="59">
        <f t="shared" si="780"/>
        <v>0</v>
      </c>
      <c r="N1325" s="59">
        <f t="shared" si="780"/>
        <v>0</v>
      </c>
      <c r="O1325" s="59">
        <f t="shared" si="780"/>
        <v>0</v>
      </c>
      <c r="P1325" s="59">
        <f t="shared" si="780"/>
        <v>0</v>
      </c>
      <c r="Q1325" s="59">
        <f t="shared" si="780"/>
        <v>0</v>
      </c>
      <c r="R1325" s="59">
        <f t="shared" si="780"/>
        <v>0</v>
      </c>
      <c r="S1325" s="59">
        <f t="shared" si="780"/>
        <v>0</v>
      </c>
      <c r="T1325" s="59">
        <f t="shared" si="780"/>
        <v>0</v>
      </c>
      <c r="U1325" s="59">
        <f t="shared" si="780"/>
        <v>0</v>
      </c>
      <c r="V1325" s="59">
        <f t="shared" si="780"/>
        <v>0</v>
      </c>
      <c r="W1325" s="59">
        <f t="shared" si="780"/>
        <v>0</v>
      </c>
      <c r="X1325" s="59">
        <f t="shared" si="780"/>
        <v>0</v>
      </c>
    </row>
    <row r="1326" spans="2:24" hidden="1">
      <c r="B1326" s="58" t="str">
        <f t="shared" si="761"/>
        <v/>
      </c>
      <c r="C1326" s="58" t="str">
        <f t="shared" si="761"/>
        <v/>
      </c>
      <c r="D1326" s="58" t="str">
        <f t="shared" si="761"/>
        <v/>
      </c>
      <c r="E1326" s="58" t="str">
        <f t="shared" si="761"/>
        <v/>
      </c>
      <c r="F1326" s="58"/>
      <c r="G1326" s="58"/>
      <c r="H1326" s="58"/>
      <c r="I1326" s="58"/>
      <c r="J1326" s="58"/>
      <c r="K1326" s="59">
        <f t="shared" ref="K1326:X1326" si="781">IF(AND($D1326="tak",$E1326="prace rozwojowe",Modul_badawczo_rozwojowy=tak),ROUND(K843*K517,0),0)</f>
        <v>0</v>
      </c>
      <c r="L1326" s="59">
        <f t="shared" si="781"/>
        <v>0</v>
      </c>
      <c r="M1326" s="59">
        <f t="shared" si="781"/>
        <v>0</v>
      </c>
      <c r="N1326" s="59">
        <f t="shared" si="781"/>
        <v>0</v>
      </c>
      <c r="O1326" s="59">
        <f t="shared" si="781"/>
        <v>0</v>
      </c>
      <c r="P1326" s="59">
        <f t="shared" si="781"/>
        <v>0</v>
      </c>
      <c r="Q1326" s="59">
        <f t="shared" si="781"/>
        <v>0</v>
      </c>
      <c r="R1326" s="59">
        <f t="shared" si="781"/>
        <v>0</v>
      </c>
      <c r="S1326" s="59">
        <f t="shared" si="781"/>
        <v>0</v>
      </c>
      <c r="T1326" s="59">
        <f t="shared" si="781"/>
        <v>0</v>
      </c>
      <c r="U1326" s="59">
        <f t="shared" si="781"/>
        <v>0</v>
      </c>
      <c r="V1326" s="59">
        <f t="shared" si="781"/>
        <v>0</v>
      </c>
      <c r="W1326" s="59">
        <f t="shared" si="781"/>
        <v>0</v>
      </c>
      <c r="X1326" s="59">
        <f t="shared" si="781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2">ROUND(SUM(K1287:K1326),0)</f>
        <v>0</v>
      </c>
      <c r="L1327" s="60">
        <f t="shared" si="782"/>
        <v>0</v>
      </c>
      <c r="M1327" s="60">
        <f t="shared" si="782"/>
        <v>0</v>
      </c>
      <c r="N1327" s="60">
        <f t="shared" si="782"/>
        <v>0</v>
      </c>
      <c r="O1327" s="60">
        <f t="shared" si="782"/>
        <v>0</v>
      </c>
      <c r="P1327" s="60">
        <f t="shared" si="782"/>
        <v>0</v>
      </c>
      <c r="Q1327" s="60">
        <f t="shared" si="782"/>
        <v>0</v>
      </c>
      <c r="R1327" s="60">
        <f t="shared" si="782"/>
        <v>0</v>
      </c>
      <c r="S1327" s="60">
        <f t="shared" si="782"/>
        <v>0</v>
      </c>
      <c r="T1327" s="60">
        <f t="shared" si="782"/>
        <v>0</v>
      </c>
      <c r="U1327" s="60">
        <f t="shared" si="782"/>
        <v>0</v>
      </c>
      <c r="V1327" s="60">
        <f t="shared" si="782"/>
        <v>0</v>
      </c>
      <c r="W1327" s="60">
        <f t="shared" si="782"/>
        <v>0</v>
      </c>
      <c r="X1327" s="60">
        <f t="shared" si="782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3">IF(ISBLANK(B848),"",B848)</f>
        <v/>
      </c>
      <c r="C1331" s="58" t="str">
        <f t="shared" si="783"/>
        <v/>
      </c>
      <c r="D1331" s="58" t="str">
        <f t="shared" si="783"/>
        <v/>
      </c>
      <c r="E1331" s="58" t="str">
        <f t="shared" si="783"/>
        <v/>
      </c>
      <c r="F1331" s="58"/>
      <c r="G1331" s="58"/>
      <c r="H1331" s="58"/>
      <c r="I1331" s="58"/>
      <c r="J1331" s="58"/>
      <c r="K1331" s="59">
        <f t="shared" ref="K1331:X1331" si="784">IF(AND($D1331="tak",$E1331="prace rozwojowe",Modul_badawczo_rozwojowy=tak),ROUND(K848*K553,0),0)</f>
        <v>0</v>
      </c>
      <c r="L1331" s="59">
        <f t="shared" si="784"/>
        <v>0</v>
      </c>
      <c r="M1331" s="59">
        <f t="shared" si="784"/>
        <v>0</v>
      </c>
      <c r="N1331" s="59">
        <f t="shared" si="784"/>
        <v>0</v>
      </c>
      <c r="O1331" s="59">
        <f t="shared" si="784"/>
        <v>0</v>
      </c>
      <c r="P1331" s="59">
        <f t="shared" si="784"/>
        <v>0</v>
      </c>
      <c r="Q1331" s="59">
        <f t="shared" si="784"/>
        <v>0</v>
      </c>
      <c r="R1331" s="59">
        <f t="shared" si="784"/>
        <v>0</v>
      </c>
      <c r="S1331" s="59">
        <f t="shared" si="784"/>
        <v>0</v>
      </c>
      <c r="T1331" s="59">
        <f t="shared" si="784"/>
        <v>0</v>
      </c>
      <c r="U1331" s="59">
        <f t="shared" si="784"/>
        <v>0</v>
      </c>
      <c r="V1331" s="59">
        <f t="shared" si="784"/>
        <v>0</v>
      </c>
      <c r="W1331" s="59">
        <f t="shared" si="784"/>
        <v>0</v>
      </c>
      <c r="X1331" s="59">
        <f t="shared" si="784"/>
        <v>0</v>
      </c>
    </row>
    <row r="1332" spans="2:24" hidden="1">
      <c r="B1332" s="58" t="str">
        <f t="shared" si="783"/>
        <v/>
      </c>
      <c r="C1332" s="58" t="str">
        <f t="shared" si="783"/>
        <v/>
      </c>
      <c r="D1332" s="58" t="str">
        <f t="shared" si="783"/>
        <v/>
      </c>
      <c r="E1332" s="58" t="str">
        <f t="shared" si="783"/>
        <v/>
      </c>
      <c r="F1332" s="58"/>
      <c r="G1332" s="58"/>
      <c r="H1332" s="58"/>
      <c r="I1332" s="58"/>
      <c r="J1332" s="58"/>
      <c r="K1332" s="59">
        <f t="shared" ref="K1332:X1332" si="785">IF(AND($D1332="tak",$E1332="prace rozwojowe",Modul_badawczo_rozwojowy=tak),ROUND(K849*K554,0),0)</f>
        <v>0</v>
      </c>
      <c r="L1332" s="59">
        <f t="shared" si="785"/>
        <v>0</v>
      </c>
      <c r="M1332" s="59">
        <f t="shared" si="785"/>
        <v>0</v>
      </c>
      <c r="N1332" s="59">
        <f t="shared" si="785"/>
        <v>0</v>
      </c>
      <c r="O1332" s="59">
        <f t="shared" si="785"/>
        <v>0</v>
      </c>
      <c r="P1332" s="59">
        <f t="shared" si="785"/>
        <v>0</v>
      </c>
      <c r="Q1332" s="59">
        <f t="shared" si="785"/>
        <v>0</v>
      </c>
      <c r="R1332" s="59">
        <f t="shared" si="785"/>
        <v>0</v>
      </c>
      <c r="S1332" s="59">
        <f t="shared" si="785"/>
        <v>0</v>
      </c>
      <c r="T1332" s="59">
        <f t="shared" si="785"/>
        <v>0</v>
      </c>
      <c r="U1332" s="59">
        <f t="shared" si="785"/>
        <v>0</v>
      </c>
      <c r="V1332" s="59">
        <f t="shared" si="785"/>
        <v>0</v>
      </c>
      <c r="W1332" s="59">
        <f t="shared" si="785"/>
        <v>0</v>
      </c>
      <c r="X1332" s="59">
        <f t="shared" si="785"/>
        <v>0</v>
      </c>
    </row>
    <row r="1333" spans="2:24" hidden="1">
      <c r="B1333" s="58" t="str">
        <f t="shared" si="783"/>
        <v/>
      </c>
      <c r="C1333" s="58" t="str">
        <f t="shared" si="783"/>
        <v/>
      </c>
      <c r="D1333" s="58" t="str">
        <f t="shared" si="783"/>
        <v/>
      </c>
      <c r="E1333" s="58" t="str">
        <f t="shared" si="783"/>
        <v/>
      </c>
      <c r="F1333" s="58"/>
      <c r="G1333" s="58"/>
      <c r="H1333" s="58"/>
      <c r="I1333" s="58"/>
      <c r="J1333" s="58"/>
      <c r="K1333" s="59">
        <f t="shared" ref="K1333:X1333" si="786">IF(AND($D1333="tak",$E1333="prace rozwojowe",Modul_badawczo_rozwojowy=tak),ROUND(K850*K555,0),0)</f>
        <v>0</v>
      </c>
      <c r="L1333" s="59">
        <f t="shared" si="786"/>
        <v>0</v>
      </c>
      <c r="M1333" s="59">
        <f t="shared" si="786"/>
        <v>0</v>
      </c>
      <c r="N1333" s="59">
        <f t="shared" si="786"/>
        <v>0</v>
      </c>
      <c r="O1333" s="59">
        <f t="shared" si="786"/>
        <v>0</v>
      </c>
      <c r="P1333" s="59">
        <f t="shared" si="786"/>
        <v>0</v>
      </c>
      <c r="Q1333" s="59">
        <f t="shared" si="786"/>
        <v>0</v>
      </c>
      <c r="R1333" s="59">
        <f t="shared" si="786"/>
        <v>0</v>
      </c>
      <c r="S1333" s="59">
        <f t="shared" si="786"/>
        <v>0</v>
      </c>
      <c r="T1333" s="59">
        <f t="shared" si="786"/>
        <v>0</v>
      </c>
      <c r="U1333" s="59">
        <f t="shared" si="786"/>
        <v>0</v>
      </c>
      <c r="V1333" s="59">
        <f t="shared" si="786"/>
        <v>0</v>
      </c>
      <c r="W1333" s="59">
        <f t="shared" si="786"/>
        <v>0</v>
      </c>
      <c r="X1333" s="59">
        <f t="shared" si="786"/>
        <v>0</v>
      </c>
    </row>
    <row r="1334" spans="2:24" hidden="1">
      <c r="B1334" s="58" t="str">
        <f t="shared" si="783"/>
        <v/>
      </c>
      <c r="C1334" s="58" t="str">
        <f t="shared" si="783"/>
        <v/>
      </c>
      <c r="D1334" s="58" t="str">
        <f t="shared" si="783"/>
        <v/>
      </c>
      <c r="E1334" s="58" t="str">
        <f t="shared" si="783"/>
        <v/>
      </c>
      <c r="F1334" s="58"/>
      <c r="G1334" s="58"/>
      <c r="H1334" s="58"/>
      <c r="I1334" s="58"/>
      <c r="J1334" s="58"/>
      <c r="K1334" s="59">
        <f t="shared" ref="K1334:X1334" si="787">IF(AND($D1334="tak",$E1334="prace rozwojowe",Modul_badawczo_rozwojowy=tak),ROUND(K851*K556,0),0)</f>
        <v>0</v>
      </c>
      <c r="L1334" s="59">
        <f t="shared" si="787"/>
        <v>0</v>
      </c>
      <c r="M1334" s="59">
        <f t="shared" si="787"/>
        <v>0</v>
      </c>
      <c r="N1334" s="59">
        <f t="shared" si="787"/>
        <v>0</v>
      </c>
      <c r="O1334" s="59">
        <f t="shared" si="787"/>
        <v>0</v>
      </c>
      <c r="P1334" s="59">
        <f t="shared" si="787"/>
        <v>0</v>
      </c>
      <c r="Q1334" s="59">
        <f t="shared" si="787"/>
        <v>0</v>
      </c>
      <c r="R1334" s="59">
        <f t="shared" si="787"/>
        <v>0</v>
      </c>
      <c r="S1334" s="59">
        <f t="shared" si="787"/>
        <v>0</v>
      </c>
      <c r="T1334" s="59">
        <f t="shared" si="787"/>
        <v>0</v>
      </c>
      <c r="U1334" s="59">
        <f t="shared" si="787"/>
        <v>0</v>
      </c>
      <c r="V1334" s="59">
        <f t="shared" si="787"/>
        <v>0</v>
      </c>
      <c r="W1334" s="59">
        <f t="shared" si="787"/>
        <v>0</v>
      </c>
      <c r="X1334" s="59">
        <f t="shared" si="787"/>
        <v>0</v>
      </c>
    </row>
    <row r="1335" spans="2:24" hidden="1">
      <c r="B1335" s="58" t="str">
        <f t="shared" si="783"/>
        <v/>
      </c>
      <c r="C1335" s="58" t="str">
        <f t="shared" si="783"/>
        <v/>
      </c>
      <c r="D1335" s="58" t="str">
        <f t="shared" si="783"/>
        <v/>
      </c>
      <c r="E1335" s="58" t="str">
        <f t="shared" si="783"/>
        <v/>
      </c>
      <c r="F1335" s="58"/>
      <c r="G1335" s="58"/>
      <c r="H1335" s="58"/>
      <c r="I1335" s="58"/>
      <c r="J1335" s="58"/>
      <c r="K1335" s="59">
        <f t="shared" ref="K1335:X1335" si="788">IF(AND($D1335="tak",$E1335="prace rozwojowe",Modul_badawczo_rozwojowy=tak),ROUND(K852*K557,0),0)</f>
        <v>0</v>
      </c>
      <c r="L1335" s="59">
        <f t="shared" si="788"/>
        <v>0</v>
      </c>
      <c r="M1335" s="59">
        <f t="shared" si="788"/>
        <v>0</v>
      </c>
      <c r="N1335" s="59">
        <f t="shared" si="788"/>
        <v>0</v>
      </c>
      <c r="O1335" s="59">
        <f t="shared" si="788"/>
        <v>0</v>
      </c>
      <c r="P1335" s="59">
        <f t="shared" si="788"/>
        <v>0</v>
      </c>
      <c r="Q1335" s="59">
        <f t="shared" si="788"/>
        <v>0</v>
      </c>
      <c r="R1335" s="59">
        <f t="shared" si="788"/>
        <v>0</v>
      </c>
      <c r="S1335" s="59">
        <f t="shared" si="788"/>
        <v>0</v>
      </c>
      <c r="T1335" s="59">
        <f t="shared" si="788"/>
        <v>0</v>
      </c>
      <c r="U1335" s="59">
        <f t="shared" si="788"/>
        <v>0</v>
      </c>
      <c r="V1335" s="59">
        <f t="shared" si="788"/>
        <v>0</v>
      </c>
      <c r="W1335" s="59">
        <f t="shared" si="788"/>
        <v>0</v>
      </c>
      <c r="X1335" s="59">
        <f t="shared" si="788"/>
        <v>0</v>
      </c>
    </row>
    <row r="1336" spans="2:24" hidden="1">
      <c r="B1336" s="58" t="str">
        <f t="shared" si="783"/>
        <v/>
      </c>
      <c r="C1336" s="58" t="str">
        <f t="shared" si="783"/>
        <v/>
      </c>
      <c r="D1336" s="58" t="str">
        <f t="shared" si="783"/>
        <v/>
      </c>
      <c r="E1336" s="58" t="str">
        <f t="shared" si="783"/>
        <v/>
      </c>
      <c r="F1336" s="58"/>
      <c r="G1336" s="58"/>
      <c r="H1336" s="58"/>
      <c r="I1336" s="58"/>
      <c r="J1336" s="58"/>
      <c r="K1336" s="59">
        <f t="shared" ref="K1336:X1336" si="789">IF(AND($D1336="tak",$E1336="prace rozwojowe",Modul_badawczo_rozwojowy=tak),ROUND(K853*K558,0),0)</f>
        <v>0</v>
      </c>
      <c r="L1336" s="59">
        <f t="shared" si="789"/>
        <v>0</v>
      </c>
      <c r="M1336" s="59">
        <f t="shared" si="789"/>
        <v>0</v>
      </c>
      <c r="N1336" s="59">
        <f t="shared" si="789"/>
        <v>0</v>
      </c>
      <c r="O1336" s="59">
        <f t="shared" si="789"/>
        <v>0</v>
      </c>
      <c r="P1336" s="59">
        <f t="shared" si="789"/>
        <v>0</v>
      </c>
      <c r="Q1336" s="59">
        <f t="shared" si="789"/>
        <v>0</v>
      </c>
      <c r="R1336" s="59">
        <f t="shared" si="789"/>
        <v>0</v>
      </c>
      <c r="S1336" s="59">
        <f t="shared" si="789"/>
        <v>0</v>
      </c>
      <c r="T1336" s="59">
        <f t="shared" si="789"/>
        <v>0</v>
      </c>
      <c r="U1336" s="59">
        <f t="shared" si="789"/>
        <v>0</v>
      </c>
      <c r="V1336" s="59">
        <f t="shared" si="789"/>
        <v>0</v>
      </c>
      <c r="W1336" s="59">
        <f t="shared" si="789"/>
        <v>0</v>
      </c>
      <c r="X1336" s="59">
        <f t="shared" si="789"/>
        <v>0</v>
      </c>
    </row>
    <row r="1337" spans="2:24" hidden="1">
      <c r="B1337" s="58" t="str">
        <f t="shared" si="783"/>
        <v/>
      </c>
      <c r="C1337" s="58" t="str">
        <f t="shared" si="783"/>
        <v/>
      </c>
      <c r="D1337" s="58" t="str">
        <f t="shared" si="783"/>
        <v/>
      </c>
      <c r="E1337" s="58" t="str">
        <f t="shared" si="783"/>
        <v/>
      </c>
      <c r="F1337" s="58"/>
      <c r="G1337" s="58"/>
      <c r="H1337" s="58"/>
      <c r="I1337" s="58"/>
      <c r="J1337" s="58"/>
      <c r="K1337" s="59">
        <f t="shared" ref="K1337:X1337" si="790">IF(AND($D1337="tak",$E1337="prace rozwojowe",Modul_badawczo_rozwojowy=tak),ROUND(K854*K559,0),0)</f>
        <v>0</v>
      </c>
      <c r="L1337" s="59">
        <f t="shared" si="790"/>
        <v>0</v>
      </c>
      <c r="M1337" s="59">
        <f t="shared" si="790"/>
        <v>0</v>
      </c>
      <c r="N1337" s="59">
        <f t="shared" si="790"/>
        <v>0</v>
      </c>
      <c r="O1337" s="59">
        <f t="shared" si="790"/>
        <v>0</v>
      </c>
      <c r="P1337" s="59">
        <f t="shared" si="790"/>
        <v>0</v>
      </c>
      <c r="Q1337" s="59">
        <f t="shared" si="790"/>
        <v>0</v>
      </c>
      <c r="R1337" s="59">
        <f t="shared" si="790"/>
        <v>0</v>
      </c>
      <c r="S1337" s="59">
        <f t="shared" si="790"/>
        <v>0</v>
      </c>
      <c r="T1337" s="59">
        <f t="shared" si="790"/>
        <v>0</v>
      </c>
      <c r="U1337" s="59">
        <f t="shared" si="790"/>
        <v>0</v>
      </c>
      <c r="V1337" s="59">
        <f t="shared" si="790"/>
        <v>0</v>
      </c>
      <c r="W1337" s="59">
        <f t="shared" si="790"/>
        <v>0</v>
      </c>
      <c r="X1337" s="59">
        <f t="shared" si="790"/>
        <v>0</v>
      </c>
    </row>
    <row r="1338" spans="2:24" hidden="1">
      <c r="B1338" s="58" t="str">
        <f t="shared" si="783"/>
        <v/>
      </c>
      <c r="C1338" s="58" t="str">
        <f t="shared" si="783"/>
        <v/>
      </c>
      <c r="D1338" s="58" t="str">
        <f t="shared" si="783"/>
        <v/>
      </c>
      <c r="E1338" s="58" t="str">
        <f t="shared" si="783"/>
        <v/>
      </c>
      <c r="F1338" s="58"/>
      <c r="G1338" s="58"/>
      <c r="H1338" s="58"/>
      <c r="I1338" s="58"/>
      <c r="J1338" s="58"/>
      <c r="K1338" s="59">
        <f t="shared" ref="K1338:X1338" si="791">IF(AND($D1338="tak",$E1338="prace rozwojowe",Modul_badawczo_rozwojowy=tak),ROUND(K855*K560,0),0)</f>
        <v>0</v>
      </c>
      <c r="L1338" s="59">
        <f t="shared" si="791"/>
        <v>0</v>
      </c>
      <c r="M1338" s="59">
        <f t="shared" si="791"/>
        <v>0</v>
      </c>
      <c r="N1338" s="59">
        <f t="shared" si="791"/>
        <v>0</v>
      </c>
      <c r="O1338" s="59">
        <f t="shared" si="791"/>
        <v>0</v>
      </c>
      <c r="P1338" s="59">
        <f t="shared" si="791"/>
        <v>0</v>
      </c>
      <c r="Q1338" s="59">
        <f t="shared" si="791"/>
        <v>0</v>
      </c>
      <c r="R1338" s="59">
        <f t="shared" si="791"/>
        <v>0</v>
      </c>
      <c r="S1338" s="59">
        <f t="shared" si="791"/>
        <v>0</v>
      </c>
      <c r="T1338" s="59">
        <f t="shared" si="791"/>
        <v>0</v>
      </c>
      <c r="U1338" s="59">
        <f t="shared" si="791"/>
        <v>0</v>
      </c>
      <c r="V1338" s="59">
        <f t="shared" si="791"/>
        <v>0</v>
      </c>
      <c r="W1338" s="59">
        <f t="shared" si="791"/>
        <v>0</v>
      </c>
      <c r="X1338" s="59">
        <f t="shared" si="791"/>
        <v>0</v>
      </c>
    </row>
    <row r="1339" spans="2:24" hidden="1">
      <c r="B1339" s="58" t="str">
        <f t="shared" si="783"/>
        <v/>
      </c>
      <c r="C1339" s="58" t="str">
        <f t="shared" si="783"/>
        <v/>
      </c>
      <c r="D1339" s="58" t="str">
        <f t="shared" si="783"/>
        <v/>
      </c>
      <c r="E1339" s="58" t="str">
        <f t="shared" si="783"/>
        <v/>
      </c>
      <c r="F1339" s="58"/>
      <c r="G1339" s="58"/>
      <c r="H1339" s="58"/>
      <c r="I1339" s="58"/>
      <c r="J1339" s="58"/>
      <c r="K1339" s="59">
        <f t="shared" ref="K1339:X1339" si="792">IF(AND($D1339="tak",$E1339="prace rozwojowe",Modul_badawczo_rozwojowy=tak),ROUND(K856*K561,0),0)</f>
        <v>0</v>
      </c>
      <c r="L1339" s="59">
        <f t="shared" si="792"/>
        <v>0</v>
      </c>
      <c r="M1339" s="59">
        <f t="shared" si="792"/>
        <v>0</v>
      </c>
      <c r="N1339" s="59">
        <f t="shared" si="792"/>
        <v>0</v>
      </c>
      <c r="O1339" s="59">
        <f t="shared" si="792"/>
        <v>0</v>
      </c>
      <c r="P1339" s="59">
        <f t="shared" si="792"/>
        <v>0</v>
      </c>
      <c r="Q1339" s="59">
        <f t="shared" si="792"/>
        <v>0</v>
      </c>
      <c r="R1339" s="59">
        <f t="shared" si="792"/>
        <v>0</v>
      </c>
      <c r="S1339" s="59">
        <f t="shared" si="792"/>
        <v>0</v>
      </c>
      <c r="T1339" s="59">
        <f t="shared" si="792"/>
        <v>0</v>
      </c>
      <c r="U1339" s="59">
        <f t="shared" si="792"/>
        <v>0</v>
      </c>
      <c r="V1339" s="59">
        <f t="shared" si="792"/>
        <v>0</v>
      </c>
      <c r="W1339" s="59">
        <f t="shared" si="792"/>
        <v>0</v>
      </c>
      <c r="X1339" s="59">
        <f t="shared" si="792"/>
        <v>0</v>
      </c>
    </row>
    <row r="1340" spans="2:24" hidden="1">
      <c r="B1340" s="58" t="str">
        <f t="shared" si="783"/>
        <v/>
      </c>
      <c r="C1340" s="58" t="str">
        <f t="shared" si="783"/>
        <v/>
      </c>
      <c r="D1340" s="58" t="str">
        <f t="shared" si="783"/>
        <v/>
      </c>
      <c r="E1340" s="58" t="str">
        <f t="shared" si="783"/>
        <v/>
      </c>
      <c r="F1340" s="58"/>
      <c r="G1340" s="58"/>
      <c r="H1340" s="58"/>
      <c r="I1340" s="58"/>
      <c r="J1340" s="58"/>
      <c r="K1340" s="59">
        <f t="shared" ref="K1340:X1340" si="793">IF(AND($D1340="tak",$E1340="prace rozwojowe",Modul_badawczo_rozwojowy=tak),ROUND(K857*K562,0),0)</f>
        <v>0</v>
      </c>
      <c r="L1340" s="59">
        <f t="shared" si="793"/>
        <v>0</v>
      </c>
      <c r="M1340" s="59">
        <f t="shared" si="793"/>
        <v>0</v>
      </c>
      <c r="N1340" s="59">
        <f t="shared" si="793"/>
        <v>0</v>
      </c>
      <c r="O1340" s="59">
        <f t="shared" si="793"/>
        <v>0</v>
      </c>
      <c r="P1340" s="59">
        <f t="shared" si="793"/>
        <v>0</v>
      </c>
      <c r="Q1340" s="59">
        <f t="shared" si="793"/>
        <v>0</v>
      </c>
      <c r="R1340" s="59">
        <f t="shared" si="793"/>
        <v>0</v>
      </c>
      <c r="S1340" s="59">
        <f t="shared" si="793"/>
        <v>0</v>
      </c>
      <c r="T1340" s="59">
        <f t="shared" si="793"/>
        <v>0</v>
      </c>
      <c r="U1340" s="59">
        <f t="shared" si="793"/>
        <v>0</v>
      </c>
      <c r="V1340" s="59">
        <f t="shared" si="793"/>
        <v>0</v>
      </c>
      <c r="W1340" s="59">
        <f t="shared" si="793"/>
        <v>0</v>
      </c>
      <c r="X1340" s="59">
        <f t="shared" si="793"/>
        <v>0</v>
      </c>
    </row>
    <row r="1341" spans="2:24" hidden="1">
      <c r="B1341" s="58" t="str">
        <f t="shared" si="783"/>
        <v/>
      </c>
      <c r="C1341" s="58" t="str">
        <f t="shared" si="783"/>
        <v/>
      </c>
      <c r="D1341" s="58" t="str">
        <f t="shared" si="783"/>
        <v/>
      </c>
      <c r="E1341" s="58" t="str">
        <f t="shared" si="783"/>
        <v/>
      </c>
      <c r="F1341" s="58"/>
      <c r="G1341" s="58"/>
      <c r="H1341" s="58"/>
      <c r="I1341" s="58"/>
      <c r="J1341" s="58"/>
      <c r="K1341" s="59">
        <f t="shared" ref="K1341:X1341" si="794">IF(AND($D1341="tak",$E1341="prace rozwojowe",Modul_badawczo_rozwojowy=tak),ROUND(K858*K563,0),0)</f>
        <v>0</v>
      </c>
      <c r="L1341" s="59">
        <f t="shared" si="794"/>
        <v>0</v>
      </c>
      <c r="M1341" s="59">
        <f t="shared" si="794"/>
        <v>0</v>
      </c>
      <c r="N1341" s="59">
        <f t="shared" si="794"/>
        <v>0</v>
      </c>
      <c r="O1341" s="59">
        <f t="shared" si="794"/>
        <v>0</v>
      </c>
      <c r="P1341" s="59">
        <f t="shared" si="794"/>
        <v>0</v>
      </c>
      <c r="Q1341" s="59">
        <f t="shared" si="794"/>
        <v>0</v>
      </c>
      <c r="R1341" s="59">
        <f t="shared" si="794"/>
        <v>0</v>
      </c>
      <c r="S1341" s="59">
        <f t="shared" si="794"/>
        <v>0</v>
      </c>
      <c r="T1341" s="59">
        <f t="shared" si="794"/>
        <v>0</v>
      </c>
      <c r="U1341" s="59">
        <f t="shared" si="794"/>
        <v>0</v>
      </c>
      <c r="V1341" s="59">
        <f t="shared" si="794"/>
        <v>0</v>
      </c>
      <c r="W1341" s="59">
        <f t="shared" si="794"/>
        <v>0</v>
      </c>
      <c r="X1341" s="59">
        <f t="shared" si="794"/>
        <v>0</v>
      </c>
    </row>
    <row r="1342" spans="2:24" hidden="1">
      <c r="B1342" s="58" t="str">
        <f t="shared" si="783"/>
        <v/>
      </c>
      <c r="C1342" s="58" t="str">
        <f t="shared" si="783"/>
        <v/>
      </c>
      <c r="D1342" s="58" t="str">
        <f t="shared" si="783"/>
        <v/>
      </c>
      <c r="E1342" s="58" t="str">
        <f t="shared" si="783"/>
        <v/>
      </c>
      <c r="F1342" s="58"/>
      <c r="G1342" s="58"/>
      <c r="H1342" s="58"/>
      <c r="I1342" s="58"/>
      <c r="J1342" s="58"/>
      <c r="K1342" s="59">
        <f t="shared" ref="K1342:X1342" si="795">IF(AND($D1342="tak",$E1342="prace rozwojowe",Modul_badawczo_rozwojowy=tak),ROUND(K859*K564,0),0)</f>
        <v>0</v>
      </c>
      <c r="L1342" s="59">
        <f t="shared" si="795"/>
        <v>0</v>
      </c>
      <c r="M1342" s="59">
        <f t="shared" si="795"/>
        <v>0</v>
      </c>
      <c r="N1342" s="59">
        <f t="shared" si="795"/>
        <v>0</v>
      </c>
      <c r="O1342" s="59">
        <f t="shared" si="795"/>
        <v>0</v>
      </c>
      <c r="P1342" s="59">
        <f t="shared" si="795"/>
        <v>0</v>
      </c>
      <c r="Q1342" s="59">
        <f t="shared" si="795"/>
        <v>0</v>
      </c>
      <c r="R1342" s="59">
        <f t="shared" si="795"/>
        <v>0</v>
      </c>
      <c r="S1342" s="59">
        <f t="shared" si="795"/>
        <v>0</v>
      </c>
      <c r="T1342" s="59">
        <f t="shared" si="795"/>
        <v>0</v>
      </c>
      <c r="U1342" s="59">
        <f t="shared" si="795"/>
        <v>0</v>
      </c>
      <c r="V1342" s="59">
        <f t="shared" si="795"/>
        <v>0</v>
      </c>
      <c r="W1342" s="59">
        <f t="shared" si="795"/>
        <v>0</v>
      </c>
      <c r="X1342" s="59">
        <f t="shared" si="795"/>
        <v>0</v>
      </c>
    </row>
    <row r="1343" spans="2:24" hidden="1">
      <c r="B1343" s="58" t="str">
        <f t="shared" si="783"/>
        <v/>
      </c>
      <c r="C1343" s="58" t="str">
        <f t="shared" si="783"/>
        <v/>
      </c>
      <c r="D1343" s="58" t="str">
        <f t="shared" si="783"/>
        <v/>
      </c>
      <c r="E1343" s="58" t="str">
        <f t="shared" si="783"/>
        <v/>
      </c>
      <c r="F1343" s="58"/>
      <c r="G1343" s="58"/>
      <c r="H1343" s="58"/>
      <c r="I1343" s="58"/>
      <c r="J1343" s="58"/>
      <c r="K1343" s="59">
        <f t="shared" ref="K1343:X1343" si="796">IF(AND($D1343="tak",$E1343="prace rozwojowe",Modul_badawczo_rozwojowy=tak),ROUND(K860*K565,0),0)</f>
        <v>0</v>
      </c>
      <c r="L1343" s="59">
        <f t="shared" si="796"/>
        <v>0</v>
      </c>
      <c r="M1343" s="59">
        <f t="shared" si="796"/>
        <v>0</v>
      </c>
      <c r="N1343" s="59">
        <f t="shared" si="796"/>
        <v>0</v>
      </c>
      <c r="O1343" s="59">
        <f t="shared" si="796"/>
        <v>0</v>
      </c>
      <c r="P1343" s="59">
        <f t="shared" si="796"/>
        <v>0</v>
      </c>
      <c r="Q1343" s="59">
        <f t="shared" si="796"/>
        <v>0</v>
      </c>
      <c r="R1343" s="59">
        <f t="shared" si="796"/>
        <v>0</v>
      </c>
      <c r="S1343" s="59">
        <f t="shared" si="796"/>
        <v>0</v>
      </c>
      <c r="T1343" s="59">
        <f t="shared" si="796"/>
        <v>0</v>
      </c>
      <c r="U1343" s="59">
        <f t="shared" si="796"/>
        <v>0</v>
      </c>
      <c r="V1343" s="59">
        <f t="shared" si="796"/>
        <v>0</v>
      </c>
      <c r="W1343" s="59">
        <f t="shared" si="796"/>
        <v>0</v>
      </c>
      <c r="X1343" s="59">
        <f t="shared" si="796"/>
        <v>0</v>
      </c>
    </row>
    <row r="1344" spans="2:24" hidden="1">
      <c r="B1344" s="58" t="str">
        <f t="shared" si="783"/>
        <v/>
      </c>
      <c r="C1344" s="58" t="str">
        <f t="shared" si="783"/>
        <v/>
      </c>
      <c r="D1344" s="58" t="str">
        <f t="shared" si="783"/>
        <v/>
      </c>
      <c r="E1344" s="58" t="str">
        <f t="shared" si="783"/>
        <v/>
      </c>
      <c r="F1344" s="58"/>
      <c r="G1344" s="58"/>
      <c r="H1344" s="58"/>
      <c r="I1344" s="58"/>
      <c r="J1344" s="58"/>
      <c r="K1344" s="59">
        <f t="shared" ref="K1344:X1344" si="797">IF(AND($D1344="tak",$E1344="prace rozwojowe",Modul_badawczo_rozwojowy=tak),ROUND(K861*K566,0),0)</f>
        <v>0</v>
      </c>
      <c r="L1344" s="59">
        <f t="shared" si="797"/>
        <v>0</v>
      </c>
      <c r="M1344" s="59">
        <f t="shared" si="797"/>
        <v>0</v>
      </c>
      <c r="N1344" s="59">
        <f t="shared" si="797"/>
        <v>0</v>
      </c>
      <c r="O1344" s="59">
        <f t="shared" si="797"/>
        <v>0</v>
      </c>
      <c r="P1344" s="59">
        <f t="shared" si="797"/>
        <v>0</v>
      </c>
      <c r="Q1344" s="59">
        <f t="shared" si="797"/>
        <v>0</v>
      </c>
      <c r="R1344" s="59">
        <f t="shared" si="797"/>
        <v>0</v>
      </c>
      <c r="S1344" s="59">
        <f t="shared" si="797"/>
        <v>0</v>
      </c>
      <c r="T1344" s="59">
        <f t="shared" si="797"/>
        <v>0</v>
      </c>
      <c r="U1344" s="59">
        <f t="shared" si="797"/>
        <v>0</v>
      </c>
      <c r="V1344" s="59">
        <f t="shared" si="797"/>
        <v>0</v>
      </c>
      <c r="W1344" s="59">
        <f t="shared" si="797"/>
        <v>0</v>
      </c>
      <c r="X1344" s="59">
        <f t="shared" si="797"/>
        <v>0</v>
      </c>
    </row>
    <row r="1345" spans="2:24" hidden="1">
      <c r="B1345" s="58" t="str">
        <f t="shared" si="783"/>
        <v/>
      </c>
      <c r="C1345" s="58" t="str">
        <f t="shared" si="783"/>
        <v/>
      </c>
      <c r="D1345" s="58" t="str">
        <f t="shared" si="783"/>
        <v/>
      </c>
      <c r="E1345" s="58" t="str">
        <f t="shared" si="783"/>
        <v/>
      </c>
      <c r="F1345" s="58"/>
      <c r="G1345" s="58"/>
      <c r="H1345" s="58"/>
      <c r="I1345" s="58"/>
      <c r="J1345" s="58"/>
      <c r="K1345" s="59">
        <f t="shared" ref="K1345:X1345" si="798">IF(AND($D1345="tak",$E1345="prace rozwojowe",Modul_badawczo_rozwojowy=tak),ROUND(K862*K567,0),0)</f>
        <v>0</v>
      </c>
      <c r="L1345" s="59">
        <f t="shared" si="798"/>
        <v>0</v>
      </c>
      <c r="M1345" s="59">
        <f t="shared" si="798"/>
        <v>0</v>
      </c>
      <c r="N1345" s="59">
        <f t="shared" si="798"/>
        <v>0</v>
      </c>
      <c r="O1345" s="59">
        <f t="shared" si="798"/>
        <v>0</v>
      </c>
      <c r="P1345" s="59">
        <f t="shared" si="798"/>
        <v>0</v>
      </c>
      <c r="Q1345" s="59">
        <f t="shared" si="798"/>
        <v>0</v>
      </c>
      <c r="R1345" s="59">
        <f t="shared" si="798"/>
        <v>0</v>
      </c>
      <c r="S1345" s="59">
        <f t="shared" si="798"/>
        <v>0</v>
      </c>
      <c r="T1345" s="59">
        <f t="shared" si="798"/>
        <v>0</v>
      </c>
      <c r="U1345" s="59">
        <f t="shared" si="798"/>
        <v>0</v>
      </c>
      <c r="V1345" s="59">
        <f t="shared" si="798"/>
        <v>0</v>
      </c>
      <c r="W1345" s="59">
        <f t="shared" si="798"/>
        <v>0</v>
      </c>
      <c r="X1345" s="59">
        <f t="shared" si="798"/>
        <v>0</v>
      </c>
    </row>
    <row r="1346" spans="2:24" hidden="1">
      <c r="B1346" s="58" t="str">
        <f t="shared" si="783"/>
        <v/>
      </c>
      <c r="C1346" s="58" t="str">
        <f t="shared" si="783"/>
        <v/>
      </c>
      <c r="D1346" s="58" t="str">
        <f t="shared" si="783"/>
        <v/>
      </c>
      <c r="E1346" s="58" t="str">
        <f t="shared" si="783"/>
        <v/>
      </c>
      <c r="F1346" s="58"/>
      <c r="G1346" s="58"/>
      <c r="H1346" s="58"/>
      <c r="I1346" s="58"/>
      <c r="J1346" s="58"/>
      <c r="K1346" s="59">
        <f t="shared" ref="K1346:X1346" si="799">IF(AND($D1346="tak",$E1346="prace rozwojowe",Modul_badawczo_rozwojowy=tak),ROUND(K863*K568,0),0)</f>
        <v>0</v>
      </c>
      <c r="L1346" s="59">
        <f t="shared" si="799"/>
        <v>0</v>
      </c>
      <c r="M1346" s="59">
        <f t="shared" si="799"/>
        <v>0</v>
      </c>
      <c r="N1346" s="59">
        <f t="shared" si="799"/>
        <v>0</v>
      </c>
      <c r="O1346" s="59">
        <f t="shared" si="799"/>
        <v>0</v>
      </c>
      <c r="P1346" s="59">
        <f t="shared" si="799"/>
        <v>0</v>
      </c>
      <c r="Q1346" s="59">
        <f t="shared" si="799"/>
        <v>0</v>
      </c>
      <c r="R1346" s="59">
        <f t="shared" si="799"/>
        <v>0</v>
      </c>
      <c r="S1346" s="59">
        <f t="shared" si="799"/>
        <v>0</v>
      </c>
      <c r="T1346" s="59">
        <f t="shared" si="799"/>
        <v>0</v>
      </c>
      <c r="U1346" s="59">
        <f t="shared" si="799"/>
        <v>0</v>
      </c>
      <c r="V1346" s="59">
        <f t="shared" si="799"/>
        <v>0</v>
      </c>
      <c r="W1346" s="59">
        <f t="shared" si="799"/>
        <v>0</v>
      </c>
      <c r="X1346" s="59">
        <f t="shared" si="799"/>
        <v>0</v>
      </c>
    </row>
    <row r="1347" spans="2:24" hidden="1">
      <c r="B1347" s="58" t="str">
        <f t="shared" si="783"/>
        <v/>
      </c>
      <c r="C1347" s="58" t="str">
        <f t="shared" si="783"/>
        <v/>
      </c>
      <c r="D1347" s="58" t="str">
        <f t="shared" si="783"/>
        <v/>
      </c>
      <c r="E1347" s="58" t="str">
        <f t="shared" si="783"/>
        <v/>
      </c>
      <c r="F1347" s="58"/>
      <c r="G1347" s="58"/>
      <c r="H1347" s="58"/>
      <c r="I1347" s="58"/>
      <c r="J1347" s="58"/>
      <c r="K1347" s="59">
        <f t="shared" ref="K1347:X1347" si="800">IF(AND($D1347="tak",$E1347="prace rozwojowe",Modul_badawczo_rozwojowy=tak),ROUND(K864*K569,0),0)</f>
        <v>0</v>
      </c>
      <c r="L1347" s="59">
        <f t="shared" si="800"/>
        <v>0</v>
      </c>
      <c r="M1347" s="59">
        <f t="shared" si="800"/>
        <v>0</v>
      </c>
      <c r="N1347" s="59">
        <f t="shared" si="800"/>
        <v>0</v>
      </c>
      <c r="O1347" s="59">
        <f t="shared" si="800"/>
        <v>0</v>
      </c>
      <c r="P1347" s="59">
        <f t="shared" si="800"/>
        <v>0</v>
      </c>
      <c r="Q1347" s="59">
        <f t="shared" si="800"/>
        <v>0</v>
      </c>
      <c r="R1347" s="59">
        <f t="shared" si="800"/>
        <v>0</v>
      </c>
      <c r="S1347" s="59">
        <f t="shared" si="800"/>
        <v>0</v>
      </c>
      <c r="T1347" s="59">
        <f t="shared" si="800"/>
        <v>0</v>
      </c>
      <c r="U1347" s="59">
        <f t="shared" si="800"/>
        <v>0</v>
      </c>
      <c r="V1347" s="59">
        <f t="shared" si="800"/>
        <v>0</v>
      </c>
      <c r="W1347" s="59">
        <f t="shared" si="800"/>
        <v>0</v>
      </c>
      <c r="X1347" s="59">
        <f t="shared" si="800"/>
        <v>0</v>
      </c>
    </row>
    <row r="1348" spans="2:24" hidden="1">
      <c r="B1348" s="58" t="str">
        <f t="shared" si="783"/>
        <v/>
      </c>
      <c r="C1348" s="58" t="str">
        <f t="shared" si="783"/>
        <v/>
      </c>
      <c r="D1348" s="58" t="str">
        <f t="shared" si="783"/>
        <v/>
      </c>
      <c r="E1348" s="58" t="str">
        <f t="shared" si="783"/>
        <v/>
      </c>
      <c r="F1348" s="58"/>
      <c r="G1348" s="58"/>
      <c r="H1348" s="58"/>
      <c r="I1348" s="58"/>
      <c r="J1348" s="58"/>
      <c r="K1348" s="59">
        <f t="shared" ref="K1348:X1348" si="801">IF(AND($D1348="tak",$E1348="prace rozwojowe",Modul_badawczo_rozwojowy=tak),ROUND(K865*K570,0),0)</f>
        <v>0</v>
      </c>
      <c r="L1348" s="59">
        <f t="shared" si="801"/>
        <v>0</v>
      </c>
      <c r="M1348" s="59">
        <f t="shared" si="801"/>
        <v>0</v>
      </c>
      <c r="N1348" s="59">
        <f t="shared" si="801"/>
        <v>0</v>
      </c>
      <c r="O1348" s="59">
        <f t="shared" si="801"/>
        <v>0</v>
      </c>
      <c r="P1348" s="59">
        <f t="shared" si="801"/>
        <v>0</v>
      </c>
      <c r="Q1348" s="59">
        <f t="shared" si="801"/>
        <v>0</v>
      </c>
      <c r="R1348" s="59">
        <f t="shared" si="801"/>
        <v>0</v>
      </c>
      <c r="S1348" s="59">
        <f t="shared" si="801"/>
        <v>0</v>
      </c>
      <c r="T1348" s="59">
        <f t="shared" si="801"/>
        <v>0</v>
      </c>
      <c r="U1348" s="59">
        <f t="shared" si="801"/>
        <v>0</v>
      </c>
      <c r="V1348" s="59">
        <f t="shared" si="801"/>
        <v>0</v>
      </c>
      <c r="W1348" s="59">
        <f t="shared" si="801"/>
        <v>0</v>
      </c>
      <c r="X1348" s="59">
        <f t="shared" si="801"/>
        <v>0</v>
      </c>
    </row>
    <row r="1349" spans="2:24" hidden="1">
      <c r="B1349" s="58" t="str">
        <f t="shared" si="783"/>
        <v/>
      </c>
      <c r="C1349" s="58" t="str">
        <f t="shared" si="783"/>
        <v/>
      </c>
      <c r="D1349" s="58" t="str">
        <f t="shared" si="783"/>
        <v/>
      </c>
      <c r="E1349" s="58" t="str">
        <f t="shared" si="783"/>
        <v/>
      </c>
      <c r="F1349" s="58"/>
      <c r="G1349" s="58"/>
      <c r="H1349" s="58"/>
      <c r="I1349" s="58"/>
      <c r="J1349" s="58"/>
      <c r="K1349" s="59">
        <f t="shared" ref="K1349:X1349" si="802">IF(AND($D1349="tak",$E1349="prace rozwojowe",Modul_badawczo_rozwojowy=tak),ROUND(K866*K571,0),0)</f>
        <v>0</v>
      </c>
      <c r="L1349" s="59">
        <f t="shared" si="802"/>
        <v>0</v>
      </c>
      <c r="M1349" s="59">
        <f t="shared" si="802"/>
        <v>0</v>
      </c>
      <c r="N1349" s="59">
        <f t="shared" si="802"/>
        <v>0</v>
      </c>
      <c r="O1349" s="59">
        <f t="shared" si="802"/>
        <v>0</v>
      </c>
      <c r="P1349" s="59">
        <f t="shared" si="802"/>
        <v>0</v>
      </c>
      <c r="Q1349" s="59">
        <f t="shared" si="802"/>
        <v>0</v>
      </c>
      <c r="R1349" s="59">
        <f t="shared" si="802"/>
        <v>0</v>
      </c>
      <c r="S1349" s="59">
        <f t="shared" si="802"/>
        <v>0</v>
      </c>
      <c r="T1349" s="59">
        <f t="shared" si="802"/>
        <v>0</v>
      </c>
      <c r="U1349" s="59">
        <f t="shared" si="802"/>
        <v>0</v>
      </c>
      <c r="V1349" s="59">
        <f t="shared" si="802"/>
        <v>0</v>
      </c>
      <c r="W1349" s="59">
        <f t="shared" si="802"/>
        <v>0</v>
      </c>
      <c r="X1349" s="59">
        <f t="shared" si="802"/>
        <v>0</v>
      </c>
    </row>
    <row r="1350" spans="2:24" hidden="1">
      <c r="B1350" s="58" t="str">
        <f t="shared" si="783"/>
        <v/>
      </c>
      <c r="C1350" s="58" t="str">
        <f t="shared" si="783"/>
        <v/>
      </c>
      <c r="D1350" s="58" t="str">
        <f t="shared" si="783"/>
        <v/>
      </c>
      <c r="E1350" s="58" t="str">
        <f t="shared" si="783"/>
        <v/>
      </c>
      <c r="F1350" s="58"/>
      <c r="G1350" s="58"/>
      <c r="H1350" s="58"/>
      <c r="I1350" s="58"/>
      <c r="J1350" s="58"/>
      <c r="K1350" s="59">
        <f t="shared" ref="K1350:X1350" si="803">IF(AND($D1350="tak",$E1350="prace rozwojowe",Modul_badawczo_rozwojowy=tak),ROUND(K867*K572,0),0)</f>
        <v>0</v>
      </c>
      <c r="L1350" s="59">
        <f t="shared" si="803"/>
        <v>0</v>
      </c>
      <c r="M1350" s="59">
        <f t="shared" si="803"/>
        <v>0</v>
      </c>
      <c r="N1350" s="59">
        <f t="shared" si="803"/>
        <v>0</v>
      </c>
      <c r="O1350" s="59">
        <f t="shared" si="803"/>
        <v>0</v>
      </c>
      <c r="P1350" s="59">
        <f t="shared" si="803"/>
        <v>0</v>
      </c>
      <c r="Q1350" s="59">
        <f t="shared" si="803"/>
        <v>0</v>
      </c>
      <c r="R1350" s="59">
        <f t="shared" si="803"/>
        <v>0</v>
      </c>
      <c r="S1350" s="59">
        <f t="shared" si="803"/>
        <v>0</v>
      </c>
      <c r="T1350" s="59">
        <f t="shared" si="803"/>
        <v>0</v>
      </c>
      <c r="U1350" s="59">
        <f t="shared" si="803"/>
        <v>0</v>
      </c>
      <c r="V1350" s="59">
        <f t="shared" si="803"/>
        <v>0</v>
      </c>
      <c r="W1350" s="59">
        <f t="shared" si="803"/>
        <v>0</v>
      </c>
      <c r="X1350" s="59">
        <f t="shared" si="803"/>
        <v>0</v>
      </c>
    </row>
    <row r="1351" spans="2:24" hidden="1">
      <c r="B1351" s="58" t="str">
        <f t="shared" si="783"/>
        <v/>
      </c>
      <c r="C1351" s="58" t="str">
        <f t="shared" si="783"/>
        <v/>
      </c>
      <c r="D1351" s="58" t="str">
        <f t="shared" si="783"/>
        <v/>
      </c>
      <c r="E1351" s="58" t="str">
        <f t="shared" si="783"/>
        <v/>
      </c>
      <c r="F1351" s="58"/>
      <c r="G1351" s="58"/>
      <c r="H1351" s="58"/>
      <c r="I1351" s="58"/>
      <c r="J1351" s="58"/>
      <c r="K1351" s="59">
        <f t="shared" ref="K1351:X1351" si="804">IF(AND($D1351="tak",$E1351="prace rozwojowe",Modul_badawczo_rozwojowy=tak),ROUND(K868*K573,0),0)</f>
        <v>0</v>
      </c>
      <c r="L1351" s="59">
        <f t="shared" si="804"/>
        <v>0</v>
      </c>
      <c r="M1351" s="59">
        <f t="shared" si="804"/>
        <v>0</v>
      </c>
      <c r="N1351" s="59">
        <f t="shared" si="804"/>
        <v>0</v>
      </c>
      <c r="O1351" s="59">
        <f t="shared" si="804"/>
        <v>0</v>
      </c>
      <c r="P1351" s="59">
        <f t="shared" si="804"/>
        <v>0</v>
      </c>
      <c r="Q1351" s="59">
        <f t="shared" si="804"/>
        <v>0</v>
      </c>
      <c r="R1351" s="59">
        <f t="shared" si="804"/>
        <v>0</v>
      </c>
      <c r="S1351" s="59">
        <f t="shared" si="804"/>
        <v>0</v>
      </c>
      <c r="T1351" s="59">
        <f t="shared" si="804"/>
        <v>0</v>
      </c>
      <c r="U1351" s="59">
        <f t="shared" si="804"/>
        <v>0</v>
      </c>
      <c r="V1351" s="59">
        <f t="shared" si="804"/>
        <v>0</v>
      </c>
      <c r="W1351" s="59">
        <f t="shared" si="804"/>
        <v>0</v>
      </c>
      <c r="X1351" s="59">
        <f t="shared" si="804"/>
        <v>0</v>
      </c>
    </row>
    <row r="1352" spans="2:24" hidden="1">
      <c r="B1352" s="58" t="str">
        <f t="shared" si="783"/>
        <v/>
      </c>
      <c r="C1352" s="58" t="str">
        <f t="shared" si="783"/>
        <v/>
      </c>
      <c r="D1352" s="58" t="str">
        <f t="shared" si="783"/>
        <v/>
      </c>
      <c r="E1352" s="58" t="str">
        <f t="shared" si="783"/>
        <v/>
      </c>
      <c r="F1352" s="58"/>
      <c r="G1352" s="58"/>
      <c r="H1352" s="58"/>
      <c r="I1352" s="58"/>
      <c r="J1352" s="58"/>
      <c r="K1352" s="59">
        <f t="shared" ref="K1352:X1352" si="805">IF(AND($D1352="tak",$E1352="prace rozwojowe",Modul_badawczo_rozwojowy=tak),ROUND(K869*K574,0),0)</f>
        <v>0</v>
      </c>
      <c r="L1352" s="59">
        <f t="shared" si="805"/>
        <v>0</v>
      </c>
      <c r="M1352" s="59">
        <f t="shared" si="805"/>
        <v>0</v>
      </c>
      <c r="N1352" s="59">
        <f t="shared" si="805"/>
        <v>0</v>
      </c>
      <c r="O1352" s="59">
        <f t="shared" si="805"/>
        <v>0</v>
      </c>
      <c r="P1352" s="59">
        <f t="shared" si="805"/>
        <v>0</v>
      </c>
      <c r="Q1352" s="59">
        <f t="shared" si="805"/>
        <v>0</v>
      </c>
      <c r="R1352" s="59">
        <f t="shared" si="805"/>
        <v>0</v>
      </c>
      <c r="S1352" s="59">
        <f t="shared" si="805"/>
        <v>0</v>
      </c>
      <c r="T1352" s="59">
        <f t="shared" si="805"/>
        <v>0</v>
      </c>
      <c r="U1352" s="59">
        <f t="shared" si="805"/>
        <v>0</v>
      </c>
      <c r="V1352" s="59">
        <f t="shared" si="805"/>
        <v>0</v>
      </c>
      <c r="W1352" s="59">
        <f t="shared" si="805"/>
        <v>0</v>
      </c>
      <c r="X1352" s="59">
        <f t="shared" si="805"/>
        <v>0</v>
      </c>
    </row>
    <row r="1353" spans="2:24" hidden="1">
      <c r="B1353" s="58" t="str">
        <f t="shared" si="783"/>
        <v/>
      </c>
      <c r="C1353" s="58" t="str">
        <f t="shared" si="783"/>
        <v/>
      </c>
      <c r="D1353" s="58" t="str">
        <f t="shared" si="783"/>
        <v/>
      </c>
      <c r="E1353" s="58" t="str">
        <f t="shared" si="783"/>
        <v/>
      </c>
      <c r="F1353" s="58"/>
      <c r="G1353" s="58"/>
      <c r="H1353" s="58"/>
      <c r="I1353" s="58"/>
      <c r="J1353" s="58"/>
      <c r="K1353" s="59">
        <f t="shared" ref="K1353:X1353" si="806">IF(AND($D1353="tak",$E1353="prace rozwojowe",Modul_badawczo_rozwojowy=tak),ROUND(K870*K575,0),0)</f>
        <v>0</v>
      </c>
      <c r="L1353" s="59">
        <f t="shared" si="806"/>
        <v>0</v>
      </c>
      <c r="M1353" s="59">
        <f t="shared" si="806"/>
        <v>0</v>
      </c>
      <c r="N1353" s="59">
        <f t="shared" si="806"/>
        <v>0</v>
      </c>
      <c r="O1353" s="59">
        <f t="shared" si="806"/>
        <v>0</v>
      </c>
      <c r="P1353" s="59">
        <f t="shared" si="806"/>
        <v>0</v>
      </c>
      <c r="Q1353" s="59">
        <f t="shared" si="806"/>
        <v>0</v>
      </c>
      <c r="R1353" s="59">
        <f t="shared" si="806"/>
        <v>0</v>
      </c>
      <c r="S1353" s="59">
        <f t="shared" si="806"/>
        <v>0</v>
      </c>
      <c r="T1353" s="59">
        <f t="shared" si="806"/>
        <v>0</v>
      </c>
      <c r="U1353" s="59">
        <f t="shared" si="806"/>
        <v>0</v>
      </c>
      <c r="V1353" s="59">
        <f t="shared" si="806"/>
        <v>0</v>
      </c>
      <c r="W1353" s="59">
        <f t="shared" si="806"/>
        <v>0</v>
      </c>
      <c r="X1353" s="59">
        <f t="shared" si="806"/>
        <v>0</v>
      </c>
    </row>
    <row r="1354" spans="2:24" hidden="1">
      <c r="B1354" s="58" t="str">
        <f t="shared" si="783"/>
        <v/>
      </c>
      <c r="C1354" s="58" t="str">
        <f t="shared" si="783"/>
        <v/>
      </c>
      <c r="D1354" s="58" t="str">
        <f t="shared" si="783"/>
        <v/>
      </c>
      <c r="E1354" s="58" t="str">
        <f t="shared" si="783"/>
        <v/>
      </c>
      <c r="F1354" s="58"/>
      <c r="G1354" s="58"/>
      <c r="H1354" s="58"/>
      <c r="I1354" s="58"/>
      <c r="J1354" s="58"/>
      <c r="K1354" s="59">
        <f t="shared" ref="K1354:X1354" si="807">IF(AND($D1354="tak",$E1354="prace rozwojowe",Modul_badawczo_rozwojowy=tak),ROUND(K871*K576,0),0)</f>
        <v>0</v>
      </c>
      <c r="L1354" s="59">
        <f t="shared" si="807"/>
        <v>0</v>
      </c>
      <c r="M1354" s="59">
        <f t="shared" si="807"/>
        <v>0</v>
      </c>
      <c r="N1354" s="59">
        <f t="shared" si="807"/>
        <v>0</v>
      </c>
      <c r="O1354" s="59">
        <f t="shared" si="807"/>
        <v>0</v>
      </c>
      <c r="P1354" s="59">
        <f t="shared" si="807"/>
        <v>0</v>
      </c>
      <c r="Q1354" s="59">
        <f t="shared" si="807"/>
        <v>0</v>
      </c>
      <c r="R1354" s="59">
        <f t="shared" si="807"/>
        <v>0</v>
      </c>
      <c r="S1354" s="59">
        <f t="shared" si="807"/>
        <v>0</v>
      </c>
      <c r="T1354" s="59">
        <f t="shared" si="807"/>
        <v>0</v>
      </c>
      <c r="U1354" s="59">
        <f t="shared" si="807"/>
        <v>0</v>
      </c>
      <c r="V1354" s="59">
        <f t="shared" si="807"/>
        <v>0</v>
      </c>
      <c r="W1354" s="59">
        <f t="shared" si="807"/>
        <v>0</v>
      </c>
      <c r="X1354" s="59">
        <f t="shared" si="807"/>
        <v>0</v>
      </c>
    </row>
    <row r="1355" spans="2:24" hidden="1">
      <c r="B1355" s="58" t="str">
        <f t="shared" si="783"/>
        <v/>
      </c>
      <c r="C1355" s="58" t="str">
        <f t="shared" si="783"/>
        <v/>
      </c>
      <c r="D1355" s="58" t="str">
        <f t="shared" si="783"/>
        <v/>
      </c>
      <c r="E1355" s="58" t="str">
        <f t="shared" si="783"/>
        <v/>
      </c>
      <c r="F1355" s="58"/>
      <c r="G1355" s="58"/>
      <c r="H1355" s="58"/>
      <c r="I1355" s="58"/>
      <c r="J1355" s="58"/>
      <c r="K1355" s="59">
        <f t="shared" ref="K1355:X1355" si="808">IF(AND($D1355="tak",$E1355="prace rozwojowe",Modul_badawczo_rozwojowy=tak),ROUND(K872*K577,0),0)</f>
        <v>0</v>
      </c>
      <c r="L1355" s="59">
        <f t="shared" si="808"/>
        <v>0</v>
      </c>
      <c r="M1355" s="59">
        <f t="shared" si="808"/>
        <v>0</v>
      </c>
      <c r="N1355" s="59">
        <f t="shared" si="808"/>
        <v>0</v>
      </c>
      <c r="O1355" s="59">
        <f t="shared" si="808"/>
        <v>0</v>
      </c>
      <c r="P1355" s="59">
        <f t="shared" si="808"/>
        <v>0</v>
      </c>
      <c r="Q1355" s="59">
        <f t="shared" si="808"/>
        <v>0</v>
      </c>
      <c r="R1355" s="59">
        <f t="shared" si="808"/>
        <v>0</v>
      </c>
      <c r="S1355" s="59">
        <f t="shared" si="808"/>
        <v>0</v>
      </c>
      <c r="T1355" s="59">
        <f t="shared" si="808"/>
        <v>0</v>
      </c>
      <c r="U1355" s="59">
        <f t="shared" si="808"/>
        <v>0</v>
      </c>
      <c r="V1355" s="59">
        <f t="shared" si="808"/>
        <v>0</v>
      </c>
      <c r="W1355" s="59">
        <f t="shared" si="808"/>
        <v>0</v>
      </c>
      <c r="X1355" s="59">
        <f t="shared" si="808"/>
        <v>0</v>
      </c>
    </row>
    <row r="1356" spans="2:24" hidden="1">
      <c r="B1356" s="58" t="str">
        <f t="shared" si="783"/>
        <v/>
      </c>
      <c r="C1356" s="58" t="str">
        <f t="shared" si="783"/>
        <v/>
      </c>
      <c r="D1356" s="58" t="str">
        <f t="shared" si="783"/>
        <v/>
      </c>
      <c r="E1356" s="58" t="str">
        <f t="shared" si="783"/>
        <v/>
      </c>
      <c r="F1356" s="58"/>
      <c r="G1356" s="58"/>
      <c r="H1356" s="58"/>
      <c r="I1356" s="58"/>
      <c r="J1356" s="58"/>
      <c r="K1356" s="59">
        <f t="shared" ref="K1356:X1356" si="809">IF(AND($D1356="tak",$E1356="prace rozwojowe",Modul_badawczo_rozwojowy=tak),ROUND(K873*K578,0),0)</f>
        <v>0</v>
      </c>
      <c r="L1356" s="59">
        <f t="shared" si="809"/>
        <v>0</v>
      </c>
      <c r="M1356" s="59">
        <f t="shared" si="809"/>
        <v>0</v>
      </c>
      <c r="N1356" s="59">
        <f t="shared" si="809"/>
        <v>0</v>
      </c>
      <c r="O1356" s="59">
        <f t="shared" si="809"/>
        <v>0</v>
      </c>
      <c r="P1356" s="59">
        <f t="shared" si="809"/>
        <v>0</v>
      </c>
      <c r="Q1356" s="59">
        <f t="shared" si="809"/>
        <v>0</v>
      </c>
      <c r="R1356" s="59">
        <f t="shared" si="809"/>
        <v>0</v>
      </c>
      <c r="S1356" s="59">
        <f t="shared" si="809"/>
        <v>0</v>
      </c>
      <c r="T1356" s="59">
        <f t="shared" si="809"/>
        <v>0</v>
      </c>
      <c r="U1356" s="59">
        <f t="shared" si="809"/>
        <v>0</v>
      </c>
      <c r="V1356" s="59">
        <f t="shared" si="809"/>
        <v>0</v>
      </c>
      <c r="W1356" s="59">
        <f t="shared" si="809"/>
        <v>0</v>
      </c>
      <c r="X1356" s="59">
        <f t="shared" si="809"/>
        <v>0</v>
      </c>
    </row>
    <row r="1357" spans="2:24" hidden="1">
      <c r="B1357" s="58" t="str">
        <f t="shared" si="783"/>
        <v/>
      </c>
      <c r="C1357" s="58" t="str">
        <f t="shared" si="783"/>
        <v/>
      </c>
      <c r="D1357" s="58" t="str">
        <f t="shared" si="783"/>
        <v/>
      </c>
      <c r="E1357" s="58" t="str">
        <f t="shared" si="783"/>
        <v/>
      </c>
      <c r="F1357" s="58"/>
      <c r="G1357" s="58"/>
      <c r="H1357" s="58"/>
      <c r="I1357" s="58"/>
      <c r="J1357" s="58"/>
      <c r="K1357" s="59">
        <f t="shared" ref="K1357:X1357" si="810">IF(AND($D1357="tak",$E1357="prace rozwojowe",Modul_badawczo_rozwojowy=tak),ROUND(K874*K579,0),0)</f>
        <v>0</v>
      </c>
      <c r="L1357" s="59">
        <f t="shared" si="810"/>
        <v>0</v>
      </c>
      <c r="M1357" s="59">
        <f t="shared" si="810"/>
        <v>0</v>
      </c>
      <c r="N1357" s="59">
        <f t="shared" si="810"/>
        <v>0</v>
      </c>
      <c r="O1357" s="59">
        <f t="shared" si="810"/>
        <v>0</v>
      </c>
      <c r="P1357" s="59">
        <f t="shared" si="810"/>
        <v>0</v>
      </c>
      <c r="Q1357" s="59">
        <f t="shared" si="810"/>
        <v>0</v>
      </c>
      <c r="R1357" s="59">
        <f t="shared" si="810"/>
        <v>0</v>
      </c>
      <c r="S1357" s="59">
        <f t="shared" si="810"/>
        <v>0</v>
      </c>
      <c r="T1357" s="59">
        <f t="shared" si="810"/>
        <v>0</v>
      </c>
      <c r="U1357" s="59">
        <f t="shared" si="810"/>
        <v>0</v>
      </c>
      <c r="V1357" s="59">
        <f t="shared" si="810"/>
        <v>0</v>
      </c>
      <c r="W1357" s="59">
        <f t="shared" si="810"/>
        <v>0</v>
      </c>
      <c r="X1357" s="59">
        <f t="shared" si="810"/>
        <v>0</v>
      </c>
    </row>
    <row r="1358" spans="2:24" hidden="1">
      <c r="B1358" s="58" t="str">
        <f t="shared" si="783"/>
        <v/>
      </c>
      <c r="C1358" s="58" t="str">
        <f t="shared" si="783"/>
        <v/>
      </c>
      <c r="D1358" s="58" t="str">
        <f t="shared" si="783"/>
        <v/>
      </c>
      <c r="E1358" s="58" t="str">
        <f t="shared" si="783"/>
        <v/>
      </c>
      <c r="F1358" s="58"/>
      <c r="G1358" s="58"/>
      <c r="H1358" s="58"/>
      <c r="I1358" s="58"/>
      <c r="J1358" s="58"/>
      <c r="K1358" s="59">
        <f t="shared" ref="K1358:X1358" si="811">IF(AND($D1358="tak",$E1358="prace rozwojowe",Modul_badawczo_rozwojowy=tak),ROUND(K875*K580,0),0)</f>
        <v>0</v>
      </c>
      <c r="L1358" s="59">
        <f t="shared" si="811"/>
        <v>0</v>
      </c>
      <c r="M1358" s="59">
        <f t="shared" si="811"/>
        <v>0</v>
      </c>
      <c r="N1358" s="59">
        <f t="shared" si="811"/>
        <v>0</v>
      </c>
      <c r="O1358" s="59">
        <f t="shared" si="811"/>
        <v>0</v>
      </c>
      <c r="P1358" s="59">
        <f t="shared" si="811"/>
        <v>0</v>
      </c>
      <c r="Q1358" s="59">
        <f t="shared" si="811"/>
        <v>0</v>
      </c>
      <c r="R1358" s="59">
        <f t="shared" si="811"/>
        <v>0</v>
      </c>
      <c r="S1358" s="59">
        <f t="shared" si="811"/>
        <v>0</v>
      </c>
      <c r="T1358" s="59">
        <f t="shared" si="811"/>
        <v>0</v>
      </c>
      <c r="U1358" s="59">
        <f t="shared" si="811"/>
        <v>0</v>
      </c>
      <c r="V1358" s="59">
        <f t="shared" si="811"/>
        <v>0</v>
      </c>
      <c r="W1358" s="59">
        <f t="shared" si="811"/>
        <v>0</v>
      </c>
      <c r="X1358" s="59">
        <f t="shared" si="811"/>
        <v>0</v>
      </c>
    </row>
    <row r="1359" spans="2:24" hidden="1">
      <c r="B1359" s="58" t="str">
        <f t="shared" si="783"/>
        <v/>
      </c>
      <c r="C1359" s="58" t="str">
        <f t="shared" si="783"/>
        <v/>
      </c>
      <c r="D1359" s="58" t="str">
        <f t="shared" si="783"/>
        <v/>
      </c>
      <c r="E1359" s="58" t="str">
        <f t="shared" si="783"/>
        <v/>
      </c>
      <c r="F1359" s="58"/>
      <c r="G1359" s="58"/>
      <c r="H1359" s="58"/>
      <c r="I1359" s="58"/>
      <c r="J1359" s="58"/>
      <c r="K1359" s="59">
        <f t="shared" ref="K1359:X1359" si="812">IF(AND($D1359="tak",$E1359="prace rozwojowe",Modul_badawczo_rozwojowy=tak),ROUND(K876*K581,0),0)</f>
        <v>0</v>
      </c>
      <c r="L1359" s="59">
        <f t="shared" si="812"/>
        <v>0</v>
      </c>
      <c r="M1359" s="59">
        <f t="shared" si="812"/>
        <v>0</v>
      </c>
      <c r="N1359" s="59">
        <f t="shared" si="812"/>
        <v>0</v>
      </c>
      <c r="O1359" s="59">
        <f t="shared" si="812"/>
        <v>0</v>
      </c>
      <c r="P1359" s="59">
        <f t="shared" si="812"/>
        <v>0</v>
      </c>
      <c r="Q1359" s="59">
        <f t="shared" si="812"/>
        <v>0</v>
      </c>
      <c r="R1359" s="59">
        <f t="shared" si="812"/>
        <v>0</v>
      </c>
      <c r="S1359" s="59">
        <f t="shared" si="812"/>
        <v>0</v>
      </c>
      <c r="T1359" s="59">
        <f t="shared" si="812"/>
        <v>0</v>
      </c>
      <c r="U1359" s="59">
        <f t="shared" si="812"/>
        <v>0</v>
      </c>
      <c r="V1359" s="59">
        <f t="shared" si="812"/>
        <v>0</v>
      </c>
      <c r="W1359" s="59">
        <f t="shared" si="812"/>
        <v>0</v>
      </c>
      <c r="X1359" s="59">
        <f t="shared" si="812"/>
        <v>0</v>
      </c>
    </row>
    <row r="1360" spans="2:24" hidden="1">
      <c r="B1360" s="58" t="str">
        <f t="shared" si="783"/>
        <v/>
      </c>
      <c r="C1360" s="58" t="str">
        <f t="shared" si="783"/>
        <v/>
      </c>
      <c r="D1360" s="58" t="str">
        <f t="shared" si="783"/>
        <v/>
      </c>
      <c r="E1360" s="58" t="str">
        <f t="shared" si="783"/>
        <v/>
      </c>
      <c r="F1360" s="58"/>
      <c r="G1360" s="58"/>
      <c r="H1360" s="58"/>
      <c r="I1360" s="58"/>
      <c r="J1360" s="58"/>
      <c r="K1360" s="59">
        <f t="shared" ref="K1360:X1360" si="813">IF(AND($D1360="tak",$E1360="prace rozwojowe",Modul_badawczo_rozwojowy=tak),ROUND(K877*K582,0),0)</f>
        <v>0</v>
      </c>
      <c r="L1360" s="59">
        <f t="shared" si="813"/>
        <v>0</v>
      </c>
      <c r="M1360" s="59">
        <f t="shared" si="813"/>
        <v>0</v>
      </c>
      <c r="N1360" s="59">
        <f t="shared" si="813"/>
        <v>0</v>
      </c>
      <c r="O1360" s="59">
        <f t="shared" si="813"/>
        <v>0</v>
      </c>
      <c r="P1360" s="59">
        <f t="shared" si="813"/>
        <v>0</v>
      </c>
      <c r="Q1360" s="59">
        <f t="shared" si="813"/>
        <v>0</v>
      </c>
      <c r="R1360" s="59">
        <f t="shared" si="813"/>
        <v>0</v>
      </c>
      <c r="S1360" s="59">
        <f t="shared" si="813"/>
        <v>0</v>
      </c>
      <c r="T1360" s="59">
        <f t="shared" si="813"/>
        <v>0</v>
      </c>
      <c r="U1360" s="59">
        <f t="shared" si="813"/>
        <v>0</v>
      </c>
      <c r="V1360" s="59">
        <f t="shared" si="813"/>
        <v>0</v>
      </c>
      <c r="W1360" s="59">
        <f t="shared" si="813"/>
        <v>0</v>
      </c>
      <c r="X1360" s="59">
        <f t="shared" si="813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4">ROUND(SUM(K1331:K1360),0)</f>
        <v>0</v>
      </c>
      <c r="L1361" s="60">
        <f t="shared" si="814"/>
        <v>0</v>
      </c>
      <c r="M1361" s="60">
        <f t="shared" si="814"/>
        <v>0</v>
      </c>
      <c r="N1361" s="60">
        <f t="shared" si="814"/>
        <v>0</v>
      </c>
      <c r="O1361" s="60">
        <f t="shared" si="814"/>
        <v>0</v>
      </c>
      <c r="P1361" s="60">
        <f t="shared" si="814"/>
        <v>0</v>
      </c>
      <c r="Q1361" s="60">
        <f t="shared" si="814"/>
        <v>0</v>
      </c>
      <c r="R1361" s="60">
        <f t="shared" si="814"/>
        <v>0</v>
      </c>
      <c r="S1361" s="60">
        <f t="shared" si="814"/>
        <v>0</v>
      </c>
      <c r="T1361" s="60">
        <f t="shared" si="814"/>
        <v>0</v>
      </c>
      <c r="U1361" s="60">
        <f t="shared" si="814"/>
        <v>0</v>
      </c>
      <c r="V1361" s="60">
        <f t="shared" si="814"/>
        <v>0</v>
      </c>
      <c r="W1361" s="60">
        <f t="shared" si="814"/>
        <v>0</v>
      </c>
      <c r="X1361" s="60">
        <f t="shared" si="814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5">ROUND(SUM(K1365:K1369),0)</f>
        <v>0</v>
      </c>
      <c r="L1370" s="60">
        <f t="shared" si="815"/>
        <v>0</v>
      </c>
      <c r="M1370" s="60">
        <f t="shared" si="815"/>
        <v>0</v>
      </c>
      <c r="N1370" s="60">
        <f t="shared" si="815"/>
        <v>0</v>
      </c>
      <c r="O1370" s="60">
        <f t="shared" si="815"/>
        <v>0</v>
      </c>
      <c r="P1370" s="60">
        <f t="shared" si="815"/>
        <v>0</v>
      </c>
      <c r="Q1370" s="60">
        <f t="shared" si="815"/>
        <v>0</v>
      </c>
      <c r="R1370" s="60">
        <f t="shared" si="815"/>
        <v>0</v>
      </c>
      <c r="S1370" s="60">
        <f t="shared" si="815"/>
        <v>0</v>
      </c>
      <c r="T1370" s="60">
        <f t="shared" si="815"/>
        <v>0</v>
      </c>
      <c r="U1370" s="60">
        <f t="shared" si="815"/>
        <v>0</v>
      </c>
      <c r="V1370" s="60">
        <f t="shared" si="815"/>
        <v>0</v>
      </c>
      <c r="W1370" s="60">
        <f t="shared" si="815"/>
        <v>0</v>
      </c>
      <c r="X1370" s="60">
        <f t="shared" si="815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16">IF(ISBLANK(B891),"",B891)</f>
        <v/>
      </c>
      <c r="C1374" s="58" t="str">
        <f t="shared" si="816"/>
        <v/>
      </c>
      <c r="D1374" s="58" t="str">
        <f t="shared" si="816"/>
        <v/>
      </c>
      <c r="E1374" s="58" t="str">
        <f t="shared" si="816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16"/>
        <v/>
      </c>
      <c r="C1375" s="58" t="str">
        <f t="shared" si="816"/>
        <v/>
      </c>
      <c r="D1375" s="58" t="str">
        <f t="shared" si="816"/>
        <v/>
      </c>
      <c r="E1375" s="58" t="str">
        <f t="shared" si="816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16"/>
        <v/>
      </c>
      <c r="C1376" s="58" t="str">
        <f t="shared" si="816"/>
        <v/>
      </c>
      <c r="D1376" s="58" t="str">
        <f t="shared" si="816"/>
        <v/>
      </c>
      <c r="E1376" s="58" t="str">
        <f t="shared" si="816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16"/>
        <v/>
      </c>
      <c r="C1377" s="58" t="str">
        <f t="shared" si="816"/>
        <v/>
      </c>
      <c r="D1377" s="58" t="str">
        <f t="shared" si="816"/>
        <v/>
      </c>
      <c r="E1377" s="58" t="str">
        <f t="shared" si="816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16"/>
        <v/>
      </c>
      <c r="C1378" s="58" t="str">
        <f t="shared" si="816"/>
        <v/>
      </c>
      <c r="D1378" s="58" t="str">
        <f t="shared" si="816"/>
        <v/>
      </c>
      <c r="E1378" s="58" t="str">
        <f t="shared" si="816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17">ROUND(SUM(K1374:K1378),0)</f>
        <v>0</v>
      </c>
      <c r="L1379" s="60">
        <f t="shared" si="817"/>
        <v>0</v>
      </c>
      <c r="M1379" s="60">
        <f t="shared" si="817"/>
        <v>0</v>
      </c>
      <c r="N1379" s="60">
        <f t="shared" si="817"/>
        <v>0</v>
      </c>
      <c r="O1379" s="60">
        <f t="shared" si="817"/>
        <v>0</v>
      </c>
      <c r="P1379" s="60">
        <f t="shared" si="817"/>
        <v>0</v>
      </c>
      <c r="Q1379" s="60">
        <f t="shared" si="817"/>
        <v>0</v>
      </c>
      <c r="R1379" s="60">
        <f t="shared" si="817"/>
        <v>0</v>
      </c>
      <c r="S1379" s="60">
        <f t="shared" si="817"/>
        <v>0</v>
      </c>
      <c r="T1379" s="60">
        <f t="shared" si="817"/>
        <v>0</v>
      </c>
      <c r="U1379" s="60">
        <f t="shared" si="817"/>
        <v>0</v>
      </c>
      <c r="V1379" s="60">
        <f t="shared" si="817"/>
        <v>0</v>
      </c>
      <c r="W1379" s="60">
        <f t="shared" si="817"/>
        <v>0</v>
      </c>
      <c r="X1379" s="60">
        <f t="shared" si="817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18">IF(ISBLANK(B900),"",B900)</f>
        <v>Koszty z tytułu oprocentowania kredytów i pożyczek</v>
      </c>
      <c r="C1383" s="58" t="str">
        <f t="shared" si="818"/>
        <v/>
      </c>
      <c r="D1383" s="58" t="str">
        <f t="shared" si="818"/>
        <v/>
      </c>
      <c r="E1383" s="58" t="str">
        <f t="shared" si="818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18"/>
        <v/>
      </c>
      <c r="C1384" s="58" t="str">
        <f t="shared" si="818"/>
        <v/>
      </c>
      <c r="D1384" s="58" t="str">
        <f t="shared" si="818"/>
        <v/>
      </c>
      <c r="E1384" s="58" t="str">
        <f t="shared" si="818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18"/>
        <v/>
      </c>
      <c r="C1385" s="58" t="str">
        <f t="shared" si="818"/>
        <v/>
      </c>
      <c r="D1385" s="58" t="str">
        <f t="shared" si="818"/>
        <v/>
      </c>
      <c r="E1385" s="58" t="str">
        <f t="shared" si="818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18"/>
        <v/>
      </c>
      <c r="C1386" s="58" t="str">
        <f t="shared" si="818"/>
        <v/>
      </c>
      <c r="D1386" s="58" t="str">
        <f t="shared" si="818"/>
        <v/>
      </c>
      <c r="E1386" s="58" t="str">
        <f t="shared" si="818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18"/>
        <v/>
      </c>
      <c r="C1387" s="58" t="str">
        <f t="shared" si="818"/>
        <v/>
      </c>
      <c r="D1387" s="58" t="str">
        <f t="shared" si="818"/>
        <v/>
      </c>
      <c r="E1387" s="58" t="str">
        <f t="shared" si="818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19">ROUND(SUM(L1383:L1387),0)</f>
        <v>0</v>
      </c>
      <c r="M1388" s="60">
        <f t="shared" si="819"/>
        <v>0</v>
      </c>
      <c r="N1388" s="60">
        <f t="shared" si="819"/>
        <v>0</v>
      </c>
      <c r="O1388" s="60">
        <f t="shared" si="819"/>
        <v>0</v>
      </c>
      <c r="P1388" s="60">
        <f t="shared" si="819"/>
        <v>0</v>
      </c>
      <c r="Q1388" s="60">
        <f t="shared" si="819"/>
        <v>0</v>
      </c>
      <c r="R1388" s="60">
        <f t="shared" si="819"/>
        <v>0</v>
      </c>
      <c r="S1388" s="60">
        <f t="shared" si="819"/>
        <v>0</v>
      </c>
      <c r="T1388" s="60">
        <f t="shared" si="819"/>
        <v>0</v>
      </c>
      <c r="U1388" s="60">
        <f t="shared" si="819"/>
        <v>0</v>
      </c>
      <c r="V1388" s="60">
        <f t="shared" si="819"/>
        <v>0</v>
      </c>
      <c r="W1388" s="60">
        <f t="shared" si="819"/>
        <v>0</v>
      </c>
      <c r="X1388" s="60">
        <f t="shared" si="819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 t="shared" ref="K1392:X1392" si="820">IF(LataProjekcji&lt;=Koniec_Projekt,ROUND(K1204,0),0)</f>
        <v>0</v>
      </c>
      <c r="L1392" s="22">
        <f>IF(LataProjekcji&lt;=Koniec_Projekt,ROUND(L1204,0),0)</f>
        <v>0</v>
      </c>
      <c r="M1392" s="22">
        <f t="shared" si="820"/>
        <v>0</v>
      </c>
      <c r="N1392" s="22">
        <f t="shared" si="820"/>
        <v>0</v>
      </c>
      <c r="O1392" s="22">
        <f t="shared" si="820"/>
        <v>0</v>
      </c>
      <c r="P1392" s="22">
        <f t="shared" si="820"/>
        <v>0</v>
      </c>
      <c r="Q1392" s="22">
        <f t="shared" si="820"/>
        <v>0</v>
      </c>
      <c r="R1392" s="22">
        <f t="shared" si="820"/>
        <v>0</v>
      </c>
      <c r="S1392" s="22">
        <f t="shared" si="820"/>
        <v>0</v>
      </c>
      <c r="T1392" s="22">
        <f t="shared" si="820"/>
        <v>0</v>
      </c>
      <c r="U1392" s="22">
        <f t="shared" si="820"/>
        <v>0</v>
      </c>
      <c r="V1392" s="22">
        <f t="shared" si="820"/>
        <v>0</v>
      </c>
      <c r="W1392" s="22">
        <f t="shared" si="820"/>
        <v>0</v>
      </c>
      <c r="X1392" s="22">
        <f t="shared" si="820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1">IF(LataProjekcji&lt;=Koniec_Projekt,ROUND(K1228,0),0)</f>
        <v>0</v>
      </c>
      <c r="L1393" s="22">
        <f t="shared" si="821"/>
        <v>0</v>
      </c>
      <c r="M1393" s="22">
        <f t="shared" si="821"/>
        <v>0</v>
      </c>
      <c r="N1393" s="22">
        <f t="shared" si="821"/>
        <v>0</v>
      </c>
      <c r="O1393" s="22">
        <f t="shared" si="821"/>
        <v>0</v>
      </c>
      <c r="P1393" s="22">
        <f t="shared" si="821"/>
        <v>0</v>
      </c>
      <c r="Q1393" s="22">
        <f t="shared" si="821"/>
        <v>0</v>
      </c>
      <c r="R1393" s="22">
        <f t="shared" si="821"/>
        <v>0</v>
      </c>
      <c r="S1393" s="22">
        <f t="shared" si="821"/>
        <v>0</v>
      </c>
      <c r="T1393" s="22">
        <f t="shared" si="821"/>
        <v>0</v>
      </c>
      <c r="U1393" s="22">
        <f t="shared" si="821"/>
        <v>0</v>
      </c>
      <c r="V1393" s="22">
        <f t="shared" si="821"/>
        <v>0</v>
      </c>
      <c r="W1393" s="22">
        <f t="shared" si="821"/>
        <v>0</v>
      </c>
      <c r="X1393" s="22">
        <f t="shared" si="821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2">IF(LataProjekcji&lt;=Koniec_Projekt,ROUND(K1237,0),0)</f>
        <v>0</v>
      </c>
      <c r="L1394" s="22">
        <f t="shared" si="822"/>
        <v>0</v>
      </c>
      <c r="M1394" s="22">
        <f t="shared" si="822"/>
        <v>0</v>
      </c>
      <c r="N1394" s="22">
        <f t="shared" si="822"/>
        <v>0</v>
      </c>
      <c r="O1394" s="22">
        <f t="shared" si="822"/>
        <v>0</v>
      </c>
      <c r="P1394" s="22">
        <f t="shared" si="822"/>
        <v>0</v>
      </c>
      <c r="Q1394" s="22">
        <f t="shared" si="822"/>
        <v>0</v>
      </c>
      <c r="R1394" s="22">
        <f t="shared" si="822"/>
        <v>0</v>
      </c>
      <c r="S1394" s="22">
        <f t="shared" si="822"/>
        <v>0</v>
      </c>
      <c r="T1394" s="22">
        <f t="shared" si="822"/>
        <v>0</v>
      </c>
      <c r="U1394" s="22">
        <f t="shared" si="822"/>
        <v>0</v>
      </c>
      <c r="V1394" s="22">
        <f t="shared" si="822"/>
        <v>0</v>
      </c>
      <c r="W1394" s="22">
        <f t="shared" si="822"/>
        <v>0</v>
      </c>
      <c r="X1394" s="22">
        <f t="shared" si="822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3">IF(LataProjekcji&lt;=Koniec_Projekt,ROUND(K1282,0),0)</f>
        <v>0</v>
      </c>
      <c r="L1395" s="22">
        <f t="shared" si="823"/>
        <v>0</v>
      </c>
      <c r="M1395" s="22">
        <f t="shared" si="823"/>
        <v>0</v>
      </c>
      <c r="N1395" s="22">
        <f t="shared" si="823"/>
        <v>0</v>
      </c>
      <c r="O1395" s="22">
        <f t="shared" si="823"/>
        <v>0</v>
      </c>
      <c r="P1395" s="22">
        <f t="shared" si="823"/>
        <v>0</v>
      </c>
      <c r="Q1395" s="22">
        <f t="shared" si="823"/>
        <v>0</v>
      </c>
      <c r="R1395" s="22">
        <f t="shared" si="823"/>
        <v>0</v>
      </c>
      <c r="S1395" s="22">
        <f t="shared" si="823"/>
        <v>0</v>
      </c>
      <c r="T1395" s="22">
        <f t="shared" si="823"/>
        <v>0</v>
      </c>
      <c r="U1395" s="22">
        <f t="shared" si="823"/>
        <v>0</v>
      </c>
      <c r="V1395" s="22">
        <f t="shared" si="823"/>
        <v>0</v>
      </c>
      <c r="W1395" s="22">
        <f t="shared" si="823"/>
        <v>0</v>
      </c>
      <c r="X1395" s="22">
        <f t="shared" si="823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4">IF(LataProjekcji&lt;=Koniec_Projekt,ROUND(K1327,0),0)</f>
        <v>0</v>
      </c>
      <c r="L1396" s="22">
        <f t="shared" si="824"/>
        <v>0</v>
      </c>
      <c r="M1396" s="22">
        <f t="shared" si="824"/>
        <v>0</v>
      </c>
      <c r="N1396" s="22">
        <f t="shared" si="824"/>
        <v>0</v>
      </c>
      <c r="O1396" s="22">
        <f t="shared" si="824"/>
        <v>0</v>
      </c>
      <c r="P1396" s="22">
        <f t="shared" si="824"/>
        <v>0</v>
      </c>
      <c r="Q1396" s="22">
        <f t="shared" si="824"/>
        <v>0</v>
      </c>
      <c r="R1396" s="22">
        <f t="shared" si="824"/>
        <v>0</v>
      </c>
      <c r="S1396" s="22">
        <f t="shared" si="824"/>
        <v>0</v>
      </c>
      <c r="T1396" s="22">
        <f t="shared" si="824"/>
        <v>0</v>
      </c>
      <c r="U1396" s="22">
        <f t="shared" si="824"/>
        <v>0</v>
      </c>
      <c r="V1396" s="22">
        <f t="shared" si="824"/>
        <v>0</v>
      </c>
      <c r="W1396" s="22">
        <f t="shared" si="824"/>
        <v>0</v>
      </c>
      <c r="X1396" s="22">
        <f t="shared" si="824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5">IF(LataProjekcji&lt;=Koniec_Projekt,ROUND(K1361,0),0)</f>
        <v>0</v>
      </c>
      <c r="L1397" s="22">
        <f t="shared" si="825"/>
        <v>0</v>
      </c>
      <c r="M1397" s="22">
        <f t="shared" si="825"/>
        <v>0</v>
      </c>
      <c r="N1397" s="22">
        <f t="shared" si="825"/>
        <v>0</v>
      </c>
      <c r="O1397" s="22">
        <f t="shared" si="825"/>
        <v>0</v>
      </c>
      <c r="P1397" s="22">
        <f t="shared" si="825"/>
        <v>0</v>
      </c>
      <c r="Q1397" s="22">
        <f t="shared" si="825"/>
        <v>0</v>
      </c>
      <c r="R1397" s="22">
        <f t="shared" si="825"/>
        <v>0</v>
      </c>
      <c r="S1397" s="22">
        <f t="shared" si="825"/>
        <v>0</v>
      </c>
      <c r="T1397" s="22">
        <f t="shared" si="825"/>
        <v>0</v>
      </c>
      <c r="U1397" s="22">
        <f t="shared" si="825"/>
        <v>0</v>
      </c>
      <c r="V1397" s="22">
        <f t="shared" si="825"/>
        <v>0</v>
      </c>
      <c r="W1397" s="22">
        <f t="shared" si="825"/>
        <v>0</v>
      </c>
      <c r="X1397" s="22">
        <f t="shared" si="825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26">IF(LataProjekcji&lt;=Koniec_Projekt,K1370,0)</f>
        <v>0</v>
      </c>
      <c r="L1398" s="22">
        <f t="shared" si="826"/>
        <v>0</v>
      </c>
      <c r="M1398" s="22">
        <f t="shared" si="826"/>
        <v>0</v>
      </c>
      <c r="N1398" s="22">
        <f t="shared" si="826"/>
        <v>0</v>
      </c>
      <c r="O1398" s="22">
        <f t="shared" si="826"/>
        <v>0</v>
      </c>
      <c r="P1398" s="22">
        <f t="shared" si="826"/>
        <v>0</v>
      </c>
      <c r="Q1398" s="22">
        <f t="shared" si="826"/>
        <v>0</v>
      </c>
      <c r="R1398" s="22">
        <f t="shared" si="826"/>
        <v>0</v>
      </c>
      <c r="S1398" s="22">
        <f t="shared" si="826"/>
        <v>0</v>
      </c>
      <c r="T1398" s="22">
        <f t="shared" si="826"/>
        <v>0</v>
      </c>
      <c r="U1398" s="22">
        <f t="shared" si="826"/>
        <v>0</v>
      </c>
      <c r="V1398" s="22">
        <f t="shared" si="826"/>
        <v>0</v>
      </c>
      <c r="W1398" s="22">
        <f t="shared" si="826"/>
        <v>0</v>
      </c>
      <c r="X1398" s="22">
        <f t="shared" si="826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27">IF(LataProjekcji&lt;=Koniec_Projekt,ROUND(K1379,0),0)</f>
        <v>0</v>
      </c>
      <c r="L1399" s="22">
        <f t="shared" si="827"/>
        <v>0</v>
      </c>
      <c r="M1399" s="22">
        <f t="shared" si="827"/>
        <v>0</v>
      </c>
      <c r="N1399" s="22">
        <f t="shared" si="827"/>
        <v>0</v>
      </c>
      <c r="O1399" s="22">
        <f t="shared" si="827"/>
        <v>0</v>
      </c>
      <c r="P1399" s="22">
        <f t="shared" si="827"/>
        <v>0</v>
      </c>
      <c r="Q1399" s="22">
        <f t="shared" si="827"/>
        <v>0</v>
      </c>
      <c r="R1399" s="22">
        <f t="shared" si="827"/>
        <v>0</v>
      </c>
      <c r="S1399" s="22">
        <f t="shared" si="827"/>
        <v>0</v>
      </c>
      <c r="T1399" s="22">
        <f t="shared" si="827"/>
        <v>0</v>
      </c>
      <c r="U1399" s="22">
        <f t="shared" si="827"/>
        <v>0</v>
      </c>
      <c r="V1399" s="22">
        <f t="shared" si="827"/>
        <v>0</v>
      </c>
      <c r="W1399" s="22">
        <f t="shared" si="827"/>
        <v>0</v>
      </c>
      <c r="X1399" s="22">
        <f t="shared" si="827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28">IF(LataProjekcji&lt;=Koniec_Projekt,ROUND(K1388,0),0)</f>
        <v>0</v>
      </c>
      <c r="L1400" s="22">
        <f t="shared" si="828"/>
        <v>0</v>
      </c>
      <c r="M1400" s="22">
        <f t="shared" si="828"/>
        <v>0</v>
      </c>
      <c r="N1400" s="22">
        <f t="shared" si="828"/>
        <v>0</v>
      </c>
      <c r="O1400" s="22">
        <f t="shared" si="828"/>
        <v>0</v>
      </c>
      <c r="P1400" s="22">
        <f t="shared" si="828"/>
        <v>0</v>
      </c>
      <c r="Q1400" s="22">
        <f t="shared" si="828"/>
        <v>0</v>
      </c>
      <c r="R1400" s="22">
        <f t="shared" si="828"/>
        <v>0</v>
      </c>
      <c r="S1400" s="22">
        <f t="shared" si="828"/>
        <v>0</v>
      </c>
      <c r="T1400" s="22">
        <f t="shared" si="828"/>
        <v>0</v>
      </c>
      <c r="U1400" s="22">
        <f t="shared" si="828"/>
        <v>0</v>
      </c>
      <c r="V1400" s="22">
        <f t="shared" si="828"/>
        <v>0</v>
      </c>
      <c r="W1400" s="22">
        <f t="shared" si="828"/>
        <v>0</v>
      </c>
      <c r="X1400" s="22">
        <f t="shared" si="828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29">ROUND(SUM(L1392:L1400),0)</f>
        <v>0</v>
      </c>
      <c r="M1401" s="65">
        <f t="shared" si="829"/>
        <v>0</v>
      </c>
      <c r="N1401" s="65">
        <f t="shared" si="829"/>
        <v>0</v>
      </c>
      <c r="O1401" s="65">
        <f t="shared" si="829"/>
        <v>0</v>
      </c>
      <c r="P1401" s="65">
        <f t="shared" si="829"/>
        <v>0</v>
      </c>
      <c r="Q1401" s="65">
        <f t="shared" si="829"/>
        <v>0</v>
      </c>
      <c r="R1401" s="65">
        <f t="shared" si="829"/>
        <v>0</v>
      </c>
      <c r="S1401" s="65">
        <f t="shared" si="829"/>
        <v>0</v>
      </c>
      <c r="T1401" s="65">
        <f t="shared" si="829"/>
        <v>0</v>
      </c>
      <c r="U1401" s="65">
        <f t="shared" si="829"/>
        <v>0</v>
      </c>
      <c r="V1401" s="65">
        <f t="shared" si="829"/>
        <v>0</v>
      </c>
      <c r="W1401" s="65">
        <f t="shared" si="829"/>
        <v>0</v>
      </c>
      <c r="X1401" s="65">
        <f t="shared" si="829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0">LataProjekcji</f>
        <v>Uzupełnij dane</v>
      </c>
      <c r="L1404" s="63" t="str">
        <f t="shared" si="830"/>
        <v/>
      </c>
      <c r="M1404" s="63" t="str">
        <f t="shared" si="830"/>
        <v/>
      </c>
      <c r="N1404" s="63" t="str">
        <f t="shared" si="830"/>
        <v/>
      </c>
      <c r="O1404" s="63" t="str">
        <f t="shared" si="830"/>
        <v/>
      </c>
      <c r="P1404" s="63" t="str">
        <f t="shared" si="830"/>
        <v/>
      </c>
      <c r="Q1404" s="63" t="str">
        <f t="shared" si="830"/>
        <v/>
      </c>
      <c r="R1404" s="63" t="str">
        <f t="shared" si="830"/>
        <v/>
      </c>
      <c r="S1404" s="63" t="str">
        <f t="shared" si="830"/>
        <v/>
      </c>
      <c r="T1404" s="63" t="str">
        <f t="shared" si="830"/>
        <v/>
      </c>
      <c r="U1404" s="63" t="str">
        <f t="shared" si="830"/>
        <v/>
      </c>
      <c r="V1404" s="63" t="str">
        <f t="shared" si="830"/>
        <v/>
      </c>
      <c r="W1404" s="63" t="str">
        <f t="shared" si="830"/>
        <v/>
      </c>
      <c r="X1404" s="63" t="str">
        <f t="shared" si="830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1">ROUND(L1406+M1401,0)</f>
        <v>0</v>
      </c>
      <c r="N1406" s="65">
        <f t="shared" si="831"/>
        <v>0</v>
      </c>
      <c r="O1406" s="65">
        <f t="shared" si="831"/>
        <v>0</v>
      </c>
      <c r="P1406" s="65">
        <f t="shared" si="831"/>
        <v>0</v>
      </c>
      <c r="Q1406" s="65">
        <f t="shared" si="831"/>
        <v>0</v>
      </c>
      <c r="R1406" s="65">
        <f t="shared" si="831"/>
        <v>0</v>
      </c>
      <c r="S1406" s="65">
        <f t="shared" si="831"/>
        <v>0</v>
      </c>
      <c r="T1406" s="65">
        <f t="shared" si="831"/>
        <v>0</v>
      </c>
      <c r="U1406" s="65">
        <f t="shared" si="831"/>
        <v>0</v>
      </c>
      <c r="V1406" s="65">
        <f t="shared" si="831"/>
        <v>0</v>
      </c>
      <c r="W1406" s="65">
        <f t="shared" si="831"/>
        <v>0</v>
      </c>
      <c r="X1406" s="65">
        <f t="shared" si="831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777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2">IF(LataProjekcji&lt;=Koniec_Projekt,K1401,0)</f>
        <v>0</v>
      </c>
      <c r="L1411" s="68">
        <f t="shared" si="832"/>
        <v>0</v>
      </c>
      <c r="M1411" s="68">
        <f t="shared" si="832"/>
        <v>0</v>
      </c>
      <c r="N1411" s="68">
        <f t="shared" si="832"/>
        <v>0</v>
      </c>
      <c r="O1411" s="68">
        <f t="shared" si="832"/>
        <v>0</v>
      </c>
      <c r="P1411" s="68">
        <f t="shared" si="832"/>
        <v>0</v>
      </c>
      <c r="Q1411" s="68">
        <f t="shared" si="832"/>
        <v>0</v>
      </c>
      <c r="R1411" s="68">
        <f t="shared" si="832"/>
        <v>0</v>
      </c>
      <c r="S1411" s="68">
        <f t="shared" si="832"/>
        <v>0</v>
      </c>
      <c r="T1411" s="68">
        <f t="shared" si="832"/>
        <v>0</v>
      </c>
      <c r="U1411" s="68">
        <f t="shared" si="832"/>
        <v>0</v>
      </c>
      <c r="V1411" s="68">
        <f t="shared" si="832"/>
        <v>0</v>
      </c>
      <c r="W1411" s="68">
        <f t="shared" si="832"/>
        <v>0</v>
      </c>
      <c r="X1411" s="68">
        <f t="shared" si="832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3">IF(LataProjekcji&lt;=Koniec_Projekt,(K1411+J1412),0)</f>
        <v>0</v>
      </c>
      <c r="L1412" s="72">
        <f t="shared" si="833"/>
        <v>0</v>
      </c>
      <c r="M1412" s="72">
        <f t="shared" si="833"/>
        <v>0</v>
      </c>
      <c r="N1412" s="72">
        <f t="shared" si="833"/>
        <v>0</v>
      </c>
      <c r="O1412" s="72">
        <f t="shared" si="833"/>
        <v>0</v>
      </c>
      <c r="P1412" s="72">
        <f t="shared" si="833"/>
        <v>0</v>
      </c>
      <c r="Q1412" s="72">
        <f t="shared" si="833"/>
        <v>0</v>
      </c>
      <c r="R1412" s="72">
        <f t="shared" si="833"/>
        <v>0</v>
      </c>
      <c r="S1412" s="72">
        <f t="shared" si="833"/>
        <v>0</v>
      </c>
      <c r="T1412" s="72">
        <f t="shared" si="833"/>
        <v>0</v>
      </c>
      <c r="U1412" s="72">
        <f t="shared" si="833"/>
        <v>0</v>
      </c>
      <c r="V1412" s="72">
        <f t="shared" si="833"/>
        <v>0</v>
      </c>
      <c r="W1412" s="72">
        <f t="shared" si="833"/>
        <v>0</v>
      </c>
      <c r="X1412" s="72">
        <f t="shared" si="833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674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4">LataProjekcji</f>
        <v>Uzupełnij dane</v>
      </c>
      <c r="L1421" s="63" t="str">
        <f t="shared" si="834"/>
        <v/>
      </c>
      <c r="M1421" s="63" t="str">
        <f t="shared" si="834"/>
        <v/>
      </c>
      <c r="N1421" s="63" t="str">
        <f t="shared" si="834"/>
        <v/>
      </c>
      <c r="O1421" s="63" t="str">
        <f t="shared" si="834"/>
        <v/>
      </c>
      <c r="P1421" s="63" t="str">
        <f t="shared" si="834"/>
        <v/>
      </c>
      <c r="Q1421" s="63" t="str">
        <f t="shared" si="834"/>
        <v/>
      </c>
      <c r="R1421" s="63" t="str">
        <f t="shared" si="834"/>
        <v/>
      </c>
      <c r="S1421" s="63" t="str">
        <f t="shared" si="834"/>
        <v/>
      </c>
      <c r="T1421" s="63" t="str">
        <f t="shared" si="834"/>
        <v/>
      </c>
      <c r="U1421" s="63" t="str">
        <f t="shared" si="834"/>
        <v/>
      </c>
      <c r="V1421" s="63" t="str">
        <f t="shared" si="834"/>
        <v/>
      </c>
      <c r="W1421" s="63" t="str">
        <f t="shared" si="834"/>
        <v/>
      </c>
      <c r="X1421" s="63" t="str">
        <f t="shared" si="834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5">IF(ISBLANK(B1184),"",B1184)</f>
        <v/>
      </c>
      <c r="C1424" s="58" t="str">
        <f t="shared" si="835"/>
        <v/>
      </c>
      <c r="D1424" s="58" t="str">
        <f t="shared" si="835"/>
        <v/>
      </c>
      <c r="E1424" s="58" t="str">
        <f t="shared" si="835"/>
        <v/>
      </c>
      <c r="F1424" s="58" t="str">
        <f t="shared" si="835"/>
        <v/>
      </c>
      <c r="G1424" s="58"/>
      <c r="H1424" s="58"/>
      <c r="I1424" s="58"/>
      <c r="J1424" s="58"/>
      <c r="K1424" s="59">
        <f t="shared" ref="K1424:X1424" si="836">IF(AND($D1424="tak",OR($E1424="nie dotyczy",$E1424="badania przemysłowe"),K$1421&lt;=Koniec_Projekt),ROUND(K117*K139,0),0)</f>
        <v>0</v>
      </c>
      <c r="L1424" s="59">
        <f t="shared" si="836"/>
        <v>0</v>
      </c>
      <c r="M1424" s="59">
        <f t="shared" si="836"/>
        <v>0</v>
      </c>
      <c r="N1424" s="59">
        <f t="shared" si="836"/>
        <v>0</v>
      </c>
      <c r="O1424" s="59">
        <f t="shared" si="836"/>
        <v>0</v>
      </c>
      <c r="P1424" s="59">
        <f t="shared" si="836"/>
        <v>0</v>
      </c>
      <c r="Q1424" s="59">
        <f t="shared" si="836"/>
        <v>0</v>
      </c>
      <c r="R1424" s="59">
        <f t="shared" si="836"/>
        <v>0</v>
      </c>
      <c r="S1424" s="59">
        <f t="shared" si="836"/>
        <v>0</v>
      </c>
      <c r="T1424" s="59">
        <f t="shared" si="836"/>
        <v>0</v>
      </c>
      <c r="U1424" s="59">
        <f t="shared" si="836"/>
        <v>0</v>
      </c>
      <c r="V1424" s="59">
        <f t="shared" si="836"/>
        <v>0</v>
      </c>
      <c r="W1424" s="59">
        <f t="shared" si="836"/>
        <v>0</v>
      </c>
      <c r="X1424" s="59">
        <f t="shared" si="836"/>
        <v>0</v>
      </c>
    </row>
    <row r="1425" spans="2:24" hidden="1">
      <c r="B1425" s="58" t="str">
        <f t="shared" si="835"/>
        <v/>
      </c>
      <c r="C1425" s="58" t="str">
        <f t="shared" si="835"/>
        <v/>
      </c>
      <c r="D1425" s="58" t="str">
        <f t="shared" si="835"/>
        <v/>
      </c>
      <c r="E1425" s="58" t="str">
        <f t="shared" si="835"/>
        <v/>
      </c>
      <c r="F1425" s="58" t="str">
        <f t="shared" si="835"/>
        <v/>
      </c>
      <c r="G1425" s="58"/>
      <c r="H1425" s="58"/>
      <c r="I1425" s="58"/>
      <c r="J1425" s="58"/>
      <c r="K1425" s="59">
        <f t="shared" ref="K1425:X1425" si="837">IF(AND($D1425="tak",OR($E1425="nie dotyczy",$E1425="badania przemysłowe"),K$1421&lt;=Koniec_Projekt),ROUND(K118*K140,0),0)</f>
        <v>0</v>
      </c>
      <c r="L1425" s="59">
        <f t="shared" si="837"/>
        <v>0</v>
      </c>
      <c r="M1425" s="59">
        <f t="shared" si="837"/>
        <v>0</v>
      </c>
      <c r="N1425" s="59">
        <f t="shared" si="837"/>
        <v>0</v>
      </c>
      <c r="O1425" s="59">
        <f t="shared" si="837"/>
        <v>0</v>
      </c>
      <c r="P1425" s="59">
        <f t="shared" si="837"/>
        <v>0</v>
      </c>
      <c r="Q1425" s="59">
        <f t="shared" si="837"/>
        <v>0</v>
      </c>
      <c r="R1425" s="59">
        <f t="shared" si="837"/>
        <v>0</v>
      </c>
      <c r="S1425" s="59">
        <f t="shared" si="837"/>
        <v>0</v>
      </c>
      <c r="T1425" s="59">
        <f t="shared" si="837"/>
        <v>0</v>
      </c>
      <c r="U1425" s="59">
        <f t="shared" si="837"/>
        <v>0</v>
      </c>
      <c r="V1425" s="59">
        <f t="shared" si="837"/>
        <v>0</v>
      </c>
      <c r="W1425" s="59">
        <f t="shared" si="837"/>
        <v>0</v>
      </c>
      <c r="X1425" s="59">
        <f t="shared" si="837"/>
        <v>0</v>
      </c>
    </row>
    <row r="1426" spans="2:24" hidden="1">
      <c r="B1426" s="58" t="str">
        <f t="shared" si="835"/>
        <v/>
      </c>
      <c r="C1426" s="58" t="str">
        <f t="shared" si="835"/>
        <v/>
      </c>
      <c r="D1426" s="58" t="str">
        <f t="shared" si="835"/>
        <v/>
      </c>
      <c r="E1426" s="58" t="str">
        <f t="shared" si="835"/>
        <v/>
      </c>
      <c r="F1426" s="58" t="str">
        <f t="shared" si="835"/>
        <v/>
      </c>
      <c r="G1426" s="58"/>
      <c r="H1426" s="58"/>
      <c r="I1426" s="58"/>
      <c r="J1426" s="58"/>
      <c r="K1426" s="59">
        <f t="shared" ref="K1426:X1426" si="838">IF(AND($D1426="tak",OR($E1426="nie dotyczy",$E1426="badania przemysłowe"),K$1421&lt;=Koniec_Projekt),ROUND(K119*K141,0),0)</f>
        <v>0</v>
      </c>
      <c r="L1426" s="59">
        <f t="shared" si="838"/>
        <v>0</v>
      </c>
      <c r="M1426" s="59">
        <f t="shared" si="838"/>
        <v>0</v>
      </c>
      <c r="N1426" s="59">
        <f t="shared" si="838"/>
        <v>0</v>
      </c>
      <c r="O1426" s="59">
        <f t="shared" si="838"/>
        <v>0</v>
      </c>
      <c r="P1426" s="59">
        <f t="shared" si="838"/>
        <v>0</v>
      </c>
      <c r="Q1426" s="59">
        <f t="shared" si="838"/>
        <v>0</v>
      </c>
      <c r="R1426" s="59">
        <f t="shared" si="838"/>
        <v>0</v>
      </c>
      <c r="S1426" s="59">
        <f t="shared" si="838"/>
        <v>0</v>
      </c>
      <c r="T1426" s="59">
        <f t="shared" si="838"/>
        <v>0</v>
      </c>
      <c r="U1426" s="59">
        <f t="shared" si="838"/>
        <v>0</v>
      </c>
      <c r="V1426" s="59">
        <f t="shared" si="838"/>
        <v>0</v>
      </c>
      <c r="W1426" s="59">
        <f t="shared" si="838"/>
        <v>0</v>
      </c>
      <c r="X1426" s="59">
        <f t="shared" si="838"/>
        <v>0</v>
      </c>
    </row>
    <row r="1427" spans="2:24" hidden="1">
      <c r="B1427" s="58" t="str">
        <f t="shared" si="835"/>
        <v/>
      </c>
      <c r="C1427" s="58" t="str">
        <f t="shared" si="835"/>
        <v/>
      </c>
      <c r="D1427" s="58" t="str">
        <f t="shared" si="835"/>
        <v/>
      </c>
      <c r="E1427" s="58" t="str">
        <f t="shared" si="835"/>
        <v/>
      </c>
      <c r="F1427" s="58" t="str">
        <f t="shared" si="835"/>
        <v/>
      </c>
      <c r="G1427" s="58"/>
      <c r="H1427" s="58"/>
      <c r="I1427" s="58"/>
      <c r="J1427" s="58"/>
      <c r="K1427" s="59">
        <f t="shared" ref="K1427:X1427" si="839">IF(AND($D1427="tak",OR($E1427="nie dotyczy",$E1427="badania przemysłowe"),K$1421&lt;=Koniec_Projekt),ROUND(K120*K142,0),0)</f>
        <v>0</v>
      </c>
      <c r="L1427" s="59">
        <f t="shared" si="839"/>
        <v>0</v>
      </c>
      <c r="M1427" s="59">
        <f t="shared" si="839"/>
        <v>0</v>
      </c>
      <c r="N1427" s="59">
        <f t="shared" si="839"/>
        <v>0</v>
      </c>
      <c r="O1427" s="59">
        <f t="shared" si="839"/>
        <v>0</v>
      </c>
      <c r="P1427" s="59">
        <f t="shared" si="839"/>
        <v>0</v>
      </c>
      <c r="Q1427" s="59">
        <f t="shared" si="839"/>
        <v>0</v>
      </c>
      <c r="R1427" s="59">
        <f t="shared" si="839"/>
        <v>0</v>
      </c>
      <c r="S1427" s="59">
        <f t="shared" si="839"/>
        <v>0</v>
      </c>
      <c r="T1427" s="59">
        <f t="shared" si="839"/>
        <v>0</v>
      </c>
      <c r="U1427" s="59">
        <f t="shared" si="839"/>
        <v>0</v>
      </c>
      <c r="V1427" s="59">
        <f t="shared" si="839"/>
        <v>0</v>
      </c>
      <c r="W1427" s="59">
        <f t="shared" si="839"/>
        <v>0</v>
      </c>
      <c r="X1427" s="59">
        <f t="shared" si="839"/>
        <v>0</v>
      </c>
    </row>
    <row r="1428" spans="2:24" hidden="1">
      <c r="B1428" s="58" t="str">
        <f t="shared" si="835"/>
        <v/>
      </c>
      <c r="C1428" s="58" t="str">
        <f t="shared" si="835"/>
        <v/>
      </c>
      <c r="D1428" s="58" t="str">
        <f t="shared" si="835"/>
        <v/>
      </c>
      <c r="E1428" s="58" t="str">
        <f t="shared" si="835"/>
        <v/>
      </c>
      <c r="F1428" s="58" t="str">
        <f t="shared" si="835"/>
        <v/>
      </c>
      <c r="G1428" s="58"/>
      <c r="H1428" s="58"/>
      <c r="I1428" s="58"/>
      <c r="J1428" s="58"/>
      <c r="K1428" s="59">
        <f t="shared" ref="K1428:X1428" si="840">IF(AND($D1428="tak",OR($E1428="nie dotyczy",$E1428="badania przemysłowe"),K$1421&lt;=Koniec_Projekt),ROUND(K121*K143,0),0)</f>
        <v>0</v>
      </c>
      <c r="L1428" s="59">
        <f t="shared" si="840"/>
        <v>0</v>
      </c>
      <c r="M1428" s="59">
        <f t="shared" si="840"/>
        <v>0</v>
      </c>
      <c r="N1428" s="59">
        <f t="shared" si="840"/>
        <v>0</v>
      </c>
      <c r="O1428" s="59">
        <f t="shared" si="840"/>
        <v>0</v>
      </c>
      <c r="P1428" s="59">
        <f t="shared" si="840"/>
        <v>0</v>
      </c>
      <c r="Q1428" s="59">
        <f t="shared" si="840"/>
        <v>0</v>
      </c>
      <c r="R1428" s="59">
        <f t="shared" si="840"/>
        <v>0</v>
      </c>
      <c r="S1428" s="59">
        <f t="shared" si="840"/>
        <v>0</v>
      </c>
      <c r="T1428" s="59">
        <f t="shared" si="840"/>
        <v>0</v>
      </c>
      <c r="U1428" s="59">
        <f t="shared" si="840"/>
        <v>0</v>
      </c>
      <c r="V1428" s="59">
        <f t="shared" si="840"/>
        <v>0</v>
      </c>
      <c r="W1428" s="59">
        <f t="shared" si="840"/>
        <v>0</v>
      </c>
      <c r="X1428" s="59">
        <f t="shared" si="840"/>
        <v>0</v>
      </c>
    </row>
    <row r="1429" spans="2:24" hidden="1">
      <c r="B1429" s="58" t="str">
        <f t="shared" si="835"/>
        <v/>
      </c>
      <c r="C1429" s="58" t="str">
        <f t="shared" si="835"/>
        <v/>
      </c>
      <c r="D1429" s="58" t="str">
        <f t="shared" si="835"/>
        <v/>
      </c>
      <c r="E1429" s="58" t="str">
        <f t="shared" si="835"/>
        <v/>
      </c>
      <c r="F1429" s="58" t="str">
        <f t="shared" si="835"/>
        <v/>
      </c>
      <c r="G1429" s="58"/>
      <c r="H1429" s="58"/>
      <c r="I1429" s="58"/>
      <c r="J1429" s="58"/>
      <c r="K1429" s="59">
        <f t="shared" ref="K1429:X1429" si="841">IF(AND($D1429="tak",OR($E1429="nie dotyczy",$E1429="badania przemysłowe"),K$1421&lt;=Koniec_Projekt),ROUND(K122*K144,0),0)</f>
        <v>0</v>
      </c>
      <c r="L1429" s="59">
        <f t="shared" si="841"/>
        <v>0</v>
      </c>
      <c r="M1429" s="59">
        <f t="shared" si="841"/>
        <v>0</v>
      </c>
      <c r="N1429" s="59">
        <f t="shared" si="841"/>
        <v>0</v>
      </c>
      <c r="O1429" s="59">
        <f t="shared" si="841"/>
        <v>0</v>
      </c>
      <c r="P1429" s="59">
        <f t="shared" si="841"/>
        <v>0</v>
      </c>
      <c r="Q1429" s="59">
        <f t="shared" si="841"/>
        <v>0</v>
      </c>
      <c r="R1429" s="59">
        <f t="shared" si="841"/>
        <v>0</v>
      </c>
      <c r="S1429" s="59">
        <f t="shared" si="841"/>
        <v>0</v>
      </c>
      <c r="T1429" s="59">
        <f t="shared" si="841"/>
        <v>0</v>
      </c>
      <c r="U1429" s="59">
        <f t="shared" si="841"/>
        <v>0</v>
      </c>
      <c r="V1429" s="59">
        <f t="shared" si="841"/>
        <v>0</v>
      </c>
      <c r="W1429" s="59">
        <f t="shared" si="841"/>
        <v>0</v>
      </c>
      <c r="X1429" s="59">
        <f t="shared" si="841"/>
        <v>0</v>
      </c>
    </row>
    <row r="1430" spans="2:24" hidden="1">
      <c r="B1430" s="58" t="str">
        <f t="shared" si="835"/>
        <v/>
      </c>
      <c r="C1430" s="58" t="str">
        <f t="shared" si="835"/>
        <v/>
      </c>
      <c r="D1430" s="58" t="str">
        <f t="shared" si="835"/>
        <v/>
      </c>
      <c r="E1430" s="58" t="str">
        <f t="shared" si="835"/>
        <v/>
      </c>
      <c r="F1430" s="58" t="str">
        <f t="shared" si="835"/>
        <v/>
      </c>
      <c r="G1430" s="58"/>
      <c r="H1430" s="58"/>
      <c r="I1430" s="58"/>
      <c r="J1430" s="58"/>
      <c r="K1430" s="59">
        <f t="shared" ref="K1430:X1430" si="842">IF(AND($D1430="tak",OR($E1430="nie dotyczy",$E1430="badania przemysłowe"),K$1421&lt;=Koniec_Projekt),ROUND(K123*K145,0),0)</f>
        <v>0</v>
      </c>
      <c r="L1430" s="59">
        <f t="shared" si="842"/>
        <v>0</v>
      </c>
      <c r="M1430" s="59">
        <f t="shared" si="842"/>
        <v>0</v>
      </c>
      <c r="N1430" s="59">
        <f t="shared" si="842"/>
        <v>0</v>
      </c>
      <c r="O1430" s="59">
        <f t="shared" si="842"/>
        <v>0</v>
      </c>
      <c r="P1430" s="59">
        <f t="shared" si="842"/>
        <v>0</v>
      </c>
      <c r="Q1430" s="59">
        <f t="shared" si="842"/>
        <v>0</v>
      </c>
      <c r="R1430" s="59">
        <f t="shared" si="842"/>
        <v>0</v>
      </c>
      <c r="S1430" s="59">
        <f t="shared" si="842"/>
        <v>0</v>
      </c>
      <c r="T1430" s="59">
        <f t="shared" si="842"/>
        <v>0</v>
      </c>
      <c r="U1430" s="59">
        <f t="shared" si="842"/>
        <v>0</v>
      </c>
      <c r="V1430" s="59">
        <f t="shared" si="842"/>
        <v>0</v>
      </c>
      <c r="W1430" s="59">
        <f t="shared" si="842"/>
        <v>0</v>
      </c>
      <c r="X1430" s="59">
        <f t="shared" si="842"/>
        <v>0</v>
      </c>
    </row>
    <row r="1431" spans="2:24" hidden="1">
      <c r="B1431" s="58" t="str">
        <f t="shared" si="835"/>
        <v/>
      </c>
      <c r="C1431" s="58" t="str">
        <f t="shared" si="835"/>
        <v/>
      </c>
      <c r="D1431" s="58" t="str">
        <f t="shared" si="835"/>
        <v/>
      </c>
      <c r="E1431" s="58" t="str">
        <f t="shared" si="835"/>
        <v/>
      </c>
      <c r="F1431" s="58" t="str">
        <f t="shared" si="835"/>
        <v/>
      </c>
      <c r="G1431" s="58"/>
      <c r="H1431" s="58"/>
      <c r="I1431" s="58"/>
      <c r="J1431" s="58"/>
      <c r="K1431" s="59">
        <f t="shared" ref="K1431:X1431" si="843">IF(AND($D1431="tak",OR($E1431="nie dotyczy",$E1431="badania przemysłowe"),K$1421&lt;=Koniec_Projekt),ROUND(K124*K146,0),0)</f>
        <v>0</v>
      </c>
      <c r="L1431" s="59">
        <f t="shared" si="843"/>
        <v>0</v>
      </c>
      <c r="M1431" s="59">
        <f t="shared" si="843"/>
        <v>0</v>
      </c>
      <c r="N1431" s="59">
        <f t="shared" si="843"/>
        <v>0</v>
      </c>
      <c r="O1431" s="59">
        <f t="shared" si="843"/>
        <v>0</v>
      </c>
      <c r="P1431" s="59">
        <f t="shared" si="843"/>
        <v>0</v>
      </c>
      <c r="Q1431" s="59">
        <f t="shared" si="843"/>
        <v>0</v>
      </c>
      <c r="R1431" s="59">
        <f t="shared" si="843"/>
        <v>0</v>
      </c>
      <c r="S1431" s="59">
        <f t="shared" si="843"/>
        <v>0</v>
      </c>
      <c r="T1431" s="59">
        <f t="shared" si="843"/>
        <v>0</v>
      </c>
      <c r="U1431" s="59">
        <f t="shared" si="843"/>
        <v>0</v>
      </c>
      <c r="V1431" s="59">
        <f t="shared" si="843"/>
        <v>0</v>
      </c>
      <c r="W1431" s="59">
        <f t="shared" si="843"/>
        <v>0</v>
      </c>
      <c r="X1431" s="59">
        <f t="shared" si="843"/>
        <v>0</v>
      </c>
    </row>
    <row r="1432" spans="2:24" hidden="1">
      <c r="B1432" s="58" t="str">
        <f t="shared" si="835"/>
        <v/>
      </c>
      <c r="C1432" s="58" t="str">
        <f t="shared" si="835"/>
        <v/>
      </c>
      <c r="D1432" s="58" t="str">
        <f t="shared" si="835"/>
        <v/>
      </c>
      <c r="E1432" s="58" t="str">
        <f t="shared" si="835"/>
        <v/>
      </c>
      <c r="F1432" s="58" t="str">
        <f t="shared" si="835"/>
        <v/>
      </c>
      <c r="G1432" s="58"/>
      <c r="H1432" s="58"/>
      <c r="I1432" s="58"/>
      <c r="J1432" s="58"/>
      <c r="K1432" s="59">
        <f t="shared" ref="K1432:X1432" si="844">IF(AND($D1432="tak",OR($E1432="nie dotyczy",$E1432="badania przemysłowe"),K$1421&lt;=Koniec_Projekt),ROUND(K125*K147,0),0)</f>
        <v>0</v>
      </c>
      <c r="L1432" s="59">
        <f t="shared" si="844"/>
        <v>0</v>
      </c>
      <c r="M1432" s="59">
        <f t="shared" si="844"/>
        <v>0</v>
      </c>
      <c r="N1432" s="59">
        <f t="shared" si="844"/>
        <v>0</v>
      </c>
      <c r="O1432" s="59">
        <f t="shared" si="844"/>
        <v>0</v>
      </c>
      <c r="P1432" s="59">
        <f t="shared" si="844"/>
        <v>0</v>
      </c>
      <c r="Q1432" s="59">
        <f t="shared" si="844"/>
        <v>0</v>
      </c>
      <c r="R1432" s="59">
        <f t="shared" si="844"/>
        <v>0</v>
      </c>
      <c r="S1432" s="59">
        <f t="shared" si="844"/>
        <v>0</v>
      </c>
      <c r="T1432" s="59">
        <f t="shared" si="844"/>
        <v>0</v>
      </c>
      <c r="U1432" s="59">
        <f t="shared" si="844"/>
        <v>0</v>
      </c>
      <c r="V1432" s="59">
        <f t="shared" si="844"/>
        <v>0</v>
      </c>
      <c r="W1432" s="59">
        <f t="shared" si="844"/>
        <v>0</v>
      </c>
      <c r="X1432" s="59">
        <f t="shared" si="844"/>
        <v>0</v>
      </c>
    </row>
    <row r="1433" spans="2:24" hidden="1">
      <c r="B1433" s="58" t="str">
        <f t="shared" si="835"/>
        <v/>
      </c>
      <c r="C1433" s="58" t="str">
        <f t="shared" si="835"/>
        <v/>
      </c>
      <c r="D1433" s="58" t="str">
        <f t="shared" si="835"/>
        <v/>
      </c>
      <c r="E1433" s="58" t="str">
        <f t="shared" si="835"/>
        <v/>
      </c>
      <c r="F1433" s="58" t="str">
        <f t="shared" si="835"/>
        <v/>
      </c>
      <c r="G1433" s="58"/>
      <c r="H1433" s="58"/>
      <c r="I1433" s="58"/>
      <c r="J1433" s="58"/>
      <c r="K1433" s="59">
        <f t="shared" ref="K1433:X1433" si="845">IF(AND($D1433="tak",OR($E1433="nie dotyczy",$E1433="badania przemysłowe"),K$1421&lt;=Koniec_Projekt),ROUND(K126*K148,0),0)</f>
        <v>0</v>
      </c>
      <c r="L1433" s="59">
        <f t="shared" si="845"/>
        <v>0</v>
      </c>
      <c r="M1433" s="59">
        <f t="shared" si="845"/>
        <v>0</v>
      </c>
      <c r="N1433" s="59">
        <f t="shared" si="845"/>
        <v>0</v>
      </c>
      <c r="O1433" s="59">
        <f t="shared" si="845"/>
        <v>0</v>
      </c>
      <c r="P1433" s="59">
        <f t="shared" si="845"/>
        <v>0</v>
      </c>
      <c r="Q1433" s="59">
        <f t="shared" si="845"/>
        <v>0</v>
      </c>
      <c r="R1433" s="59">
        <f t="shared" si="845"/>
        <v>0</v>
      </c>
      <c r="S1433" s="59">
        <f t="shared" si="845"/>
        <v>0</v>
      </c>
      <c r="T1433" s="59">
        <f t="shared" si="845"/>
        <v>0</v>
      </c>
      <c r="U1433" s="59">
        <f t="shared" si="845"/>
        <v>0</v>
      </c>
      <c r="V1433" s="59">
        <f t="shared" si="845"/>
        <v>0</v>
      </c>
      <c r="W1433" s="59">
        <f t="shared" si="845"/>
        <v>0</v>
      </c>
      <c r="X1433" s="59">
        <f t="shared" si="845"/>
        <v>0</v>
      </c>
    </row>
    <row r="1434" spans="2:24" hidden="1">
      <c r="B1434" s="58" t="str">
        <f t="shared" ref="B1434:F1443" si="846">IF(ISBLANK(B1194),"",B1194)</f>
        <v/>
      </c>
      <c r="C1434" s="58" t="str">
        <f t="shared" si="846"/>
        <v/>
      </c>
      <c r="D1434" s="58" t="str">
        <f t="shared" si="846"/>
        <v/>
      </c>
      <c r="E1434" s="58" t="str">
        <f t="shared" si="846"/>
        <v/>
      </c>
      <c r="F1434" s="58" t="str">
        <f t="shared" si="846"/>
        <v/>
      </c>
      <c r="G1434" s="58"/>
      <c r="H1434" s="58"/>
      <c r="I1434" s="58"/>
      <c r="J1434" s="58"/>
      <c r="K1434" s="59">
        <f t="shared" ref="K1434:X1434" si="847">IF(AND($D1434="tak",OR($E1434="nie dotyczy",$E1434="badania przemysłowe"),K$1421&lt;=Koniec_Projekt),ROUND(K127*K149,0),0)</f>
        <v>0</v>
      </c>
      <c r="L1434" s="59">
        <f t="shared" si="847"/>
        <v>0</v>
      </c>
      <c r="M1434" s="59">
        <f t="shared" si="847"/>
        <v>0</v>
      </c>
      <c r="N1434" s="59">
        <f t="shared" si="847"/>
        <v>0</v>
      </c>
      <c r="O1434" s="59">
        <f t="shared" si="847"/>
        <v>0</v>
      </c>
      <c r="P1434" s="59">
        <f t="shared" si="847"/>
        <v>0</v>
      </c>
      <c r="Q1434" s="59">
        <f t="shared" si="847"/>
        <v>0</v>
      </c>
      <c r="R1434" s="59">
        <f t="shared" si="847"/>
        <v>0</v>
      </c>
      <c r="S1434" s="59">
        <f t="shared" si="847"/>
        <v>0</v>
      </c>
      <c r="T1434" s="59">
        <f t="shared" si="847"/>
        <v>0</v>
      </c>
      <c r="U1434" s="59">
        <f t="shared" si="847"/>
        <v>0</v>
      </c>
      <c r="V1434" s="59">
        <f t="shared" si="847"/>
        <v>0</v>
      </c>
      <c r="W1434" s="59">
        <f t="shared" si="847"/>
        <v>0</v>
      </c>
      <c r="X1434" s="59">
        <f t="shared" si="847"/>
        <v>0</v>
      </c>
    </row>
    <row r="1435" spans="2:24" hidden="1">
      <c r="B1435" s="58" t="str">
        <f t="shared" si="846"/>
        <v/>
      </c>
      <c r="C1435" s="58" t="str">
        <f t="shared" si="846"/>
        <v/>
      </c>
      <c r="D1435" s="58" t="str">
        <f t="shared" si="846"/>
        <v/>
      </c>
      <c r="E1435" s="58" t="str">
        <f t="shared" si="846"/>
        <v/>
      </c>
      <c r="F1435" s="58" t="str">
        <f t="shared" si="846"/>
        <v/>
      </c>
      <c r="G1435" s="58"/>
      <c r="H1435" s="58"/>
      <c r="I1435" s="58"/>
      <c r="J1435" s="58"/>
      <c r="K1435" s="59">
        <f t="shared" ref="K1435:X1435" si="848">IF(AND($D1435="tak",OR($E1435="nie dotyczy",$E1435="badania przemysłowe"),K$1421&lt;=Koniec_Projekt),ROUND(K128*K150,0),0)</f>
        <v>0</v>
      </c>
      <c r="L1435" s="59">
        <f t="shared" si="848"/>
        <v>0</v>
      </c>
      <c r="M1435" s="59">
        <f t="shared" si="848"/>
        <v>0</v>
      </c>
      <c r="N1435" s="59">
        <f t="shared" si="848"/>
        <v>0</v>
      </c>
      <c r="O1435" s="59">
        <f t="shared" si="848"/>
        <v>0</v>
      </c>
      <c r="P1435" s="59">
        <f t="shared" si="848"/>
        <v>0</v>
      </c>
      <c r="Q1435" s="59">
        <f t="shared" si="848"/>
        <v>0</v>
      </c>
      <c r="R1435" s="59">
        <f t="shared" si="848"/>
        <v>0</v>
      </c>
      <c r="S1435" s="59">
        <f t="shared" si="848"/>
        <v>0</v>
      </c>
      <c r="T1435" s="59">
        <f t="shared" si="848"/>
        <v>0</v>
      </c>
      <c r="U1435" s="59">
        <f t="shared" si="848"/>
        <v>0</v>
      </c>
      <c r="V1435" s="59">
        <f t="shared" si="848"/>
        <v>0</v>
      </c>
      <c r="W1435" s="59">
        <f t="shared" si="848"/>
        <v>0</v>
      </c>
      <c r="X1435" s="59">
        <f t="shared" si="848"/>
        <v>0</v>
      </c>
    </row>
    <row r="1436" spans="2:24" hidden="1">
      <c r="B1436" s="58" t="str">
        <f t="shared" si="846"/>
        <v/>
      </c>
      <c r="C1436" s="58" t="str">
        <f t="shared" si="846"/>
        <v/>
      </c>
      <c r="D1436" s="58" t="str">
        <f t="shared" si="846"/>
        <v/>
      </c>
      <c r="E1436" s="58" t="str">
        <f t="shared" si="846"/>
        <v/>
      </c>
      <c r="F1436" s="58" t="str">
        <f t="shared" si="846"/>
        <v/>
      </c>
      <c r="G1436" s="58"/>
      <c r="H1436" s="58"/>
      <c r="I1436" s="58"/>
      <c r="J1436" s="58"/>
      <c r="K1436" s="59">
        <f t="shared" ref="K1436:X1436" si="849">IF(AND($D1436="tak",OR($E1436="nie dotyczy",$E1436="badania przemysłowe"),K$1421&lt;=Koniec_Projekt),ROUND(K129*K151,0),0)</f>
        <v>0</v>
      </c>
      <c r="L1436" s="59">
        <f t="shared" si="849"/>
        <v>0</v>
      </c>
      <c r="M1436" s="59">
        <f t="shared" si="849"/>
        <v>0</v>
      </c>
      <c r="N1436" s="59">
        <f t="shared" si="849"/>
        <v>0</v>
      </c>
      <c r="O1436" s="59">
        <f t="shared" si="849"/>
        <v>0</v>
      </c>
      <c r="P1436" s="59">
        <f t="shared" si="849"/>
        <v>0</v>
      </c>
      <c r="Q1436" s="59">
        <f t="shared" si="849"/>
        <v>0</v>
      </c>
      <c r="R1436" s="59">
        <f t="shared" si="849"/>
        <v>0</v>
      </c>
      <c r="S1436" s="59">
        <f t="shared" si="849"/>
        <v>0</v>
      </c>
      <c r="T1436" s="59">
        <f t="shared" si="849"/>
        <v>0</v>
      </c>
      <c r="U1436" s="59">
        <f t="shared" si="849"/>
        <v>0</v>
      </c>
      <c r="V1436" s="59">
        <f t="shared" si="849"/>
        <v>0</v>
      </c>
      <c r="W1436" s="59">
        <f t="shared" si="849"/>
        <v>0</v>
      </c>
      <c r="X1436" s="59">
        <f t="shared" si="849"/>
        <v>0</v>
      </c>
    </row>
    <row r="1437" spans="2:24" hidden="1">
      <c r="B1437" s="58" t="str">
        <f t="shared" si="846"/>
        <v/>
      </c>
      <c r="C1437" s="58" t="str">
        <f t="shared" si="846"/>
        <v/>
      </c>
      <c r="D1437" s="58" t="str">
        <f t="shared" si="846"/>
        <v/>
      </c>
      <c r="E1437" s="58" t="str">
        <f t="shared" si="846"/>
        <v/>
      </c>
      <c r="F1437" s="58" t="str">
        <f t="shared" si="846"/>
        <v/>
      </c>
      <c r="G1437" s="58"/>
      <c r="H1437" s="58"/>
      <c r="I1437" s="58"/>
      <c r="J1437" s="58"/>
      <c r="K1437" s="59">
        <f t="shared" ref="K1437:X1437" si="850">IF(AND($D1437="tak",OR($E1437="nie dotyczy",$E1437="badania przemysłowe"),K$1421&lt;=Koniec_Projekt),ROUND(K130*K152,0),0)</f>
        <v>0</v>
      </c>
      <c r="L1437" s="59">
        <f t="shared" si="850"/>
        <v>0</v>
      </c>
      <c r="M1437" s="59">
        <f t="shared" si="850"/>
        <v>0</v>
      </c>
      <c r="N1437" s="59">
        <f t="shared" si="850"/>
        <v>0</v>
      </c>
      <c r="O1437" s="59">
        <f t="shared" si="850"/>
        <v>0</v>
      </c>
      <c r="P1437" s="59">
        <f t="shared" si="850"/>
        <v>0</v>
      </c>
      <c r="Q1437" s="59">
        <f t="shared" si="850"/>
        <v>0</v>
      </c>
      <c r="R1437" s="59">
        <f t="shared" si="850"/>
        <v>0</v>
      </c>
      <c r="S1437" s="59">
        <f t="shared" si="850"/>
        <v>0</v>
      </c>
      <c r="T1437" s="59">
        <f t="shared" si="850"/>
        <v>0</v>
      </c>
      <c r="U1437" s="59">
        <f t="shared" si="850"/>
        <v>0</v>
      </c>
      <c r="V1437" s="59">
        <f t="shared" si="850"/>
        <v>0</v>
      </c>
      <c r="W1437" s="59">
        <f t="shared" si="850"/>
        <v>0</v>
      </c>
      <c r="X1437" s="59">
        <f t="shared" si="850"/>
        <v>0</v>
      </c>
    </row>
    <row r="1438" spans="2:24" hidden="1">
      <c r="B1438" s="58" t="str">
        <f t="shared" si="846"/>
        <v/>
      </c>
      <c r="C1438" s="58" t="str">
        <f t="shared" si="846"/>
        <v/>
      </c>
      <c r="D1438" s="58" t="str">
        <f t="shared" si="846"/>
        <v/>
      </c>
      <c r="E1438" s="58" t="str">
        <f t="shared" si="846"/>
        <v/>
      </c>
      <c r="F1438" s="58" t="str">
        <f t="shared" si="846"/>
        <v/>
      </c>
      <c r="G1438" s="58"/>
      <c r="H1438" s="58"/>
      <c r="I1438" s="58"/>
      <c r="J1438" s="58"/>
      <c r="K1438" s="59">
        <f t="shared" ref="K1438:X1438" si="851">IF(AND($D1438="tak",OR($E1438="nie dotyczy",$E1438="badania przemysłowe"),K$1421&lt;=Koniec_Projekt),ROUND(K131*K153,0),0)</f>
        <v>0</v>
      </c>
      <c r="L1438" s="59">
        <f t="shared" si="851"/>
        <v>0</v>
      </c>
      <c r="M1438" s="59">
        <f t="shared" si="851"/>
        <v>0</v>
      </c>
      <c r="N1438" s="59">
        <f t="shared" si="851"/>
        <v>0</v>
      </c>
      <c r="O1438" s="59">
        <f t="shared" si="851"/>
        <v>0</v>
      </c>
      <c r="P1438" s="59">
        <f t="shared" si="851"/>
        <v>0</v>
      </c>
      <c r="Q1438" s="59">
        <f t="shared" si="851"/>
        <v>0</v>
      </c>
      <c r="R1438" s="59">
        <f t="shared" si="851"/>
        <v>0</v>
      </c>
      <c r="S1438" s="59">
        <f t="shared" si="851"/>
        <v>0</v>
      </c>
      <c r="T1438" s="59">
        <f t="shared" si="851"/>
        <v>0</v>
      </c>
      <c r="U1438" s="59">
        <f t="shared" si="851"/>
        <v>0</v>
      </c>
      <c r="V1438" s="59">
        <f t="shared" si="851"/>
        <v>0</v>
      </c>
      <c r="W1438" s="59">
        <f t="shared" si="851"/>
        <v>0</v>
      </c>
      <c r="X1438" s="59">
        <f t="shared" si="851"/>
        <v>0</v>
      </c>
    </row>
    <row r="1439" spans="2:24" hidden="1">
      <c r="B1439" s="58" t="str">
        <f t="shared" si="846"/>
        <v/>
      </c>
      <c r="C1439" s="58" t="str">
        <f t="shared" si="846"/>
        <v/>
      </c>
      <c r="D1439" s="58" t="str">
        <f t="shared" si="846"/>
        <v/>
      </c>
      <c r="E1439" s="58" t="str">
        <f t="shared" si="846"/>
        <v/>
      </c>
      <c r="F1439" s="58" t="str">
        <f t="shared" si="846"/>
        <v/>
      </c>
      <c r="G1439" s="58"/>
      <c r="H1439" s="58"/>
      <c r="I1439" s="58"/>
      <c r="J1439" s="58"/>
      <c r="K1439" s="59">
        <f t="shared" ref="K1439:X1439" si="852">IF(AND($D1439="tak",OR($E1439="nie dotyczy",$E1439="badania przemysłowe"),K$1421&lt;=Koniec_Projekt),ROUND(K132*K154,0),0)</f>
        <v>0</v>
      </c>
      <c r="L1439" s="59">
        <f t="shared" si="852"/>
        <v>0</v>
      </c>
      <c r="M1439" s="59">
        <f t="shared" si="852"/>
        <v>0</v>
      </c>
      <c r="N1439" s="59">
        <f t="shared" si="852"/>
        <v>0</v>
      </c>
      <c r="O1439" s="59">
        <f t="shared" si="852"/>
        <v>0</v>
      </c>
      <c r="P1439" s="59">
        <f t="shared" si="852"/>
        <v>0</v>
      </c>
      <c r="Q1439" s="59">
        <f t="shared" si="852"/>
        <v>0</v>
      </c>
      <c r="R1439" s="59">
        <f t="shared" si="852"/>
        <v>0</v>
      </c>
      <c r="S1439" s="59">
        <f t="shared" si="852"/>
        <v>0</v>
      </c>
      <c r="T1439" s="59">
        <f t="shared" si="852"/>
        <v>0</v>
      </c>
      <c r="U1439" s="59">
        <f t="shared" si="852"/>
        <v>0</v>
      </c>
      <c r="V1439" s="59">
        <f t="shared" si="852"/>
        <v>0</v>
      </c>
      <c r="W1439" s="59">
        <f t="shared" si="852"/>
        <v>0</v>
      </c>
      <c r="X1439" s="59">
        <f t="shared" si="852"/>
        <v>0</v>
      </c>
    </row>
    <row r="1440" spans="2:24" hidden="1">
      <c r="B1440" s="58" t="str">
        <f t="shared" si="846"/>
        <v/>
      </c>
      <c r="C1440" s="58" t="str">
        <f t="shared" si="846"/>
        <v/>
      </c>
      <c r="D1440" s="58" t="str">
        <f t="shared" si="846"/>
        <v/>
      </c>
      <c r="E1440" s="58" t="str">
        <f t="shared" si="846"/>
        <v/>
      </c>
      <c r="F1440" s="58" t="str">
        <f t="shared" si="846"/>
        <v/>
      </c>
      <c r="G1440" s="58"/>
      <c r="H1440" s="58"/>
      <c r="I1440" s="58"/>
      <c r="J1440" s="58"/>
      <c r="K1440" s="59">
        <f t="shared" ref="K1440:X1440" si="853">IF(AND($D1440="tak",OR($E1440="nie dotyczy",$E1440="badania przemysłowe"),K$1421&lt;=Koniec_Projekt),ROUND(K133*K155,0),0)</f>
        <v>0</v>
      </c>
      <c r="L1440" s="59">
        <f t="shared" si="853"/>
        <v>0</v>
      </c>
      <c r="M1440" s="59">
        <f t="shared" si="853"/>
        <v>0</v>
      </c>
      <c r="N1440" s="59">
        <f t="shared" si="853"/>
        <v>0</v>
      </c>
      <c r="O1440" s="59">
        <f t="shared" si="853"/>
        <v>0</v>
      </c>
      <c r="P1440" s="59">
        <f t="shared" si="853"/>
        <v>0</v>
      </c>
      <c r="Q1440" s="59">
        <f t="shared" si="853"/>
        <v>0</v>
      </c>
      <c r="R1440" s="59">
        <f t="shared" si="853"/>
        <v>0</v>
      </c>
      <c r="S1440" s="59">
        <f t="shared" si="853"/>
        <v>0</v>
      </c>
      <c r="T1440" s="59">
        <f t="shared" si="853"/>
        <v>0</v>
      </c>
      <c r="U1440" s="59">
        <f t="shared" si="853"/>
        <v>0</v>
      </c>
      <c r="V1440" s="59">
        <f t="shared" si="853"/>
        <v>0</v>
      </c>
      <c r="W1440" s="59">
        <f t="shared" si="853"/>
        <v>0</v>
      </c>
      <c r="X1440" s="59">
        <f t="shared" si="853"/>
        <v>0</v>
      </c>
    </row>
    <row r="1441" spans="2:24" hidden="1">
      <c r="B1441" s="58" t="str">
        <f t="shared" si="846"/>
        <v/>
      </c>
      <c r="C1441" s="58" t="str">
        <f t="shared" si="846"/>
        <v/>
      </c>
      <c r="D1441" s="58" t="str">
        <f t="shared" si="846"/>
        <v/>
      </c>
      <c r="E1441" s="58" t="str">
        <f t="shared" si="846"/>
        <v/>
      </c>
      <c r="F1441" s="58" t="str">
        <f t="shared" si="846"/>
        <v/>
      </c>
      <c r="G1441" s="58"/>
      <c r="H1441" s="58"/>
      <c r="I1441" s="58"/>
      <c r="J1441" s="58"/>
      <c r="K1441" s="59">
        <f t="shared" ref="K1441:X1441" si="854">IF(AND($D1441="tak",OR($E1441="nie dotyczy",$E1441="badania przemysłowe"),K$1421&lt;=Koniec_Projekt),ROUND(K134*K156,0),0)</f>
        <v>0</v>
      </c>
      <c r="L1441" s="59">
        <f t="shared" si="854"/>
        <v>0</v>
      </c>
      <c r="M1441" s="59">
        <f t="shared" si="854"/>
        <v>0</v>
      </c>
      <c r="N1441" s="59">
        <f t="shared" si="854"/>
        <v>0</v>
      </c>
      <c r="O1441" s="59">
        <f t="shared" si="854"/>
        <v>0</v>
      </c>
      <c r="P1441" s="59">
        <f t="shared" si="854"/>
        <v>0</v>
      </c>
      <c r="Q1441" s="59">
        <f t="shared" si="854"/>
        <v>0</v>
      </c>
      <c r="R1441" s="59">
        <f t="shared" si="854"/>
        <v>0</v>
      </c>
      <c r="S1441" s="59">
        <f t="shared" si="854"/>
        <v>0</v>
      </c>
      <c r="T1441" s="59">
        <f t="shared" si="854"/>
        <v>0</v>
      </c>
      <c r="U1441" s="59">
        <f t="shared" si="854"/>
        <v>0</v>
      </c>
      <c r="V1441" s="59">
        <f t="shared" si="854"/>
        <v>0</v>
      </c>
      <c r="W1441" s="59">
        <f t="shared" si="854"/>
        <v>0</v>
      </c>
      <c r="X1441" s="59">
        <f t="shared" si="854"/>
        <v>0</v>
      </c>
    </row>
    <row r="1442" spans="2:24" hidden="1">
      <c r="B1442" s="58" t="str">
        <f t="shared" si="846"/>
        <v/>
      </c>
      <c r="C1442" s="58" t="str">
        <f t="shared" si="846"/>
        <v/>
      </c>
      <c r="D1442" s="58" t="str">
        <f t="shared" si="846"/>
        <v/>
      </c>
      <c r="E1442" s="58" t="str">
        <f t="shared" si="846"/>
        <v/>
      </c>
      <c r="F1442" s="58" t="str">
        <f t="shared" si="846"/>
        <v/>
      </c>
      <c r="G1442" s="58"/>
      <c r="H1442" s="58"/>
      <c r="I1442" s="58"/>
      <c r="J1442" s="58"/>
      <c r="K1442" s="59">
        <f t="shared" ref="K1442:X1442" si="855">IF(AND($D1442="tak",OR($E1442="nie dotyczy",$E1442="badania przemysłowe"),K$1421&lt;=Koniec_Projekt),ROUND(K135*K157,0),0)</f>
        <v>0</v>
      </c>
      <c r="L1442" s="59">
        <f t="shared" si="855"/>
        <v>0</v>
      </c>
      <c r="M1442" s="59">
        <f t="shared" si="855"/>
        <v>0</v>
      </c>
      <c r="N1442" s="59">
        <f t="shared" si="855"/>
        <v>0</v>
      </c>
      <c r="O1442" s="59">
        <f t="shared" si="855"/>
        <v>0</v>
      </c>
      <c r="P1442" s="59">
        <f t="shared" si="855"/>
        <v>0</v>
      </c>
      <c r="Q1442" s="59">
        <f t="shared" si="855"/>
        <v>0</v>
      </c>
      <c r="R1442" s="59">
        <f t="shared" si="855"/>
        <v>0</v>
      </c>
      <c r="S1442" s="59">
        <f t="shared" si="855"/>
        <v>0</v>
      </c>
      <c r="T1442" s="59">
        <f t="shared" si="855"/>
        <v>0</v>
      </c>
      <c r="U1442" s="59">
        <f t="shared" si="855"/>
        <v>0</v>
      </c>
      <c r="V1442" s="59">
        <f t="shared" si="855"/>
        <v>0</v>
      </c>
      <c r="W1442" s="59">
        <f t="shared" si="855"/>
        <v>0</v>
      </c>
      <c r="X1442" s="59">
        <f t="shared" si="855"/>
        <v>0</v>
      </c>
    </row>
    <row r="1443" spans="2:24" hidden="1">
      <c r="B1443" s="58" t="str">
        <f t="shared" si="846"/>
        <v/>
      </c>
      <c r="C1443" s="58" t="str">
        <f t="shared" si="846"/>
        <v/>
      </c>
      <c r="D1443" s="58" t="str">
        <f t="shared" si="846"/>
        <v/>
      </c>
      <c r="E1443" s="58" t="str">
        <f t="shared" si="846"/>
        <v/>
      </c>
      <c r="F1443" s="58" t="str">
        <f t="shared" si="846"/>
        <v/>
      </c>
      <c r="G1443" s="58"/>
      <c r="H1443" s="58"/>
      <c r="I1443" s="58"/>
      <c r="J1443" s="58"/>
      <c r="K1443" s="59">
        <f t="shared" ref="K1443:X1443" si="856">IF(AND($D1443="tak",OR($E1443="nie dotyczy",$E1443="badania przemysłowe"),K$1421&lt;=Koniec_Projekt),ROUND(K136*K158,0),0)</f>
        <v>0</v>
      </c>
      <c r="L1443" s="59">
        <f t="shared" si="856"/>
        <v>0</v>
      </c>
      <c r="M1443" s="59">
        <f t="shared" si="856"/>
        <v>0</v>
      </c>
      <c r="N1443" s="59">
        <f t="shared" si="856"/>
        <v>0</v>
      </c>
      <c r="O1443" s="59">
        <f t="shared" si="856"/>
        <v>0</v>
      </c>
      <c r="P1443" s="59">
        <f t="shared" si="856"/>
        <v>0</v>
      </c>
      <c r="Q1443" s="59">
        <f t="shared" si="856"/>
        <v>0</v>
      </c>
      <c r="R1443" s="59">
        <f t="shared" si="856"/>
        <v>0</v>
      </c>
      <c r="S1443" s="59">
        <f t="shared" si="856"/>
        <v>0</v>
      </c>
      <c r="T1443" s="59">
        <f t="shared" si="856"/>
        <v>0</v>
      </c>
      <c r="U1443" s="59">
        <f t="shared" si="856"/>
        <v>0</v>
      </c>
      <c r="V1443" s="59">
        <f t="shared" si="856"/>
        <v>0</v>
      </c>
      <c r="W1443" s="59">
        <f t="shared" si="856"/>
        <v>0</v>
      </c>
      <c r="X1443" s="59">
        <f t="shared" si="856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57">ROUND(SUM(K1424:K1443),0)</f>
        <v>0</v>
      </c>
      <c r="L1444" s="60">
        <f t="shared" si="857"/>
        <v>0</v>
      </c>
      <c r="M1444" s="60">
        <f t="shared" si="857"/>
        <v>0</v>
      </c>
      <c r="N1444" s="60">
        <f t="shared" si="857"/>
        <v>0</v>
      </c>
      <c r="O1444" s="60">
        <f t="shared" si="857"/>
        <v>0</v>
      </c>
      <c r="P1444" s="60">
        <f t="shared" si="857"/>
        <v>0</v>
      </c>
      <c r="Q1444" s="60">
        <f t="shared" si="857"/>
        <v>0</v>
      </c>
      <c r="R1444" s="60">
        <f t="shared" si="857"/>
        <v>0</v>
      </c>
      <c r="S1444" s="60">
        <f t="shared" si="857"/>
        <v>0</v>
      </c>
      <c r="T1444" s="60">
        <f t="shared" si="857"/>
        <v>0</v>
      </c>
      <c r="U1444" s="60">
        <f t="shared" si="857"/>
        <v>0</v>
      </c>
      <c r="V1444" s="60">
        <f t="shared" si="857"/>
        <v>0</v>
      </c>
      <c r="W1444" s="60">
        <f t="shared" si="857"/>
        <v>0</v>
      </c>
      <c r="X1444" s="60">
        <f t="shared" si="857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58">IF(ISBLANK(B1208),"",B1208)</f>
        <v/>
      </c>
      <c r="C1448" s="58" t="str">
        <f t="shared" si="858"/>
        <v/>
      </c>
      <c r="D1448" s="58" t="str">
        <f t="shared" si="858"/>
        <v/>
      </c>
      <c r="E1448" s="58" t="str">
        <f t="shared" si="858"/>
        <v/>
      </c>
      <c r="F1448" s="58"/>
      <c r="G1448" s="58"/>
      <c r="H1448" s="58"/>
      <c r="I1448" s="58"/>
      <c r="J1448" s="58"/>
      <c r="K1448" s="59">
        <f t="shared" ref="K1448:X1448" si="859">IF(AND($D1448="tak",OR($E1448="nie dotyczy",$E1448="badania przemysłowe"),K$1421&lt;=Koniec_Projekt),ROUND(K162*K184,0),0)</f>
        <v>0</v>
      </c>
      <c r="L1448" s="59">
        <f t="shared" si="859"/>
        <v>0</v>
      </c>
      <c r="M1448" s="59">
        <f t="shared" si="859"/>
        <v>0</v>
      </c>
      <c r="N1448" s="59">
        <f t="shared" si="859"/>
        <v>0</v>
      </c>
      <c r="O1448" s="59">
        <f t="shared" si="859"/>
        <v>0</v>
      </c>
      <c r="P1448" s="59">
        <f t="shared" si="859"/>
        <v>0</v>
      </c>
      <c r="Q1448" s="59">
        <f t="shared" si="859"/>
        <v>0</v>
      </c>
      <c r="R1448" s="59">
        <f t="shared" si="859"/>
        <v>0</v>
      </c>
      <c r="S1448" s="59">
        <f t="shared" si="859"/>
        <v>0</v>
      </c>
      <c r="T1448" s="59">
        <f t="shared" si="859"/>
        <v>0</v>
      </c>
      <c r="U1448" s="59">
        <f t="shared" si="859"/>
        <v>0</v>
      </c>
      <c r="V1448" s="59">
        <f t="shared" si="859"/>
        <v>0</v>
      </c>
      <c r="W1448" s="59">
        <f t="shared" si="859"/>
        <v>0</v>
      </c>
      <c r="X1448" s="59">
        <f t="shared" si="859"/>
        <v>0</v>
      </c>
    </row>
    <row r="1449" spans="2:24" hidden="1">
      <c r="B1449" s="58" t="str">
        <f t="shared" si="858"/>
        <v/>
      </c>
      <c r="C1449" s="58" t="str">
        <f t="shared" si="858"/>
        <v/>
      </c>
      <c r="D1449" s="58" t="str">
        <f t="shared" si="858"/>
        <v/>
      </c>
      <c r="E1449" s="58" t="str">
        <f t="shared" si="858"/>
        <v/>
      </c>
      <c r="F1449" s="58"/>
      <c r="G1449" s="58"/>
      <c r="H1449" s="58"/>
      <c r="I1449" s="58"/>
      <c r="J1449" s="58"/>
      <c r="K1449" s="59">
        <f t="shared" ref="K1449:X1449" si="860">IF(AND($D1449="tak",OR($E1449="nie dotyczy",$E1449="badania przemysłowe"),K$1421&lt;=Koniec_Projekt),ROUND(K163*K185,0),0)</f>
        <v>0</v>
      </c>
      <c r="L1449" s="59">
        <f t="shared" si="860"/>
        <v>0</v>
      </c>
      <c r="M1449" s="59">
        <f t="shared" si="860"/>
        <v>0</v>
      </c>
      <c r="N1449" s="59">
        <f t="shared" si="860"/>
        <v>0</v>
      </c>
      <c r="O1449" s="59">
        <f t="shared" si="860"/>
        <v>0</v>
      </c>
      <c r="P1449" s="59">
        <f t="shared" si="860"/>
        <v>0</v>
      </c>
      <c r="Q1449" s="59">
        <f t="shared" si="860"/>
        <v>0</v>
      </c>
      <c r="R1449" s="59">
        <f t="shared" si="860"/>
        <v>0</v>
      </c>
      <c r="S1449" s="59">
        <f t="shared" si="860"/>
        <v>0</v>
      </c>
      <c r="T1449" s="59">
        <f t="shared" si="860"/>
        <v>0</v>
      </c>
      <c r="U1449" s="59">
        <f t="shared" si="860"/>
        <v>0</v>
      </c>
      <c r="V1449" s="59">
        <f t="shared" si="860"/>
        <v>0</v>
      </c>
      <c r="W1449" s="59">
        <f t="shared" si="860"/>
        <v>0</v>
      </c>
      <c r="X1449" s="59">
        <f t="shared" si="860"/>
        <v>0</v>
      </c>
    </row>
    <row r="1450" spans="2:24" hidden="1">
      <c r="B1450" s="58" t="str">
        <f t="shared" si="858"/>
        <v/>
      </c>
      <c r="C1450" s="58" t="str">
        <f t="shared" si="858"/>
        <v/>
      </c>
      <c r="D1450" s="58" t="str">
        <f t="shared" si="858"/>
        <v/>
      </c>
      <c r="E1450" s="58" t="str">
        <f t="shared" si="858"/>
        <v/>
      </c>
      <c r="F1450" s="58"/>
      <c r="G1450" s="58"/>
      <c r="H1450" s="58"/>
      <c r="I1450" s="58"/>
      <c r="J1450" s="58"/>
      <c r="K1450" s="59">
        <f t="shared" ref="K1450:X1450" si="861">IF(AND($D1450="tak",OR($E1450="nie dotyczy",$E1450="badania przemysłowe"),K$1421&lt;=Koniec_Projekt),ROUND(K164*K186,0),0)</f>
        <v>0</v>
      </c>
      <c r="L1450" s="59">
        <f t="shared" si="861"/>
        <v>0</v>
      </c>
      <c r="M1450" s="59">
        <f t="shared" si="861"/>
        <v>0</v>
      </c>
      <c r="N1450" s="59">
        <f t="shared" si="861"/>
        <v>0</v>
      </c>
      <c r="O1450" s="59">
        <f t="shared" si="861"/>
        <v>0</v>
      </c>
      <c r="P1450" s="59">
        <f t="shared" si="861"/>
        <v>0</v>
      </c>
      <c r="Q1450" s="59">
        <f t="shared" si="861"/>
        <v>0</v>
      </c>
      <c r="R1450" s="59">
        <f t="shared" si="861"/>
        <v>0</v>
      </c>
      <c r="S1450" s="59">
        <f t="shared" si="861"/>
        <v>0</v>
      </c>
      <c r="T1450" s="59">
        <f t="shared" si="861"/>
        <v>0</v>
      </c>
      <c r="U1450" s="59">
        <f t="shared" si="861"/>
        <v>0</v>
      </c>
      <c r="V1450" s="59">
        <f t="shared" si="861"/>
        <v>0</v>
      </c>
      <c r="W1450" s="59">
        <f t="shared" si="861"/>
        <v>0</v>
      </c>
      <c r="X1450" s="59">
        <f t="shared" si="861"/>
        <v>0</v>
      </c>
    </row>
    <row r="1451" spans="2:24" hidden="1">
      <c r="B1451" s="58" t="str">
        <f t="shared" si="858"/>
        <v/>
      </c>
      <c r="C1451" s="58" t="str">
        <f t="shared" si="858"/>
        <v/>
      </c>
      <c r="D1451" s="58" t="str">
        <f t="shared" si="858"/>
        <v/>
      </c>
      <c r="E1451" s="58" t="str">
        <f t="shared" si="858"/>
        <v/>
      </c>
      <c r="F1451" s="58"/>
      <c r="G1451" s="58"/>
      <c r="H1451" s="58"/>
      <c r="I1451" s="58"/>
      <c r="J1451" s="58"/>
      <c r="K1451" s="59">
        <f t="shared" ref="K1451:X1451" si="862">IF(AND($D1451="tak",OR($E1451="nie dotyczy",$E1451="badania przemysłowe"),K$1421&lt;=Koniec_Projekt),ROUND(K165*K187,0),0)</f>
        <v>0</v>
      </c>
      <c r="L1451" s="59">
        <f t="shared" si="862"/>
        <v>0</v>
      </c>
      <c r="M1451" s="59">
        <f t="shared" si="862"/>
        <v>0</v>
      </c>
      <c r="N1451" s="59">
        <f t="shared" si="862"/>
        <v>0</v>
      </c>
      <c r="O1451" s="59">
        <f t="shared" si="862"/>
        <v>0</v>
      </c>
      <c r="P1451" s="59">
        <f t="shared" si="862"/>
        <v>0</v>
      </c>
      <c r="Q1451" s="59">
        <f t="shared" si="862"/>
        <v>0</v>
      </c>
      <c r="R1451" s="59">
        <f t="shared" si="862"/>
        <v>0</v>
      </c>
      <c r="S1451" s="59">
        <f t="shared" si="862"/>
        <v>0</v>
      </c>
      <c r="T1451" s="59">
        <f t="shared" si="862"/>
        <v>0</v>
      </c>
      <c r="U1451" s="59">
        <f t="shared" si="862"/>
        <v>0</v>
      </c>
      <c r="V1451" s="59">
        <f t="shared" si="862"/>
        <v>0</v>
      </c>
      <c r="W1451" s="59">
        <f t="shared" si="862"/>
        <v>0</v>
      </c>
      <c r="X1451" s="59">
        <f t="shared" si="862"/>
        <v>0</v>
      </c>
    </row>
    <row r="1452" spans="2:24" hidden="1">
      <c r="B1452" s="58" t="str">
        <f t="shared" si="858"/>
        <v/>
      </c>
      <c r="C1452" s="58" t="str">
        <f t="shared" si="858"/>
        <v/>
      </c>
      <c r="D1452" s="58" t="str">
        <f t="shared" si="858"/>
        <v/>
      </c>
      <c r="E1452" s="58" t="str">
        <f t="shared" si="858"/>
        <v/>
      </c>
      <c r="F1452" s="58"/>
      <c r="G1452" s="58"/>
      <c r="H1452" s="58"/>
      <c r="I1452" s="58"/>
      <c r="J1452" s="58"/>
      <c r="K1452" s="59">
        <f t="shared" ref="K1452:X1452" si="863">IF(AND($D1452="tak",OR($E1452="nie dotyczy",$E1452="badania przemysłowe"),K$1421&lt;=Koniec_Projekt),ROUND(K166*K188,0),0)</f>
        <v>0</v>
      </c>
      <c r="L1452" s="59">
        <f t="shared" si="863"/>
        <v>0</v>
      </c>
      <c r="M1452" s="59">
        <f t="shared" si="863"/>
        <v>0</v>
      </c>
      <c r="N1452" s="59">
        <f t="shared" si="863"/>
        <v>0</v>
      </c>
      <c r="O1452" s="59">
        <f t="shared" si="863"/>
        <v>0</v>
      </c>
      <c r="P1452" s="59">
        <f t="shared" si="863"/>
        <v>0</v>
      </c>
      <c r="Q1452" s="59">
        <f t="shared" si="863"/>
        <v>0</v>
      </c>
      <c r="R1452" s="59">
        <f t="shared" si="863"/>
        <v>0</v>
      </c>
      <c r="S1452" s="59">
        <f t="shared" si="863"/>
        <v>0</v>
      </c>
      <c r="T1452" s="59">
        <f t="shared" si="863"/>
        <v>0</v>
      </c>
      <c r="U1452" s="59">
        <f t="shared" si="863"/>
        <v>0</v>
      </c>
      <c r="V1452" s="59">
        <f t="shared" si="863"/>
        <v>0</v>
      </c>
      <c r="W1452" s="59">
        <f t="shared" si="863"/>
        <v>0</v>
      </c>
      <c r="X1452" s="59">
        <f t="shared" si="863"/>
        <v>0</v>
      </c>
    </row>
    <row r="1453" spans="2:24" hidden="1">
      <c r="B1453" s="58" t="str">
        <f t="shared" si="858"/>
        <v/>
      </c>
      <c r="C1453" s="58" t="str">
        <f t="shared" si="858"/>
        <v/>
      </c>
      <c r="D1453" s="58" t="str">
        <f t="shared" si="858"/>
        <v/>
      </c>
      <c r="E1453" s="58" t="str">
        <f t="shared" si="858"/>
        <v/>
      </c>
      <c r="F1453" s="58"/>
      <c r="G1453" s="58"/>
      <c r="H1453" s="58"/>
      <c r="I1453" s="58"/>
      <c r="J1453" s="58"/>
      <c r="K1453" s="59">
        <f t="shared" ref="K1453:X1453" si="864">IF(AND($D1453="tak",OR($E1453="nie dotyczy",$E1453="badania przemysłowe"),K$1421&lt;=Koniec_Projekt),ROUND(K167*K189,0),0)</f>
        <v>0</v>
      </c>
      <c r="L1453" s="59">
        <f t="shared" si="864"/>
        <v>0</v>
      </c>
      <c r="M1453" s="59">
        <f t="shared" si="864"/>
        <v>0</v>
      </c>
      <c r="N1453" s="59">
        <f t="shared" si="864"/>
        <v>0</v>
      </c>
      <c r="O1453" s="59">
        <f t="shared" si="864"/>
        <v>0</v>
      </c>
      <c r="P1453" s="59">
        <f t="shared" si="864"/>
        <v>0</v>
      </c>
      <c r="Q1453" s="59">
        <f t="shared" si="864"/>
        <v>0</v>
      </c>
      <c r="R1453" s="59">
        <f t="shared" si="864"/>
        <v>0</v>
      </c>
      <c r="S1453" s="59">
        <f t="shared" si="864"/>
        <v>0</v>
      </c>
      <c r="T1453" s="59">
        <f t="shared" si="864"/>
        <v>0</v>
      </c>
      <c r="U1453" s="59">
        <f t="shared" si="864"/>
        <v>0</v>
      </c>
      <c r="V1453" s="59">
        <f t="shared" si="864"/>
        <v>0</v>
      </c>
      <c r="W1453" s="59">
        <f t="shared" si="864"/>
        <v>0</v>
      </c>
      <c r="X1453" s="59">
        <f t="shared" si="864"/>
        <v>0</v>
      </c>
    </row>
    <row r="1454" spans="2:24" hidden="1">
      <c r="B1454" s="58" t="str">
        <f t="shared" si="858"/>
        <v/>
      </c>
      <c r="C1454" s="58" t="str">
        <f t="shared" si="858"/>
        <v/>
      </c>
      <c r="D1454" s="58" t="str">
        <f t="shared" si="858"/>
        <v/>
      </c>
      <c r="E1454" s="58" t="str">
        <f t="shared" si="858"/>
        <v/>
      </c>
      <c r="F1454" s="58"/>
      <c r="G1454" s="58"/>
      <c r="H1454" s="58"/>
      <c r="I1454" s="58"/>
      <c r="J1454" s="58"/>
      <c r="K1454" s="59">
        <f t="shared" ref="K1454:X1454" si="865">IF(AND($D1454="tak",OR($E1454="nie dotyczy",$E1454="badania przemysłowe"),K$1421&lt;=Koniec_Projekt),ROUND(K168*K190,0),0)</f>
        <v>0</v>
      </c>
      <c r="L1454" s="59">
        <f t="shared" si="865"/>
        <v>0</v>
      </c>
      <c r="M1454" s="59">
        <f t="shared" si="865"/>
        <v>0</v>
      </c>
      <c r="N1454" s="59">
        <f t="shared" si="865"/>
        <v>0</v>
      </c>
      <c r="O1454" s="59">
        <f t="shared" si="865"/>
        <v>0</v>
      </c>
      <c r="P1454" s="59">
        <f t="shared" si="865"/>
        <v>0</v>
      </c>
      <c r="Q1454" s="59">
        <f t="shared" si="865"/>
        <v>0</v>
      </c>
      <c r="R1454" s="59">
        <f t="shared" si="865"/>
        <v>0</v>
      </c>
      <c r="S1454" s="59">
        <f t="shared" si="865"/>
        <v>0</v>
      </c>
      <c r="T1454" s="59">
        <f t="shared" si="865"/>
        <v>0</v>
      </c>
      <c r="U1454" s="59">
        <f t="shared" si="865"/>
        <v>0</v>
      </c>
      <c r="V1454" s="59">
        <f t="shared" si="865"/>
        <v>0</v>
      </c>
      <c r="W1454" s="59">
        <f t="shared" si="865"/>
        <v>0</v>
      </c>
      <c r="X1454" s="59">
        <f t="shared" si="865"/>
        <v>0</v>
      </c>
    </row>
    <row r="1455" spans="2:24" hidden="1">
      <c r="B1455" s="58" t="str">
        <f t="shared" si="858"/>
        <v/>
      </c>
      <c r="C1455" s="58" t="str">
        <f t="shared" si="858"/>
        <v/>
      </c>
      <c r="D1455" s="58" t="str">
        <f t="shared" si="858"/>
        <v/>
      </c>
      <c r="E1455" s="58" t="str">
        <f t="shared" si="858"/>
        <v/>
      </c>
      <c r="F1455" s="58"/>
      <c r="G1455" s="58"/>
      <c r="H1455" s="58"/>
      <c r="I1455" s="58"/>
      <c r="J1455" s="58"/>
      <c r="K1455" s="59">
        <f t="shared" ref="K1455:X1455" si="866">IF(AND($D1455="tak",OR($E1455="nie dotyczy",$E1455="badania przemysłowe"),K$1421&lt;=Koniec_Projekt),ROUND(K169*K191,0),0)</f>
        <v>0</v>
      </c>
      <c r="L1455" s="59">
        <f t="shared" si="866"/>
        <v>0</v>
      </c>
      <c r="M1455" s="59">
        <f t="shared" si="866"/>
        <v>0</v>
      </c>
      <c r="N1455" s="59">
        <f t="shared" si="866"/>
        <v>0</v>
      </c>
      <c r="O1455" s="59">
        <f t="shared" si="866"/>
        <v>0</v>
      </c>
      <c r="P1455" s="59">
        <f t="shared" si="866"/>
        <v>0</v>
      </c>
      <c r="Q1455" s="59">
        <f t="shared" si="866"/>
        <v>0</v>
      </c>
      <c r="R1455" s="59">
        <f t="shared" si="866"/>
        <v>0</v>
      </c>
      <c r="S1455" s="59">
        <f t="shared" si="866"/>
        <v>0</v>
      </c>
      <c r="T1455" s="59">
        <f t="shared" si="866"/>
        <v>0</v>
      </c>
      <c r="U1455" s="59">
        <f t="shared" si="866"/>
        <v>0</v>
      </c>
      <c r="V1455" s="59">
        <f t="shared" si="866"/>
        <v>0</v>
      </c>
      <c r="W1455" s="59">
        <f t="shared" si="866"/>
        <v>0</v>
      </c>
      <c r="X1455" s="59">
        <f t="shared" si="866"/>
        <v>0</v>
      </c>
    </row>
    <row r="1456" spans="2:24" hidden="1">
      <c r="B1456" s="58" t="str">
        <f t="shared" si="858"/>
        <v/>
      </c>
      <c r="C1456" s="58" t="str">
        <f t="shared" si="858"/>
        <v/>
      </c>
      <c r="D1456" s="58" t="str">
        <f t="shared" si="858"/>
        <v/>
      </c>
      <c r="E1456" s="58" t="str">
        <f t="shared" si="858"/>
        <v/>
      </c>
      <c r="F1456" s="58"/>
      <c r="G1456" s="58"/>
      <c r="H1456" s="58"/>
      <c r="I1456" s="58"/>
      <c r="J1456" s="58"/>
      <c r="K1456" s="59">
        <f t="shared" ref="K1456:X1456" si="867">IF(AND($D1456="tak",OR($E1456="nie dotyczy",$E1456="badania przemysłowe"),K$1421&lt;=Koniec_Projekt),ROUND(K170*K192,0),0)</f>
        <v>0</v>
      </c>
      <c r="L1456" s="59">
        <f t="shared" si="867"/>
        <v>0</v>
      </c>
      <c r="M1456" s="59">
        <f t="shared" si="867"/>
        <v>0</v>
      </c>
      <c r="N1456" s="59">
        <f t="shared" si="867"/>
        <v>0</v>
      </c>
      <c r="O1456" s="59">
        <f t="shared" si="867"/>
        <v>0</v>
      </c>
      <c r="P1456" s="59">
        <f t="shared" si="867"/>
        <v>0</v>
      </c>
      <c r="Q1456" s="59">
        <f t="shared" si="867"/>
        <v>0</v>
      </c>
      <c r="R1456" s="59">
        <f t="shared" si="867"/>
        <v>0</v>
      </c>
      <c r="S1456" s="59">
        <f t="shared" si="867"/>
        <v>0</v>
      </c>
      <c r="T1456" s="59">
        <f t="shared" si="867"/>
        <v>0</v>
      </c>
      <c r="U1456" s="59">
        <f t="shared" si="867"/>
        <v>0</v>
      </c>
      <c r="V1456" s="59">
        <f t="shared" si="867"/>
        <v>0</v>
      </c>
      <c r="W1456" s="59">
        <f t="shared" si="867"/>
        <v>0</v>
      </c>
      <c r="X1456" s="59">
        <f t="shared" si="867"/>
        <v>0</v>
      </c>
    </row>
    <row r="1457" spans="2:24" hidden="1">
      <c r="B1457" s="58" t="str">
        <f t="shared" si="858"/>
        <v/>
      </c>
      <c r="C1457" s="58" t="str">
        <f t="shared" si="858"/>
        <v/>
      </c>
      <c r="D1457" s="58" t="str">
        <f t="shared" si="858"/>
        <v/>
      </c>
      <c r="E1457" s="58" t="str">
        <f t="shared" si="858"/>
        <v/>
      </c>
      <c r="F1457" s="58"/>
      <c r="G1457" s="58"/>
      <c r="H1457" s="58"/>
      <c r="I1457" s="58"/>
      <c r="J1457" s="58"/>
      <c r="K1457" s="59">
        <f t="shared" ref="K1457:X1457" si="868">IF(AND($D1457="tak",OR($E1457="nie dotyczy",$E1457="badania przemysłowe"),K$1421&lt;=Koniec_Projekt),ROUND(K171*K193,0),0)</f>
        <v>0</v>
      </c>
      <c r="L1457" s="59">
        <f t="shared" si="868"/>
        <v>0</v>
      </c>
      <c r="M1457" s="59">
        <f t="shared" si="868"/>
        <v>0</v>
      </c>
      <c r="N1457" s="59">
        <f t="shared" si="868"/>
        <v>0</v>
      </c>
      <c r="O1457" s="59">
        <f t="shared" si="868"/>
        <v>0</v>
      </c>
      <c r="P1457" s="59">
        <f t="shared" si="868"/>
        <v>0</v>
      </c>
      <c r="Q1457" s="59">
        <f t="shared" si="868"/>
        <v>0</v>
      </c>
      <c r="R1457" s="59">
        <f t="shared" si="868"/>
        <v>0</v>
      </c>
      <c r="S1457" s="59">
        <f t="shared" si="868"/>
        <v>0</v>
      </c>
      <c r="T1457" s="59">
        <f t="shared" si="868"/>
        <v>0</v>
      </c>
      <c r="U1457" s="59">
        <f t="shared" si="868"/>
        <v>0</v>
      </c>
      <c r="V1457" s="59">
        <f t="shared" si="868"/>
        <v>0</v>
      </c>
      <c r="W1457" s="59">
        <f t="shared" si="868"/>
        <v>0</v>
      </c>
      <c r="X1457" s="59">
        <f t="shared" si="868"/>
        <v>0</v>
      </c>
    </row>
    <row r="1458" spans="2:24" hidden="1">
      <c r="B1458" s="58" t="str">
        <f t="shared" si="858"/>
        <v/>
      </c>
      <c r="C1458" s="58" t="str">
        <f t="shared" si="858"/>
        <v/>
      </c>
      <c r="D1458" s="58" t="str">
        <f t="shared" si="858"/>
        <v/>
      </c>
      <c r="E1458" s="58" t="str">
        <f t="shared" si="858"/>
        <v/>
      </c>
      <c r="F1458" s="58"/>
      <c r="G1458" s="58"/>
      <c r="H1458" s="58"/>
      <c r="I1458" s="58"/>
      <c r="J1458" s="58"/>
      <c r="K1458" s="59">
        <f t="shared" ref="K1458:X1458" si="869">IF(AND($D1458="tak",OR($E1458="nie dotyczy",$E1458="badania przemysłowe"),K$1421&lt;=Koniec_Projekt),ROUND(K172*K194,0),0)</f>
        <v>0</v>
      </c>
      <c r="L1458" s="59">
        <f t="shared" si="869"/>
        <v>0</v>
      </c>
      <c r="M1458" s="59">
        <f t="shared" si="869"/>
        <v>0</v>
      </c>
      <c r="N1458" s="59">
        <f t="shared" si="869"/>
        <v>0</v>
      </c>
      <c r="O1458" s="59">
        <f t="shared" si="869"/>
        <v>0</v>
      </c>
      <c r="P1458" s="59">
        <f t="shared" si="869"/>
        <v>0</v>
      </c>
      <c r="Q1458" s="59">
        <f t="shared" si="869"/>
        <v>0</v>
      </c>
      <c r="R1458" s="59">
        <f t="shared" si="869"/>
        <v>0</v>
      </c>
      <c r="S1458" s="59">
        <f t="shared" si="869"/>
        <v>0</v>
      </c>
      <c r="T1458" s="59">
        <f t="shared" si="869"/>
        <v>0</v>
      </c>
      <c r="U1458" s="59">
        <f t="shared" si="869"/>
        <v>0</v>
      </c>
      <c r="V1458" s="59">
        <f t="shared" si="869"/>
        <v>0</v>
      </c>
      <c r="W1458" s="59">
        <f t="shared" si="869"/>
        <v>0</v>
      </c>
      <c r="X1458" s="59">
        <f t="shared" si="869"/>
        <v>0</v>
      </c>
    </row>
    <row r="1459" spans="2:24" hidden="1">
      <c r="B1459" s="58" t="str">
        <f t="shared" si="858"/>
        <v/>
      </c>
      <c r="C1459" s="58" t="str">
        <f t="shared" si="858"/>
        <v/>
      </c>
      <c r="D1459" s="58" t="str">
        <f t="shared" si="858"/>
        <v/>
      </c>
      <c r="E1459" s="58" t="str">
        <f t="shared" si="858"/>
        <v/>
      </c>
      <c r="F1459" s="58"/>
      <c r="G1459" s="58"/>
      <c r="H1459" s="58"/>
      <c r="I1459" s="58"/>
      <c r="J1459" s="58"/>
      <c r="K1459" s="59">
        <f t="shared" ref="K1459:X1459" si="870">IF(AND($D1459="tak",OR($E1459="nie dotyczy",$E1459="badania przemysłowe"),K$1421&lt;=Koniec_Projekt),ROUND(K173*K195,0),0)</f>
        <v>0</v>
      </c>
      <c r="L1459" s="59">
        <f t="shared" si="870"/>
        <v>0</v>
      </c>
      <c r="M1459" s="59">
        <f t="shared" si="870"/>
        <v>0</v>
      </c>
      <c r="N1459" s="59">
        <f t="shared" si="870"/>
        <v>0</v>
      </c>
      <c r="O1459" s="59">
        <f t="shared" si="870"/>
        <v>0</v>
      </c>
      <c r="P1459" s="59">
        <f t="shared" si="870"/>
        <v>0</v>
      </c>
      <c r="Q1459" s="59">
        <f t="shared" si="870"/>
        <v>0</v>
      </c>
      <c r="R1459" s="59">
        <f t="shared" si="870"/>
        <v>0</v>
      </c>
      <c r="S1459" s="59">
        <f t="shared" si="870"/>
        <v>0</v>
      </c>
      <c r="T1459" s="59">
        <f t="shared" si="870"/>
        <v>0</v>
      </c>
      <c r="U1459" s="59">
        <f t="shared" si="870"/>
        <v>0</v>
      </c>
      <c r="V1459" s="59">
        <f t="shared" si="870"/>
        <v>0</v>
      </c>
      <c r="W1459" s="59">
        <f t="shared" si="870"/>
        <v>0</v>
      </c>
      <c r="X1459" s="59">
        <f t="shared" si="870"/>
        <v>0</v>
      </c>
    </row>
    <row r="1460" spans="2:24" hidden="1">
      <c r="B1460" s="58" t="str">
        <f t="shared" si="858"/>
        <v/>
      </c>
      <c r="C1460" s="58" t="str">
        <f t="shared" si="858"/>
        <v/>
      </c>
      <c r="D1460" s="58" t="str">
        <f t="shared" si="858"/>
        <v/>
      </c>
      <c r="E1460" s="58" t="str">
        <f t="shared" si="858"/>
        <v/>
      </c>
      <c r="F1460" s="58"/>
      <c r="G1460" s="58"/>
      <c r="H1460" s="58"/>
      <c r="I1460" s="58"/>
      <c r="J1460" s="58"/>
      <c r="K1460" s="59">
        <f t="shared" ref="K1460:X1460" si="871">IF(AND($D1460="tak",OR($E1460="nie dotyczy",$E1460="badania przemysłowe"),K$1421&lt;=Koniec_Projekt),ROUND(K174*K196,0),0)</f>
        <v>0</v>
      </c>
      <c r="L1460" s="59">
        <f t="shared" si="871"/>
        <v>0</v>
      </c>
      <c r="M1460" s="59">
        <f t="shared" si="871"/>
        <v>0</v>
      </c>
      <c r="N1460" s="59">
        <f t="shared" si="871"/>
        <v>0</v>
      </c>
      <c r="O1460" s="59">
        <f t="shared" si="871"/>
        <v>0</v>
      </c>
      <c r="P1460" s="59">
        <f t="shared" si="871"/>
        <v>0</v>
      </c>
      <c r="Q1460" s="59">
        <f t="shared" si="871"/>
        <v>0</v>
      </c>
      <c r="R1460" s="59">
        <f t="shared" si="871"/>
        <v>0</v>
      </c>
      <c r="S1460" s="59">
        <f t="shared" si="871"/>
        <v>0</v>
      </c>
      <c r="T1460" s="59">
        <f t="shared" si="871"/>
        <v>0</v>
      </c>
      <c r="U1460" s="59">
        <f t="shared" si="871"/>
        <v>0</v>
      </c>
      <c r="V1460" s="59">
        <f t="shared" si="871"/>
        <v>0</v>
      </c>
      <c r="W1460" s="59">
        <f t="shared" si="871"/>
        <v>0</v>
      </c>
      <c r="X1460" s="59">
        <f t="shared" si="871"/>
        <v>0</v>
      </c>
    </row>
    <row r="1461" spans="2:24" hidden="1">
      <c r="B1461" s="58" t="str">
        <f t="shared" si="858"/>
        <v/>
      </c>
      <c r="C1461" s="58" t="str">
        <f t="shared" si="858"/>
        <v/>
      </c>
      <c r="D1461" s="58" t="str">
        <f t="shared" si="858"/>
        <v/>
      </c>
      <c r="E1461" s="58" t="str">
        <f t="shared" si="858"/>
        <v/>
      </c>
      <c r="F1461" s="58"/>
      <c r="G1461" s="58"/>
      <c r="H1461" s="58"/>
      <c r="I1461" s="58"/>
      <c r="J1461" s="58"/>
      <c r="K1461" s="59">
        <f t="shared" ref="K1461:X1461" si="872">IF(AND($D1461="tak",OR($E1461="nie dotyczy",$E1461="badania przemysłowe"),K$1421&lt;=Koniec_Projekt),ROUND(K175*K197,0),0)</f>
        <v>0</v>
      </c>
      <c r="L1461" s="59">
        <f t="shared" si="872"/>
        <v>0</v>
      </c>
      <c r="M1461" s="59">
        <f t="shared" si="872"/>
        <v>0</v>
      </c>
      <c r="N1461" s="59">
        <f t="shared" si="872"/>
        <v>0</v>
      </c>
      <c r="O1461" s="59">
        <f t="shared" si="872"/>
        <v>0</v>
      </c>
      <c r="P1461" s="59">
        <f t="shared" si="872"/>
        <v>0</v>
      </c>
      <c r="Q1461" s="59">
        <f t="shared" si="872"/>
        <v>0</v>
      </c>
      <c r="R1461" s="59">
        <f t="shared" si="872"/>
        <v>0</v>
      </c>
      <c r="S1461" s="59">
        <f t="shared" si="872"/>
        <v>0</v>
      </c>
      <c r="T1461" s="59">
        <f t="shared" si="872"/>
        <v>0</v>
      </c>
      <c r="U1461" s="59">
        <f t="shared" si="872"/>
        <v>0</v>
      </c>
      <c r="V1461" s="59">
        <f t="shared" si="872"/>
        <v>0</v>
      </c>
      <c r="W1461" s="59">
        <f t="shared" si="872"/>
        <v>0</v>
      </c>
      <c r="X1461" s="59">
        <f t="shared" si="872"/>
        <v>0</v>
      </c>
    </row>
    <row r="1462" spans="2:24" hidden="1">
      <c r="B1462" s="58" t="str">
        <f t="shared" si="858"/>
        <v/>
      </c>
      <c r="C1462" s="58" t="str">
        <f t="shared" si="858"/>
        <v/>
      </c>
      <c r="D1462" s="58" t="str">
        <f t="shared" si="858"/>
        <v/>
      </c>
      <c r="E1462" s="58" t="str">
        <f t="shared" si="858"/>
        <v/>
      </c>
      <c r="F1462" s="58"/>
      <c r="G1462" s="58"/>
      <c r="H1462" s="58"/>
      <c r="I1462" s="58"/>
      <c r="J1462" s="58"/>
      <c r="K1462" s="59">
        <f t="shared" ref="K1462:X1462" si="873">IF(AND($D1462="tak",OR($E1462="nie dotyczy",$E1462="badania przemysłowe"),K$1421&lt;=Koniec_Projekt),ROUND(K176*K198,0),0)</f>
        <v>0</v>
      </c>
      <c r="L1462" s="59">
        <f t="shared" si="873"/>
        <v>0</v>
      </c>
      <c r="M1462" s="59">
        <f t="shared" si="873"/>
        <v>0</v>
      </c>
      <c r="N1462" s="59">
        <f t="shared" si="873"/>
        <v>0</v>
      </c>
      <c r="O1462" s="59">
        <f t="shared" si="873"/>
        <v>0</v>
      </c>
      <c r="P1462" s="59">
        <f t="shared" si="873"/>
        <v>0</v>
      </c>
      <c r="Q1462" s="59">
        <f t="shared" si="873"/>
        <v>0</v>
      </c>
      <c r="R1462" s="59">
        <f t="shared" si="873"/>
        <v>0</v>
      </c>
      <c r="S1462" s="59">
        <f t="shared" si="873"/>
        <v>0</v>
      </c>
      <c r="T1462" s="59">
        <f t="shared" si="873"/>
        <v>0</v>
      </c>
      <c r="U1462" s="59">
        <f t="shared" si="873"/>
        <v>0</v>
      </c>
      <c r="V1462" s="59">
        <f t="shared" si="873"/>
        <v>0</v>
      </c>
      <c r="W1462" s="59">
        <f t="shared" si="873"/>
        <v>0</v>
      </c>
      <c r="X1462" s="59">
        <f t="shared" si="873"/>
        <v>0</v>
      </c>
    </row>
    <row r="1463" spans="2:24" hidden="1">
      <c r="B1463" s="58" t="str">
        <f t="shared" si="858"/>
        <v/>
      </c>
      <c r="C1463" s="58" t="str">
        <f t="shared" si="858"/>
        <v/>
      </c>
      <c r="D1463" s="58" t="str">
        <f t="shared" si="858"/>
        <v/>
      </c>
      <c r="E1463" s="58" t="str">
        <f t="shared" si="858"/>
        <v/>
      </c>
      <c r="F1463" s="58"/>
      <c r="G1463" s="58"/>
      <c r="H1463" s="58"/>
      <c r="I1463" s="58"/>
      <c r="J1463" s="58"/>
      <c r="K1463" s="59">
        <f t="shared" ref="K1463:X1463" si="874">IF(AND($D1463="tak",OR($E1463="nie dotyczy",$E1463="badania przemysłowe"),K$1421&lt;=Koniec_Projekt),ROUND(K177*K199,0),0)</f>
        <v>0</v>
      </c>
      <c r="L1463" s="59">
        <f t="shared" si="874"/>
        <v>0</v>
      </c>
      <c r="M1463" s="59">
        <f t="shared" si="874"/>
        <v>0</v>
      </c>
      <c r="N1463" s="59">
        <f t="shared" si="874"/>
        <v>0</v>
      </c>
      <c r="O1463" s="59">
        <f t="shared" si="874"/>
        <v>0</v>
      </c>
      <c r="P1463" s="59">
        <f t="shared" si="874"/>
        <v>0</v>
      </c>
      <c r="Q1463" s="59">
        <f t="shared" si="874"/>
        <v>0</v>
      </c>
      <c r="R1463" s="59">
        <f t="shared" si="874"/>
        <v>0</v>
      </c>
      <c r="S1463" s="59">
        <f t="shared" si="874"/>
        <v>0</v>
      </c>
      <c r="T1463" s="59">
        <f t="shared" si="874"/>
        <v>0</v>
      </c>
      <c r="U1463" s="59">
        <f t="shared" si="874"/>
        <v>0</v>
      </c>
      <c r="V1463" s="59">
        <f t="shared" si="874"/>
        <v>0</v>
      </c>
      <c r="W1463" s="59">
        <f t="shared" si="874"/>
        <v>0</v>
      </c>
      <c r="X1463" s="59">
        <f t="shared" si="874"/>
        <v>0</v>
      </c>
    </row>
    <row r="1464" spans="2:24" hidden="1">
      <c r="B1464" s="58" t="str">
        <f t="shared" si="858"/>
        <v/>
      </c>
      <c r="C1464" s="58" t="str">
        <f t="shared" si="858"/>
        <v/>
      </c>
      <c r="D1464" s="58" t="str">
        <f t="shared" si="858"/>
        <v/>
      </c>
      <c r="E1464" s="58" t="str">
        <f t="shared" si="858"/>
        <v/>
      </c>
      <c r="F1464" s="58"/>
      <c r="G1464" s="58"/>
      <c r="H1464" s="58"/>
      <c r="I1464" s="58"/>
      <c r="J1464" s="58"/>
      <c r="K1464" s="59">
        <f t="shared" ref="K1464:X1464" si="875">IF(AND($D1464="tak",OR($E1464="nie dotyczy",$E1464="badania przemysłowe"),K$1421&lt;=Koniec_Projekt),ROUND(K178*K200,0),0)</f>
        <v>0</v>
      </c>
      <c r="L1464" s="59">
        <f t="shared" si="875"/>
        <v>0</v>
      </c>
      <c r="M1464" s="59">
        <f t="shared" si="875"/>
        <v>0</v>
      </c>
      <c r="N1464" s="59">
        <f t="shared" si="875"/>
        <v>0</v>
      </c>
      <c r="O1464" s="59">
        <f t="shared" si="875"/>
        <v>0</v>
      </c>
      <c r="P1464" s="59">
        <f t="shared" si="875"/>
        <v>0</v>
      </c>
      <c r="Q1464" s="59">
        <f t="shared" si="875"/>
        <v>0</v>
      </c>
      <c r="R1464" s="59">
        <f t="shared" si="875"/>
        <v>0</v>
      </c>
      <c r="S1464" s="59">
        <f t="shared" si="875"/>
        <v>0</v>
      </c>
      <c r="T1464" s="59">
        <f t="shared" si="875"/>
        <v>0</v>
      </c>
      <c r="U1464" s="59">
        <f t="shared" si="875"/>
        <v>0</v>
      </c>
      <c r="V1464" s="59">
        <f t="shared" si="875"/>
        <v>0</v>
      </c>
      <c r="W1464" s="59">
        <f t="shared" si="875"/>
        <v>0</v>
      </c>
      <c r="X1464" s="59">
        <f t="shared" si="875"/>
        <v>0</v>
      </c>
    </row>
    <row r="1465" spans="2:24" hidden="1">
      <c r="B1465" s="58" t="str">
        <f t="shared" si="858"/>
        <v/>
      </c>
      <c r="C1465" s="58" t="str">
        <f t="shared" si="858"/>
        <v/>
      </c>
      <c r="D1465" s="58" t="str">
        <f t="shared" si="858"/>
        <v/>
      </c>
      <c r="E1465" s="58" t="str">
        <f t="shared" si="858"/>
        <v/>
      </c>
      <c r="F1465" s="58"/>
      <c r="G1465" s="58"/>
      <c r="H1465" s="58"/>
      <c r="I1465" s="58"/>
      <c r="J1465" s="58"/>
      <c r="K1465" s="59">
        <f t="shared" ref="K1465:X1465" si="876">IF(AND($D1465="tak",OR($E1465="nie dotyczy",$E1465="badania przemysłowe"),K$1421&lt;=Koniec_Projekt),ROUND(K179*K201,0),0)</f>
        <v>0</v>
      </c>
      <c r="L1465" s="59">
        <f t="shared" si="876"/>
        <v>0</v>
      </c>
      <c r="M1465" s="59">
        <f t="shared" si="876"/>
        <v>0</v>
      </c>
      <c r="N1465" s="59">
        <f t="shared" si="876"/>
        <v>0</v>
      </c>
      <c r="O1465" s="59">
        <f t="shared" si="876"/>
        <v>0</v>
      </c>
      <c r="P1465" s="59">
        <f t="shared" si="876"/>
        <v>0</v>
      </c>
      <c r="Q1465" s="59">
        <f t="shared" si="876"/>
        <v>0</v>
      </c>
      <c r="R1465" s="59">
        <f t="shared" si="876"/>
        <v>0</v>
      </c>
      <c r="S1465" s="59">
        <f t="shared" si="876"/>
        <v>0</v>
      </c>
      <c r="T1465" s="59">
        <f t="shared" si="876"/>
        <v>0</v>
      </c>
      <c r="U1465" s="59">
        <f t="shared" si="876"/>
        <v>0</v>
      </c>
      <c r="V1465" s="59">
        <f t="shared" si="876"/>
        <v>0</v>
      </c>
      <c r="W1465" s="59">
        <f t="shared" si="876"/>
        <v>0</v>
      </c>
      <c r="X1465" s="59">
        <f t="shared" si="876"/>
        <v>0</v>
      </c>
    </row>
    <row r="1466" spans="2:24" hidden="1">
      <c r="B1466" s="58" t="str">
        <f t="shared" si="858"/>
        <v/>
      </c>
      <c r="C1466" s="58" t="str">
        <f t="shared" si="858"/>
        <v/>
      </c>
      <c r="D1466" s="58" t="str">
        <f t="shared" si="858"/>
        <v/>
      </c>
      <c r="E1466" s="58" t="str">
        <f t="shared" si="858"/>
        <v/>
      </c>
      <c r="F1466" s="58"/>
      <c r="G1466" s="58"/>
      <c r="H1466" s="58"/>
      <c r="I1466" s="58"/>
      <c r="J1466" s="58"/>
      <c r="K1466" s="59">
        <f t="shared" ref="K1466:X1466" si="877">IF(AND($D1466="tak",OR($E1466="nie dotyczy",$E1466="badania przemysłowe"),K$1421&lt;=Koniec_Projekt),ROUND(K180*K202,0),0)</f>
        <v>0</v>
      </c>
      <c r="L1466" s="59">
        <f t="shared" si="877"/>
        <v>0</v>
      </c>
      <c r="M1466" s="59">
        <f t="shared" si="877"/>
        <v>0</v>
      </c>
      <c r="N1466" s="59">
        <f t="shared" si="877"/>
        <v>0</v>
      </c>
      <c r="O1466" s="59">
        <f t="shared" si="877"/>
        <v>0</v>
      </c>
      <c r="P1466" s="59">
        <f t="shared" si="877"/>
        <v>0</v>
      </c>
      <c r="Q1466" s="59">
        <f t="shared" si="877"/>
        <v>0</v>
      </c>
      <c r="R1466" s="59">
        <f t="shared" si="877"/>
        <v>0</v>
      </c>
      <c r="S1466" s="59">
        <f t="shared" si="877"/>
        <v>0</v>
      </c>
      <c r="T1466" s="59">
        <f t="shared" si="877"/>
        <v>0</v>
      </c>
      <c r="U1466" s="59">
        <f t="shared" si="877"/>
        <v>0</v>
      </c>
      <c r="V1466" s="59">
        <f t="shared" si="877"/>
        <v>0</v>
      </c>
      <c r="W1466" s="59">
        <f t="shared" si="877"/>
        <v>0</v>
      </c>
      <c r="X1466" s="59">
        <f t="shared" si="877"/>
        <v>0</v>
      </c>
    </row>
    <row r="1467" spans="2:24" hidden="1">
      <c r="B1467" s="58" t="str">
        <f t="shared" si="858"/>
        <v/>
      </c>
      <c r="C1467" s="58" t="str">
        <f t="shared" si="858"/>
        <v/>
      </c>
      <c r="D1467" s="58" t="str">
        <f t="shared" si="858"/>
        <v/>
      </c>
      <c r="E1467" s="58" t="str">
        <f t="shared" si="858"/>
        <v/>
      </c>
      <c r="F1467" s="58"/>
      <c r="G1467" s="58"/>
      <c r="H1467" s="58"/>
      <c r="I1467" s="58"/>
      <c r="J1467" s="58"/>
      <c r="K1467" s="59">
        <f t="shared" ref="K1467:X1467" si="878">IF(AND($D1467="tak",OR($E1467="nie dotyczy",$E1467="badania przemysłowe"),K$1421&lt;=Koniec_Projekt),ROUND(K181*K203,0),0)</f>
        <v>0</v>
      </c>
      <c r="L1467" s="59">
        <f t="shared" si="878"/>
        <v>0</v>
      </c>
      <c r="M1467" s="59">
        <f t="shared" si="878"/>
        <v>0</v>
      </c>
      <c r="N1467" s="59">
        <f t="shared" si="878"/>
        <v>0</v>
      </c>
      <c r="O1467" s="59">
        <f t="shared" si="878"/>
        <v>0</v>
      </c>
      <c r="P1467" s="59">
        <f t="shared" si="878"/>
        <v>0</v>
      </c>
      <c r="Q1467" s="59">
        <f t="shared" si="878"/>
        <v>0</v>
      </c>
      <c r="R1467" s="59">
        <f t="shared" si="878"/>
        <v>0</v>
      </c>
      <c r="S1467" s="59">
        <f t="shared" si="878"/>
        <v>0</v>
      </c>
      <c r="T1467" s="59">
        <f t="shared" si="878"/>
        <v>0</v>
      </c>
      <c r="U1467" s="59">
        <f t="shared" si="878"/>
        <v>0</v>
      </c>
      <c r="V1467" s="59">
        <f t="shared" si="878"/>
        <v>0</v>
      </c>
      <c r="W1467" s="59">
        <f t="shared" si="878"/>
        <v>0</v>
      </c>
      <c r="X1467" s="59">
        <f t="shared" si="878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79">ROUND(SUM(K1448:K1467),0)</f>
        <v>0</v>
      </c>
      <c r="L1468" s="60">
        <f t="shared" si="879"/>
        <v>0</v>
      </c>
      <c r="M1468" s="60">
        <f t="shared" si="879"/>
        <v>0</v>
      </c>
      <c r="N1468" s="60">
        <f t="shared" si="879"/>
        <v>0</v>
      </c>
      <c r="O1468" s="60">
        <f t="shared" si="879"/>
        <v>0</v>
      </c>
      <c r="P1468" s="60">
        <f t="shared" si="879"/>
        <v>0</v>
      </c>
      <c r="Q1468" s="60">
        <f t="shared" si="879"/>
        <v>0</v>
      </c>
      <c r="R1468" s="60">
        <f t="shared" si="879"/>
        <v>0</v>
      </c>
      <c r="S1468" s="60">
        <f t="shared" si="879"/>
        <v>0</v>
      </c>
      <c r="T1468" s="60">
        <f t="shared" si="879"/>
        <v>0</v>
      </c>
      <c r="U1468" s="60">
        <f t="shared" si="879"/>
        <v>0</v>
      </c>
      <c r="V1468" s="60">
        <f t="shared" si="879"/>
        <v>0</v>
      </c>
      <c r="W1468" s="60">
        <f t="shared" si="879"/>
        <v>0</v>
      </c>
      <c r="X1468" s="60">
        <f t="shared" si="879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0">IF(ISBLANK(B1232),"",B1232)</f>
        <v/>
      </c>
      <c r="C1472" s="58" t="str">
        <f t="shared" si="880"/>
        <v/>
      </c>
      <c r="D1472" s="58" t="str">
        <f t="shared" si="880"/>
        <v/>
      </c>
      <c r="E1472" s="58" t="str">
        <f t="shared" si="880"/>
        <v/>
      </c>
      <c r="F1472" s="58"/>
      <c r="G1472" s="58"/>
      <c r="H1472" s="58"/>
      <c r="I1472" s="58"/>
      <c r="J1472" s="58"/>
      <c r="K1472" s="59">
        <f t="shared" ref="K1472:X1472" si="881">IF(AND($D1472="tak",OR($E1472="nie dotyczy",$E1472="badania przemysłowe"),K$1421&lt;=Koniec_Projekt),ROUND(K207*K214,0),0)</f>
        <v>0</v>
      </c>
      <c r="L1472" s="59">
        <f t="shared" si="881"/>
        <v>0</v>
      </c>
      <c r="M1472" s="59">
        <f t="shared" si="881"/>
        <v>0</v>
      </c>
      <c r="N1472" s="59">
        <f t="shared" si="881"/>
        <v>0</v>
      </c>
      <c r="O1472" s="59">
        <f t="shared" si="881"/>
        <v>0</v>
      </c>
      <c r="P1472" s="59">
        <f t="shared" si="881"/>
        <v>0</v>
      </c>
      <c r="Q1472" s="59">
        <f t="shared" si="881"/>
        <v>0</v>
      </c>
      <c r="R1472" s="59">
        <f t="shared" si="881"/>
        <v>0</v>
      </c>
      <c r="S1472" s="59">
        <f t="shared" si="881"/>
        <v>0</v>
      </c>
      <c r="T1472" s="59">
        <f t="shared" si="881"/>
        <v>0</v>
      </c>
      <c r="U1472" s="59">
        <f t="shared" si="881"/>
        <v>0</v>
      </c>
      <c r="V1472" s="59">
        <f t="shared" si="881"/>
        <v>0</v>
      </c>
      <c r="W1472" s="59">
        <f t="shared" si="881"/>
        <v>0</v>
      </c>
      <c r="X1472" s="59">
        <f t="shared" si="881"/>
        <v>0</v>
      </c>
    </row>
    <row r="1473" spans="2:24" hidden="1">
      <c r="B1473" s="58" t="str">
        <f t="shared" si="880"/>
        <v/>
      </c>
      <c r="C1473" s="58" t="str">
        <f t="shared" si="880"/>
        <v/>
      </c>
      <c r="D1473" s="58" t="str">
        <f t="shared" si="880"/>
        <v/>
      </c>
      <c r="E1473" s="58" t="str">
        <f t="shared" si="880"/>
        <v/>
      </c>
      <c r="F1473" s="58"/>
      <c r="G1473" s="58"/>
      <c r="H1473" s="58"/>
      <c r="I1473" s="58"/>
      <c r="J1473" s="58"/>
      <c r="K1473" s="59">
        <f t="shared" ref="K1473:X1473" si="882">IF(AND($D1473="tak",OR($E1473="nie dotyczy",$E1473="badania przemysłowe"),K$1421&lt;=Koniec_Projekt),ROUND(K208*K215,0),0)</f>
        <v>0</v>
      </c>
      <c r="L1473" s="59">
        <f t="shared" si="882"/>
        <v>0</v>
      </c>
      <c r="M1473" s="59">
        <f t="shared" si="882"/>
        <v>0</v>
      </c>
      <c r="N1473" s="59">
        <f t="shared" si="882"/>
        <v>0</v>
      </c>
      <c r="O1473" s="59">
        <f t="shared" si="882"/>
        <v>0</v>
      </c>
      <c r="P1473" s="59">
        <f t="shared" si="882"/>
        <v>0</v>
      </c>
      <c r="Q1473" s="59">
        <f t="shared" si="882"/>
        <v>0</v>
      </c>
      <c r="R1473" s="59">
        <f t="shared" si="882"/>
        <v>0</v>
      </c>
      <c r="S1473" s="59">
        <f t="shared" si="882"/>
        <v>0</v>
      </c>
      <c r="T1473" s="59">
        <f t="shared" si="882"/>
        <v>0</v>
      </c>
      <c r="U1473" s="59">
        <f t="shared" si="882"/>
        <v>0</v>
      </c>
      <c r="V1473" s="59">
        <f t="shared" si="882"/>
        <v>0</v>
      </c>
      <c r="W1473" s="59">
        <f t="shared" si="882"/>
        <v>0</v>
      </c>
      <c r="X1473" s="59">
        <f t="shared" si="882"/>
        <v>0</v>
      </c>
    </row>
    <row r="1474" spans="2:24" hidden="1">
      <c r="B1474" s="58" t="str">
        <f t="shared" si="880"/>
        <v/>
      </c>
      <c r="C1474" s="58" t="str">
        <f t="shared" si="880"/>
        <v/>
      </c>
      <c r="D1474" s="58" t="str">
        <f t="shared" si="880"/>
        <v/>
      </c>
      <c r="E1474" s="58" t="str">
        <f t="shared" si="880"/>
        <v/>
      </c>
      <c r="F1474" s="58"/>
      <c r="G1474" s="58"/>
      <c r="H1474" s="58"/>
      <c r="I1474" s="58"/>
      <c r="J1474" s="58"/>
      <c r="K1474" s="59">
        <f t="shared" ref="K1474:X1474" si="883">IF(AND($D1474="tak",OR($E1474="nie dotyczy",$E1474="badania przemysłowe"),K$1421&lt;=Koniec_Projekt),ROUND(K209*K216,0),0)</f>
        <v>0</v>
      </c>
      <c r="L1474" s="59">
        <f t="shared" si="883"/>
        <v>0</v>
      </c>
      <c r="M1474" s="59">
        <f t="shared" si="883"/>
        <v>0</v>
      </c>
      <c r="N1474" s="59">
        <f t="shared" si="883"/>
        <v>0</v>
      </c>
      <c r="O1474" s="59">
        <f t="shared" si="883"/>
        <v>0</v>
      </c>
      <c r="P1474" s="59">
        <f t="shared" si="883"/>
        <v>0</v>
      </c>
      <c r="Q1474" s="59">
        <f t="shared" si="883"/>
        <v>0</v>
      </c>
      <c r="R1474" s="59">
        <f t="shared" si="883"/>
        <v>0</v>
      </c>
      <c r="S1474" s="59">
        <f t="shared" si="883"/>
        <v>0</v>
      </c>
      <c r="T1474" s="59">
        <f t="shared" si="883"/>
        <v>0</v>
      </c>
      <c r="U1474" s="59">
        <f t="shared" si="883"/>
        <v>0</v>
      </c>
      <c r="V1474" s="59">
        <f t="shared" si="883"/>
        <v>0</v>
      </c>
      <c r="W1474" s="59">
        <f t="shared" si="883"/>
        <v>0</v>
      </c>
      <c r="X1474" s="59">
        <f t="shared" si="883"/>
        <v>0</v>
      </c>
    </row>
    <row r="1475" spans="2:24" hidden="1">
      <c r="B1475" s="58" t="str">
        <f t="shared" si="880"/>
        <v/>
      </c>
      <c r="C1475" s="58" t="str">
        <f t="shared" si="880"/>
        <v/>
      </c>
      <c r="D1475" s="58" t="str">
        <f t="shared" si="880"/>
        <v/>
      </c>
      <c r="E1475" s="58" t="str">
        <f t="shared" si="880"/>
        <v/>
      </c>
      <c r="F1475" s="58"/>
      <c r="G1475" s="58"/>
      <c r="H1475" s="58"/>
      <c r="I1475" s="58"/>
      <c r="J1475" s="58"/>
      <c r="K1475" s="59">
        <f t="shared" ref="K1475:X1475" si="884">IF(AND($D1475="tak",OR($E1475="nie dotyczy",$E1475="badania przemysłowe"),K$1421&lt;=Koniec_Projekt),ROUND(K210*K217,0),0)</f>
        <v>0</v>
      </c>
      <c r="L1475" s="59">
        <f t="shared" si="884"/>
        <v>0</v>
      </c>
      <c r="M1475" s="59">
        <f t="shared" si="884"/>
        <v>0</v>
      </c>
      <c r="N1475" s="59">
        <f t="shared" si="884"/>
        <v>0</v>
      </c>
      <c r="O1475" s="59">
        <f t="shared" si="884"/>
        <v>0</v>
      </c>
      <c r="P1475" s="59">
        <f t="shared" si="884"/>
        <v>0</v>
      </c>
      <c r="Q1475" s="59">
        <f t="shared" si="884"/>
        <v>0</v>
      </c>
      <c r="R1475" s="59">
        <f t="shared" si="884"/>
        <v>0</v>
      </c>
      <c r="S1475" s="59">
        <f t="shared" si="884"/>
        <v>0</v>
      </c>
      <c r="T1475" s="59">
        <f t="shared" si="884"/>
        <v>0</v>
      </c>
      <c r="U1475" s="59">
        <f t="shared" si="884"/>
        <v>0</v>
      </c>
      <c r="V1475" s="59">
        <f t="shared" si="884"/>
        <v>0</v>
      </c>
      <c r="W1475" s="59">
        <f t="shared" si="884"/>
        <v>0</v>
      </c>
      <c r="X1475" s="59">
        <f t="shared" si="884"/>
        <v>0</v>
      </c>
    </row>
    <row r="1476" spans="2:24" hidden="1">
      <c r="B1476" s="58" t="str">
        <f t="shared" si="880"/>
        <v/>
      </c>
      <c r="C1476" s="58" t="str">
        <f t="shared" si="880"/>
        <v/>
      </c>
      <c r="D1476" s="58" t="str">
        <f t="shared" si="880"/>
        <v/>
      </c>
      <c r="E1476" s="58" t="str">
        <f t="shared" si="880"/>
        <v/>
      </c>
      <c r="F1476" s="58"/>
      <c r="G1476" s="58"/>
      <c r="H1476" s="58"/>
      <c r="I1476" s="58"/>
      <c r="J1476" s="58"/>
      <c r="K1476" s="59">
        <f t="shared" ref="K1476:X1476" si="885">IF(AND($D1476="tak",OR($E1476="nie dotyczy",$E1476="badania przemysłowe"),K$1421&lt;=Koniec_Projekt),ROUND(K211*K218,0),0)</f>
        <v>0</v>
      </c>
      <c r="L1476" s="59">
        <f t="shared" si="885"/>
        <v>0</v>
      </c>
      <c r="M1476" s="59">
        <f t="shared" si="885"/>
        <v>0</v>
      </c>
      <c r="N1476" s="59">
        <f t="shared" si="885"/>
        <v>0</v>
      </c>
      <c r="O1476" s="59">
        <f t="shared" si="885"/>
        <v>0</v>
      </c>
      <c r="P1476" s="59">
        <f t="shared" si="885"/>
        <v>0</v>
      </c>
      <c r="Q1476" s="59">
        <f t="shared" si="885"/>
        <v>0</v>
      </c>
      <c r="R1476" s="59">
        <f t="shared" si="885"/>
        <v>0</v>
      </c>
      <c r="S1476" s="59">
        <f t="shared" si="885"/>
        <v>0</v>
      </c>
      <c r="T1476" s="59">
        <f t="shared" si="885"/>
        <v>0</v>
      </c>
      <c r="U1476" s="59">
        <f t="shared" si="885"/>
        <v>0</v>
      </c>
      <c r="V1476" s="59">
        <f t="shared" si="885"/>
        <v>0</v>
      </c>
      <c r="W1476" s="59">
        <f t="shared" si="885"/>
        <v>0</v>
      </c>
      <c r="X1476" s="59">
        <f t="shared" si="885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86">ROUND(SUM(L1472:L1476),0)</f>
        <v>0</v>
      </c>
      <c r="M1477" s="60">
        <f t="shared" si="886"/>
        <v>0</v>
      </c>
      <c r="N1477" s="60">
        <f t="shared" si="886"/>
        <v>0</v>
      </c>
      <c r="O1477" s="60">
        <f t="shared" si="886"/>
        <v>0</v>
      </c>
      <c r="P1477" s="60">
        <f t="shared" si="886"/>
        <v>0</v>
      </c>
      <c r="Q1477" s="60">
        <f t="shared" si="886"/>
        <v>0</v>
      </c>
      <c r="R1477" s="60">
        <f t="shared" si="886"/>
        <v>0</v>
      </c>
      <c r="S1477" s="60">
        <f t="shared" si="886"/>
        <v>0</v>
      </c>
      <c r="T1477" s="60">
        <f t="shared" si="886"/>
        <v>0</v>
      </c>
      <c r="U1477" s="60">
        <f t="shared" si="886"/>
        <v>0</v>
      </c>
      <c r="V1477" s="60">
        <f t="shared" si="886"/>
        <v>0</v>
      </c>
      <c r="W1477" s="60">
        <f t="shared" si="886"/>
        <v>0</v>
      </c>
      <c r="X1477" s="60">
        <f t="shared" si="886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87">IF(ISBLANK(B1242),"",B1242)</f>
        <v/>
      </c>
      <c r="C1482" s="58" t="str">
        <f t="shared" si="887"/>
        <v/>
      </c>
      <c r="D1482" s="58" t="str">
        <f t="shared" si="887"/>
        <v/>
      </c>
      <c r="E1482" s="58" t="str">
        <f t="shared" si="887"/>
        <v/>
      </c>
      <c r="F1482" s="58"/>
      <c r="G1482" s="58"/>
      <c r="H1482" s="58"/>
      <c r="I1482" s="58"/>
      <c r="J1482" s="58"/>
      <c r="K1482" s="59">
        <f t="shared" ref="K1482:X1482" si="888">IF(AND($D1482="tak",OR($E1482="nie dotyczy",$E1482="badania przemysłowe"),K$1421&lt;=Koniec_Projekt),ROUND(K391*K349,0),0)</f>
        <v>0</v>
      </c>
      <c r="L1482" s="59">
        <f t="shared" si="888"/>
        <v>0</v>
      </c>
      <c r="M1482" s="59">
        <f t="shared" si="888"/>
        <v>0</v>
      </c>
      <c r="N1482" s="59">
        <f t="shared" si="888"/>
        <v>0</v>
      </c>
      <c r="O1482" s="59">
        <f t="shared" si="888"/>
        <v>0</v>
      </c>
      <c r="P1482" s="59">
        <f t="shared" si="888"/>
        <v>0</v>
      </c>
      <c r="Q1482" s="59">
        <f t="shared" si="888"/>
        <v>0</v>
      </c>
      <c r="R1482" s="59">
        <f t="shared" si="888"/>
        <v>0</v>
      </c>
      <c r="S1482" s="59">
        <f t="shared" si="888"/>
        <v>0</v>
      </c>
      <c r="T1482" s="59">
        <f t="shared" si="888"/>
        <v>0</v>
      </c>
      <c r="U1482" s="59">
        <f t="shared" si="888"/>
        <v>0</v>
      </c>
      <c r="V1482" s="59">
        <f t="shared" si="888"/>
        <v>0</v>
      </c>
      <c r="W1482" s="59">
        <f t="shared" si="888"/>
        <v>0</v>
      </c>
      <c r="X1482" s="59">
        <f t="shared" si="888"/>
        <v>0</v>
      </c>
    </row>
    <row r="1483" spans="2:24" hidden="1">
      <c r="B1483" s="58" t="str">
        <f t="shared" si="887"/>
        <v/>
      </c>
      <c r="C1483" s="58" t="str">
        <f t="shared" si="887"/>
        <v/>
      </c>
      <c r="D1483" s="58" t="str">
        <f t="shared" si="887"/>
        <v/>
      </c>
      <c r="E1483" s="58" t="str">
        <f t="shared" si="887"/>
        <v/>
      </c>
      <c r="F1483" s="58"/>
      <c r="G1483" s="58"/>
      <c r="H1483" s="58"/>
      <c r="I1483" s="58"/>
      <c r="J1483" s="58"/>
      <c r="K1483" s="59">
        <f t="shared" ref="K1483:X1483" si="889">IF(AND($D1483="tak",OR($E1483="nie dotyczy",$E1483="badania przemysłowe"),K$1421&lt;=Koniec_Projekt),ROUND(K392*K350,0),0)</f>
        <v>0</v>
      </c>
      <c r="L1483" s="59">
        <f t="shared" si="889"/>
        <v>0</v>
      </c>
      <c r="M1483" s="59">
        <f t="shared" si="889"/>
        <v>0</v>
      </c>
      <c r="N1483" s="59">
        <f t="shared" si="889"/>
        <v>0</v>
      </c>
      <c r="O1483" s="59">
        <f t="shared" si="889"/>
        <v>0</v>
      </c>
      <c r="P1483" s="59">
        <f t="shared" si="889"/>
        <v>0</v>
      </c>
      <c r="Q1483" s="59">
        <f t="shared" si="889"/>
        <v>0</v>
      </c>
      <c r="R1483" s="59">
        <f t="shared" si="889"/>
        <v>0</v>
      </c>
      <c r="S1483" s="59">
        <f t="shared" si="889"/>
        <v>0</v>
      </c>
      <c r="T1483" s="59">
        <f t="shared" si="889"/>
        <v>0</v>
      </c>
      <c r="U1483" s="59">
        <f t="shared" si="889"/>
        <v>0</v>
      </c>
      <c r="V1483" s="59">
        <f t="shared" si="889"/>
        <v>0</v>
      </c>
      <c r="W1483" s="59">
        <f t="shared" si="889"/>
        <v>0</v>
      </c>
      <c r="X1483" s="59">
        <f t="shared" si="889"/>
        <v>0</v>
      </c>
    </row>
    <row r="1484" spans="2:24" hidden="1">
      <c r="B1484" s="58" t="str">
        <f t="shared" si="887"/>
        <v/>
      </c>
      <c r="C1484" s="58" t="str">
        <f t="shared" si="887"/>
        <v/>
      </c>
      <c r="D1484" s="58" t="str">
        <f t="shared" si="887"/>
        <v/>
      </c>
      <c r="E1484" s="58" t="str">
        <f t="shared" si="887"/>
        <v/>
      </c>
      <c r="F1484" s="58"/>
      <c r="G1484" s="58"/>
      <c r="H1484" s="58"/>
      <c r="I1484" s="58"/>
      <c r="J1484" s="58"/>
      <c r="K1484" s="59">
        <f t="shared" ref="K1484:X1484" si="890">IF(AND($D1484="tak",OR($E1484="nie dotyczy",$E1484="badania przemysłowe"),K$1421&lt;=Koniec_Projekt),ROUND(K393*K351,0),0)</f>
        <v>0</v>
      </c>
      <c r="L1484" s="59">
        <f t="shared" si="890"/>
        <v>0</v>
      </c>
      <c r="M1484" s="59">
        <f t="shared" si="890"/>
        <v>0</v>
      </c>
      <c r="N1484" s="59">
        <f t="shared" si="890"/>
        <v>0</v>
      </c>
      <c r="O1484" s="59">
        <f t="shared" si="890"/>
        <v>0</v>
      </c>
      <c r="P1484" s="59">
        <f t="shared" si="890"/>
        <v>0</v>
      </c>
      <c r="Q1484" s="59">
        <f t="shared" si="890"/>
        <v>0</v>
      </c>
      <c r="R1484" s="59">
        <f t="shared" si="890"/>
        <v>0</v>
      </c>
      <c r="S1484" s="59">
        <f t="shared" si="890"/>
        <v>0</v>
      </c>
      <c r="T1484" s="59">
        <f t="shared" si="890"/>
        <v>0</v>
      </c>
      <c r="U1484" s="59">
        <f t="shared" si="890"/>
        <v>0</v>
      </c>
      <c r="V1484" s="59">
        <f t="shared" si="890"/>
        <v>0</v>
      </c>
      <c r="W1484" s="59">
        <f t="shared" si="890"/>
        <v>0</v>
      </c>
      <c r="X1484" s="59">
        <f t="shared" si="890"/>
        <v>0</v>
      </c>
    </row>
    <row r="1485" spans="2:24" hidden="1">
      <c r="B1485" s="58" t="str">
        <f t="shared" si="887"/>
        <v/>
      </c>
      <c r="C1485" s="58" t="str">
        <f t="shared" si="887"/>
        <v/>
      </c>
      <c r="D1485" s="58" t="str">
        <f t="shared" si="887"/>
        <v/>
      </c>
      <c r="E1485" s="58" t="str">
        <f t="shared" si="887"/>
        <v/>
      </c>
      <c r="F1485" s="58"/>
      <c r="G1485" s="58"/>
      <c r="H1485" s="58"/>
      <c r="I1485" s="58"/>
      <c r="J1485" s="58"/>
      <c r="K1485" s="59">
        <f t="shared" ref="K1485:X1485" si="891">IF(AND($D1485="tak",OR($E1485="nie dotyczy",$E1485="badania przemysłowe"),K$1421&lt;=Koniec_Projekt),ROUND(K394*K352,0),0)</f>
        <v>0</v>
      </c>
      <c r="L1485" s="59">
        <f t="shared" si="891"/>
        <v>0</v>
      </c>
      <c r="M1485" s="59">
        <f t="shared" si="891"/>
        <v>0</v>
      </c>
      <c r="N1485" s="59">
        <f t="shared" si="891"/>
        <v>0</v>
      </c>
      <c r="O1485" s="59">
        <f t="shared" si="891"/>
        <v>0</v>
      </c>
      <c r="P1485" s="59">
        <f t="shared" si="891"/>
        <v>0</v>
      </c>
      <c r="Q1485" s="59">
        <f t="shared" si="891"/>
        <v>0</v>
      </c>
      <c r="R1485" s="59">
        <f t="shared" si="891"/>
        <v>0</v>
      </c>
      <c r="S1485" s="59">
        <f t="shared" si="891"/>
        <v>0</v>
      </c>
      <c r="T1485" s="59">
        <f t="shared" si="891"/>
        <v>0</v>
      </c>
      <c r="U1485" s="59">
        <f t="shared" si="891"/>
        <v>0</v>
      </c>
      <c r="V1485" s="59">
        <f t="shared" si="891"/>
        <v>0</v>
      </c>
      <c r="W1485" s="59">
        <f t="shared" si="891"/>
        <v>0</v>
      </c>
      <c r="X1485" s="59">
        <f t="shared" si="891"/>
        <v>0</v>
      </c>
    </row>
    <row r="1486" spans="2:24" hidden="1">
      <c r="B1486" s="58" t="str">
        <f t="shared" si="887"/>
        <v/>
      </c>
      <c r="C1486" s="58" t="str">
        <f t="shared" si="887"/>
        <v/>
      </c>
      <c r="D1486" s="58" t="str">
        <f t="shared" si="887"/>
        <v/>
      </c>
      <c r="E1486" s="58" t="str">
        <f t="shared" si="887"/>
        <v/>
      </c>
      <c r="F1486" s="58"/>
      <c r="G1486" s="58"/>
      <c r="H1486" s="58"/>
      <c r="I1486" s="58"/>
      <c r="J1486" s="58"/>
      <c r="K1486" s="59">
        <f t="shared" ref="K1486:X1486" si="892">IF(AND($D1486="tak",OR($E1486="nie dotyczy",$E1486="badania przemysłowe"),K$1421&lt;=Koniec_Projekt),ROUND(K395*K353,0),0)</f>
        <v>0</v>
      </c>
      <c r="L1486" s="59">
        <f t="shared" si="892"/>
        <v>0</v>
      </c>
      <c r="M1486" s="59">
        <f t="shared" si="892"/>
        <v>0</v>
      </c>
      <c r="N1486" s="59">
        <f t="shared" si="892"/>
        <v>0</v>
      </c>
      <c r="O1486" s="59">
        <f t="shared" si="892"/>
        <v>0</v>
      </c>
      <c r="P1486" s="59">
        <f t="shared" si="892"/>
        <v>0</v>
      </c>
      <c r="Q1486" s="59">
        <f t="shared" si="892"/>
        <v>0</v>
      </c>
      <c r="R1486" s="59">
        <f t="shared" si="892"/>
        <v>0</v>
      </c>
      <c r="S1486" s="59">
        <f t="shared" si="892"/>
        <v>0</v>
      </c>
      <c r="T1486" s="59">
        <f t="shared" si="892"/>
        <v>0</v>
      </c>
      <c r="U1486" s="59">
        <f t="shared" si="892"/>
        <v>0</v>
      </c>
      <c r="V1486" s="59">
        <f t="shared" si="892"/>
        <v>0</v>
      </c>
      <c r="W1486" s="59">
        <f t="shared" si="892"/>
        <v>0</v>
      </c>
      <c r="X1486" s="59">
        <f t="shared" si="892"/>
        <v>0</v>
      </c>
    </row>
    <row r="1487" spans="2:24" hidden="1">
      <c r="B1487" s="58" t="str">
        <f t="shared" si="887"/>
        <v/>
      </c>
      <c r="C1487" s="58" t="str">
        <f t="shared" si="887"/>
        <v/>
      </c>
      <c r="D1487" s="58" t="str">
        <f t="shared" si="887"/>
        <v/>
      </c>
      <c r="E1487" s="58" t="str">
        <f t="shared" si="887"/>
        <v/>
      </c>
      <c r="F1487" s="58"/>
      <c r="G1487" s="58"/>
      <c r="H1487" s="58"/>
      <c r="I1487" s="58"/>
      <c r="J1487" s="58"/>
      <c r="K1487" s="59">
        <f t="shared" ref="K1487:X1487" si="893">IF(AND($D1487="tak",OR($E1487="nie dotyczy",$E1487="badania przemysłowe"),K$1421&lt;=Koniec_Projekt),ROUND(K396*K354,0),0)</f>
        <v>0</v>
      </c>
      <c r="L1487" s="59">
        <f t="shared" si="893"/>
        <v>0</v>
      </c>
      <c r="M1487" s="59">
        <f t="shared" si="893"/>
        <v>0</v>
      </c>
      <c r="N1487" s="59">
        <f t="shared" si="893"/>
        <v>0</v>
      </c>
      <c r="O1487" s="59">
        <f t="shared" si="893"/>
        <v>0</v>
      </c>
      <c r="P1487" s="59">
        <f t="shared" si="893"/>
        <v>0</v>
      </c>
      <c r="Q1487" s="59">
        <f t="shared" si="893"/>
        <v>0</v>
      </c>
      <c r="R1487" s="59">
        <f t="shared" si="893"/>
        <v>0</v>
      </c>
      <c r="S1487" s="59">
        <f t="shared" si="893"/>
        <v>0</v>
      </c>
      <c r="T1487" s="59">
        <f t="shared" si="893"/>
        <v>0</v>
      </c>
      <c r="U1487" s="59">
        <f t="shared" si="893"/>
        <v>0</v>
      </c>
      <c r="V1487" s="59">
        <f t="shared" si="893"/>
        <v>0</v>
      </c>
      <c r="W1487" s="59">
        <f t="shared" si="893"/>
        <v>0</v>
      </c>
      <c r="X1487" s="59">
        <f t="shared" si="893"/>
        <v>0</v>
      </c>
    </row>
    <row r="1488" spans="2:24" hidden="1">
      <c r="B1488" s="58" t="str">
        <f t="shared" si="887"/>
        <v/>
      </c>
      <c r="C1488" s="58" t="str">
        <f t="shared" si="887"/>
        <v/>
      </c>
      <c r="D1488" s="58" t="str">
        <f t="shared" si="887"/>
        <v/>
      </c>
      <c r="E1488" s="58" t="str">
        <f t="shared" si="887"/>
        <v/>
      </c>
      <c r="F1488" s="58"/>
      <c r="G1488" s="58"/>
      <c r="H1488" s="58"/>
      <c r="I1488" s="58"/>
      <c r="J1488" s="58"/>
      <c r="K1488" s="59">
        <f t="shared" ref="K1488:X1488" si="894">IF(AND($D1488="tak",OR($E1488="nie dotyczy",$E1488="badania przemysłowe"),K$1421&lt;=Koniec_Projekt),ROUND(K397*K355,0),0)</f>
        <v>0</v>
      </c>
      <c r="L1488" s="59">
        <f t="shared" si="894"/>
        <v>0</v>
      </c>
      <c r="M1488" s="59">
        <f t="shared" si="894"/>
        <v>0</v>
      </c>
      <c r="N1488" s="59">
        <f t="shared" si="894"/>
        <v>0</v>
      </c>
      <c r="O1488" s="59">
        <f t="shared" si="894"/>
        <v>0</v>
      </c>
      <c r="P1488" s="59">
        <f t="shared" si="894"/>
        <v>0</v>
      </c>
      <c r="Q1488" s="59">
        <f t="shared" si="894"/>
        <v>0</v>
      </c>
      <c r="R1488" s="59">
        <f t="shared" si="894"/>
        <v>0</v>
      </c>
      <c r="S1488" s="59">
        <f t="shared" si="894"/>
        <v>0</v>
      </c>
      <c r="T1488" s="59">
        <f t="shared" si="894"/>
        <v>0</v>
      </c>
      <c r="U1488" s="59">
        <f t="shared" si="894"/>
        <v>0</v>
      </c>
      <c r="V1488" s="59">
        <f t="shared" si="894"/>
        <v>0</v>
      </c>
      <c r="W1488" s="59">
        <f t="shared" si="894"/>
        <v>0</v>
      </c>
      <c r="X1488" s="59">
        <f t="shared" si="894"/>
        <v>0</v>
      </c>
    </row>
    <row r="1489" spans="2:24" hidden="1">
      <c r="B1489" s="58" t="str">
        <f t="shared" si="887"/>
        <v/>
      </c>
      <c r="C1489" s="58" t="str">
        <f t="shared" si="887"/>
        <v/>
      </c>
      <c r="D1489" s="58" t="str">
        <f t="shared" si="887"/>
        <v/>
      </c>
      <c r="E1489" s="58" t="str">
        <f t="shared" si="887"/>
        <v/>
      </c>
      <c r="F1489" s="58"/>
      <c r="G1489" s="58"/>
      <c r="H1489" s="58"/>
      <c r="I1489" s="58"/>
      <c r="J1489" s="58"/>
      <c r="K1489" s="59">
        <f t="shared" ref="K1489:X1489" si="895">IF(AND($D1489="tak",OR($E1489="nie dotyczy",$E1489="badania przemysłowe"),K$1421&lt;=Koniec_Projekt),ROUND(K398*K356,0),0)</f>
        <v>0</v>
      </c>
      <c r="L1489" s="59">
        <f t="shared" si="895"/>
        <v>0</v>
      </c>
      <c r="M1489" s="59">
        <f t="shared" si="895"/>
        <v>0</v>
      </c>
      <c r="N1489" s="59">
        <f t="shared" si="895"/>
        <v>0</v>
      </c>
      <c r="O1489" s="59">
        <f t="shared" si="895"/>
        <v>0</v>
      </c>
      <c r="P1489" s="59">
        <f t="shared" si="895"/>
        <v>0</v>
      </c>
      <c r="Q1489" s="59">
        <f t="shared" si="895"/>
        <v>0</v>
      </c>
      <c r="R1489" s="59">
        <f t="shared" si="895"/>
        <v>0</v>
      </c>
      <c r="S1489" s="59">
        <f t="shared" si="895"/>
        <v>0</v>
      </c>
      <c r="T1489" s="59">
        <f t="shared" si="895"/>
        <v>0</v>
      </c>
      <c r="U1489" s="59">
        <f t="shared" si="895"/>
        <v>0</v>
      </c>
      <c r="V1489" s="59">
        <f t="shared" si="895"/>
        <v>0</v>
      </c>
      <c r="W1489" s="59">
        <f t="shared" si="895"/>
        <v>0</v>
      </c>
      <c r="X1489" s="59">
        <f t="shared" si="895"/>
        <v>0</v>
      </c>
    </row>
    <row r="1490" spans="2:24" hidden="1">
      <c r="B1490" s="58" t="str">
        <f t="shared" si="887"/>
        <v/>
      </c>
      <c r="C1490" s="58" t="str">
        <f t="shared" si="887"/>
        <v/>
      </c>
      <c r="D1490" s="58" t="str">
        <f t="shared" si="887"/>
        <v/>
      </c>
      <c r="E1490" s="58" t="str">
        <f t="shared" si="887"/>
        <v/>
      </c>
      <c r="F1490" s="58"/>
      <c r="G1490" s="58"/>
      <c r="H1490" s="58"/>
      <c r="I1490" s="58"/>
      <c r="J1490" s="58"/>
      <c r="K1490" s="59">
        <f t="shared" ref="K1490:X1490" si="896">IF(AND($D1490="tak",OR($E1490="nie dotyczy",$E1490="badania przemysłowe"),K$1421&lt;=Koniec_Projekt),ROUND(K399*K357,0),0)</f>
        <v>0</v>
      </c>
      <c r="L1490" s="59">
        <f t="shared" si="896"/>
        <v>0</v>
      </c>
      <c r="M1490" s="59">
        <f t="shared" si="896"/>
        <v>0</v>
      </c>
      <c r="N1490" s="59">
        <f t="shared" si="896"/>
        <v>0</v>
      </c>
      <c r="O1490" s="59">
        <f t="shared" si="896"/>
        <v>0</v>
      </c>
      <c r="P1490" s="59">
        <f t="shared" si="896"/>
        <v>0</v>
      </c>
      <c r="Q1490" s="59">
        <f t="shared" si="896"/>
        <v>0</v>
      </c>
      <c r="R1490" s="59">
        <f t="shared" si="896"/>
        <v>0</v>
      </c>
      <c r="S1490" s="59">
        <f t="shared" si="896"/>
        <v>0</v>
      </c>
      <c r="T1490" s="59">
        <f t="shared" si="896"/>
        <v>0</v>
      </c>
      <c r="U1490" s="59">
        <f t="shared" si="896"/>
        <v>0</v>
      </c>
      <c r="V1490" s="59">
        <f t="shared" si="896"/>
        <v>0</v>
      </c>
      <c r="W1490" s="59">
        <f t="shared" si="896"/>
        <v>0</v>
      </c>
      <c r="X1490" s="59">
        <f t="shared" si="896"/>
        <v>0</v>
      </c>
    </row>
    <row r="1491" spans="2:24" hidden="1">
      <c r="B1491" s="58" t="str">
        <f t="shared" si="887"/>
        <v/>
      </c>
      <c r="C1491" s="58" t="str">
        <f t="shared" si="887"/>
        <v/>
      </c>
      <c r="D1491" s="58" t="str">
        <f t="shared" si="887"/>
        <v/>
      </c>
      <c r="E1491" s="58" t="str">
        <f t="shared" si="887"/>
        <v/>
      </c>
      <c r="F1491" s="58"/>
      <c r="G1491" s="58"/>
      <c r="H1491" s="58"/>
      <c r="I1491" s="58"/>
      <c r="J1491" s="58"/>
      <c r="K1491" s="59">
        <f t="shared" ref="K1491:X1491" si="897">IF(AND($D1491="tak",OR($E1491="nie dotyczy",$E1491="badania przemysłowe"),K$1421&lt;=Koniec_Projekt),ROUND(K400*K358,0),0)</f>
        <v>0</v>
      </c>
      <c r="L1491" s="59">
        <f t="shared" si="897"/>
        <v>0</v>
      </c>
      <c r="M1491" s="59">
        <f t="shared" si="897"/>
        <v>0</v>
      </c>
      <c r="N1491" s="59">
        <f t="shared" si="897"/>
        <v>0</v>
      </c>
      <c r="O1491" s="59">
        <f t="shared" si="897"/>
        <v>0</v>
      </c>
      <c r="P1491" s="59">
        <f t="shared" si="897"/>
        <v>0</v>
      </c>
      <c r="Q1491" s="59">
        <f t="shared" si="897"/>
        <v>0</v>
      </c>
      <c r="R1491" s="59">
        <f t="shared" si="897"/>
        <v>0</v>
      </c>
      <c r="S1491" s="59">
        <f t="shared" si="897"/>
        <v>0</v>
      </c>
      <c r="T1491" s="59">
        <f t="shared" si="897"/>
        <v>0</v>
      </c>
      <c r="U1491" s="59">
        <f t="shared" si="897"/>
        <v>0</v>
      </c>
      <c r="V1491" s="59">
        <f t="shared" si="897"/>
        <v>0</v>
      </c>
      <c r="W1491" s="59">
        <f t="shared" si="897"/>
        <v>0</v>
      </c>
      <c r="X1491" s="59">
        <f t="shared" si="897"/>
        <v>0</v>
      </c>
    </row>
    <row r="1492" spans="2:24" hidden="1">
      <c r="B1492" s="58" t="str">
        <f t="shared" si="887"/>
        <v/>
      </c>
      <c r="C1492" s="58" t="str">
        <f t="shared" si="887"/>
        <v/>
      </c>
      <c r="D1492" s="58" t="str">
        <f t="shared" si="887"/>
        <v/>
      </c>
      <c r="E1492" s="58" t="str">
        <f t="shared" si="887"/>
        <v/>
      </c>
      <c r="F1492" s="58"/>
      <c r="G1492" s="58"/>
      <c r="H1492" s="58"/>
      <c r="I1492" s="58"/>
      <c r="J1492" s="58"/>
      <c r="K1492" s="59">
        <f t="shared" ref="K1492:X1492" si="898">IF(AND($D1492="tak",OR($E1492="nie dotyczy",$E1492="badania przemysłowe"),K$1421&lt;=Koniec_Projekt),ROUND(K401*K359,0),0)</f>
        <v>0</v>
      </c>
      <c r="L1492" s="59">
        <f t="shared" si="898"/>
        <v>0</v>
      </c>
      <c r="M1492" s="59">
        <f t="shared" si="898"/>
        <v>0</v>
      </c>
      <c r="N1492" s="59">
        <f t="shared" si="898"/>
        <v>0</v>
      </c>
      <c r="O1492" s="59">
        <f t="shared" si="898"/>
        <v>0</v>
      </c>
      <c r="P1492" s="59">
        <f t="shared" si="898"/>
        <v>0</v>
      </c>
      <c r="Q1492" s="59">
        <f t="shared" si="898"/>
        <v>0</v>
      </c>
      <c r="R1492" s="59">
        <f t="shared" si="898"/>
        <v>0</v>
      </c>
      <c r="S1492" s="59">
        <f t="shared" si="898"/>
        <v>0</v>
      </c>
      <c r="T1492" s="59">
        <f t="shared" si="898"/>
        <v>0</v>
      </c>
      <c r="U1492" s="59">
        <f t="shared" si="898"/>
        <v>0</v>
      </c>
      <c r="V1492" s="59">
        <f t="shared" si="898"/>
        <v>0</v>
      </c>
      <c r="W1492" s="59">
        <f t="shared" si="898"/>
        <v>0</v>
      </c>
      <c r="X1492" s="59">
        <f t="shared" si="898"/>
        <v>0</v>
      </c>
    </row>
    <row r="1493" spans="2:24" hidden="1">
      <c r="B1493" s="58" t="str">
        <f t="shared" si="887"/>
        <v/>
      </c>
      <c r="C1493" s="58" t="str">
        <f t="shared" si="887"/>
        <v/>
      </c>
      <c r="D1493" s="58" t="str">
        <f t="shared" si="887"/>
        <v/>
      </c>
      <c r="E1493" s="58" t="str">
        <f t="shared" si="887"/>
        <v/>
      </c>
      <c r="F1493" s="58"/>
      <c r="G1493" s="58"/>
      <c r="H1493" s="58"/>
      <c r="I1493" s="58"/>
      <c r="J1493" s="58"/>
      <c r="K1493" s="59">
        <f t="shared" ref="K1493:X1493" si="899">IF(AND($D1493="tak",OR($E1493="nie dotyczy",$E1493="badania przemysłowe"),K$1421&lt;=Koniec_Projekt),ROUND(K402*K360,0),0)</f>
        <v>0</v>
      </c>
      <c r="L1493" s="59">
        <f t="shared" si="899"/>
        <v>0</v>
      </c>
      <c r="M1493" s="59">
        <f t="shared" si="899"/>
        <v>0</v>
      </c>
      <c r="N1493" s="59">
        <f t="shared" si="899"/>
        <v>0</v>
      </c>
      <c r="O1493" s="59">
        <f t="shared" si="899"/>
        <v>0</v>
      </c>
      <c r="P1493" s="59">
        <f t="shared" si="899"/>
        <v>0</v>
      </c>
      <c r="Q1493" s="59">
        <f t="shared" si="899"/>
        <v>0</v>
      </c>
      <c r="R1493" s="59">
        <f t="shared" si="899"/>
        <v>0</v>
      </c>
      <c r="S1493" s="59">
        <f t="shared" si="899"/>
        <v>0</v>
      </c>
      <c r="T1493" s="59">
        <f t="shared" si="899"/>
        <v>0</v>
      </c>
      <c r="U1493" s="59">
        <f t="shared" si="899"/>
        <v>0</v>
      </c>
      <c r="V1493" s="59">
        <f t="shared" si="899"/>
        <v>0</v>
      </c>
      <c r="W1493" s="59">
        <f t="shared" si="899"/>
        <v>0</v>
      </c>
      <c r="X1493" s="59">
        <f t="shared" si="899"/>
        <v>0</v>
      </c>
    </row>
    <row r="1494" spans="2:24" hidden="1">
      <c r="B1494" s="58" t="str">
        <f t="shared" si="887"/>
        <v/>
      </c>
      <c r="C1494" s="58" t="str">
        <f t="shared" si="887"/>
        <v/>
      </c>
      <c r="D1494" s="58" t="str">
        <f t="shared" si="887"/>
        <v/>
      </c>
      <c r="E1494" s="58" t="str">
        <f t="shared" si="887"/>
        <v/>
      </c>
      <c r="F1494" s="58"/>
      <c r="G1494" s="58"/>
      <c r="H1494" s="58"/>
      <c r="I1494" s="58"/>
      <c r="J1494" s="58"/>
      <c r="K1494" s="59">
        <f t="shared" ref="K1494:X1494" si="900">IF(AND($D1494="tak",OR($E1494="nie dotyczy",$E1494="badania przemysłowe"),K$1421&lt;=Koniec_Projekt),ROUND(K403*K361,0),0)</f>
        <v>0</v>
      </c>
      <c r="L1494" s="59">
        <f t="shared" si="900"/>
        <v>0</v>
      </c>
      <c r="M1494" s="59">
        <f t="shared" si="900"/>
        <v>0</v>
      </c>
      <c r="N1494" s="59">
        <f t="shared" si="900"/>
        <v>0</v>
      </c>
      <c r="O1494" s="59">
        <f t="shared" si="900"/>
        <v>0</v>
      </c>
      <c r="P1494" s="59">
        <f t="shared" si="900"/>
        <v>0</v>
      </c>
      <c r="Q1494" s="59">
        <f t="shared" si="900"/>
        <v>0</v>
      </c>
      <c r="R1494" s="59">
        <f t="shared" si="900"/>
        <v>0</v>
      </c>
      <c r="S1494" s="59">
        <f t="shared" si="900"/>
        <v>0</v>
      </c>
      <c r="T1494" s="59">
        <f t="shared" si="900"/>
        <v>0</v>
      </c>
      <c r="U1494" s="59">
        <f t="shared" si="900"/>
        <v>0</v>
      </c>
      <c r="V1494" s="59">
        <f t="shared" si="900"/>
        <v>0</v>
      </c>
      <c r="W1494" s="59">
        <f t="shared" si="900"/>
        <v>0</v>
      </c>
      <c r="X1494" s="59">
        <f t="shared" si="900"/>
        <v>0</v>
      </c>
    </row>
    <row r="1495" spans="2:24" hidden="1">
      <c r="B1495" s="58" t="str">
        <f t="shared" si="887"/>
        <v/>
      </c>
      <c r="C1495" s="58" t="str">
        <f t="shared" si="887"/>
        <v/>
      </c>
      <c r="D1495" s="58" t="str">
        <f t="shared" si="887"/>
        <v/>
      </c>
      <c r="E1495" s="58" t="str">
        <f t="shared" si="887"/>
        <v/>
      </c>
      <c r="F1495" s="58"/>
      <c r="G1495" s="58"/>
      <c r="H1495" s="58"/>
      <c r="I1495" s="58"/>
      <c r="J1495" s="58"/>
      <c r="K1495" s="59">
        <f t="shared" ref="K1495:X1495" si="901">IF(AND($D1495="tak",OR($E1495="nie dotyczy",$E1495="badania przemysłowe"),K$1421&lt;=Koniec_Projekt),ROUND(K404*K362,0),0)</f>
        <v>0</v>
      </c>
      <c r="L1495" s="59">
        <f t="shared" si="901"/>
        <v>0</v>
      </c>
      <c r="M1495" s="59">
        <f t="shared" si="901"/>
        <v>0</v>
      </c>
      <c r="N1495" s="59">
        <f t="shared" si="901"/>
        <v>0</v>
      </c>
      <c r="O1495" s="59">
        <f t="shared" si="901"/>
        <v>0</v>
      </c>
      <c r="P1495" s="59">
        <f t="shared" si="901"/>
        <v>0</v>
      </c>
      <c r="Q1495" s="59">
        <f t="shared" si="901"/>
        <v>0</v>
      </c>
      <c r="R1495" s="59">
        <f t="shared" si="901"/>
        <v>0</v>
      </c>
      <c r="S1495" s="59">
        <f t="shared" si="901"/>
        <v>0</v>
      </c>
      <c r="T1495" s="59">
        <f t="shared" si="901"/>
        <v>0</v>
      </c>
      <c r="U1495" s="59">
        <f t="shared" si="901"/>
        <v>0</v>
      </c>
      <c r="V1495" s="59">
        <f t="shared" si="901"/>
        <v>0</v>
      </c>
      <c r="W1495" s="59">
        <f t="shared" si="901"/>
        <v>0</v>
      </c>
      <c r="X1495" s="59">
        <f t="shared" si="901"/>
        <v>0</v>
      </c>
    </row>
    <row r="1496" spans="2:24" hidden="1">
      <c r="B1496" s="58" t="str">
        <f t="shared" si="887"/>
        <v/>
      </c>
      <c r="C1496" s="58" t="str">
        <f t="shared" si="887"/>
        <v/>
      </c>
      <c r="D1496" s="58" t="str">
        <f t="shared" si="887"/>
        <v/>
      </c>
      <c r="E1496" s="58" t="str">
        <f t="shared" si="887"/>
        <v/>
      </c>
      <c r="F1496" s="58"/>
      <c r="G1496" s="58"/>
      <c r="H1496" s="58"/>
      <c r="I1496" s="58"/>
      <c r="J1496" s="58"/>
      <c r="K1496" s="59">
        <f t="shared" ref="K1496:X1496" si="902">IF(AND($D1496="tak",OR($E1496="nie dotyczy",$E1496="badania przemysłowe"),K$1421&lt;=Koniec_Projekt),ROUND(K405*K363,0),0)</f>
        <v>0</v>
      </c>
      <c r="L1496" s="59">
        <f t="shared" si="902"/>
        <v>0</v>
      </c>
      <c r="M1496" s="59">
        <f t="shared" si="902"/>
        <v>0</v>
      </c>
      <c r="N1496" s="59">
        <f t="shared" si="902"/>
        <v>0</v>
      </c>
      <c r="O1496" s="59">
        <f t="shared" si="902"/>
        <v>0</v>
      </c>
      <c r="P1496" s="59">
        <f t="shared" si="902"/>
        <v>0</v>
      </c>
      <c r="Q1496" s="59">
        <f t="shared" si="902"/>
        <v>0</v>
      </c>
      <c r="R1496" s="59">
        <f t="shared" si="902"/>
        <v>0</v>
      </c>
      <c r="S1496" s="59">
        <f t="shared" si="902"/>
        <v>0</v>
      </c>
      <c r="T1496" s="59">
        <f t="shared" si="902"/>
        <v>0</v>
      </c>
      <c r="U1496" s="59">
        <f t="shared" si="902"/>
        <v>0</v>
      </c>
      <c r="V1496" s="59">
        <f t="shared" si="902"/>
        <v>0</v>
      </c>
      <c r="W1496" s="59">
        <f t="shared" si="902"/>
        <v>0</v>
      </c>
      <c r="X1496" s="59">
        <f t="shared" si="902"/>
        <v>0</v>
      </c>
    </row>
    <row r="1497" spans="2:24" hidden="1">
      <c r="B1497" s="58" t="str">
        <f t="shared" si="887"/>
        <v/>
      </c>
      <c r="C1497" s="58" t="str">
        <f t="shared" si="887"/>
        <v/>
      </c>
      <c r="D1497" s="58" t="str">
        <f t="shared" si="887"/>
        <v/>
      </c>
      <c r="E1497" s="58" t="str">
        <f t="shared" si="887"/>
        <v/>
      </c>
      <c r="F1497" s="58"/>
      <c r="G1497" s="58"/>
      <c r="H1497" s="58"/>
      <c r="I1497" s="58"/>
      <c r="J1497" s="58"/>
      <c r="K1497" s="59">
        <f t="shared" ref="K1497:X1497" si="903">IF(AND($D1497="tak",OR($E1497="nie dotyczy",$E1497="badania przemysłowe"),K$1421&lt;=Koniec_Projekt),ROUND(K406*K364,0),0)</f>
        <v>0</v>
      </c>
      <c r="L1497" s="59">
        <f t="shared" si="903"/>
        <v>0</v>
      </c>
      <c r="M1497" s="59">
        <f t="shared" si="903"/>
        <v>0</v>
      </c>
      <c r="N1497" s="59">
        <f t="shared" si="903"/>
        <v>0</v>
      </c>
      <c r="O1497" s="59">
        <f t="shared" si="903"/>
        <v>0</v>
      </c>
      <c r="P1497" s="59">
        <f t="shared" si="903"/>
        <v>0</v>
      </c>
      <c r="Q1497" s="59">
        <f t="shared" si="903"/>
        <v>0</v>
      </c>
      <c r="R1497" s="59">
        <f t="shared" si="903"/>
        <v>0</v>
      </c>
      <c r="S1497" s="59">
        <f t="shared" si="903"/>
        <v>0</v>
      </c>
      <c r="T1497" s="59">
        <f t="shared" si="903"/>
        <v>0</v>
      </c>
      <c r="U1497" s="59">
        <f t="shared" si="903"/>
        <v>0</v>
      </c>
      <c r="V1497" s="59">
        <f t="shared" si="903"/>
        <v>0</v>
      </c>
      <c r="W1497" s="59">
        <f t="shared" si="903"/>
        <v>0</v>
      </c>
      <c r="X1497" s="59">
        <f t="shared" si="903"/>
        <v>0</v>
      </c>
    </row>
    <row r="1498" spans="2:24" hidden="1">
      <c r="B1498" s="58" t="str">
        <f t="shared" si="887"/>
        <v/>
      </c>
      <c r="C1498" s="58" t="str">
        <f t="shared" si="887"/>
        <v/>
      </c>
      <c r="D1498" s="58" t="str">
        <f t="shared" si="887"/>
        <v/>
      </c>
      <c r="E1498" s="58" t="str">
        <f t="shared" si="887"/>
        <v/>
      </c>
      <c r="F1498" s="58"/>
      <c r="G1498" s="58"/>
      <c r="H1498" s="58"/>
      <c r="I1498" s="58"/>
      <c r="J1498" s="58"/>
      <c r="K1498" s="59">
        <f t="shared" ref="K1498:X1498" si="904">IF(AND($D1498="tak",OR($E1498="nie dotyczy",$E1498="badania przemysłowe"),K$1421&lt;=Koniec_Projekt),ROUND(K407*K365,0),0)</f>
        <v>0</v>
      </c>
      <c r="L1498" s="59">
        <f t="shared" si="904"/>
        <v>0</v>
      </c>
      <c r="M1498" s="59">
        <f t="shared" si="904"/>
        <v>0</v>
      </c>
      <c r="N1498" s="59">
        <f t="shared" si="904"/>
        <v>0</v>
      </c>
      <c r="O1498" s="59">
        <f t="shared" si="904"/>
        <v>0</v>
      </c>
      <c r="P1498" s="59">
        <f t="shared" si="904"/>
        <v>0</v>
      </c>
      <c r="Q1498" s="59">
        <f t="shared" si="904"/>
        <v>0</v>
      </c>
      <c r="R1498" s="59">
        <f t="shared" si="904"/>
        <v>0</v>
      </c>
      <c r="S1498" s="59">
        <f t="shared" si="904"/>
        <v>0</v>
      </c>
      <c r="T1498" s="59">
        <f t="shared" si="904"/>
        <v>0</v>
      </c>
      <c r="U1498" s="59">
        <f t="shared" si="904"/>
        <v>0</v>
      </c>
      <c r="V1498" s="59">
        <f t="shared" si="904"/>
        <v>0</v>
      </c>
      <c r="W1498" s="59">
        <f t="shared" si="904"/>
        <v>0</v>
      </c>
      <c r="X1498" s="59">
        <f t="shared" si="904"/>
        <v>0</v>
      </c>
    </row>
    <row r="1499" spans="2:24" hidden="1">
      <c r="B1499" s="58" t="str">
        <f t="shared" si="887"/>
        <v/>
      </c>
      <c r="C1499" s="58" t="str">
        <f t="shared" si="887"/>
        <v/>
      </c>
      <c r="D1499" s="58" t="str">
        <f t="shared" si="887"/>
        <v/>
      </c>
      <c r="E1499" s="58" t="str">
        <f t="shared" si="887"/>
        <v/>
      </c>
      <c r="F1499" s="58"/>
      <c r="G1499" s="58"/>
      <c r="H1499" s="58"/>
      <c r="I1499" s="58"/>
      <c r="J1499" s="58"/>
      <c r="K1499" s="59">
        <f t="shared" ref="K1499:X1499" si="905">IF(AND($D1499="tak",OR($E1499="nie dotyczy",$E1499="badania przemysłowe"),K$1421&lt;=Koniec_Projekt),ROUND(K408*K366,0),0)</f>
        <v>0</v>
      </c>
      <c r="L1499" s="59">
        <f t="shared" si="905"/>
        <v>0</v>
      </c>
      <c r="M1499" s="59">
        <f t="shared" si="905"/>
        <v>0</v>
      </c>
      <c r="N1499" s="59">
        <f t="shared" si="905"/>
        <v>0</v>
      </c>
      <c r="O1499" s="59">
        <f t="shared" si="905"/>
        <v>0</v>
      </c>
      <c r="P1499" s="59">
        <f t="shared" si="905"/>
        <v>0</v>
      </c>
      <c r="Q1499" s="59">
        <f t="shared" si="905"/>
        <v>0</v>
      </c>
      <c r="R1499" s="59">
        <f t="shared" si="905"/>
        <v>0</v>
      </c>
      <c r="S1499" s="59">
        <f t="shared" si="905"/>
        <v>0</v>
      </c>
      <c r="T1499" s="59">
        <f t="shared" si="905"/>
        <v>0</v>
      </c>
      <c r="U1499" s="59">
        <f t="shared" si="905"/>
        <v>0</v>
      </c>
      <c r="V1499" s="59">
        <f t="shared" si="905"/>
        <v>0</v>
      </c>
      <c r="W1499" s="59">
        <f t="shared" si="905"/>
        <v>0</v>
      </c>
      <c r="X1499" s="59">
        <f t="shared" si="905"/>
        <v>0</v>
      </c>
    </row>
    <row r="1500" spans="2:24" hidden="1">
      <c r="B1500" s="58" t="str">
        <f t="shared" si="887"/>
        <v/>
      </c>
      <c r="C1500" s="58" t="str">
        <f t="shared" si="887"/>
        <v/>
      </c>
      <c r="D1500" s="58" t="str">
        <f t="shared" si="887"/>
        <v/>
      </c>
      <c r="E1500" s="58" t="str">
        <f t="shared" si="887"/>
        <v/>
      </c>
      <c r="F1500" s="58"/>
      <c r="G1500" s="58"/>
      <c r="H1500" s="58"/>
      <c r="I1500" s="58"/>
      <c r="J1500" s="58"/>
      <c r="K1500" s="59">
        <f t="shared" ref="K1500:X1500" si="906">IF(AND($D1500="tak",OR($E1500="nie dotyczy",$E1500="badania przemysłowe"),K$1421&lt;=Koniec_Projekt),ROUND(K409*K367,0),0)</f>
        <v>0</v>
      </c>
      <c r="L1500" s="59">
        <f t="shared" si="906"/>
        <v>0</v>
      </c>
      <c r="M1500" s="59">
        <f t="shared" si="906"/>
        <v>0</v>
      </c>
      <c r="N1500" s="59">
        <f t="shared" si="906"/>
        <v>0</v>
      </c>
      <c r="O1500" s="59">
        <f t="shared" si="906"/>
        <v>0</v>
      </c>
      <c r="P1500" s="59">
        <f t="shared" si="906"/>
        <v>0</v>
      </c>
      <c r="Q1500" s="59">
        <f t="shared" si="906"/>
        <v>0</v>
      </c>
      <c r="R1500" s="59">
        <f t="shared" si="906"/>
        <v>0</v>
      </c>
      <c r="S1500" s="59">
        <f t="shared" si="906"/>
        <v>0</v>
      </c>
      <c r="T1500" s="59">
        <f t="shared" si="906"/>
        <v>0</v>
      </c>
      <c r="U1500" s="59">
        <f t="shared" si="906"/>
        <v>0</v>
      </c>
      <c r="V1500" s="59">
        <f t="shared" si="906"/>
        <v>0</v>
      </c>
      <c r="W1500" s="59">
        <f t="shared" si="906"/>
        <v>0</v>
      </c>
      <c r="X1500" s="59">
        <f t="shared" si="906"/>
        <v>0</v>
      </c>
    </row>
    <row r="1501" spans="2:24" hidden="1">
      <c r="B1501" s="58" t="str">
        <f t="shared" si="887"/>
        <v/>
      </c>
      <c r="C1501" s="58" t="str">
        <f t="shared" si="887"/>
        <v/>
      </c>
      <c r="D1501" s="58" t="str">
        <f t="shared" si="887"/>
        <v/>
      </c>
      <c r="E1501" s="58" t="str">
        <f t="shared" si="887"/>
        <v/>
      </c>
      <c r="F1501" s="58"/>
      <c r="G1501" s="58"/>
      <c r="H1501" s="58"/>
      <c r="I1501" s="58"/>
      <c r="J1501" s="58"/>
      <c r="K1501" s="59">
        <f t="shared" ref="K1501:X1501" si="907">IF(AND($D1501="tak",OR($E1501="nie dotyczy",$E1501="badania przemysłowe"),K$1421&lt;=Koniec_Projekt),ROUND(K410*K368,0),0)</f>
        <v>0</v>
      </c>
      <c r="L1501" s="59">
        <f t="shared" si="907"/>
        <v>0</v>
      </c>
      <c r="M1501" s="59">
        <f t="shared" si="907"/>
        <v>0</v>
      </c>
      <c r="N1501" s="59">
        <f t="shared" si="907"/>
        <v>0</v>
      </c>
      <c r="O1501" s="59">
        <f t="shared" si="907"/>
        <v>0</v>
      </c>
      <c r="P1501" s="59">
        <f t="shared" si="907"/>
        <v>0</v>
      </c>
      <c r="Q1501" s="59">
        <f t="shared" si="907"/>
        <v>0</v>
      </c>
      <c r="R1501" s="59">
        <f t="shared" si="907"/>
        <v>0</v>
      </c>
      <c r="S1501" s="59">
        <f t="shared" si="907"/>
        <v>0</v>
      </c>
      <c r="T1501" s="59">
        <f t="shared" si="907"/>
        <v>0</v>
      </c>
      <c r="U1501" s="59">
        <f t="shared" si="907"/>
        <v>0</v>
      </c>
      <c r="V1501" s="59">
        <f t="shared" si="907"/>
        <v>0</v>
      </c>
      <c r="W1501" s="59">
        <f t="shared" si="907"/>
        <v>0</v>
      </c>
      <c r="X1501" s="59">
        <f t="shared" si="907"/>
        <v>0</v>
      </c>
    </row>
    <row r="1502" spans="2:24" hidden="1">
      <c r="B1502" s="58" t="str">
        <f t="shared" ref="B1502:E1521" si="908">IF(ISBLANK(B1262),"",B1262)</f>
        <v/>
      </c>
      <c r="C1502" s="58" t="str">
        <f t="shared" si="908"/>
        <v/>
      </c>
      <c r="D1502" s="58" t="str">
        <f t="shared" si="908"/>
        <v/>
      </c>
      <c r="E1502" s="58" t="str">
        <f t="shared" si="908"/>
        <v/>
      </c>
      <c r="F1502" s="58"/>
      <c r="G1502" s="58"/>
      <c r="H1502" s="58"/>
      <c r="I1502" s="58"/>
      <c r="J1502" s="58"/>
      <c r="K1502" s="59">
        <f t="shared" ref="K1502:X1502" si="909">IF(AND($D1502="tak",OR($E1502="nie dotyczy",$E1502="badania przemysłowe"),K$1421&lt;=Koniec_Projekt),ROUND(K411*K369,0),0)</f>
        <v>0</v>
      </c>
      <c r="L1502" s="59">
        <f t="shared" si="909"/>
        <v>0</v>
      </c>
      <c r="M1502" s="59">
        <f t="shared" si="909"/>
        <v>0</v>
      </c>
      <c r="N1502" s="59">
        <f t="shared" si="909"/>
        <v>0</v>
      </c>
      <c r="O1502" s="59">
        <f t="shared" si="909"/>
        <v>0</v>
      </c>
      <c r="P1502" s="59">
        <f t="shared" si="909"/>
        <v>0</v>
      </c>
      <c r="Q1502" s="59">
        <f t="shared" si="909"/>
        <v>0</v>
      </c>
      <c r="R1502" s="59">
        <f t="shared" si="909"/>
        <v>0</v>
      </c>
      <c r="S1502" s="59">
        <f t="shared" si="909"/>
        <v>0</v>
      </c>
      <c r="T1502" s="59">
        <f t="shared" si="909"/>
        <v>0</v>
      </c>
      <c r="U1502" s="59">
        <f t="shared" si="909"/>
        <v>0</v>
      </c>
      <c r="V1502" s="59">
        <f t="shared" si="909"/>
        <v>0</v>
      </c>
      <c r="W1502" s="59">
        <f t="shared" si="909"/>
        <v>0</v>
      </c>
      <c r="X1502" s="59">
        <f t="shared" si="909"/>
        <v>0</v>
      </c>
    </row>
    <row r="1503" spans="2:24" hidden="1">
      <c r="B1503" s="58" t="str">
        <f t="shared" si="908"/>
        <v/>
      </c>
      <c r="C1503" s="58" t="str">
        <f t="shared" si="908"/>
        <v/>
      </c>
      <c r="D1503" s="58" t="str">
        <f t="shared" si="908"/>
        <v/>
      </c>
      <c r="E1503" s="58" t="str">
        <f t="shared" si="908"/>
        <v/>
      </c>
      <c r="F1503" s="58"/>
      <c r="G1503" s="58"/>
      <c r="H1503" s="58"/>
      <c r="I1503" s="58"/>
      <c r="J1503" s="58"/>
      <c r="K1503" s="59">
        <f t="shared" ref="K1503:X1503" si="910">IF(AND($D1503="tak",OR($E1503="nie dotyczy",$E1503="badania przemysłowe"),K$1421&lt;=Koniec_Projekt),ROUND(K412*K370,0),0)</f>
        <v>0</v>
      </c>
      <c r="L1503" s="59">
        <f t="shared" si="910"/>
        <v>0</v>
      </c>
      <c r="M1503" s="59">
        <f t="shared" si="910"/>
        <v>0</v>
      </c>
      <c r="N1503" s="59">
        <f t="shared" si="910"/>
        <v>0</v>
      </c>
      <c r="O1503" s="59">
        <f t="shared" si="910"/>
        <v>0</v>
      </c>
      <c r="P1503" s="59">
        <f t="shared" si="910"/>
        <v>0</v>
      </c>
      <c r="Q1503" s="59">
        <f t="shared" si="910"/>
        <v>0</v>
      </c>
      <c r="R1503" s="59">
        <f t="shared" si="910"/>
        <v>0</v>
      </c>
      <c r="S1503" s="59">
        <f t="shared" si="910"/>
        <v>0</v>
      </c>
      <c r="T1503" s="59">
        <f t="shared" si="910"/>
        <v>0</v>
      </c>
      <c r="U1503" s="59">
        <f t="shared" si="910"/>
        <v>0</v>
      </c>
      <c r="V1503" s="59">
        <f t="shared" si="910"/>
        <v>0</v>
      </c>
      <c r="W1503" s="59">
        <f t="shared" si="910"/>
        <v>0</v>
      </c>
      <c r="X1503" s="59">
        <f t="shared" si="910"/>
        <v>0</v>
      </c>
    </row>
    <row r="1504" spans="2:24" hidden="1">
      <c r="B1504" s="58" t="str">
        <f t="shared" si="908"/>
        <v/>
      </c>
      <c r="C1504" s="58" t="str">
        <f t="shared" si="908"/>
        <v/>
      </c>
      <c r="D1504" s="58" t="str">
        <f t="shared" si="908"/>
        <v/>
      </c>
      <c r="E1504" s="58" t="str">
        <f t="shared" si="908"/>
        <v/>
      </c>
      <c r="F1504" s="58"/>
      <c r="G1504" s="58"/>
      <c r="H1504" s="58"/>
      <c r="I1504" s="58"/>
      <c r="J1504" s="58"/>
      <c r="K1504" s="59">
        <f t="shared" ref="K1504:X1504" si="911">IF(AND($D1504="tak",OR($E1504="nie dotyczy",$E1504="badania przemysłowe"),K$1421&lt;=Koniec_Projekt),ROUND(K413*K371,0),0)</f>
        <v>0</v>
      </c>
      <c r="L1504" s="59">
        <f t="shared" si="911"/>
        <v>0</v>
      </c>
      <c r="M1504" s="59">
        <f t="shared" si="911"/>
        <v>0</v>
      </c>
      <c r="N1504" s="59">
        <f t="shared" si="911"/>
        <v>0</v>
      </c>
      <c r="O1504" s="59">
        <f t="shared" si="911"/>
        <v>0</v>
      </c>
      <c r="P1504" s="59">
        <f t="shared" si="911"/>
        <v>0</v>
      </c>
      <c r="Q1504" s="59">
        <f t="shared" si="911"/>
        <v>0</v>
      </c>
      <c r="R1504" s="59">
        <f t="shared" si="911"/>
        <v>0</v>
      </c>
      <c r="S1504" s="59">
        <f t="shared" si="911"/>
        <v>0</v>
      </c>
      <c r="T1504" s="59">
        <f t="shared" si="911"/>
        <v>0</v>
      </c>
      <c r="U1504" s="59">
        <f t="shared" si="911"/>
        <v>0</v>
      </c>
      <c r="V1504" s="59">
        <f t="shared" si="911"/>
        <v>0</v>
      </c>
      <c r="W1504" s="59">
        <f t="shared" si="911"/>
        <v>0</v>
      </c>
      <c r="X1504" s="59">
        <f t="shared" si="911"/>
        <v>0</v>
      </c>
    </row>
    <row r="1505" spans="2:24" hidden="1">
      <c r="B1505" s="58" t="str">
        <f t="shared" si="908"/>
        <v/>
      </c>
      <c r="C1505" s="58" t="str">
        <f t="shared" si="908"/>
        <v/>
      </c>
      <c r="D1505" s="58" t="str">
        <f t="shared" si="908"/>
        <v/>
      </c>
      <c r="E1505" s="58" t="str">
        <f t="shared" si="908"/>
        <v/>
      </c>
      <c r="F1505" s="58"/>
      <c r="G1505" s="58"/>
      <c r="H1505" s="58"/>
      <c r="I1505" s="58"/>
      <c r="J1505" s="58"/>
      <c r="K1505" s="59">
        <f t="shared" ref="K1505:X1505" si="912">IF(AND($D1505="tak",OR($E1505="nie dotyczy",$E1505="badania przemysłowe"),K$1421&lt;=Koniec_Projekt),ROUND(K414*K372,0),0)</f>
        <v>0</v>
      </c>
      <c r="L1505" s="59">
        <f t="shared" si="912"/>
        <v>0</v>
      </c>
      <c r="M1505" s="59">
        <f t="shared" si="912"/>
        <v>0</v>
      </c>
      <c r="N1505" s="59">
        <f t="shared" si="912"/>
        <v>0</v>
      </c>
      <c r="O1505" s="59">
        <f t="shared" si="912"/>
        <v>0</v>
      </c>
      <c r="P1505" s="59">
        <f t="shared" si="912"/>
        <v>0</v>
      </c>
      <c r="Q1505" s="59">
        <f t="shared" si="912"/>
        <v>0</v>
      </c>
      <c r="R1505" s="59">
        <f t="shared" si="912"/>
        <v>0</v>
      </c>
      <c r="S1505" s="59">
        <f t="shared" si="912"/>
        <v>0</v>
      </c>
      <c r="T1505" s="59">
        <f t="shared" si="912"/>
        <v>0</v>
      </c>
      <c r="U1505" s="59">
        <f t="shared" si="912"/>
        <v>0</v>
      </c>
      <c r="V1505" s="59">
        <f t="shared" si="912"/>
        <v>0</v>
      </c>
      <c r="W1505" s="59">
        <f t="shared" si="912"/>
        <v>0</v>
      </c>
      <c r="X1505" s="59">
        <f t="shared" si="912"/>
        <v>0</v>
      </c>
    </row>
    <row r="1506" spans="2:24" hidden="1">
      <c r="B1506" s="58" t="str">
        <f t="shared" si="908"/>
        <v/>
      </c>
      <c r="C1506" s="58" t="str">
        <f t="shared" si="908"/>
        <v/>
      </c>
      <c r="D1506" s="58" t="str">
        <f t="shared" si="908"/>
        <v/>
      </c>
      <c r="E1506" s="58" t="str">
        <f t="shared" si="908"/>
        <v/>
      </c>
      <c r="F1506" s="58"/>
      <c r="G1506" s="58"/>
      <c r="H1506" s="58"/>
      <c r="I1506" s="58"/>
      <c r="J1506" s="58"/>
      <c r="K1506" s="59">
        <f t="shared" ref="K1506:X1506" si="913">IF(AND($D1506="tak",OR($E1506="nie dotyczy",$E1506="badania przemysłowe"),K$1421&lt;=Koniec_Projekt),ROUND(K415*K373,0),0)</f>
        <v>0</v>
      </c>
      <c r="L1506" s="59">
        <f t="shared" si="913"/>
        <v>0</v>
      </c>
      <c r="M1506" s="59">
        <f t="shared" si="913"/>
        <v>0</v>
      </c>
      <c r="N1506" s="59">
        <f t="shared" si="913"/>
        <v>0</v>
      </c>
      <c r="O1506" s="59">
        <f t="shared" si="913"/>
        <v>0</v>
      </c>
      <c r="P1506" s="59">
        <f t="shared" si="913"/>
        <v>0</v>
      </c>
      <c r="Q1506" s="59">
        <f t="shared" si="913"/>
        <v>0</v>
      </c>
      <c r="R1506" s="59">
        <f t="shared" si="913"/>
        <v>0</v>
      </c>
      <c r="S1506" s="59">
        <f t="shared" si="913"/>
        <v>0</v>
      </c>
      <c r="T1506" s="59">
        <f t="shared" si="913"/>
        <v>0</v>
      </c>
      <c r="U1506" s="59">
        <f t="shared" si="913"/>
        <v>0</v>
      </c>
      <c r="V1506" s="59">
        <f t="shared" si="913"/>
        <v>0</v>
      </c>
      <c r="W1506" s="59">
        <f t="shared" si="913"/>
        <v>0</v>
      </c>
      <c r="X1506" s="59">
        <f t="shared" si="913"/>
        <v>0</v>
      </c>
    </row>
    <row r="1507" spans="2:24" hidden="1">
      <c r="B1507" s="58" t="str">
        <f t="shared" si="908"/>
        <v/>
      </c>
      <c r="C1507" s="58" t="str">
        <f t="shared" si="908"/>
        <v/>
      </c>
      <c r="D1507" s="58" t="str">
        <f t="shared" si="908"/>
        <v/>
      </c>
      <c r="E1507" s="58" t="str">
        <f t="shared" si="908"/>
        <v/>
      </c>
      <c r="F1507" s="58"/>
      <c r="G1507" s="58"/>
      <c r="H1507" s="58"/>
      <c r="I1507" s="58"/>
      <c r="J1507" s="58"/>
      <c r="K1507" s="59">
        <f t="shared" ref="K1507:X1507" si="914">IF(AND($D1507="tak",OR($E1507="nie dotyczy",$E1507="badania przemysłowe"),K$1421&lt;=Koniec_Projekt),ROUND(K416*K374,0),0)</f>
        <v>0</v>
      </c>
      <c r="L1507" s="59">
        <f t="shared" si="914"/>
        <v>0</v>
      </c>
      <c r="M1507" s="59">
        <f t="shared" si="914"/>
        <v>0</v>
      </c>
      <c r="N1507" s="59">
        <f t="shared" si="914"/>
        <v>0</v>
      </c>
      <c r="O1507" s="59">
        <f t="shared" si="914"/>
        <v>0</v>
      </c>
      <c r="P1507" s="59">
        <f t="shared" si="914"/>
        <v>0</v>
      </c>
      <c r="Q1507" s="59">
        <f t="shared" si="914"/>
        <v>0</v>
      </c>
      <c r="R1507" s="59">
        <f t="shared" si="914"/>
        <v>0</v>
      </c>
      <c r="S1507" s="59">
        <f t="shared" si="914"/>
        <v>0</v>
      </c>
      <c r="T1507" s="59">
        <f t="shared" si="914"/>
        <v>0</v>
      </c>
      <c r="U1507" s="59">
        <f t="shared" si="914"/>
        <v>0</v>
      </c>
      <c r="V1507" s="59">
        <f t="shared" si="914"/>
        <v>0</v>
      </c>
      <c r="W1507" s="59">
        <f t="shared" si="914"/>
        <v>0</v>
      </c>
      <c r="X1507" s="59">
        <f t="shared" si="914"/>
        <v>0</v>
      </c>
    </row>
    <row r="1508" spans="2:24" hidden="1">
      <c r="B1508" s="58" t="str">
        <f t="shared" si="908"/>
        <v/>
      </c>
      <c r="C1508" s="58" t="str">
        <f t="shared" si="908"/>
        <v/>
      </c>
      <c r="D1508" s="58" t="str">
        <f t="shared" si="908"/>
        <v/>
      </c>
      <c r="E1508" s="58" t="str">
        <f t="shared" si="908"/>
        <v/>
      </c>
      <c r="F1508" s="58"/>
      <c r="G1508" s="58"/>
      <c r="H1508" s="58"/>
      <c r="I1508" s="58"/>
      <c r="J1508" s="58"/>
      <c r="K1508" s="59">
        <f t="shared" ref="K1508:X1508" si="915">IF(AND($D1508="tak",OR($E1508="nie dotyczy",$E1508="badania przemysłowe"),K$1421&lt;=Koniec_Projekt),ROUND(K417*K375,0),0)</f>
        <v>0</v>
      </c>
      <c r="L1508" s="59">
        <f t="shared" si="915"/>
        <v>0</v>
      </c>
      <c r="M1508" s="59">
        <f t="shared" si="915"/>
        <v>0</v>
      </c>
      <c r="N1508" s="59">
        <f t="shared" si="915"/>
        <v>0</v>
      </c>
      <c r="O1508" s="59">
        <f t="shared" si="915"/>
        <v>0</v>
      </c>
      <c r="P1508" s="59">
        <f t="shared" si="915"/>
        <v>0</v>
      </c>
      <c r="Q1508" s="59">
        <f t="shared" si="915"/>
        <v>0</v>
      </c>
      <c r="R1508" s="59">
        <f t="shared" si="915"/>
        <v>0</v>
      </c>
      <c r="S1508" s="59">
        <f t="shared" si="915"/>
        <v>0</v>
      </c>
      <c r="T1508" s="59">
        <f t="shared" si="915"/>
        <v>0</v>
      </c>
      <c r="U1508" s="59">
        <f t="shared" si="915"/>
        <v>0</v>
      </c>
      <c r="V1508" s="59">
        <f t="shared" si="915"/>
        <v>0</v>
      </c>
      <c r="W1508" s="59">
        <f t="shared" si="915"/>
        <v>0</v>
      </c>
      <c r="X1508" s="59">
        <f t="shared" si="915"/>
        <v>0</v>
      </c>
    </row>
    <row r="1509" spans="2:24" hidden="1">
      <c r="B1509" s="58" t="str">
        <f t="shared" si="908"/>
        <v/>
      </c>
      <c r="C1509" s="58" t="str">
        <f t="shared" si="908"/>
        <v/>
      </c>
      <c r="D1509" s="58" t="str">
        <f t="shared" si="908"/>
        <v/>
      </c>
      <c r="E1509" s="58" t="str">
        <f t="shared" si="908"/>
        <v/>
      </c>
      <c r="F1509" s="58"/>
      <c r="G1509" s="58"/>
      <c r="H1509" s="58"/>
      <c r="I1509" s="58"/>
      <c r="J1509" s="58"/>
      <c r="K1509" s="59">
        <f t="shared" ref="K1509:X1509" si="916">IF(AND($D1509="tak",OR($E1509="nie dotyczy",$E1509="badania przemysłowe"),K$1421&lt;=Koniec_Projekt),ROUND(K418*K376,0),0)</f>
        <v>0</v>
      </c>
      <c r="L1509" s="59">
        <f t="shared" si="916"/>
        <v>0</v>
      </c>
      <c r="M1509" s="59">
        <f t="shared" si="916"/>
        <v>0</v>
      </c>
      <c r="N1509" s="59">
        <f t="shared" si="916"/>
        <v>0</v>
      </c>
      <c r="O1509" s="59">
        <f t="shared" si="916"/>
        <v>0</v>
      </c>
      <c r="P1509" s="59">
        <f t="shared" si="916"/>
        <v>0</v>
      </c>
      <c r="Q1509" s="59">
        <f t="shared" si="916"/>
        <v>0</v>
      </c>
      <c r="R1509" s="59">
        <f t="shared" si="916"/>
        <v>0</v>
      </c>
      <c r="S1509" s="59">
        <f t="shared" si="916"/>
        <v>0</v>
      </c>
      <c r="T1509" s="59">
        <f t="shared" si="916"/>
        <v>0</v>
      </c>
      <c r="U1509" s="59">
        <f t="shared" si="916"/>
        <v>0</v>
      </c>
      <c r="V1509" s="59">
        <f t="shared" si="916"/>
        <v>0</v>
      </c>
      <c r="W1509" s="59">
        <f t="shared" si="916"/>
        <v>0</v>
      </c>
      <c r="X1509" s="59">
        <f t="shared" si="916"/>
        <v>0</v>
      </c>
    </row>
    <row r="1510" spans="2:24" hidden="1">
      <c r="B1510" s="58" t="str">
        <f t="shared" si="908"/>
        <v/>
      </c>
      <c r="C1510" s="58" t="str">
        <f t="shared" si="908"/>
        <v/>
      </c>
      <c r="D1510" s="58" t="str">
        <f t="shared" si="908"/>
        <v/>
      </c>
      <c r="E1510" s="58" t="str">
        <f t="shared" si="908"/>
        <v/>
      </c>
      <c r="F1510" s="58"/>
      <c r="G1510" s="58"/>
      <c r="H1510" s="58"/>
      <c r="I1510" s="58"/>
      <c r="J1510" s="58"/>
      <c r="K1510" s="59">
        <f t="shared" ref="K1510:X1510" si="917">IF(AND($D1510="tak",OR($E1510="nie dotyczy",$E1510="badania przemysłowe"),K$1421&lt;=Koniec_Projekt),ROUND(K419*K377,0),0)</f>
        <v>0</v>
      </c>
      <c r="L1510" s="59">
        <f t="shared" si="917"/>
        <v>0</v>
      </c>
      <c r="M1510" s="59">
        <f t="shared" si="917"/>
        <v>0</v>
      </c>
      <c r="N1510" s="59">
        <f t="shared" si="917"/>
        <v>0</v>
      </c>
      <c r="O1510" s="59">
        <f t="shared" si="917"/>
        <v>0</v>
      </c>
      <c r="P1510" s="59">
        <f t="shared" si="917"/>
        <v>0</v>
      </c>
      <c r="Q1510" s="59">
        <f t="shared" si="917"/>
        <v>0</v>
      </c>
      <c r="R1510" s="59">
        <f t="shared" si="917"/>
        <v>0</v>
      </c>
      <c r="S1510" s="59">
        <f t="shared" si="917"/>
        <v>0</v>
      </c>
      <c r="T1510" s="59">
        <f t="shared" si="917"/>
        <v>0</v>
      </c>
      <c r="U1510" s="59">
        <f t="shared" si="917"/>
        <v>0</v>
      </c>
      <c r="V1510" s="59">
        <f t="shared" si="917"/>
        <v>0</v>
      </c>
      <c r="W1510" s="59">
        <f t="shared" si="917"/>
        <v>0</v>
      </c>
      <c r="X1510" s="59">
        <f t="shared" si="917"/>
        <v>0</v>
      </c>
    </row>
    <row r="1511" spans="2:24" hidden="1">
      <c r="B1511" s="58" t="str">
        <f t="shared" si="908"/>
        <v/>
      </c>
      <c r="C1511" s="58" t="str">
        <f t="shared" si="908"/>
        <v/>
      </c>
      <c r="D1511" s="58" t="str">
        <f t="shared" si="908"/>
        <v/>
      </c>
      <c r="E1511" s="58" t="str">
        <f t="shared" si="908"/>
        <v/>
      </c>
      <c r="F1511" s="58"/>
      <c r="G1511" s="58"/>
      <c r="H1511" s="58"/>
      <c r="I1511" s="58"/>
      <c r="J1511" s="58"/>
      <c r="K1511" s="59">
        <f t="shared" ref="K1511:X1511" si="918">IF(AND($D1511="tak",OR($E1511="nie dotyczy",$E1511="badania przemysłowe"),K$1421&lt;=Koniec_Projekt),ROUND(K420*K378,0),0)</f>
        <v>0</v>
      </c>
      <c r="L1511" s="59">
        <f t="shared" si="918"/>
        <v>0</v>
      </c>
      <c r="M1511" s="59">
        <f t="shared" si="918"/>
        <v>0</v>
      </c>
      <c r="N1511" s="59">
        <f t="shared" si="918"/>
        <v>0</v>
      </c>
      <c r="O1511" s="59">
        <f t="shared" si="918"/>
        <v>0</v>
      </c>
      <c r="P1511" s="59">
        <f t="shared" si="918"/>
        <v>0</v>
      </c>
      <c r="Q1511" s="59">
        <f t="shared" si="918"/>
        <v>0</v>
      </c>
      <c r="R1511" s="59">
        <f t="shared" si="918"/>
        <v>0</v>
      </c>
      <c r="S1511" s="59">
        <f t="shared" si="918"/>
        <v>0</v>
      </c>
      <c r="T1511" s="59">
        <f t="shared" si="918"/>
        <v>0</v>
      </c>
      <c r="U1511" s="59">
        <f t="shared" si="918"/>
        <v>0</v>
      </c>
      <c r="V1511" s="59">
        <f t="shared" si="918"/>
        <v>0</v>
      </c>
      <c r="W1511" s="59">
        <f t="shared" si="918"/>
        <v>0</v>
      </c>
      <c r="X1511" s="59">
        <f t="shared" si="918"/>
        <v>0</v>
      </c>
    </row>
    <row r="1512" spans="2:24" hidden="1">
      <c r="B1512" s="58" t="str">
        <f t="shared" si="908"/>
        <v/>
      </c>
      <c r="C1512" s="58" t="str">
        <f t="shared" si="908"/>
        <v/>
      </c>
      <c r="D1512" s="58" t="str">
        <f t="shared" si="908"/>
        <v/>
      </c>
      <c r="E1512" s="58" t="str">
        <f t="shared" si="908"/>
        <v/>
      </c>
      <c r="F1512" s="58"/>
      <c r="G1512" s="58"/>
      <c r="H1512" s="58"/>
      <c r="I1512" s="58"/>
      <c r="J1512" s="58"/>
      <c r="K1512" s="59">
        <f t="shared" ref="K1512:X1512" si="919">IF(AND($D1512="tak",OR($E1512="nie dotyczy",$E1512="badania przemysłowe"),K$1421&lt;=Koniec_Projekt),ROUND(K421*K379,0),0)</f>
        <v>0</v>
      </c>
      <c r="L1512" s="59">
        <f t="shared" si="919"/>
        <v>0</v>
      </c>
      <c r="M1512" s="59">
        <f t="shared" si="919"/>
        <v>0</v>
      </c>
      <c r="N1512" s="59">
        <f t="shared" si="919"/>
        <v>0</v>
      </c>
      <c r="O1512" s="59">
        <f t="shared" si="919"/>
        <v>0</v>
      </c>
      <c r="P1512" s="59">
        <f t="shared" si="919"/>
        <v>0</v>
      </c>
      <c r="Q1512" s="59">
        <f t="shared" si="919"/>
        <v>0</v>
      </c>
      <c r="R1512" s="59">
        <f t="shared" si="919"/>
        <v>0</v>
      </c>
      <c r="S1512" s="59">
        <f t="shared" si="919"/>
        <v>0</v>
      </c>
      <c r="T1512" s="59">
        <f t="shared" si="919"/>
        <v>0</v>
      </c>
      <c r="U1512" s="59">
        <f t="shared" si="919"/>
        <v>0</v>
      </c>
      <c r="V1512" s="59">
        <f t="shared" si="919"/>
        <v>0</v>
      </c>
      <c r="W1512" s="59">
        <f t="shared" si="919"/>
        <v>0</v>
      </c>
      <c r="X1512" s="59">
        <f t="shared" si="919"/>
        <v>0</v>
      </c>
    </row>
    <row r="1513" spans="2:24" hidden="1">
      <c r="B1513" s="58" t="str">
        <f t="shared" si="908"/>
        <v/>
      </c>
      <c r="C1513" s="58" t="str">
        <f t="shared" si="908"/>
        <v/>
      </c>
      <c r="D1513" s="58" t="str">
        <f t="shared" si="908"/>
        <v/>
      </c>
      <c r="E1513" s="58" t="str">
        <f t="shared" si="908"/>
        <v/>
      </c>
      <c r="F1513" s="58"/>
      <c r="G1513" s="58"/>
      <c r="H1513" s="58"/>
      <c r="I1513" s="58"/>
      <c r="J1513" s="58"/>
      <c r="K1513" s="59">
        <f t="shared" ref="K1513:X1513" si="920">IF(AND($D1513="tak",OR($E1513="nie dotyczy",$E1513="badania przemysłowe"),K$1421&lt;=Koniec_Projekt),ROUND(K422*K380,0),0)</f>
        <v>0</v>
      </c>
      <c r="L1513" s="59">
        <f t="shared" si="920"/>
        <v>0</v>
      </c>
      <c r="M1513" s="59">
        <f t="shared" si="920"/>
        <v>0</v>
      </c>
      <c r="N1513" s="59">
        <f t="shared" si="920"/>
        <v>0</v>
      </c>
      <c r="O1513" s="59">
        <f t="shared" si="920"/>
        <v>0</v>
      </c>
      <c r="P1513" s="59">
        <f t="shared" si="920"/>
        <v>0</v>
      </c>
      <c r="Q1513" s="59">
        <f t="shared" si="920"/>
        <v>0</v>
      </c>
      <c r="R1513" s="59">
        <f t="shared" si="920"/>
        <v>0</v>
      </c>
      <c r="S1513" s="59">
        <f t="shared" si="920"/>
        <v>0</v>
      </c>
      <c r="T1513" s="59">
        <f t="shared" si="920"/>
        <v>0</v>
      </c>
      <c r="U1513" s="59">
        <f t="shared" si="920"/>
        <v>0</v>
      </c>
      <c r="V1513" s="59">
        <f t="shared" si="920"/>
        <v>0</v>
      </c>
      <c r="W1513" s="59">
        <f t="shared" si="920"/>
        <v>0</v>
      </c>
      <c r="X1513" s="59">
        <f t="shared" si="920"/>
        <v>0</v>
      </c>
    </row>
    <row r="1514" spans="2:24" hidden="1">
      <c r="B1514" s="58" t="str">
        <f t="shared" si="908"/>
        <v/>
      </c>
      <c r="C1514" s="58" t="str">
        <f t="shared" si="908"/>
        <v/>
      </c>
      <c r="D1514" s="58" t="str">
        <f t="shared" si="908"/>
        <v/>
      </c>
      <c r="E1514" s="58" t="str">
        <f t="shared" si="908"/>
        <v/>
      </c>
      <c r="F1514" s="58"/>
      <c r="G1514" s="58"/>
      <c r="H1514" s="58"/>
      <c r="I1514" s="58"/>
      <c r="J1514" s="58"/>
      <c r="K1514" s="59">
        <f t="shared" ref="K1514:X1514" si="921">IF(AND($D1514="tak",OR($E1514="nie dotyczy",$E1514="badania przemysłowe"),K$1421&lt;=Koniec_Projekt),ROUND(K423*K381,0),0)</f>
        <v>0</v>
      </c>
      <c r="L1514" s="59">
        <f t="shared" si="921"/>
        <v>0</v>
      </c>
      <c r="M1514" s="59">
        <f t="shared" si="921"/>
        <v>0</v>
      </c>
      <c r="N1514" s="59">
        <f t="shared" si="921"/>
        <v>0</v>
      </c>
      <c r="O1514" s="59">
        <f t="shared" si="921"/>
        <v>0</v>
      </c>
      <c r="P1514" s="59">
        <f t="shared" si="921"/>
        <v>0</v>
      </c>
      <c r="Q1514" s="59">
        <f t="shared" si="921"/>
        <v>0</v>
      </c>
      <c r="R1514" s="59">
        <f t="shared" si="921"/>
        <v>0</v>
      </c>
      <c r="S1514" s="59">
        <f t="shared" si="921"/>
        <v>0</v>
      </c>
      <c r="T1514" s="59">
        <f t="shared" si="921"/>
        <v>0</v>
      </c>
      <c r="U1514" s="59">
        <f t="shared" si="921"/>
        <v>0</v>
      </c>
      <c r="V1514" s="59">
        <f t="shared" si="921"/>
        <v>0</v>
      </c>
      <c r="W1514" s="59">
        <f t="shared" si="921"/>
        <v>0</v>
      </c>
      <c r="X1514" s="59">
        <f t="shared" si="921"/>
        <v>0</v>
      </c>
    </row>
    <row r="1515" spans="2:24" hidden="1">
      <c r="B1515" s="58" t="str">
        <f t="shared" si="908"/>
        <v/>
      </c>
      <c r="C1515" s="58" t="str">
        <f t="shared" si="908"/>
        <v/>
      </c>
      <c r="D1515" s="58" t="str">
        <f t="shared" si="908"/>
        <v/>
      </c>
      <c r="E1515" s="58" t="str">
        <f t="shared" si="908"/>
        <v/>
      </c>
      <c r="F1515" s="58"/>
      <c r="G1515" s="58"/>
      <c r="H1515" s="58"/>
      <c r="I1515" s="58"/>
      <c r="J1515" s="58"/>
      <c r="K1515" s="59">
        <f t="shared" ref="K1515:X1515" si="922">IF(AND($D1515="tak",OR($E1515="nie dotyczy",$E1515="badania przemysłowe"),K$1421&lt;=Koniec_Projekt),ROUND(K424*K382,0),0)</f>
        <v>0</v>
      </c>
      <c r="L1515" s="59">
        <f t="shared" si="922"/>
        <v>0</v>
      </c>
      <c r="M1515" s="59">
        <f t="shared" si="922"/>
        <v>0</v>
      </c>
      <c r="N1515" s="59">
        <f t="shared" si="922"/>
        <v>0</v>
      </c>
      <c r="O1515" s="59">
        <f t="shared" si="922"/>
        <v>0</v>
      </c>
      <c r="P1515" s="59">
        <f t="shared" si="922"/>
        <v>0</v>
      </c>
      <c r="Q1515" s="59">
        <f t="shared" si="922"/>
        <v>0</v>
      </c>
      <c r="R1515" s="59">
        <f t="shared" si="922"/>
        <v>0</v>
      </c>
      <c r="S1515" s="59">
        <f t="shared" si="922"/>
        <v>0</v>
      </c>
      <c r="T1515" s="59">
        <f t="shared" si="922"/>
        <v>0</v>
      </c>
      <c r="U1515" s="59">
        <f t="shared" si="922"/>
        <v>0</v>
      </c>
      <c r="V1515" s="59">
        <f t="shared" si="922"/>
        <v>0</v>
      </c>
      <c r="W1515" s="59">
        <f t="shared" si="922"/>
        <v>0</v>
      </c>
      <c r="X1515" s="59">
        <f t="shared" si="922"/>
        <v>0</v>
      </c>
    </row>
    <row r="1516" spans="2:24" hidden="1">
      <c r="B1516" s="58" t="str">
        <f t="shared" si="908"/>
        <v/>
      </c>
      <c r="C1516" s="58" t="str">
        <f t="shared" si="908"/>
        <v/>
      </c>
      <c r="D1516" s="58" t="str">
        <f t="shared" si="908"/>
        <v/>
      </c>
      <c r="E1516" s="58" t="str">
        <f t="shared" si="908"/>
        <v/>
      </c>
      <c r="F1516" s="58"/>
      <c r="G1516" s="58"/>
      <c r="H1516" s="58"/>
      <c r="I1516" s="58"/>
      <c r="J1516" s="58"/>
      <c r="K1516" s="59">
        <f t="shared" ref="K1516:X1516" si="923">IF(AND($D1516="tak",OR($E1516="nie dotyczy",$E1516="badania przemysłowe"),K$1421&lt;=Koniec_Projekt),ROUND(K425*K383,0),0)</f>
        <v>0</v>
      </c>
      <c r="L1516" s="59">
        <f t="shared" si="923"/>
        <v>0</v>
      </c>
      <c r="M1516" s="59">
        <f t="shared" si="923"/>
        <v>0</v>
      </c>
      <c r="N1516" s="59">
        <f t="shared" si="923"/>
        <v>0</v>
      </c>
      <c r="O1516" s="59">
        <f t="shared" si="923"/>
        <v>0</v>
      </c>
      <c r="P1516" s="59">
        <f t="shared" si="923"/>
        <v>0</v>
      </c>
      <c r="Q1516" s="59">
        <f t="shared" si="923"/>
        <v>0</v>
      </c>
      <c r="R1516" s="59">
        <f t="shared" si="923"/>
        <v>0</v>
      </c>
      <c r="S1516" s="59">
        <f t="shared" si="923"/>
        <v>0</v>
      </c>
      <c r="T1516" s="59">
        <f t="shared" si="923"/>
        <v>0</v>
      </c>
      <c r="U1516" s="59">
        <f t="shared" si="923"/>
        <v>0</v>
      </c>
      <c r="V1516" s="59">
        <f t="shared" si="923"/>
        <v>0</v>
      </c>
      <c r="W1516" s="59">
        <f t="shared" si="923"/>
        <v>0</v>
      </c>
      <c r="X1516" s="59">
        <f t="shared" si="923"/>
        <v>0</v>
      </c>
    </row>
    <row r="1517" spans="2:24" hidden="1">
      <c r="B1517" s="58" t="str">
        <f t="shared" si="908"/>
        <v/>
      </c>
      <c r="C1517" s="58" t="str">
        <f t="shared" si="908"/>
        <v/>
      </c>
      <c r="D1517" s="58" t="str">
        <f t="shared" si="908"/>
        <v/>
      </c>
      <c r="E1517" s="58" t="str">
        <f t="shared" si="908"/>
        <v/>
      </c>
      <c r="F1517" s="58"/>
      <c r="G1517" s="58"/>
      <c r="H1517" s="58"/>
      <c r="I1517" s="58"/>
      <c r="J1517" s="58"/>
      <c r="K1517" s="59">
        <f t="shared" ref="K1517:X1517" si="924">IF(AND($D1517="tak",OR($E1517="nie dotyczy",$E1517="badania przemysłowe"),K$1421&lt;=Koniec_Projekt),ROUND(K426*K384,0),0)</f>
        <v>0</v>
      </c>
      <c r="L1517" s="59">
        <f t="shared" si="924"/>
        <v>0</v>
      </c>
      <c r="M1517" s="59">
        <f t="shared" si="924"/>
        <v>0</v>
      </c>
      <c r="N1517" s="59">
        <f t="shared" si="924"/>
        <v>0</v>
      </c>
      <c r="O1517" s="59">
        <f t="shared" si="924"/>
        <v>0</v>
      </c>
      <c r="P1517" s="59">
        <f t="shared" si="924"/>
        <v>0</v>
      </c>
      <c r="Q1517" s="59">
        <f t="shared" si="924"/>
        <v>0</v>
      </c>
      <c r="R1517" s="59">
        <f t="shared" si="924"/>
        <v>0</v>
      </c>
      <c r="S1517" s="59">
        <f t="shared" si="924"/>
        <v>0</v>
      </c>
      <c r="T1517" s="59">
        <f t="shared" si="924"/>
        <v>0</v>
      </c>
      <c r="U1517" s="59">
        <f t="shared" si="924"/>
        <v>0</v>
      </c>
      <c r="V1517" s="59">
        <f t="shared" si="924"/>
        <v>0</v>
      </c>
      <c r="W1517" s="59">
        <f t="shared" si="924"/>
        <v>0</v>
      </c>
      <c r="X1517" s="59">
        <f t="shared" si="924"/>
        <v>0</v>
      </c>
    </row>
    <row r="1518" spans="2:24" hidden="1">
      <c r="B1518" s="58" t="str">
        <f t="shared" si="908"/>
        <v/>
      </c>
      <c r="C1518" s="58" t="str">
        <f t="shared" si="908"/>
        <v/>
      </c>
      <c r="D1518" s="58" t="str">
        <f t="shared" si="908"/>
        <v/>
      </c>
      <c r="E1518" s="58" t="str">
        <f t="shared" si="908"/>
        <v/>
      </c>
      <c r="F1518" s="58"/>
      <c r="G1518" s="58"/>
      <c r="H1518" s="58"/>
      <c r="I1518" s="58"/>
      <c r="J1518" s="58"/>
      <c r="K1518" s="59">
        <f t="shared" ref="K1518:X1518" si="925">IF(AND($D1518="tak",OR($E1518="nie dotyczy",$E1518="badania przemysłowe"),K$1421&lt;=Koniec_Projekt),ROUND(K427*K385,0),0)</f>
        <v>0</v>
      </c>
      <c r="L1518" s="59">
        <f t="shared" si="925"/>
        <v>0</v>
      </c>
      <c r="M1518" s="59">
        <f t="shared" si="925"/>
        <v>0</v>
      </c>
      <c r="N1518" s="59">
        <f t="shared" si="925"/>
        <v>0</v>
      </c>
      <c r="O1518" s="59">
        <f t="shared" si="925"/>
        <v>0</v>
      </c>
      <c r="P1518" s="59">
        <f t="shared" si="925"/>
        <v>0</v>
      </c>
      <c r="Q1518" s="59">
        <f t="shared" si="925"/>
        <v>0</v>
      </c>
      <c r="R1518" s="59">
        <f t="shared" si="925"/>
        <v>0</v>
      </c>
      <c r="S1518" s="59">
        <f t="shared" si="925"/>
        <v>0</v>
      </c>
      <c r="T1518" s="59">
        <f t="shared" si="925"/>
        <v>0</v>
      </c>
      <c r="U1518" s="59">
        <f t="shared" si="925"/>
        <v>0</v>
      </c>
      <c r="V1518" s="59">
        <f t="shared" si="925"/>
        <v>0</v>
      </c>
      <c r="W1518" s="59">
        <f t="shared" si="925"/>
        <v>0</v>
      </c>
      <c r="X1518" s="59">
        <f t="shared" si="925"/>
        <v>0</v>
      </c>
    </row>
    <row r="1519" spans="2:24" hidden="1">
      <c r="B1519" s="58" t="str">
        <f t="shared" si="908"/>
        <v/>
      </c>
      <c r="C1519" s="58" t="str">
        <f t="shared" si="908"/>
        <v/>
      </c>
      <c r="D1519" s="58" t="str">
        <f t="shared" si="908"/>
        <v/>
      </c>
      <c r="E1519" s="58" t="str">
        <f t="shared" si="908"/>
        <v/>
      </c>
      <c r="F1519" s="58"/>
      <c r="G1519" s="58"/>
      <c r="H1519" s="58"/>
      <c r="I1519" s="58"/>
      <c r="J1519" s="58"/>
      <c r="K1519" s="59">
        <f t="shared" ref="K1519:X1519" si="926">IF(AND($D1519="tak",OR($E1519="nie dotyczy",$E1519="badania przemysłowe"),K$1421&lt;=Koniec_Projekt),ROUND(K428*K386,0),0)</f>
        <v>0</v>
      </c>
      <c r="L1519" s="59">
        <f t="shared" si="926"/>
        <v>0</v>
      </c>
      <c r="M1519" s="59">
        <f t="shared" si="926"/>
        <v>0</v>
      </c>
      <c r="N1519" s="59">
        <f t="shared" si="926"/>
        <v>0</v>
      </c>
      <c r="O1519" s="59">
        <f t="shared" si="926"/>
        <v>0</v>
      </c>
      <c r="P1519" s="59">
        <f t="shared" si="926"/>
        <v>0</v>
      </c>
      <c r="Q1519" s="59">
        <f t="shared" si="926"/>
        <v>0</v>
      </c>
      <c r="R1519" s="59">
        <f t="shared" si="926"/>
        <v>0</v>
      </c>
      <c r="S1519" s="59">
        <f t="shared" si="926"/>
        <v>0</v>
      </c>
      <c r="T1519" s="59">
        <f t="shared" si="926"/>
        <v>0</v>
      </c>
      <c r="U1519" s="59">
        <f t="shared" si="926"/>
        <v>0</v>
      </c>
      <c r="V1519" s="59">
        <f t="shared" si="926"/>
        <v>0</v>
      </c>
      <c r="W1519" s="59">
        <f t="shared" si="926"/>
        <v>0</v>
      </c>
      <c r="X1519" s="59">
        <f t="shared" si="926"/>
        <v>0</v>
      </c>
    </row>
    <row r="1520" spans="2:24" hidden="1">
      <c r="B1520" s="58" t="str">
        <f t="shared" si="908"/>
        <v/>
      </c>
      <c r="C1520" s="58" t="str">
        <f t="shared" si="908"/>
        <v/>
      </c>
      <c r="D1520" s="58" t="str">
        <f t="shared" si="908"/>
        <v/>
      </c>
      <c r="E1520" s="58" t="str">
        <f t="shared" si="908"/>
        <v/>
      </c>
      <c r="F1520" s="58"/>
      <c r="G1520" s="58"/>
      <c r="H1520" s="58"/>
      <c r="I1520" s="58"/>
      <c r="J1520" s="58"/>
      <c r="K1520" s="59">
        <f t="shared" ref="K1520:X1520" si="927">IF(AND($D1520="tak",OR($E1520="nie dotyczy",$E1520="badania przemysłowe"),K$1421&lt;=Koniec_Projekt),ROUND(K429*K387,0),0)</f>
        <v>0</v>
      </c>
      <c r="L1520" s="59">
        <f t="shared" si="927"/>
        <v>0</v>
      </c>
      <c r="M1520" s="59">
        <f t="shared" si="927"/>
        <v>0</v>
      </c>
      <c r="N1520" s="59">
        <f t="shared" si="927"/>
        <v>0</v>
      </c>
      <c r="O1520" s="59">
        <f t="shared" si="927"/>
        <v>0</v>
      </c>
      <c r="P1520" s="59">
        <f t="shared" si="927"/>
        <v>0</v>
      </c>
      <c r="Q1520" s="59">
        <f t="shared" si="927"/>
        <v>0</v>
      </c>
      <c r="R1520" s="59">
        <f t="shared" si="927"/>
        <v>0</v>
      </c>
      <c r="S1520" s="59">
        <f t="shared" si="927"/>
        <v>0</v>
      </c>
      <c r="T1520" s="59">
        <f t="shared" si="927"/>
        <v>0</v>
      </c>
      <c r="U1520" s="59">
        <f t="shared" si="927"/>
        <v>0</v>
      </c>
      <c r="V1520" s="59">
        <f t="shared" si="927"/>
        <v>0</v>
      </c>
      <c r="W1520" s="59">
        <f t="shared" si="927"/>
        <v>0</v>
      </c>
      <c r="X1520" s="59">
        <f t="shared" si="927"/>
        <v>0</v>
      </c>
    </row>
    <row r="1521" spans="2:24" hidden="1">
      <c r="B1521" s="58" t="str">
        <f t="shared" si="908"/>
        <v/>
      </c>
      <c r="C1521" s="58" t="str">
        <f t="shared" si="908"/>
        <v/>
      </c>
      <c r="D1521" s="58" t="str">
        <f t="shared" si="908"/>
        <v/>
      </c>
      <c r="E1521" s="58" t="str">
        <f t="shared" si="908"/>
        <v/>
      </c>
      <c r="F1521" s="58"/>
      <c r="G1521" s="58"/>
      <c r="H1521" s="58"/>
      <c r="I1521" s="58"/>
      <c r="J1521" s="58"/>
      <c r="K1521" s="59">
        <f t="shared" ref="K1521:X1521" si="928">IF(AND($D1521="tak",OR($E1521="nie dotyczy",$E1521="badania przemysłowe"),K$1421&lt;=Koniec_Projekt),ROUND(K430*K388,0),0)</f>
        <v>0</v>
      </c>
      <c r="L1521" s="59">
        <f t="shared" si="928"/>
        <v>0</v>
      </c>
      <c r="M1521" s="59">
        <f t="shared" si="928"/>
        <v>0</v>
      </c>
      <c r="N1521" s="59">
        <f t="shared" si="928"/>
        <v>0</v>
      </c>
      <c r="O1521" s="59">
        <f t="shared" si="928"/>
        <v>0</v>
      </c>
      <c r="P1521" s="59">
        <f t="shared" si="928"/>
        <v>0</v>
      </c>
      <c r="Q1521" s="59">
        <f t="shared" si="928"/>
        <v>0</v>
      </c>
      <c r="R1521" s="59">
        <f t="shared" si="928"/>
        <v>0</v>
      </c>
      <c r="S1521" s="59">
        <f t="shared" si="928"/>
        <v>0</v>
      </c>
      <c r="T1521" s="59">
        <f t="shared" si="928"/>
        <v>0</v>
      </c>
      <c r="U1521" s="59">
        <f t="shared" si="928"/>
        <v>0</v>
      </c>
      <c r="V1521" s="59">
        <f t="shared" si="928"/>
        <v>0</v>
      </c>
      <c r="W1521" s="59">
        <f t="shared" si="928"/>
        <v>0</v>
      </c>
      <c r="X1521" s="59">
        <f t="shared" si="928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29">ROUND(SUM(K1482:K1521),0)</f>
        <v>0</v>
      </c>
      <c r="L1522" s="60">
        <f t="shared" si="929"/>
        <v>0</v>
      </c>
      <c r="M1522" s="60">
        <f t="shared" si="929"/>
        <v>0</v>
      </c>
      <c r="N1522" s="60">
        <f t="shared" si="929"/>
        <v>0</v>
      </c>
      <c r="O1522" s="60">
        <f t="shared" si="929"/>
        <v>0</v>
      </c>
      <c r="P1522" s="60">
        <f t="shared" si="929"/>
        <v>0</v>
      </c>
      <c r="Q1522" s="60">
        <f t="shared" si="929"/>
        <v>0</v>
      </c>
      <c r="R1522" s="60">
        <f t="shared" si="929"/>
        <v>0</v>
      </c>
      <c r="S1522" s="60">
        <f t="shared" si="929"/>
        <v>0</v>
      </c>
      <c r="T1522" s="60">
        <f t="shared" si="929"/>
        <v>0</v>
      </c>
      <c r="U1522" s="60">
        <f t="shared" si="929"/>
        <v>0</v>
      </c>
      <c r="V1522" s="60">
        <f t="shared" si="929"/>
        <v>0</v>
      </c>
      <c r="W1522" s="60">
        <f t="shared" si="929"/>
        <v>0</v>
      </c>
      <c r="X1522" s="60">
        <f t="shared" si="929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0">IF(ISBLANK(B1287),"",B1287)</f>
        <v/>
      </c>
      <c r="C1527" s="58" t="str">
        <f t="shared" si="930"/>
        <v/>
      </c>
      <c r="D1527" s="58" t="str">
        <f t="shared" si="930"/>
        <v/>
      </c>
      <c r="E1527" s="58" t="str">
        <f t="shared" si="930"/>
        <v/>
      </c>
      <c r="F1527" s="58"/>
      <c r="G1527" s="58"/>
      <c r="H1527" s="58"/>
      <c r="I1527" s="58"/>
      <c r="J1527" s="58"/>
      <c r="K1527" s="59">
        <f t="shared" ref="K1527:X1527" si="931">IF(AND($D1527="tak",OR($E1527="nie dotyczy",$E1527="badania przemysłowe"),K$1421&lt;=Koniec_Projekt),ROUND(K436*K478,0),0)</f>
        <v>0</v>
      </c>
      <c r="L1527" s="59">
        <f t="shared" si="931"/>
        <v>0</v>
      </c>
      <c r="M1527" s="59">
        <f t="shared" si="931"/>
        <v>0</v>
      </c>
      <c r="N1527" s="59">
        <f t="shared" si="931"/>
        <v>0</v>
      </c>
      <c r="O1527" s="59">
        <f t="shared" si="931"/>
        <v>0</v>
      </c>
      <c r="P1527" s="59">
        <f t="shared" si="931"/>
        <v>0</v>
      </c>
      <c r="Q1527" s="59">
        <f t="shared" si="931"/>
        <v>0</v>
      </c>
      <c r="R1527" s="59">
        <f t="shared" si="931"/>
        <v>0</v>
      </c>
      <c r="S1527" s="59">
        <f t="shared" si="931"/>
        <v>0</v>
      </c>
      <c r="T1527" s="59">
        <f t="shared" si="931"/>
        <v>0</v>
      </c>
      <c r="U1527" s="59">
        <f t="shared" si="931"/>
        <v>0</v>
      </c>
      <c r="V1527" s="59">
        <f t="shared" si="931"/>
        <v>0</v>
      </c>
      <c r="W1527" s="59">
        <f t="shared" si="931"/>
        <v>0</v>
      </c>
      <c r="X1527" s="59">
        <f t="shared" si="931"/>
        <v>0</v>
      </c>
    </row>
    <row r="1528" spans="2:24" hidden="1">
      <c r="B1528" s="58" t="str">
        <f t="shared" si="930"/>
        <v/>
      </c>
      <c r="C1528" s="58" t="str">
        <f t="shared" si="930"/>
        <v/>
      </c>
      <c r="D1528" s="58" t="str">
        <f t="shared" si="930"/>
        <v/>
      </c>
      <c r="E1528" s="58" t="str">
        <f t="shared" si="930"/>
        <v/>
      </c>
      <c r="F1528" s="58"/>
      <c r="G1528" s="58"/>
      <c r="H1528" s="58"/>
      <c r="I1528" s="58"/>
      <c r="J1528" s="58"/>
      <c r="K1528" s="59">
        <f t="shared" ref="K1528:X1528" si="932">IF(AND($D1528="tak",OR($E1528="nie dotyczy",$E1528="badania przemysłowe"),K$1421&lt;=Koniec_Projekt),ROUND(K437*K479,0),0)</f>
        <v>0</v>
      </c>
      <c r="L1528" s="59">
        <f t="shared" si="932"/>
        <v>0</v>
      </c>
      <c r="M1528" s="59">
        <f t="shared" si="932"/>
        <v>0</v>
      </c>
      <c r="N1528" s="59">
        <f t="shared" si="932"/>
        <v>0</v>
      </c>
      <c r="O1528" s="59">
        <f t="shared" si="932"/>
        <v>0</v>
      </c>
      <c r="P1528" s="59">
        <f t="shared" si="932"/>
        <v>0</v>
      </c>
      <c r="Q1528" s="59">
        <f t="shared" si="932"/>
        <v>0</v>
      </c>
      <c r="R1528" s="59">
        <f t="shared" si="932"/>
        <v>0</v>
      </c>
      <c r="S1528" s="59">
        <f t="shared" si="932"/>
        <v>0</v>
      </c>
      <c r="T1528" s="59">
        <f t="shared" si="932"/>
        <v>0</v>
      </c>
      <c r="U1528" s="59">
        <f t="shared" si="932"/>
        <v>0</v>
      </c>
      <c r="V1528" s="59">
        <f t="shared" si="932"/>
        <v>0</v>
      </c>
      <c r="W1528" s="59">
        <f t="shared" si="932"/>
        <v>0</v>
      </c>
      <c r="X1528" s="59">
        <f t="shared" si="932"/>
        <v>0</v>
      </c>
    </row>
    <row r="1529" spans="2:24" hidden="1">
      <c r="B1529" s="58" t="str">
        <f t="shared" si="930"/>
        <v/>
      </c>
      <c r="C1529" s="58" t="str">
        <f t="shared" si="930"/>
        <v/>
      </c>
      <c r="D1529" s="58" t="str">
        <f t="shared" si="930"/>
        <v/>
      </c>
      <c r="E1529" s="58" t="str">
        <f t="shared" si="930"/>
        <v/>
      </c>
      <c r="F1529" s="58"/>
      <c r="G1529" s="58"/>
      <c r="H1529" s="58"/>
      <c r="I1529" s="58"/>
      <c r="J1529" s="58"/>
      <c r="K1529" s="59">
        <f t="shared" ref="K1529:X1529" si="933">IF(AND($D1529="tak",OR($E1529="nie dotyczy",$E1529="badania przemysłowe"),K$1421&lt;=Koniec_Projekt),ROUND(K438*K480,0),0)</f>
        <v>0</v>
      </c>
      <c r="L1529" s="59">
        <f t="shared" si="933"/>
        <v>0</v>
      </c>
      <c r="M1529" s="59">
        <f t="shared" si="933"/>
        <v>0</v>
      </c>
      <c r="N1529" s="59">
        <f t="shared" si="933"/>
        <v>0</v>
      </c>
      <c r="O1529" s="59">
        <f t="shared" si="933"/>
        <v>0</v>
      </c>
      <c r="P1529" s="59">
        <f t="shared" si="933"/>
        <v>0</v>
      </c>
      <c r="Q1529" s="59">
        <f t="shared" si="933"/>
        <v>0</v>
      </c>
      <c r="R1529" s="59">
        <f t="shared" si="933"/>
        <v>0</v>
      </c>
      <c r="S1529" s="59">
        <f t="shared" si="933"/>
        <v>0</v>
      </c>
      <c r="T1529" s="59">
        <f t="shared" si="933"/>
        <v>0</v>
      </c>
      <c r="U1529" s="59">
        <f t="shared" si="933"/>
        <v>0</v>
      </c>
      <c r="V1529" s="59">
        <f t="shared" si="933"/>
        <v>0</v>
      </c>
      <c r="W1529" s="59">
        <f t="shared" si="933"/>
        <v>0</v>
      </c>
      <c r="X1529" s="59">
        <f t="shared" si="933"/>
        <v>0</v>
      </c>
    </row>
    <row r="1530" spans="2:24" hidden="1">
      <c r="B1530" s="58" t="str">
        <f t="shared" si="930"/>
        <v/>
      </c>
      <c r="C1530" s="58" t="str">
        <f t="shared" si="930"/>
        <v/>
      </c>
      <c r="D1530" s="58" t="str">
        <f t="shared" si="930"/>
        <v/>
      </c>
      <c r="E1530" s="58" t="str">
        <f t="shared" si="930"/>
        <v/>
      </c>
      <c r="F1530" s="58"/>
      <c r="G1530" s="58"/>
      <c r="H1530" s="58"/>
      <c r="I1530" s="58"/>
      <c r="J1530" s="58"/>
      <c r="K1530" s="59">
        <f t="shared" ref="K1530:X1530" si="934">IF(AND($D1530="tak",OR($E1530="nie dotyczy",$E1530="badania przemysłowe"),K$1421&lt;=Koniec_Projekt),ROUND(K439*K481,0),0)</f>
        <v>0</v>
      </c>
      <c r="L1530" s="59">
        <f t="shared" si="934"/>
        <v>0</v>
      </c>
      <c r="M1530" s="59">
        <f t="shared" si="934"/>
        <v>0</v>
      </c>
      <c r="N1530" s="59">
        <f t="shared" si="934"/>
        <v>0</v>
      </c>
      <c r="O1530" s="59">
        <f t="shared" si="934"/>
        <v>0</v>
      </c>
      <c r="P1530" s="59">
        <f t="shared" si="934"/>
        <v>0</v>
      </c>
      <c r="Q1530" s="59">
        <f t="shared" si="934"/>
        <v>0</v>
      </c>
      <c r="R1530" s="59">
        <f t="shared" si="934"/>
        <v>0</v>
      </c>
      <c r="S1530" s="59">
        <f t="shared" si="934"/>
        <v>0</v>
      </c>
      <c r="T1530" s="59">
        <f t="shared" si="934"/>
        <v>0</v>
      </c>
      <c r="U1530" s="59">
        <f t="shared" si="934"/>
        <v>0</v>
      </c>
      <c r="V1530" s="59">
        <f t="shared" si="934"/>
        <v>0</v>
      </c>
      <c r="W1530" s="59">
        <f t="shared" si="934"/>
        <v>0</v>
      </c>
      <c r="X1530" s="59">
        <f t="shared" si="934"/>
        <v>0</v>
      </c>
    </row>
    <row r="1531" spans="2:24" hidden="1">
      <c r="B1531" s="58" t="str">
        <f t="shared" si="930"/>
        <v/>
      </c>
      <c r="C1531" s="58" t="str">
        <f t="shared" si="930"/>
        <v/>
      </c>
      <c r="D1531" s="58" t="str">
        <f t="shared" si="930"/>
        <v/>
      </c>
      <c r="E1531" s="58" t="str">
        <f t="shared" si="930"/>
        <v/>
      </c>
      <c r="F1531" s="58"/>
      <c r="G1531" s="58"/>
      <c r="H1531" s="58"/>
      <c r="I1531" s="58"/>
      <c r="J1531" s="58"/>
      <c r="K1531" s="59">
        <f t="shared" ref="K1531:X1531" si="935">IF(AND($D1531="tak",OR($E1531="nie dotyczy",$E1531="badania przemysłowe"),K$1421&lt;=Koniec_Projekt),ROUND(K440*K482,0),0)</f>
        <v>0</v>
      </c>
      <c r="L1531" s="59">
        <f t="shared" si="935"/>
        <v>0</v>
      </c>
      <c r="M1531" s="59">
        <f t="shared" si="935"/>
        <v>0</v>
      </c>
      <c r="N1531" s="59">
        <f t="shared" si="935"/>
        <v>0</v>
      </c>
      <c r="O1531" s="59">
        <f t="shared" si="935"/>
        <v>0</v>
      </c>
      <c r="P1531" s="59">
        <f t="shared" si="935"/>
        <v>0</v>
      </c>
      <c r="Q1531" s="59">
        <f t="shared" si="935"/>
        <v>0</v>
      </c>
      <c r="R1531" s="59">
        <f t="shared" si="935"/>
        <v>0</v>
      </c>
      <c r="S1531" s="59">
        <f t="shared" si="935"/>
        <v>0</v>
      </c>
      <c r="T1531" s="59">
        <f t="shared" si="935"/>
        <v>0</v>
      </c>
      <c r="U1531" s="59">
        <f t="shared" si="935"/>
        <v>0</v>
      </c>
      <c r="V1531" s="59">
        <f t="shared" si="935"/>
        <v>0</v>
      </c>
      <c r="W1531" s="59">
        <f t="shared" si="935"/>
        <v>0</v>
      </c>
      <c r="X1531" s="59">
        <f t="shared" si="935"/>
        <v>0</v>
      </c>
    </row>
    <row r="1532" spans="2:24" hidden="1">
      <c r="B1532" s="58" t="str">
        <f t="shared" si="930"/>
        <v/>
      </c>
      <c r="C1532" s="58" t="str">
        <f t="shared" si="930"/>
        <v/>
      </c>
      <c r="D1532" s="58" t="str">
        <f t="shared" si="930"/>
        <v/>
      </c>
      <c r="E1532" s="58" t="str">
        <f t="shared" si="930"/>
        <v/>
      </c>
      <c r="F1532" s="58"/>
      <c r="G1532" s="58"/>
      <c r="H1532" s="58"/>
      <c r="I1532" s="58"/>
      <c r="J1532" s="58"/>
      <c r="K1532" s="59">
        <f t="shared" ref="K1532:X1532" si="936">IF(AND($D1532="tak",OR($E1532="nie dotyczy",$E1532="badania przemysłowe"),K$1421&lt;=Koniec_Projekt),ROUND(K441*K483,0),0)</f>
        <v>0</v>
      </c>
      <c r="L1532" s="59">
        <f t="shared" si="936"/>
        <v>0</v>
      </c>
      <c r="M1532" s="59">
        <f t="shared" si="936"/>
        <v>0</v>
      </c>
      <c r="N1532" s="59">
        <f t="shared" si="936"/>
        <v>0</v>
      </c>
      <c r="O1532" s="59">
        <f t="shared" si="936"/>
        <v>0</v>
      </c>
      <c r="P1532" s="59">
        <f t="shared" si="936"/>
        <v>0</v>
      </c>
      <c r="Q1532" s="59">
        <f t="shared" si="936"/>
        <v>0</v>
      </c>
      <c r="R1532" s="59">
        <f t="shared" si="936"/>
        <v>0</v>
      </c>
      <c r="S1532" s="59">
        <f t="shared" si="936"/>
        <v>0</v>
      </c>
      <c r="T1532" s="59">
        <f t="shared" si="936"/>
        <v>0</v>
      </c>
      <c r="U1532" s="59">
        <f t="shared" si="936"/>
        <v>0</v>
      </c>
      <c r="V1532" s="59">
        <f t="shared" si="936"/>
        <v>0</v>
      </c>
      <c r="W1532" s="59">
        <f t="shared" si="936"/>
        <v>0</v>
      </c>
      <c r="X1532" s="59">
        <f t="shared" si="936"/>
        <v>0</v>
      </c>
    </row>
    <row r="1533" spans="2:24" hidden="1">
      <c r="B1533" s="58" t="str">
        <f t="shared" si="930"/>
        <v/>
      </c>
      <c r="C1533" s="58" t="str">
        <f t="shared" si="930"/>
        <v/>
      </c>
      <c r="D1533" s="58" t="str">
        <f t="shared" si="930"/>
        <v/>
      </c>
      <c r="E1533" s="58" t="str">
        <f t="shared" si="930"/>
        <v/>
      </c>
      <c r="F1533" s="58"/>
      <c r="G1533" s="58"/>
      <c r="H1533" s="58"/>
      <c r="I1533" s="58"/>
      <c r="J1533" s="58"/>
      <c r="K1533" s="59">
        <f t="shared" ref="K1533:X1533" si="937">IF(AND($D1533="tak",OR($E1533="nie dotyczy",$E1533="badania przemysłowe"),K$1421&lt;=Koniec_Projekt),ROUND(K442*K484,0),0)</f>
        <v>0</v>
      </c>
      <c r="L1533" s="59">
        <f t="shared" si="937"/>
        <v>0</v>
      </c>
      <c r="M1533" s="59">
        <f t="shared" si="937"/>
        <v>0</v>
      </c>
      <c r="N1533" s="59">
        <f t="shared" si="937"/>
        <v>0</v>
      </c>
      <c r="O1533" s="59">
        <f t="shared" si="937"/>
        <v>0</v>
      </c>
      <c r="P1533" s="59">
        <f t="shared" si="937"/>
        <v>0</v>
      </c>
      <c r="Q1533" s="59">
        <f t="shared" si="937"/>
        <v>0</v>
      </c>
      <c r="R1533" s="59">
        <f t="shared" si="937"/>
        <v>0</v>
      </c>
      <c r="S1533" s="59">
        <f t="shared" si="937"/>
        <v>0</v>
      </c>
      <c r="T1533" s="59">
        <f t="shared" si="937"/>
        <v>0</v>
      </c>
      <c r="U1533" s="59">
        <f t="shared" si="937"/>
        <v>0</v>
      </c>
      <c r="V1533" s="59">
        <f t="shared" si="937"/>
        <v>0</v>
      </c>
      <c r="W1533" s="59">
        <f t="shared" si="937"/>
        <v>0</v>
      </c>
      <c r="X1533" s="59">
        <f t="shared" si="937"/>
        <v>0</v>
      </c>
    </row>
    <row r="1534" spans="2:24" hidden="1">
      <c r="B1534" s="58" t="str">
        <f t="shared" si="930"/>
        <v/>
      </c>
      <c r="C1534" s="58" t="str">
        <f t="shared" si="930"/>
        <v/>
      </c>
      <c r="D1534" s="58" t="str">
        <f t="shared" si="930"/>
        <v/>
      </c>
      <c r="E1534" s="58" t="str">
        <f t="shared" si="930"/>
        <v/>
      </c>
      <c r="F1534" s="58"/>
      <c r="G1534" s="58"/>
      <c r="H1534" s="58"/>
      <c r="I1534" s="58"/>
      <c r="J1534" s="58"/>
      <c r="K1534" s="59">
        <f t="shared" ref="K1534:X1534" si="938">IF(AND($D1534="tak",OR($E1534="nie dotyczy",$E1534="badania przemysłowe"),K$1421&lt;=Koniec_Projekt),ROUND(K443*K485,0),0)</f>
        <v>0</v>
      </c>
      <c r="L1534" s="59">
        <f t="shared" si="938"/>
        <v>0</v>
      </c>
      <c r="M1534" s="59">
        <f t="shared" si="938"/>
        <v>0</v>
      </c>
      <c r="N1534" s="59">
        <f t="shared" si="938"/>
        <v>0</v>
      </c>
      <c r="O1534" s="59">
        <f t="shared" si="938"/>
        <v>0</v>
      </c>
      <c r="P1534" s="59">
        <f t="shared" si="938"/>
        <v>0</v>
      </c>
      <c r="Q1534" s="59">
        <f t="shared" si="938"/>
        <v>0</v>
      </c>
      <c r="R1534" s="59">
        <f t="shared" si="938"/>
        <v>0</v>
      </c>
      <c r="S1534" s="59">
        <f t="shared" si="938"/>
        <v>0</v>
      </c>
      <c r="T1534" s="59">
        <f t="shared" si="938"/>
        <v>0</v>
      </c>
      <c r="U1534" s="59">
        <f t="shared" si="938"/>
        <v>0</v>
      </c>
      <c r="V1534" s="59">
        <f t="shared" si="938"/>
        <v>0</v>
      </c>
      <c r="W1534" s="59">
        <f t="shared" si="938"/>
        <v>0</v>
      </c>
      <c r="X1534" s="59">
        <f t="shared" si="938"/>
        <v>0</v>
      </c>
    </row>
    <row r="1535" spans="2:24" hidden="1">
      <c r="B1535" s="58" t="str">
        <f t="shared" si="930"/>
        <v/>
      </c>
      <c r="C1535" s="58" t="str">
        <f t="shared" si="930"/>
        <v/>
      </c>
      <c r="D1535" s="58" t="str">
        <f t="shared" si="930"/>
        <v/>
      </c>
      <c r="E1535" s="58" t="str">
        <f t="shared" si="930"/>
        <v/>
      </c>
      <c r="F1535" s="58"/>
      <c r="G1535" s="58"/>
      <c r="H1535" s="58"/>
      <c r="I1535" s="58"/>
      <c r="J1535" s="58"/>
      <c r="K1535" s="59">
        <f t="shared" ref="K1535:X1535" si="939">IF(AND($D1535="tak",OR($E1535="nie dotyczy",$E1535="badania przemysłowe"),K$1421&lt;=Koniec_Projekt),ROUND(K444*K486,0),0)</f>
        <v>0</v>
      </c>
      <c r="L1535" s="59">
        <f t="shared" si="939"/>
        <v>0</v>
      </c>
      <c r="M1535" s="59">
        <f t="shared" si="939"/>
        <v>0</v>
      </c>
      <c r="N1535" s="59">
        <f t="shared" si="939"/>
        <v>0</v>
      </c>
      <c r="O1535" s="59">
        <f t="shared" si="939"/>
        <v>0</v>
      </c>
      <c r="P1535" s="59">
        <f t="shared" si="939"/>
        <v>0</v>
      </c>
      <c r="Q1535" s="59">
        <f t="shared" si="939"/>
        <v>0</v>
      </c>
      <c r="R1535" s="59">
        <f t="shared" si="939"/>
        <v>0</v>
      </c>
      <c r="S1535" s="59">
        <f t="shared" si="939"/>
        <v>0</v>
      </c>
      <c r="T1535" s="59">
        <f t="shared" si="939"/>
        <v>0</v>
      </c>
      <c r="U1535" s="59">
        <f t="shared" si="939"/>
        <v>0</v>
      </c>
      <c r="V1535" s="59">
        <f t="shared" si="939"/>
        <v>0</v>
      </c>
      <c r="W1535" s="59">
        <f t="shared" si="939"/>
        <v>0</v>
      </c>
      <c r="X1535" s="59">
        <f t="shared" si="939"/>
        <v>0</v>
      </c>
    </row>
    <row r="1536" spans="2:24" hidden="1">
      <c r="B1536" s="58" t="str">
        <f t="shared" si="930"/>
        <v/>
      </c>
      <c r="C1536" s="58" t="str">
        <f t="shared" si="930"/>
        <v/>
      </c>
      <c r="D1536" s="58" t="str">
        <f t="shared" si="930"/>
        <v/>
      </c>
      <c r="E1536" s="58" t="str">
        <f t="shared" si="930"/>
        <v/>
      </c>
      <c r="F1536" s="58"/>
      <c r="G1536" s="58"/>
      <c r="H1536" s="58"/>
      <c r="I1536" s="58"/>
      <c r="J1536" s="58"/>
      <c r="K1536" s="59">
        <f t="shared" ref="K1536:X1536" si="940">IF(AND($D1536="tak",OR($E1536="nie dotyczy",$E1536="badania przemysłowe"),K$1421&lt;=Koniec_Projekt),ROUND(K445*K487,0),0)</f>
        <v>0</v>
      </c>
      <c r="L1536" s="59">
        <f t="shared" si="940"/>
        <v>0</v>
      </c>
      <c r="M1536" s="59">
        <f t="shared" si="940"/>
        <v>0</v>
      </c>
      <c r="N1536" s="59">
        <f t="shared" si="940"/>
        <v>0</v>
      </c>
      <c r="O1536" s="59">
        <f t="shared" si="940"/>
        <v>0</v>
      </c>
      <c r="P1536" s="59">
        <f t="shared" si="940"/>
        <v>0</v>
      </c>
      <c r="Q1536" s="59">
        <f t="shared" si="940"/>
        <v>0</v>
      </c>
      <c r="R1536" s="59">
        <f t="shared" si="940"/>
        <v>0</v>
      </c>
      <c r="S1536" s="59">
        <f t="shared" si="940"/>
        <v>0</v>
      </c>
      <c r="T1536" s="59">
        <f t="shared" si="940"/>
        <v>0</v>
      </c>
      <c r="U1536" s="59">
        <f t="shared" si="940"/>
        <v>0</v>
      </c>
      <c r="V1536" s="59">
        <f t="shared" si="940"/>
        <v>0</v>
      </c>
      <c r="W1536" s="59">
        <f t="shared" si="940"/>
        <v>0</v>
      </c>
      <c r="X1536" s="59">
        <f t="shared" si="940"/>
        <v>0</v>
      </c>
    </row>
    <row r="1537" spans="2:24" hidden="1">
      <c r="B1537" s="58" t="str">
        <f t="shared" si="930"/>
        <v/>
      </c>
      <c r="C1537" s="58" t="str">
        <f t="shared" si="930"/>
        <v/>
      </c>
      <c r="D1537" s="58" t="str">
        <f t="shared" si="930"/>
        <v/>
      </c>
      <c r="E1537" s="58" t="str">
        <f t="shared" si="930"/>
        <v/>
      </c>
      <c r="F1537" s="58"/>
      <c r="G1537" s="58"/>
      <c r="H1537" s="58"/>
      <c r="I1537" s="58"/>
      <c r="J1537" s="58"/>
      <c r="K1537" s="59">
        <f t="shared" ref="K1537:X1537" si="941">IF(AND($D1537="tak",OR($E1537="nie dotyczy",$E1537="badania przemysłowe"),K$1421&lt;=Koniec_Projekt),ROUND(K446*K488,0),0)</f>
        <v>0</v>
      </c>
      <c r="L1537" s="59">
        <f t="shared" si="941"/>
        <v>0</v>
      </c>
      <c r="M1537" s="59">
        <f t="shared" si="941"/>
        <v>0</v>
      </c>
      <c r="N1537" s="59">
        <f t="shared" si="941"/>
        <v>0</v>
      </c>
      <c r="O1537" s="59">
        <f t="shared" si="941"/>
        <v>0</v>
      </c>
      <c r="P1537" s="59">
        <f t="shared" si="941"/>
        <v>0</v>
      </c>
      <c r="Q1537" s="59">
        <f t="shared" si="941"/>
        <v>0</v>
      </c>
      <c r="R1537" s="59">
        <f t="shared" si="941"/>
        <v>0</v>
      </c>
      <c r="S1537" s="59">
        <f t="shared" si="941"/>
        <v>0</v>
      </c>
      <c r="T1537" s="59">
        <f t="shared" si="941"/>
        <v>0</v>
      </c>
      <c r="U1537" s="59">
        <f t="shared" si="941"/>
        <v>0</v>
      </c>
      <c r="V1537" s="59">
        <f t="shared" si="941"/>
        <v>0</v>
      </c>
      <c r="W1537" s="59">
        <f t="shared" si="941"/>
        <v>0</v>
      </c>
      <c r="X1537" s="59">
        <f t="shared" si="941"/>
        <v>0</v>
      </c>
    </row>
    <row r="1538" spans="2:24" hidden="1">
      <c r="B1538" s="58" t="str">
        <f t="shared" si="930"/>
        <v/>
      </c>
      <c r="C1538" s="58" t="str">
        <f t="shared" si="930"/>
        <v/>
      </c>
      <c r="D1538" s="58" t="str">
        <f t="shared" si="930"/>
        <v/>
      </c>
      <c r="E1538" s="58" t="str">
        <f t="shared" si="930"/>
        <v/>
      </c>
      <c r="F1538" s="58"/>
      <c r="G1538" s="58"/>
      <c r="H1538" s="58"/>
      <c r="I1538" s="58"/>
      <c r="J1538" s="58"/>
      <c r="K1538" s="59">
        <f t="shared" ref="K1538:X1538" si="942">IF(AND($D1538="tak",OR($E1538="nie dotyczy",$E1538="badania przemysłowe"),K$1421&lt;=Koniec_Projekt),ROUND(K447*K489,0),0)</f>
        <v>0</v>
      </c>
      <c r="L1538" s="59">
        <f t="shared" si="942"/>
        <v>0</v>
      </c>
      <c r="M1538" s="59">
        <f t="shared" si="942"/>
        <v>0</v>
      </c>
      <c r="N1538" s="59">
        <f t="shared" si="942"/>
        <v>0</v>
      </c>
      <c r="O1538" s="59">
        <f t="shared" si="942"/>
        <v>0</v>
      </c>
      <c r="P1538" s="59">
        <f t="shared" si="942"/>
        <v>0</v>
      </c>
      <c r="Q1538" s="59">
        <f t="shared" si="942"/>
        <v>0</v>
      </c>
      <c r="R1538" s="59">
        <f t="shared" si="942"/>
        <v>0</v>
      </c>
      <c r="S1538" s="59">
        <f t="shared" si="942"/>
        <v>0</v>
      </c>
      <c r="T1538" s="59">
        <f t="shared" si="942"/>
        <v>0</v>
      </c>
      <c r="U1538" s="59">
        <f t="shared" si="942"/>
        <v>0</v>
      </c>
      <c r="V1538" s="59">
        <f t="shared" si="942"/>
        <v>0</v>
      </c>
      <c r="W1538" s="59">
        <f t="shared" si="942"/>
        <v>0</v>
      </c>
      <c r="X1538" s="59">
        <f t="shared" si="942"/>
        <v>0</v>
      </c>
    </row>
    <row r="1539" spans="2:24" hidden="1">
      <c r="B1539" s="58" t="str">
        <f t="shared" si="930"/>
        <v/>
      </c>
      <c r="C1539" s="58" t="str">
        <f t="shared" si="930"/>
        <v/>
      </c>
      <c r="D1539" s="58" t="str">
        <f t="shared" si="930"/>
        <v/>
      </c>
      <c r="E1539" s="58" t="str">
        <f t="shared" si="930"/>
        <v/>
      </c>
      <c r="F1539" s="58"/>
      <c r="G1539" s="58"/>
      <c r="H1539" s="58"/>
      <c r="I1539" s="58"/>
      <c r="J1539" s="58"/>
      <c r="K1539" s="59">
        <f t="shared" ref="K1539:X1539" si="943">IF(AND($D1539="tak",OR($E1539="nie dotyczy",$E1539="badania przemysłowe"),K$1421&lt;=Koniec_Projekt),ROUND(K448*K490,0),0)</f>
        <v>0</v>
      </c>
      <c r="L1539" s="59">
        <f t="shared" si="943"/>
        <v>0</v>
      </c>
      <c r="M1539" s="59">
        <f t="shared" si="943"/>
        <v>0</v>
      </c>
      <c r="N1539" s="59">
        <f t="shared" si="943"/>
        <v>0</v>
      </c>
      <c r="O1539" s="59">
        <f t="shared" si="943"/>
        <v>0</v>
      </c>
      <c r="P1539" s="59">
        <f t="shared" si="943"/>
        <v>0</v>
      </c>
      <c r="Q1539" s="59">
        <f t="shared" si="943"/>
        <v>0</v>
      </c>
      <c r="R1539" s="59">
        <f t="shared" si="943"/>
        <v>0</v>
      </c>
      <c r="S1539" s="59">
        <f t="shared" si="943"/>
        <v>0</v>
      </c>
      <c r="T1539" s="59">
        <f t="shared" si="943"/>
        <v>0</v>
      </c>
      <c r="U1539" s="59">
        <f t="shared" si="943"/>
        <v>0</v>
      </c>
      <c r="V1539" s="59">
        <f t="shared" si="943"/>
        <v>0</v>
      </c>
      <c r="W1539" s="59">
        <f t="shared" si="943"/>
        <v>0</v>
      </c>
      <c r="X1539" s="59">
        <f t="shared" si="943"/>
        <v>0</v>
      </c>
    </row>
    <row r="1540" spans="2:24" hidden="1">
      <c r="B1540" s="58" t="str">
        <f t="shared" si="930"/>
        <v/>
      </c>
      <c r="C1540" s="58" t="str">
        <f t="shared" si="930"/>
        <v/>
      </c>
      <c r="D1540" s="58" t="str">
        <f t="shared" si="930"/>
        <v/>
      </c>
      <c r="E1540" s="58" t="str">
        <f t="shared" si="930"/>
        <v/>
      </c>
      <c r="F1540" s="58"/>
      <c r="G1540" s="58"/>
      <c r="H1540" s="58"/>
      <c r="I1540" s="58"/>
      <c r="J1540" s="58"/>
      <c r="K1540" s="59">
        <f t="shared" ref="K1540:X1540" si="944">IF(AND($D1540="tak",OR($E1540="nie dotyczy",$E1540="badania przemysłowe"),K$1421&lt;=Koniec_Projekt),ROUND(K449*K491,0),0)</f>
        <v>0</v>
      </c>
      <c r="L1540" s="59">
        <f t="shared" si="944"/>
        <v>0</v>
      </c>
      <c r="M1540" s="59">
        <f t="shared" si="944"/>
        <v>0</v>
      </c>
      <c r="N1540" s="59">
        <f t="shared" si="944"/>
        <v>0</v>
      </c>
      <c r="O1540" s="59">
        <f t="shared" si="944"/>
        <v>0</v>
      </c>
      <c r="P1540" s="59">
        <f t="shared" si="944"/>
        <v>0</v>
      </c>
      <c r="Q1540" s="59">
        <f t="shared" si="944"/>
        <v>0</v>
      </c>
      <c r="R1540" s="59">
        <f t="shared" si="944"/>
        <v>0</v>
      </c>
      <c r="S1540" s="59">
        <f t="shared" si="944"/>
        <v>0</v>
      </c>
      <c r="T1540" s="59">
        <f t="shared" si="944"/>
        <v>0</v>
      </c>
      <c r="U1540" s="59">
        <f t="shared" si="944"/>
        <v>0</v>
      </c>
      <c r="V1540" s="59">
        <f t="shared" si="944"/>
        <v>0</v>
      </c>
      <c r="W1540" s="59">
        <f t="shared" si="944"/>
        <v>0</v>
      </c>
      <c r="X1540" s="59">
        <f t="shared" si="944"/>
        <v>0</v>
      </c>
    </row>
    <row r="1541" spans="2:24" hidden="1">
      <c r="B1541" s="58" t="str">
        <f t="shared" si="930"/>
        <v/>
      </c>
      <c r="C1541" s="58" t="str">
        <f t="shared" si="930"/>
        <v/>
      </c>
      <c r="D1541" s="58" t="str">
        <f t="shared" si="930"/>
        <v/>
      </c>
      <c r="E1541" s="58" t="str">
        <f t="shared" si="930"/>
        <v/>
      </c>
      <c r="F1541" s="58"/>
      <c r="G1541" s="58"/>
      <c r="H1541" s="58"/>
      <c r="I1541" s="58"/>
      <c r="J1541" s="58"/>
      <c r="K1541" s="59">
        <f t="shared" ref="K1541:X1541" si="945">IF(AND($D1541="tak",OR($E1541="nie dotyczy",$E1541="badania przemysłowe"),K$1421&lt;=Koniec_Projekt),ROUND(K450*K492,0),0)</f>
        <v>0</v>
      </c>
      <c r="L1541" s="59">
        <f t="shared" si="945"/>
        <v>0</v>
      </c>
      <c r="M1541" s="59">
        <f t="shared" si="945"/>
        <v>0</v>
      </c>
      <c r="N1541" s="59">
        <f t="shared" si="945"/>
        <v>0</v>
      </c>
      <c r="O1541" s="59">
        <f t="shared" si="945"/>
        <v>0</v>
      </c>
      <c r="P1541" s="59">
        <f t="shared" si="945"/>
        <v>0</v>
      </c>
      <c r="Q1541" s="59">
        <f t="shared" si="945"/>
        <v>0</v>
      </c>
      <c r="R1541" s="59">
        <f t="shared" si="945"/>
        <v>0</v>
      </c>
      <c r="S1541" s="59">
        <f t="shared" si="945"/>
        <v>0</v>
      </c>
      <c r="T1541" s="59">
        <f t="shared" si="945"/>
        <v>0</v>
      </c>
      <c r="U1541" s="59">
        <f t="shared" si="945"/>
        <v>0</v>
      </c>
      <c r="V1541" s="59">
        <f t="shared" si="945"/>
        <v>0</v>
      </c>
      <c r="W1541" s="59">
        <f t="shared" si="945"/>
        <v>0</v>
      </c>
      <c r="X1541" s="59">
        <f t="shared" si="945"/>
        <v>0</v>
      </c>
    </row>
    <row r="1542" spans="2:24" hidden="1">
      <c r="B1542" s="58" t="str">
        <f t="shared" si="930"/>
        <v/>
      </c>
      <c r="C1542" s="58" t="str">
        <f t="shared" si="930"/>
        <v/>
      </c>
      <c r="D1542" s="58" t="str">
        <f t="shared" si="930"/>
        <v/>
      </c>
      <c r="E1542" s="58" t="str">
        <f t="shared" si="930"/>
        <v/>
      </c>
      <c r="F1542" s="58"/>
      <c r="G1542" s="58"/>
      <c r="H1542" s="58"/>
      <c r="I1542" s="58"/>
      <c r="J1542" s="58"/>
      <c r="K1542" s="59">
        <f t="shared" ref="K1542:X1542" si="946">IF(AND($D1542="tak",OR($E1542="nie dotyczy",$E1542="badania przemysłowe"),K$1421&lt;=Koniec_Projekt),ROUND(K451*K493,0),0)</f>
        <v>0</v>
      </c>
      <c r="L1542" s="59">
        <f t="shared" si="946"/>
        <v>0</v>
      </c>
      <c r="M1542" s="59">
        <f t="shared" si="946"/>
        <v>0</v>
      </c>
      <c r="N1542" s="59">
        <f t="shared" si="946"/>
        <v>0</v>
      </c>
      <c r="O1542" s="59">
        <f t="shared" si="946"/>
        <v>0</v>
      </c>
      <c r="P1542" s="59">
        <f t="shared" si="946"/>
        <v>0</v>
      </c>
      <c r="Q1542" s="59">
        <f t="shared" si="946"/>
        <v>0</v>
      </c>
      <c r="R1542" s="59">
        <f t="shared" si="946"/>
        <v>0</v>
      </c>
      <c r="S1542" s="59">
        <f t="shared" si="946"/>
        <v>0</v>
      </c>
      <c r="T1542" s="59">
        <f t="shared" si="946"/>
        <v>0</v>
      </c>
      <c r="U1542" s="59">
        <f t="shared" si="946"/>
        <v>0</v>
      </c>
      <c r="V1542" s="59">
        <f t="shared" si="946"/>
        <v>0</v>
      </c>
      <c r="W1542" s="59">
        <f t="shared" si="946"/>
        <v>0</v>
      </c>
      <c r="X1542" s="59">
        <f t="shared" si="946"/>
        <v>0</v>
      </c>
    </row>
    <row r="1543" spans="2:24" hidden="1">
      <c r="B1543" s="58" t="str">
        <f t="shared" si="930"/>
        <v/>
      </c>
      <c r="C1543" s="58" t="str">
        <f t="shared" si="930"/>
        <v/>
      </c>
      <c r="D1543" s="58" t="str">
        <f t="shared" si="930"/>
        <v/>
      </c>
      <c r="E1543" s="58" t="str">
        <f t="shared" si="930"/>
        <v/>
      </c>
      <c r="F1543" s="58"/>
      <c r="G1543" s="58"/>
      <c r="H1543" s="58"/>
      <c r="I1543" s="58"/>
      <c r="J1543" s="58"/>
      <c r="K1543" s="59">
        <f t="shared" ref="K1543:X1543" si="947">IF(AND($D1543="tak",OR($E1543="nie dotyczy",$E1543="badania przemysłowe"),K$1421&lt;=Koniec_Projekt),ROUND(K452*K494,0),0)</f>
        <v>0</v>
      </c>
      <c r="L1543" s="59">
        <f t="shared" si="947"/>
        <v>0</v>
      </c>
      <c r="M1543" s="59">
        <f t="shared" si="947"/>
        <v>0</v>
      </c>
      <c r="N1543" s="59">
        <f t="shared" si="947"/>
        <v>0</v>
      </c>
      <c r="O1543" s="59">
        <f t="shared" si="947"/>
        <v>0</v>
      </c>
      <c r="P1543" s="59">
        <f t="shared" si="947"/>
        <v>0</v>
      </c>
      <c r="Q1543" s="59">
        <f t="shared" si="947"/>
        <v>0</v>
      </c>
      <c r="R1543" s="59">
        <f t="shared" si="947"/>
        <v>0</v>
      </c>
      <c r="S1543" s="59">
        <f t="shared" si="947"/>
        <v>0</v>
      </c>
      <c r="T1543" s="59">
        <f t="shared" si="947"/>
        <v>0</v>
      </c>
      <c r="U1543" s="59">
        <f t="shared" si="947"/>
        <v>0</v>
      </c>
      <c r="V1543" s="59">
        <f t="shared" si="947"/>
        <v>0</v>
      </c>
      <c r="W1543" s="59">
        <f t="shared" si="947"/>
        <v>0</v>
      </c>
      <c r="X1543" s="59">
        <f t="shared" si="947"/>
        <v>0</v>
      </c>
    </row>
    <row r="1544" spans="2:24" hidden="1">
      <c r="B1544" s="58" t="str">
        <f t="shared" si="930"/>
        <v/>
      </c>
      <c r="C1544" s="58" t="str">
        <f t="shared" si="930"/>
        <v/>
      </c>
      <c r="D1544" s="58" t="str">
        <f t="shared" si="930"/>
        <v/>
      </c>
      <c r="E1544" s="58" t="str">
        <f t="shared" si="930"/>
        <v/>
      </c>
      <c r="F1544" s="58"/>
      <c r="G1544" s="58"/>
      <c r="H1544" s="58"/>
      <c r="I1544" s="58"/>
      <c r="J1544" s="58"/>
      <c r="K1544" s="59">
        <f t="shared" ref="K1544:X1544" si="948">IF(AND($D1544="tak",OR($E1544="nie dotyczy",$E1544="badania przemysłowe"),K$1421&lt;=Koniec_Projekt),ROUND(K453*K495,0),0)</f>
        <v>0</v>
      </c>
      <c r="L1544" s="59">
        <f t="shared" si="948"/>
        <v>0</v>
      </c>
      <c r="M1544" s="59">
        <f t="shared" si="948"/>
        <v>0</v>
      </c>
      <c r="N1544" s="59">
        <f t="shared" si="948"/>
        <v>0</v>
      </c>
      <c r="O1544" s="59">
        <f t="shared" si="948"/>
        <v>0</v>
      </c>
      <c r="P1544" s="59">
        <f t="shared" si="948"/>
        <v>0</v>
      </c>
      <c r="Q1544" s="59">
        <f t="shared" si="948"/>
        <v>0</v>
      </c>
      <c r="R1544" s="59">
        <f t="shared" si="948"/>
        <v>0</v>
      </c>
      <c r="S1544" s="59">
        <f t="shared" si="948"/>
        <v>0</v>
      </c>
      <c r="T1544" s="59">
        <f t="shared" si="948"/>
        <v>0</v>
      </c>
      <c r="U1544" s="59">
        <f t="shared" si="948"/>
        <v>0</v>
      </c>
      <c r="V1544" s="59">
        <f t="shared" si="948"/>
        <v>0</v>
      </c>
      <c r="W1544" s="59">
        <f t="shared" si="948"/>
        <v>0</v>
      </c>
      <c r="X1544" s="59">
        <f t="shared" si="948"/>
        <v>0</v>
      </c>
    </row>
    <row r="1545" spans="2:24" hidden="1">
      <c r="B1545" s="58" t="str">
        <f t="shared" si="930"/>
        <v/>
      </c>
      <c r="C1545" s="58" t="str">
        <f t="shared" si="930"/>
        <v/>
      </c>
      <c r="D1545" s="58" t="str">
        <f t="shared" si="930"/>
        <v/>
      </c>
      <c r="E1545" s="58" t="str">
        <f t="shared" si="930"/>
        <v/>
      </c>
      <c r="F1545" s="58"/>
      <c r="G1545" s="58"/>
      <c r="H1545" s="58"/>
      <c r="I1545" s="58"/>
      <c r="J1545" s="58"/>
      <c r="K1545" s="59">
        <f t="shared" ref="K1545:X1545" si="949">IF(AND($D1545="tak",OR($E1545="nie dotyczy",$E1545="badania przemysłowe"),K$1421&lt;=Koniec_Projekt),ROUND(K454*K496,0),0)</f>
        <v>0</v>
      </c>
      <c r="L1545" s="59">
        <f t="shared" si="949"/>
        <v>0</v>
      </c>
      <c r="M1545" s="59">
        <f t="shared" si="949"/>
        <v>0</v>
      </c>
      <c r="N1545" s="59">
        <f t="shared" si="949"/>
        <v>0</v>
      </c>
      <c r="O1545" s="59">
        <f t="shared" si="949"/>
        <v>0</v>
      </c>
      <c r="P1545" s="59">
        <f t="shared" si="949"/>
        <v>0</v>
      </c>
      <c r="Q1545" s="59">
        <f t="shared" si="949"/>
        <v>0</v>
      </c>
      <c r="R1545" s="59">
        <f t="shared" si="949"/>
        <v>0</v>
      </c>
      <c r="S1545" s="59">
        <f t="shared" si="949"/>
        <v>0</v>
      </c>
      <c r="T1545" s="59">
        <f t="shared" si="949"/>
        <v>0</v>
      </c>
      <c r="U1545" s="59">
        <f t="shared" si="949"/>
        <v>0</v>
      </c>
      <c r="V1545" s="59">
        <f t="shared" si="949"/>
        <v>0</v>
      </c>
      <c r="W1545" s="59">
        <f t="shared" si="949"/>
        <v>0</v>
      </c>
      <c r="X1545" s="59">
        <f t="shared" si="949"/>
        <v>0</v>
      </c>
    </row>
    <row r="1546" spans="2:24" hidden="1">
      <c r="B1546" s="58" t="str">
        <f t="shared" si="930"/>
        <v/>
      </c>
      <c r="C1546" s="58" t="str">
        <f t="shared" si="930"/>
        <v/>
      </c>
      <c r="D1546" s="58" t="str">
        <f t="shared" si="930"/>
        <v/>
      </c>
      <c r="E1546" s="58" t="str">
        <f t="shared" si="930"/>
        <v/>
      </c>
      <c r="F1546" s="58"/>
      <c r="G1546" s="58"/>
      <c r="H1546" s="58"/>
      <c r="I1546" s="58"/>
      <c r="J1546" s="58"/>
      <c r="K1546" s="59">
        <f t="shared" ref="K1546:X1546" si="950">IF(AND($D1546="tak",OR($E1546="nie dotyczy",$E1546="badania przemysłowe"),K$1421&lt;=Koniec_Projekt),ROUND(K455*K497,0),0)</f>
        <v>0</v>
      </c>
      <c r="L1546" s="59">
        <f t="shared" si="950"/>
        <v>0</v>
      </c>
      <c r="M1546" s="59">
        <f t="shared" si="950"/>
        <v>0</v>
      </c>
      <c r="N1546" s="59">
        <f t="shared" si="950"/>
        <v>0</v>
      </c>
      <c r="O1546" s="59">
        <f t="shared" si="950"/>
        <v>0</v>
      </c>
      <c r="P1546" s="59">
        <f t="shared" si="950"/>
        <v>0</v>
      </c>
      <c r="Q1546" s="59">
        <f t="shared" si="950"/>
        <v>0</v>
      </c>
      <c r="R1546" s="59">
        <f t="shared" si="950"/>
        <v>0</v>
      </c>
      <c r="S1546" s="59">
        <f t="shared" si="950"/>
        <v>0</v>
      </c>
      <c r="T1546" s="59">
        <f t="shared" si="950"/>
        <v>0</v>
      </c>
      <c r="U1546" s="59">
        <f t="shared" si="950"/>
        <v>0</v>
      </c>
      <c r="V1546" s="59">
        <f t="shared" si="950"/>
        <v>0</v>
      </c>
      <c r="W1546" s="59">
        <f t="shared" si="950"/>
        <v>0</v>
      </c>
      <c r="X1546" s="59">
        <f t="shared" si="950"/>
        <v>0</v>
      </c>
    </row>
    <row r="1547" spans="2:24" hidden="1">
      <c r="B1547" s="58" t="str">
        <f t="shared" ref="B1547:E1566" si="951">IF(ISBLANK(B1307),"",B1307)</f>
        <v/>
      </c>
      <c r="C1547" s="58" t="str">
        <f t="shared" si="951"/>
        <v/>
      </c>
      <c r="D1547" s="58" t="str">
        <f t="shared" si="951"/>
        <v/>
      </c>
      <c r="E1547" s="58" t="str">
        <f t="shared" si="951"/>
        <v/>
      </c>
      <c r="F1547" s="58"/>
      <c r="G1547" s="58"/>
      <c r="H1547" s="58"/>
      <c r="I1547" s="58"/>
      <c r="J1547" s="58"/>
      <c r="K1547" s="59">
        <f t="shared" ref="K1547:X1547" si="952">IF(AND($D1547="tak",OR($E1547="nie dotyczy",$E1547="badania przemysłowe"),K$1421&lt;=Koniec_Projekt),ROUND(K456*K498,0),0)</f>
        <v>0</v>
      </c>
      <c r="L1547" s="59">
        <f t="shared" si="952"/>
        <v>0</v>
      </c>
      <c r="M1547" s="59">
        <f t="shared" si="952"/>
        <v>0</v>
      </c>
      <c r="N1547" s="59">
        <f t="shared" si="952"/>
        <v>0</v>
      </c>
      <c r="O1547" s="59">
        <f t="shared" si="952"/>
        <v>0</v>
      </c>
      <c r="P1547" s="59">
        <f t="shared" si="952"/>
        <v>0</v>
      </c>
      <c r="Q1547" s="59">
        <f t="shared" si="952"/>
        <v>0</v>
      </c>
      <c r="R1547" s="59">
        <f t="shared" si="952"/>
        <v>0</v>
      </c>
      <c r="S1547" s="59">
        <f t="shared" si="952"/>
        <v>0</v>
      </c>
      <c r="T1547" s="59">
        <f t="shared" si="952"/>
        <v>0</v>
      </c>
      <c r="U1547" s="59">
        <f t="shared" si="952"/>
        <v>0</v>
      </c>
      <c r="V1547" s="59">
        <f t="shared" si="952"/>
        <v>0</v>
      </c>
      <c r="W1547" s="59">
        <f t="shared" si="952"/>
        <v>0</v>
      </c>
      <c r="X1547" s="59">
        <f t="shared" si="952"/>
        <v>0</v>
      </c>
    </row>
    <row r="1548" spans="2:24" hidden="1">
      <c r="B1548" s="58" t="str">
        <f t="shared" si="951"/>
        <v/>
      </c>
      <c r="C1548" s="58" t="str">
        <f t="shared" si="951"/>
        <v/>
      </c>
      <c r="D1548" s="58" t="str">
        <f t="shared" si="951"/>
        <v/>
      </c>
      <c r="E1548" s="58" t="str">
        <f t="shared" si="951"/>
        <v/>
      </c>
      <c r="F1548" s="58"/>
      <c r="G1548" s="58"/>
      <c r="H1548" s="58"/>
      <c r="I1548" s="58"/>
      <c r="J1548" s="58"/>
      <c r="K1548" s="59">
        <f t="shared" ref="K1548:X1548" si="953">IF(AND($D1548="tak",OR($E1548="nie dotyczy",$E1548="badania przemysłowe"),K$1421&lt;=Koniec_Projekt),ROUND(K457*K499,0),0)</f>
        <v>0</v>
      </c>
      <c r="L1548" s="59">
        <f t="shared" si="953"/>
        <v>0</v>
      </c>
      <c r="M1548" s="59">
        <f t="shared" si="953"/>
        <v>0</v>
      </c>
      <c r="N1548" s="59">
        <f t="shared" si="953"/>
        <v>0</v>
      </c>
      <c r="O1548" s="59">
        <f t="shared" si="953"/>
        <v>0</v>
      </c>
      <c r="P1548" s="59">
        <f t="shared" si="953"/>
        <v>0</v>
      </c>
      <c r="Q1548" s="59">
        <f t="shared" si="953"/>
        <v>0</v>
      </c>
      <c r="R1548" s="59">
        <f t="shared" si="953"/>
        <v>0</v>
      </c>
      <c r="S1548" s="59">
        <f t="shared" si="953"/>
        <v>0</v>
      </c>
      <c r="T1548" s="59">
        <f t="shared" si="953"/>
        <v>0</v>
      </c>
      <c r="U1548" s="59">
        <f t="shared" si="953"/>
        <v>0</v>
      </c>
      <c r="V1548" s="59">
        <f t="shared" si="953"/>
        <v>0</v>
      </c>
      <c r="W1548" s="59">
        <f t="shared" si="953"/>
        <v>0</v>
      </c>
      <c r="X1548" s="59">
        <f t="shared" si="953"/>
        <v>0</v>
      </c>
    </row>
    <row r="1549" spans="2:24" hidden="1">
      <c r="B1549" s="58" t="str">
        <f t="shared" si="951"/>
        <v/>
      </c>
      <c r="C1549" s="58" t="str">
        <f t="shared" si="951"/>
        <v/>
      </c>
      <c r="D1549" s="58" t="str">
        <f t="shared" si="951"/>
        <v/>
      </c>
      <c r="E1549" s="58" t="str">
        <f t="shared" si="951"/>
        <v/>
      </c>
      <c r="F1549" s="58"/>
      <c r="G1549" s="58"/>
      <c r="H1549" s="58"/>
      <c r="I1549" s="58"/>
      <c r="J1549" s="58"/>
      <c r="K1549" s="59">
        <f t="shared" ref="K1549:X1549" si="954">IF(AND($D1549="tak",OR($E1549="nie dotyczy",$E1549="badania przemysłowe"),K$1421&lt;=Koniec_Projekt),ROUND(K458*K500,0),0)</f>
        <v>0</v>
      </c>
      <c r="L1549" s="59">
        <f t="shared" si="954"/>
        <v>0</v>
      </c>
      <c r="M1549" s="59">
        <f t="shared" si="954"/>
        <v>0</v>
      </c>
      <c r="N1549" s="59">
        <f t="shared" si="954"/>
        <v>0</v>
      </c>
      <c r="O1549" s="59">
        <f t="shared" si="954"/>
        <v>0</v>
      </c>
      <c r="P1549" s="59">
        <f t="shared" si="954"/>
        <v>0</v>
      </c>
      <c r="Q1549" s="59">
        <f t="shared" si="954"/>
        <v>0</v>
      </c>
      <c r="R1549" s="59">
        <f t="shared" si="954"/>
        <v>0</v>
      </c>
      <c r="S1549" s="59">
        <f t="shared" si="954"/>
        <v>0</v>
      </c>
      <c r="T1549" s="59">
        <f t="shared" si="954"/>
        <v>0</v>
      </c>
      <c r="U1549" s="59">
        <f t="shared" si="954"/>
        <v>0</v>
      </c>
      <c r="V1549" s="59">
        <f t="shared" si="954"/>
        <v>0</v>
      </c>
      <c r="W1549" s="59">
        <f t="shared" si="954"/>
        <v>0</v>
      </c>
      <c r="X1549" s="59">
        <f t="shared" si="954"/>
        <v>0</v>
      </c>
    </row>
    <row r="1550" spans="2:24" hidden="1">
      <c r="B1550" s="58" t="str">
        <f t="shared" si="951"/>
        <v/>
      </c>
      <c r="C1550" s="58" t="str">
        <f t="shared" si="951"/>
        <v/>
      </c>
      <c r="D1550" s="58" t="str">
        <f t="shared" si="951"/>
        <v/>
      </c>
      <c r="E1550" s="58" t="str">
        <f t="shared" si="951"/>
        <v/>
      </c>
      <c r="F1550" s="58"/>
      <c r="G1550" s="58"/>
      <c r="H1550" s="58"/>
      <c r="I1550" s="58"/>
      <c r="J1550" s="58"/>
      <c r="K1550" s="59">
        <f t="shared" ref="K1550:X1550" si="955">IF(AND($D1550="tak",OR($E1550="nie dotyczy",$E1550="badania przemysłowe"),K$1421&lt;=Koniec_Projekt),ROUND(K459*K501,0),0)</f>
        <v>0</v>
      </c>
      <c r="L1550" s="59">
        <f t="shared" si="955"/>
        <v>0</v>
      </c>
      <c r="M1550" s="59">
        <f t="shared" si="955"/>
        <v>0</v>
      </c>
      <c r="N1550" s="59">
        <f t="shared" si="955"/>
        <v>0</v>
      </c>
      <c r="O1550" s="59">
        <f t="shared" si="955"/>
        <v>0</v>
      </c>
      <c r="P1550" s="59">
        <f t="shared" si="955"/>
        <v>0</v>
      </c>
      <c r="Q1550" s="59">
        <f t="shared" si="955"/>
        <v>0</v>
      </c>
      <c r="R1550" s="59">
        <f t="shared" si="955"/>
        <v>0</v>
      </c>
      <c r="S1550" s="59">
        <f t="shared" si="955"/>
        <v>0</v>
      </c>
      <c r="T1550" s="59">
        <f t="shared" si="955"/>
        <v>0</v>
      </c>
      <c r="U1550" s="59">
        <f t="shared" si="955"/>
        <v>0</v>
      </c>
      <c r="V1550" s="59">
        <f t="shared" si="955"/>
        <v>0</v>
      </c>
      <c r="W1550" s="59">
        <f t="shared" si="955"/>
        <v>0</v>
      </c>
      <c r="X1550" s="59">
        <f t="shared" si="955"/>
        <v>0</v>
      </c>
    </row>
    <row r="1551" spans="2:24" hidden="1">
      <c r="B1551" s="58" t="str">
        <f t="shared" si="951"/>
        <v/>
      </c>
      <c r="C1551" s="58" t="str">
        <f t="shared" si="951"/>
        <v/>
      </c>
      <c r="D1551" s="58" t="str">
        <f t="shared" si="951"/>
        <v/>
      </c>
      <c r="E1551" s="58" t="str">
        <f t="shared" si="951"/>
        <v/>
      </c>
      <c r="F1551" s="58"/>
      <c r="G1551" s="58"/>
      <c r="H1551" s="58"/>
      <c r="I1551" s="58"/>
      <c r="J1551" s="58"/>
      <c r="K1551" s="59">
        <f t="shared" ref="K1551:X1551" si="956">IF(AND($D1551="tak",OR($E1551="nie dotyczy",$E1551="badania przemysłowe"),K$1421&lt;=Koniec_Projekt),ROUND(K460*K502,0),0)</f>
        <v>0</v>
      </c>
      <c r="L1551" s="59">
        <f t="shared" si="956"/>
        <v>0</v>
      </c>
      <c r="M1551" s="59">
        <f t="shared" si="956"/>
        <v>0</v>
      </c>
      <c r="N1551" s="59">
        <f t="shared" si="956"/>
        <v>0</v>
      </c>
      <c r="O1551" s="59">
        <f t="shared" si="956"/>
        <v>0</v>
      </c>
      <c r="P1551" s="59">
        <f t="shared" si="956"/>
        <v>0</v>
      </c>
      <c r="Q1551" s="59">
        <f t="shared" si="956"/>
        <v>0</v>
      </c>
      <c r="R1551" s="59">
        <f t="shared" si="956"/>
        <v>0</v>
      </c>
      <c r="S1551" s="59">
        <f t="shared" si="956"/>
        <v>0</v>
      </c>
      <c r="T1551" s="59">
        <f t="shared" si="956"/>
        <v>0</v>
      </c>
      <c r="U1551" s="59">
        <f t="shared" si="956"/>
        <v>0</v>
      </c>
      <c r="V1551" s="59">
        <f t="shared" si="956"/>
        <v>0</v>
      </c>
      <c r="W1551" s="59">
        <f t="shared" si="956"/>
        <v>0</v>
      </c>
      <c r="X1551" s="59">
        <f t="shared" si="956"/>
        <v>0</v>
      </c>
    </row>
    <row r="1552" spans="2:24" hidden="1">
      <c r="B1552" s="58" t="str">
        <f t="shared" si="951"/>
        <v/>
      </c>
      <c r="C1552" s="58" t="str">
        <f t="shared" si="951"/>
        <v/>
      </c>
      <c r="D1552" s="58" t="str">
        <f t="shared" si="951"/>
        <v/>
      </c>
      <c r="E1552" s="58" t="str">
        <f t="shared" si="951"/>
        <v/>
      </c>
      <c r="F1552" s="58"/>
      <c r="G1552" s="58"/>
      <c r="H1552" s="58"/>
      <c r="I1552" s="58"/>
      <c r="J1552" s="58"/>
      <c r="K1552" s="59">
        <f t="shared" ref="K1552:X1552" si="957">IF(AND($D1552="tak",OR($E1552="nie dotyczy",$E1552="badania przemysłowe"),K$1421&lt;=Koniec_Projekt),ROUND(K461*K503,0),0)</f>
        <v>0</v>
      </c>
      <c r="L1552" s="59">
        <f t="shared" si="957"/>
        <v>0</v>
      </c>
      <c r="M1552" s="59">
        <f t="shared" si="957"/>
        <v>0</v>
      </c>
      <c r="N1552" s="59">
        <f t="shared" si="957"/>
        <v>0</v>
      </c>
      <c r="O1552" s="59">
        <f t="shared" si="957"/>
        <v>0</v>
      </c>
      <c r="P1552" s="59">
        <f t="shared" si="957"/>
        <v>0</v>
      </c>
      <c r="Q1552" s="59">
        <f t="shared" si="957"/>
        <v>0</v>
      </c>
      <c r="R1552" s="59">
        <f t="shared" si="957"/>
        <v>0</v>
      </c>
      <c r="S1552" s="59">
        <f t="shared" si="957"/>
        <v>0</v>
      </c>
      <c r="T1552" s="59">
        <f t="shared" si="957"/>
        <v>0</v>
      </c>
      <c r="U1552" s="59">
        <f t="shared" si="957"/>
        <v>0</v>
      </c>
      <c r="V1552" s="59">
        <f t="shared" si="957"/>
        <v>0</v>
      </c>
      <c r="W1552" s="59">
        <f t="shared" si="957"/>
        <v>0</v>
      </c>
      <c r="X1552" s="59">
        <f t="shared" si="957"/>
        <v>0</v>
      </c>
    </row>
    <row r="1553" spans="2:24" hidden="1">
      <c r="B1553" s="58" t="str">
        <f t="shared" si="951"/>
        <v/>
      </c>
      <c r="C1553" s="58" t="str">
        <f t="shared" si="951"/>
        <v/>
      </c>
      <c r="D1553" s="58" t="str">
        <f t="shared" si="951"/>
        <v/>
      </c>
      <c r="E1553" s="58" t="str">
        <f t="shared" si="951"/>
        <v/>
      </c>
      <c r="F1553" s="58"/>
      <c r="G1553" s="58"/>
      <c r="H1553" s="58"/>
      <c r="I1553" s="58"/>
      <c r="J1553" s="58"/>
      <c r="K1553" s="59">
        <f t="shared" ref="K1553:X1553" si="958">IF(AND($D1553="tak",OR($E1553="nie dotyczy",$E1553="badania przemysłowe"),K$1421&lt;=Koniec_Projekt),ROUND(K462*K504,0),0)</f>
        <v>0</v>
      </c>
      <c r="L1553" s="59">
        <f t="shared" si="958"/>
        <v>0</v>
      </c>
      <c r="M1553" s="59">
        <f t="shared" si="958"/>
        <v>0</v>
      </c>
      <c r="N1553" s="59">
        <f t="shared" si="958"/>
        <v>0</v>
      </c>
      <c r="O1553" s="59">
        <f t="shared" si="958"/>
        <v>0</v>
      </c>
      <c r="P1553" s="59">
        <f t="shared" si="958"/>
        <v>0</v>
      </c>
      <c r="Q1553" s="59">
        <f t="shared" si="958"/>
        <v>0</v>
      </c>
      <c r="R1553" s="59">
        <f t="shared" si="958"/>
        <v>0</v>
      </c>
      <c r="S1553" s="59">
        <f t="shared" si="958"/>
        <v>0</v>
      </c>
      <c r="T1553" s="59">
        <f t="shared" si="958"/>
        <v>0</v>
      </c>
      <c r="U1553" s="59">
        <f t="shared" si="958"/>
        <v>0</v>
      </c>
      <c r="V1553" s="59">
        <f t="shared" si="958"/>
        <v>0</v>
      </c>
      <c r="W1553" s="59">
        <f t="shared" si="958"/>
        <v>0</v>
      </c>
      <c r="X1553" s="59">
        <f t="shared" si="958"/>
        <v>0</v>
      </c>
    </row>
    <row r="1554" spans="2:24" hidden="1">
      <c r="B1554" s="58" t="str">
        <f t="shared" si="951"/>
        <v/>
      </c>
      <c r="C1554" s="58" t="str">
        <f t="shared" si="951"/>
        <v/>
      </c>
      <c r="D1554" s="58" t="str">
        <f t="shared" si="951"/>
        <v/>
      </c>
      <c r="E1554" s="58" t="str">
        <f t="shared" si="951"/>
        <v/>
      </c>
      <c r="F1554" s="58"/>
      <c r="G1554" s="58"/>
      <c r="H1554" s="58"/>
      <c r="I1554" s="58"/>
      <c r="J1554" s="58"/>
      <c r="K1554" s="59">
        <f t="shared" ref="K1554:X1554" si="959">IF(AND($D1554="tak",OR($E1554="nie dotyczy",$E1554="badania przemysłowe"),K$1421&lt;=Koniec_Projekt),ROUND(K463*K505,0),0)</f>
        <v>0</v>
      </c>
      <c r="L1554" s="59">
        <f t="shared" si="959"/>
        <v>0</v>
      </c>
      <c r="M1554" s="59">
        <f t="shared" si="959"/>
        <v>0</v>
      </c>
      <c r="N1554" s="59">
        <f t="shared" si="959"/>
        <v>0</v>
      </c>
      <c r="O1554" s="59">
        <f t="shared" si="959"/>
        <v>0</v>
      </c>
      <c r="P1554" s="59">
        <f t="shared" si="959"/>
        <v>0</v>
      </c>
      <c r="Q1554" s="59">
        <f t="shared" si="959"/>
        <v>0</v>
      </c>
      <c r="R1554" s="59">
        <f t="shared" si="959"/>
        <v>0</v>
      </c>
      <c r="S1554" s="59">
        <f t="shared" si="959"/>
        <v>0</v>
      </c>
      <c r="T1554" s="59">
        <f t="shared" si="959"/>
        <v>0</v>
      </c>
      <c r="U1554" s="59">
        <f t="shared" si="959"/>
        <v>0</v>
      </c>
      <c r="V1554" s="59">
        <f t="shared" si="959"/>
        <v>0</v>
      </c>
      <c r="W1554" s="59">
        <f t="shared" si="959"/>
        <v>0</v>
      </c>
      <c r="X1554" s="59">
        <f t="shared" si="959"/>
        <v>0</v>
      </c>
    </row>
    <row r="1555" spans="2:24" hidden="1">
      <c r="B1555" s="58" t="str">
        <f t="shared" si="951"/>
        <v/>
      </c>
      <c r="C1555" s="58" t="str">
        <f t="shared" si="951"/>
        <v/>
      </c>
      <c r="D1555" s="58" t="str">
        <f t="shared" si="951"/>
        <v/>
      </c>
      <c r="E1555" s="58" t="str">
        <f t="shared" si="951"/>
        <v/>
      </c>
      <c r="F1555" s="58"/>
      <c r="G1555" s="58"/>
      <c r="H1555" s="58"/>
      <c r="I1555" s="58"/>
      <c r="J1555" s="58"/>
      <c r="K1555" s="59">
        <f t="shared" ref="K1555:X1555" si="960">IF(AND($D1555="tak",OR($E1555="nie dotyczy",$E1555="badania przemysłowe"),K$1421&lt;=Koniec_Projekt),ROUND(K464*K506,0),0)</f>
        <v>0</v>
      </c>
      <c r="L1555" s="59">
        <f t="shared" si="960"/>
        <v>0</v>
      </c>
      <c r="M1555" s="59">
        <f t="shared" si="960"/>
        <v>0</v>
      </c>
      <c r="N1555" s="59">
        <f t="shared" si="960"/>
        <v>0</v>
      </c>
      <c r="O1555" s="59">
        <f t="shared" si="960"/>
        <v>0</v>
      </c>
      <c r="P1555" s="59">
        <f t="shared" si="960"/>
        <v>0</v>
      </c>
      <c r="Q1555" s="59">
        <f t="shared" si="960"/>
        <v>0</v>
      </c>
      <c r="R1555" s="59">
        <f t="shared" si="960"/>
        <v>0</v>
      </c>
      <c r="S1555" s="59">
        <f t="shared" si="960"/>
        <v>0</v>
      </c>
      <c r="T1555" s="59">
        <f t="shared" si="960"/>
        <v>0</v>
      </c>
      <c r="U1555" s="59">
        <f t="shared" si="960"/>
        <v>0</v>
      </c>
      <c r="V1555" s="59">
        <f t="shared" si="960"/>
        <v>0</v>
      </c>
      <c r="W1555" s="59">
        <f t="shared" si="960"/>
        <v>0</v>
      </c>
      <c r="X1555" s="59">
        <f t="shared" si="960"/>
        <v>0</v>
      </c>
    </row>
    <row r="1556" spans="2:24" hidden="1">
      <c r="B1556" s="58" t="str">
        <f t="shared" si="951"/>
        <v/>
      </c>
      <c r="C1556" s="58" t="str">
        <f t="shared" si="951"/>
        <v/>
      </c>
      <c r="D1556" s="58" t="str">
        <f t="shared" si="951"/>
        <v/>
      </c>
      <c r="E1556" s="58" t="str">
        <f t="shared" si="951"/>
        <v/>
      </c>
      <c r="F1556" s="58"/>
      <c r="G1556" s="58"/>
      <c r="H1556" s="58"/>
      <c r="I1556" s="58"/>
      <c r="J1556" s="58"/>
      <c r="K1556" s="59">
        <f t="shared" ref="K1556:X1556" si="961">IF(AND($D1556="tak",OR($E1556="nie dotyczy",$E1556="badania przemysłowe"),K$1421&lt;=Koniec_Projekt),ROUND(K465*K507,0),0)</f>
        <v>0</v>
      </c>
      <c r="L1556" s="59">
        <f t="shared" si="961"/>
        <v>0</v>
      </c>
      <c r="M1556" s="59">
        <f t="shared" si="961"/>
        <v>0</v>
      </c>
      <c r="N1556" s="59">
        <f t="shared" si="961"/>
        <v>0</v>
      </c>
      <c r="O1556" s="59">
        <f t="shared" si="961"/>
        <v>0</v>
      </c>
      <c r="P1556" s="59">
        <f t="shared" si="961"/>
        <v>0</v>
      </c>
      <c r="Q1556" s="59">
        <f t="shared" si="961"/>
        <v>0</v>
      </c>
      <c r="R1556" s="59">
        <f t="shared" si="961"/>
        <v>0</v>
      </c>
      <c r="S1556" s="59">
        <f t="shared" si="961"/>
        <v>0</v>
      </c>
      <c r="T1556" s="59">
        <f t="shared" si="961"/>
        <v>0</v>
      </c>
      <c r="U1556" s="59">
        <f t="shared" si="961"/>
        <v>0</v>
      </c>
      <c r="V1556" s="59">
        <f t="shared" si="961"/>
        <v>0</v>
      </c>
      <c r="W1556" s="59">
        <f t="shared" si="961"/>
        <v>0</v>
      </c>
      <c r="X1556" s="59">
        <f t="shared" si="961"/>
        <v>0</v>
      </c>
    </row>
    <row r="1557" spans="2:24" hidden="1">
      <c r="B1557" s="58" t="str">
        <f t="shared" si="951"/>
        <v/>
      </c>
      <c r="C1557" s="58" t="str">
        <f t="shared" si="951"/>
        <v/>
      </c>
      <c r="D1557" s="58" t="str">
        <f t="shared" si="951"/>
        <v/>
      </c>
      <c r="E1557" s="58" t="str">
        <f t="shared" si="951"/>
        <v/>
      </c>
      <c r="F1557" s="58"/>
      <c r="G1557" s="58"/>
      <c r="H1557" s="58"/>
      <c r="I1557" s="58"/>
      <c r="J1557" s="58"/>
      <c r="K1557" s="59">
        <f t="shared" ref="K1557:X1557" si="962">IF(AND($D1557="tak",OR($E1557="nie dotyczy",$E1557="badania przemysłowe"),K$1421&lt;=Koniec_Projekt),ROUND(K466*K508,0),0)</f>
        <v>0</v>
      </c>
      <c r="L1557" s="59">
        <f t="shared" si="962"/>
        <v>0</v>
      </c>
      <c r="M1557" s="59">
        <f t="shared" si="962"/>
        <v>0</v>
      </c>
      <c r="N1557" s="59">
        <f t="shared" si="962"/>
        <v>0</v>
      </c>
      <c r="O1557" s="59">
        <f t="shared" si="962"/>
        <v>0</v>
      </c>
      <c r="P1557" s="59">
        <f t="shared" si="962"/>
        <v>0</v>
      </c>
      <c r="Q1557" s="59">
        <f t="shared" si="962"/>
        <v>0</v>
      </c>
      <c r="R1557" s="59">
        <f t="shared" si="962"/>
        <v>0</v>
      </c>
      <c r="S1557" s="59">
        <f t="shared" si="962"/>
        <v>0</v>
      </c>
      <c r="T1557" s="59">
        <f t="shared" si="962"/>
        <v>0</v>
      </c>
      <c r="U1557" s="59">
        <f t="shared" si="962"/>
        <v>0</v>
      </c>
      <c r="V1557" s="59">
        <f t="shared" si="962"/>
        <v>0</v>
      </c>
      <c r="W1557" s="59">
        <f t="shared" si="962"/>
        <v>0</v>
      </c>
      <c r="X1557" s="59">
        <f t="shared" si="962"/>
        <v>0</v>
      </c>
    </row>
    <row r="1558" spans="2:24" hidden="1">
      <c r="B1558" s="58" t="str">
        <f t="shared" si="951"/>
        <v/>
      </c>
      <c r="C1558" s="58" t="str">
        <f t="shared" si="951"/>
        <v/>
      </c>
      <c r="D1558" s="58" t="str">
        <f t="shared" si="951"/>
        <v/>
      </c>
      <c r="E1558" s="58" t="str">
        <f t="shared" si="951"/>
        <v/>
      </c>
      <c r="F1558" s="58"/>
      <c r="G1558" s="58"/>
      <c r="H1558" s="58"/>
      <c r="I1558" s="58"/>
      <c r="J1558" s="58"/>
      <c r="K1558" s="59">
        <f t="shared" ref="K1558:X1558" si="963">IF(AND($D1558="tak",OR($E1558="nie dotyczy",$E1558="badania przemysłowe"),K$1421&lt;=Koniec_Projekt),ROUND(K467*K509,0),0)</f>
        <v>0</v>
      </c>
      <c r="L1558" s="59">
        <f t="shared" si="963"/>
        <v>0</v>
      </c>
      <c r="M1558" s="59">
        <f t="shared" si="963"/>
        <v>0</v>
      </c>
      <c r="N1558" s="59">
        <f t="shared" si="963"/>
        <v>0</v>
      </c>
      <c r="O1558" s="59">
        <f t="shared" si="963"/>
        <v>0</v>
      </c>
      <c r="P1558" s="59">
        <f t="shared" si="963"/>
        <v>0</v>
      </c>
      <c r="Q1558" s="59">
        <f t="shared" si="963"/>
        <v>0</v>
      </c>
      <c r="R1558" s="59">
        <f t="shared" si="963"/>
        <v>0</v>
      </c>
      <c r="S1558" s="59">
        <f t="shared" si="963"/>
        <v>0</v>
      </c>
      <c r="T1558" s="59">
        <f t="shared" si="963"/>
        <v>0</v>
      </c>
      <c r="U1558" s="59">
        <f t="shared" si="963"/>
        <v>0</v>
      </c>
      <c r="V1558" s="59">
        <f t="shared" si="963"/>
        <v>0</v>
      </c>
      <c r="W1558" s="59">
        <f t="shared" si="963"/>
        <v>0</v>
      </c>
      <c r="X1558" s="59">
        <f t="shared" si="963"/>
        <v>0</v>
      </c>
    </row>
    <row r="1559" spans="2:24" hidden="1">
      <c r="B1559" s="58" t="str">
        <f t="shared" si="951"/>
        <v/>
      </c>
      <c r="C1559" s="58" t="str">
        <f t="shared" si="951"/>
        <v/>
      </c>
      <c r="D1559" s="58" t="str">
        <f t="shared" si="951"/>
        <v/>
      </c>
      <c r="E1559" s="58" t="str">
        <f t="shared" si="951"/>
        <v/>
      </c>
      <c r="F1559" s="58"/>
      <c r="G1559" s="58"/>
      <c r="H1559" s="58"/>
      <c r="I1559" s="58"/>
      <c r="J1559" s="58"/>
      <c r="K1559" s="59">
        <f t="shared" ref="K1559:X1559" si="964">IF(AND($D1559="tak",OR($E1559="nie dotyczy",$E1559="badania przemysłowe"),K$1421&lt;=Koniec_Projekt),ROUND(K468*K510,0),0)</f>
        <v>0</v>
      </c>
      <c r="L1559" s="59">
        <f t="shared" si="964"/>
        <v>0</v>
      </c>
      <c r="M1559" s="59">
        <f t="shared" si="964"/>
        <v>0</v>
      </c>
      <c r="N1559" s="59">
        <f t="shared" si="964"/>
        <v>0</v>
      </c>
      <c r="O1559" s="59">
        <f t="shared" si="964"/>
        <v>0</v>
      </c>
      <c r="P1559" s="59">
        <f t="shared" si="964"/>
        <v>0</v>
      </c>
      <c r="Q1559" s="59">
        <f t="shared" si="964"/>
        <v>0</v>
      </c>
      <c r="R1559" s="59">
        <f t="shared" si="964"/>
        <v>0</v>
      </c>
      <c r="S1559" s="59">
        <f t="shared" si="964"/>
        <v>0</v>
      </c>
      <c r="T1559" s="59">
        <f t="shared" si="964"/>
        <v>0</v>
      </c>
      <c r="U1559" s="59">
        <f t="shared" si="964"/>
        <v>0</v>
      </c>
      <c r="V1559" s="59">
        <f t="shared" si="964"/>
        <v>0</v>
      </c>
      <c r="W1559" s="59">
        <f t="shared" si="964"/>
        <v>0</v>
      </c>
      <c r="X1559" s="59">
        <f t="shared" si="964"/>
        <v>0</v>
      </c>
    </row>
    <row r="1560" spans="2:24" hidden="1">
      <c r="B1560" s="58" t="str">
        <f t="shared" si="951"/>
        <v/>
      </c>
      <c r="C1560" s="58" t="str">
        <f t="shared" si="951"/>
        <v/>
      </c>
      <c r="D1560" s="58" t="str">
        <f t="shared" si="951"/>
        <v/>
      </c>
      <c r="E1560" s="58" t="str">
        <f t="shared" si="951"/>
        <v/>
      </c>
      <c r="F1560" s="58"/>
      <c r="G1560" s="58"/>
      <c r="H1560" s="58"/>
      <c r="I1560" s="58"/>
      <c r="J1560" s="58"/>
      <c r="K1560" s="59">
        <f t="shared" ref="K1560:X1560" si="965">IF(AND($D1560="tak",OR($E1560="nie dotyczy",$E1560="badania przemysłowe"),K$1421&lt;=Koniec_Projekt),ROUND(K469*K511,0),0)</f>
        <v>0</v>
      </c>
      <c r="L1560" s="59">
        <f t="shared" si="965"/>
        <v>0</v>
      </c>
      <c r="M1560" s="59">
        <f t="shared" si="965"/>
        <v>0</v>
      </c>
      <c r="N1560" s="59">
        <f t="shared" si="965"/>
        <v>0</v>
      </c>
      <c r="O1560" s="59">
        <f t="shared" si="965"/>
        <v>0</v>
      </c>
      <c r="P1560" s="59">
        <f t="shared" si="965"/>
        <v>0</v>
      </c>
      <c r="Q1560" s="59">
        <f t="shared" si="965"/>
        <v>0</v>
      </c>
      <c r="R1560" s="59">
        <f t="shared" si="965"/>
        <v>0</v>
      </c>
      <c r="S1560" s="59">
        <f t="shared" si="965"/>
        <v>0</v>
      </c>
      <c r="T1560" s="59">
        <f t="shared" si="965"/>
        <v>0</v>
      </c>
      <c r="U1560" s="59">
        <f t="shared" si="965"/>
        <v>0</v>
      </c>
      <c r="V1560" s="59">
        <f t="shared" si="965"/>
        <v>0</v>
      </c>
      <c r="W1560" s="59">
        <f t="shared" si="965"/>
        <v>0</v>
      </c>
      <c r="X1560" s="59">
        <f t="shared" si="965"/>
        <v>0</v>
      </c>
    </row>
    <row r="1561" spans="2:24" hidden="1">
      <c r="B1561" s="58" t="str">
        <f t="shared" si="951"/>
        <v/>
      </c>
      <c r="C1561" s="58" t="str">
        <f t="shared" si="951"/>
        <v/>
      </c>
      <c r="D1561" s="58" t="str">
        <f t="shared" si="951"/>
        <v/>
      </c>
      <c r="E1561" s="58" t="str">
        <f t="shared" si="951"/>
        <v/>
      </c>
      <c r="F1561" s="58"/>
      <c r="G1561" s="58"/>
      <c r="H1561" s="58"/>
      <c r="I1561" s="58"/>
      <c r="J1561" s="58"/>
      <c r="K1561" s="59">
        <f t="shared" ref="K1561:X1561" si="966">IF(AND($D1561="tak",OR($E1561="nie dotyczy",$E1561="badania przemysłowe"),K$1421&lt;=Koniec_Projekt),ROUND(K470*K512,0),0)</f>
        <v>0</v>
      </c>
      <c r="L1561" s="59">
        <f t="shared" si="966"/>
        <v>0</v>
      </c>
      <c r="M1561" s="59">
        <f t="shared" si="966"/>
        <v>0</v>
      </c>
      <c r="N1561" s="59">
        <f t="shared" si="966"/>
        <v>0</v>
      </c>
      <c r="O1561" s="59">
        <f t="shared" si="966"/>
        <v>0</v>
      </c>
      <c r="P1561" s="59">
        <f t="shared" si="966"/>
        <v>0</v>
      </c>
      <c r="Q1561" s="59">
        <f t="shared" si="966"/>
        <v>0</v>
      </c>
      <c r="R1561" s="59">
        <f t="shared" si="966"/>
        <v>0</v>
      </c>
      <c r="S1561" s="59">
        <f t="shared" si="966"/>
        <v>0</v>
      </c>
      <c r="T1561" s="59">
        <f t="shared" si="966"/>
        <v>0</v>
      </c>
      <c r="U1561" s="59">
        <f t="shared" si="966"/>
        <v>0</v>
      </c>
      <c r="V1561" s="59">
        <f t="shared" si="966"/>
        <v>0</v>
      </c>
      <c r="W1561" s="59">
        <f t="shared" si="966"/>
        <v>0</v>
      </c>
      <c r="X1561" s="59">
        <f t="shared" si="966"/>
        <v>0</v>
      </c>
    </row>
    <row r="1562" spans="2:24" hidden="1">
      <c r="B1562" s="58" t="str">
        <f t="shared" si="951"/>
        <v/>
      </c>
      <c r="C1562" s="58" t="str">
        <f t="shared" si="951"/>
        <v/>
      </c>
      <c r="D1562" s="58" t="str">
        <f t="shared" si="951"/>
        <v/>
      </c>
      <c r="E1562" s="58" t="str">
        <f t="shared" si="951"/>
        <v/>
      </c>
      <c r="F1562" s="58"/>
      <c r="G1562" s="58"/>
      <c r="H1562" s="58"/>
      <c r="I1562" s="58"/>
      <c r="J1562" s="58"/>
      <c r="K1562" s="59">
        <f t="shared" ref="K1562:X1562" si="967">IF(AND($D1562="tak",OR($E1562="nie dotyczy",$E1562="badania przemysłowe"),K$1421&lt;=Koniec_Projekt),ROUND(K471*K513,0),0)</f>
        <v>0</v>
      </c>
      <c r="L1562" s="59">
        <f t="shared" si="967"/>
        <v>0</v>
      </c>
      <c r="M1562" s="59">
        <f t="shared" si="967"/>
        <v>0</v>
      </c>
      <c r="N1562" s="59">
        <f t="shared" si="967"/>
        <v>0</v>
      </c>
      <c r="O1562" s="59">
        <f t="shared" si="967"/>
        <v>0</v>
      </c>
      <c r="P1562" s="59">
        <f t="shared" si="967"/>
        <v>0</v>
      </c>
      <c r="Q1562" s="59">
        <f t="shared" si="967"/>
        <v>0</v>
      </c>
      <c r="R1562" s="59">
        <f t="shared" si="967"/>
        <v>0</v>
      </c>
      <c r="S1562" s="59">
        <f t="shared" si="967"/>
        <v>0</v>
      </c>
      <c r="T1562" s="59">
        <f t="shared" si="967"/>
        <v>0</v>
      </c>
      <c r="U1562" s="59">
        <f t="shared" si="967"/>
        <v>0</v>
      </c>
      <c r="V1562" s="59">
        <f t="shared" si="967"/>
        <v>0</v>
      </c>
      <c r="W1562" s="59">
        <f t="shared" si="967"/>
        <v>0</v>
      </c>
      <c r="X1562" s="59">
        <f t="shared" si="967"/>
        <v>0</v>
      </c>
    </row>
    <row r="1563" spans="2:24" hidden="1">
      <c r="B1563" s="58" t="str">
        <f t="shared" si="951"/>
        <v/>
      </c>
      <c r="C1563" s="58" t="str">
        <f t="shared" si="951"/>
        <v/>
      </c>
      <c r="D1563" s="58" t="str">
        <f t="shared" si="951"/>
        <v/>
      </c>
      <c r="E1563" s="58" t="str">
        <f t="shared" si="951"/>
        <v/>
      </c>
      <c r="F1563" s="58"/>
      <c r="G1563" s="58"/>
      <c r="H1563" s="58"/>
      <c r="I1563" s="58"/>
      <c r="J1563" s="58"/>
      <c r="K1563" s="59">
        <f t="shared" ref="K1563:X1563" si="968">IF(AND($D1563="tak",OR($E1563="nie dotyczy",$E1563="badania przemysłowe"),K$1421&lt;=Koniec_Projekt),ROUND(K472*K514,0),0)</f>
        <v>0</v>
      </c>
      <c r="L1563" s="59">
        <f t="shared" si="968"/>
        <v>0</v>
      </c>
      <c r="M1563" s="59">
        <f t="shared" si="968"/>
        <v>0</v>
      </c>
      <c r="N1563" s="59">
        <f t="shared" si="968"/>
        <v>0</v>
      </c>
      <c r="O1563" s="59">
        <f t="shared" si="968"/>
        <v>0</v>
      </c>
      <c r="P1563" s="59">
        <f t="shared" si="968"/>
        <v>0</v>
      </c>
      <c r="Q1563" s="59">
        <f t="shared" si="968"/>
        <v>0</v>
      </c>
      <c r="R1563" s="59">
        <f t="shared" si="968"/>
        <v>0</v>
      </c>
      <c r="S1563" s="59">
        <f t="shared" si="968"/>
        <v>0</v>
      </c>
      <c r="T1563" s="59">
        <f t="shared" si="968"/>
        <v>0</v>
      </c>
      <c r="U1563" s="59">
        <f t="shared" si="968"/>
        <v>0</v>
      </c>
      <c r="V1563" s="59">
        <f t="shared" si="968"/>
        <v>0</v>
      </c>
      <c r="W1563" s="59">
        <f t="shared" si="968"/>
        <v>0</v>
      </c>
      <c r="X1563" s="59">
        <f t="shared" si="968"/>
        <v>0</v>
      </c>
    </row>
    <row r="1564" spans="2:24" hidden="1">
      <c r="B1564" s="58" t="str">
        <f t="shared" si="951"/>
        <v/>
      </c>
      <c r="C1564" s="58" t="str">
        <f t="shared" si="951"/>
        <v/>
      </c>
      <c r="D1564" s="58" t="str">
        <f t="shared" si="951"/>
        <v/>
      </c>
      <c r="E1564" s="58" t="str">
        <f t="shared" si="951"/>
        <v/>
      </c>
      <c r="F1564" s="58"/>
      <c r="G1564" s="58"/>
      <c r="H1564" s="58"/>
      <c r="I1564" s="58"/>
      <c r="J1564" s="58"/>
      <c r="K1564" s="59">
        <f t="shared" ref="K1564:X1564" si="969">IF(AND($D1564="tak",OR($E1564="nie dotyczy",$E1564="badania przemysłowe"),K$1421&lt;=Koniec_Projekt),ROUND(K473*K515,0),0)</f>
        <v>0</v>
      </c>
      <c r="L1564" s="59">
        <f t="shared" si="969"/>
        <v>0</v>
      </c>
      <c r="M1564" s="59">
        <f t="shared" si="969"/>
        <v>0</v>
      </c>
      <c r="N1564" s="59">
        <f t="shared" si="969"/>
        <v>0</v>
      </c>
      <c r="O1564" s="59">
        <f t="shared" si="969"/>
        <v>0</v>
      </c>
      <c r="P1564" s="59">
        <f t="shared" si="969"/>
        <v>0</v>
      </c>
      <c r="Q1564" s="59">
        <f t="shared" si="969"/>
        <v>0</v>
      </c>
      <c r="R1564" s="59">
        <f t="shared" si="969"/>
        <v>0</v>
      </c>
      <c r="S1564" s="59">
        <f t="shared" si="969"/>
        <v>0</v>
      </c>
      <c r="T1564" s="59">
        <f t="shared" si="969"/>
        <v>0</v>
      </c>
      <c r="U1564" s="59">
        <f t="shared" si="969"/>
        <v>0</v>
      </c>
      <c r="V1564" s="59">
        <f t="shared" si="969"/>
        <v>0</v>
      </c>
      <c r="W1564" s="59">
        <f t="shared" si="969"/>
        <v>0</v>
      </c>
      <c r="X1564" s="59">
        <f t="shared" si="969"/>
        <v>0</v>
      </c>
    </row>
    <row r="1565" spans="2:24" hidden="1">
      <c r="B1565" s="58" t="str">
        <f t="shared" si="951"/>
        <v/>
      </c>
      <c r="C1565" s="58" t="str">
        <f t="shared" si="951"/>
        <v/>
      </c>
      <c r="D1565" s="58" t="str">
        <f t="shared" si="951"/>
        <v/>
      </c>
      <c r="E1565" s="58" t="str">
        <f t="shared" si="951"/>
        <v/>
      </c>
      <c r="F1565" s="58"/>
      <c r="G1565" s="58"/>
      <c r="H1565" s="58"/>
      <c r="I1565" s="58"/>
      <c r="J1565" s="58"/>
      <c r="K1565" s="59">
        <f t="shared" ref="K1565:X1565" si="970">IF(AND($D1565="tak",OR($E1565="nie dotyczy",$E1565="badania przemysłowe"),K$1421&lt;=Koniec_Projekt),ROUND(K474*K516,0),0)</f>
        <v>0</v>
      </c>
      <c r="L1565" s="59">
        <f t="shared" si="970"/>
        <v>0</v>
      </c>
      <c r="M1565" s="59">
        <f t="shared" si="970"/>
        <v>0</v>
      </c>
      <c r="N1565" s="59">
        <f t="shared" si="970"/>
        <v>0</v>
      </c>
      <c r="O1565" s="59">
        <f t="shared" si="970"/>
        <v>0</v>
      </c>
      <c r="P1565" s="59">
        <f t="shared" si="970"/>
        <v>0</v>
      </c>
      <c r="Q1565" s="59">
        <f t="shared" si="970"/>
        <v>0</v>
      </c>
      <c r="R1565" s="59">
        <f t="shared" si="970"/>
        <v>0</v>
      </c>
      <c r="S1565" s="59">
        <f t="shared" si="970"/>
        <v>0</v>
      </c>
      <c r="T1565" s="59">
        <f t="shared" si="970"/>
        <v>0</v>
      </c>
      <c r="U1565" s="59">
        <f t="shared" si="970"/>
        <v>0</v>
      </c>
      <c r="V1565" s="59">
        <f t="shared" si="970"/>
        <v>0</v>
      </c>
      <c r="W1565" s="59">
        <f t="shared" si="970"/>
        <v>0</v>
      </c>
      <c r="X1565" s="59">
        <f t="shared" si="970"/>
        <v>0</v>
      </c>
    </row>
    <row r="1566" spans="2:24" hidden="1">
      <c r="B1566" s="58" t="str">
        <f t="shared" si="951"/>
        <v/>
      </c>
      <c r="C1566" s="58" t="str">
        <f t="shared" si="951"/>
        <v/>
      </c>
      <c r="D1566" s="58" t="str">
        <f t="shared" si="951"/>
        <v/>
      </c>
      <c r="E1566" s="58" t="str">
        <f t="shared" si="951"/>
        <v/>
      </c>
      <c r="F1566" s="58"/>
      <c r="G1566" s="58"/>
      <c r="H1566" s="58"/>
      <c r="I1566" s="58"/>
      <c r="J1566" s="58"/>
      <c r="K1566" s="59">
        <f t="shared" ref="K1566:X1566" si="971">IF(AND($D1566="tak",OR($E1566="nie dotyczy",$E1566="badania przemysłowe"),K$1421&lt;=Koniec_Projekt),ROUND(K475*K517,0),0)</f>
        <v>0</v>
      </c>
      <c r="L1566" s="59">
        <f t="shared" si="971"/>
        <v>0</v>
      </c>
      <c r="M1566" s="59">
        <f t="shared" si="971"/>
        <v>0</v>
      </c>
      <c r="N1566" s="59">
        <f t="shared" si="971"/>
        <v>0</v>
      </c>
      <c r="O1566" s="59">
        <f t="shared" si="971"/>
        <v>0</v>
      </c>
      <c r="P1566" s="59">
        <f t="shared" si="971"/>
        <v>0</v>
      </c>
      <c r="Q1566" s="59">
        <f t="shared" si="971"/>
        <v>0</v>
      </c>
      <c r="R1566" s="59">
        <f t="shared" si="971"/>
        <v>0</v>
      </c>
      <c r="S1566" s="59">
        <f t="shared" si="971"/>
        <v>0</v>
      </c>
      <c r="T1566" s="59">
        <f t="shared" si="971"/>
        <v>0</v>
      </c>
      <c r="U1566" s="59">
        <f t="shared" si="971"/>
        <v>0</v>
      </c>
      <c r="V1566" s="59">
        <f t="shared" si="971"/>
        <v>0</v>
      </c>
      <c r="W1566" s="59">
        <f t="shared" si="971"/>
        <v>0</v>
      </c>
      <c r="X1566" s="59">
        <f t="shared" si="971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2">ROUND(SUM(K1527:K1566),0)</f>
        <v>0</v>
      </c>
      <c r="L1567" s="60">
        <f t="shared" si="972"/>
        <v>0</v>
      </c>
      <c r="M1567" s="60">
        <f t="shared" si="972"/>
        <v>0</v>
      </c>
      <c r="N1567" s="60">
        <f t="shared" si="972"/>
        <v>0</v>
      </c>
      <c r="O1567" s="60">
        <f t="shared" si="972"/>
        <v>0</v>
      </c>
      <c r="P1567" s="60">
        <f t="shared" si="972"/>
        <v>0</v>
      </c>
      <c r="Q1567" s="60">
        <f t="shared" si="972"/>
        <v>0</v>
      </c>
      <c r="R1567" s="60">
        <f t="shared" si="972"/>
        <v>0</v>
      </c>
      <c r="S1567" s="60">
        <f t="shared" si="972"/>
        <v>0</v>
      </c>
      <c r="T1567" s="60">
        <f t="shared" si="972"/>
        <v>0</v>
      </c>
      <c r="U1567" s="60">
        <f t="shared" si="972"/>
        <v>0</v>
      </c>
      <c r="V1567" s="60">
        <f t="shared" si="972"/>
        <v>0</v>
      </c>
      <c r="W1567" s="60">
        <f t="shared" si="972"/>
        <v>0</v>
      </c>
      <c r="X1567" s="60">
        <f t="shared" si="972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3">IF(ISBLANK(B1331),"",B1331)</f>
        <v/>
      </c>
      <c r="C1571" s="58" t="str">
        <f t="shared" si="973"/>
        <v/>
      </c>
      <c r="D1571" s="58" t="str">
        <f t="shared" si="973"/>
        <v/>
      </c>
      <c r="E1571" s="58" t="str">
        <f t="shared" si="973"/>
        <v/>
      </c>
      <c r="F1571" s="58"/>
      <c r="G1571" s="58"/>
      <c r="H1571" s="58"/>
      <c r="I1571" s="58"/>
      <c r="J1571" s="58"/>
      <c r="K1571" s="59">
        <f t="shared" ref="K1571:X1571" si="974">IF(AND($D1571="tak",OR($E1571="nie dotyczy",$E1571="badania przemysłowe"),K$1421&lt;=Koniec_Projekt),ROUND(K521*K553,0),0)</f>
        <v>0</v>
      </c>
      <c r="L1571" s="59">
        <f t="shared" si="974"/>
        <v>0</v>
      </c>
      <c r="M1571" s="59">
        <f t="shared" si="974"/>
        <v>0</v>
      </c>
      <c r="N1571" s="59">
        <f t="shared" si="974"/>
        <v>0</v>
      </c>
      <c r="O1571" s="59">
        <f t="shared" si="974"/>
        <v>0</v>
      </c>
      <c r="P1571" s="59">
        <f t="shared" si="974"/>
        <v>0</v>
      </c>
      <c r="Q1571" s="59">
        <f t="shared" si="974"/>
        <v>0</v>
      </c>
      <c r="R1571" s="59">
        <f t="shared" si="974"/>
        <v>0</v>
      </c>
      <c r="S1571" s="59">
        <f t="shared" si="974"/>
        <v>0</v>
      </c>
      <c r="T1571" s="59">
        <f t="shared" si="974"/>
        <v>0</v>
      </c>
      <c r="U1571" s="59">
        <f t="shared" si="974"/>
        <v>0</v>
      </c>
      <c r="V1571" s="59">
        <f t="shared" si="974"/>
        <v>0</v>
      </c>
      <c r="W1571" s="59">
        <f t="shared" si="974"/>
        <v>0</v>
      </c>
      <c r="X1571" s="59">
        <f t="shared" si="974"/>
        <v>0</v>
      </c>
    </row>
    <row r="1572" spans="2:24" hidden="1">
      <c r="B1572" s="58" t="str">
        <f t="shared" si="973"/>
        <v/>
      </c>
      <c r="C1572" s="58" t="str">
        <f t="shared" si="973"/>
        <v/>
      </c>
      <c r="D1572" s="58" t="str">
        <f t="shared" si="973"/>
        <v/>
      </c>
      <c r="E1572" s="58" t="str">
        <f t="shared" si="973"/>
        <v/>
      </c>
      <c r="F1572" s="58"/>
      <c r="G1572" s="58"/>
      <c r="H1572" s="58"/>
      <c r="I1572" s="58"/>
      <c r="J1572" s="58"/>
      <c r="K1572" s="59">
        <f t="shared" ref="K1572:X1572" si="975">IF(AND($D1572="tak",OR($E1572="nie dotyczy",$E1572="badania przemysłowe"),K$1421&lt;=Koniec_Projekt),ROUND(K522*K554,0),0)</f>
        <v>0</v>
      </c>
      <c r="L1572" s="59">
        <f t="shared" si="975"/>
        <v>0</v>
      </c>
      <c r="M1572" s="59">
        <f t="shared" si="975"/>
        <v>0</v>
      </c>
      <c r="N1572" s="59">
        <f t="shared" si="975"/>
        <v>0</v>
      </c>
      <c r="O1572" s="59">
        <f t="shared" si="975"/>
        <v>0</v>
      </c>
      <c r="P1572" s="59">
        <f t="shared" si="975"/>
        <v>0</v>
      </c>
      <c r="Q1572" s="59">
        <f t="shared" si="975"/>
        <v>0</v>
      </c>
      <c r="R1572" s="59">
        <f t="shared" si="975"/>
        <v>0</v>
      </c>
      <c r="S1572" s="59">
        <f t="shared" si="975"/>
        <v>0</v>
      </c>
      <c r="T1572" s="59">
        <f t="shared" si="975"/>
        <v>0</v>
      </c>
      <c r="U1572" s="59">
        <f t="shared" si="975"/>
        <v>0</v>
      </c>
      <c r="V1572" s="59">
        <f t="shared" si="975"/>
        <v>0</v>
      </c>
      <c r="W1572" s="59">
        <f t="shared" si="975"/>
        <v>0</v>
      </c>
      <c r="X1572" s="59">
        <f t="shared" si="975"/>
        <v>0</v>
      </c>
    </row>
    <row r="1573" spans="2:24" hidden="1">
      <c r="B1573" s="58" t="str">
        <f t="shared" si="973"/>
        <v/>
      </c>
      <c r="C1573" s="58" t="str">
        <f t="shared" si="973"/>
        <v/>
      </c>
      <c r="D1573" s="58" t="str">
        <f t="shared" si="973"/>
        <v/>
      </c>
      <c r="E1573" s="58" t="str">
        <f t="shared" si="973"/>
        <v/>
      </c>
      <c r="F1573" s="58"/>
      <c r="G1573" s="58"/>
      <c r="H1573" s="58"/>
      <c r="I1573" s="58"/>
      <c r="J1573" s="58"/>
      <c r="K1573" s="59">
        <f t="shared" ref="K1573:X1573" si="976">IF(AND($D1573="tak",OR($E1573="nie dotyczy",$E1573="badania przemysłowe"),K$1421&lt;=Koniec_Projekt),ROUND(K523*K555,0),0)</f>
        <v>0</v>
      </c>
      <c r="L1573" s="59">
        <f t="shared" si="976"/>
        <v>0</v>
      </c>
      <c r="M1573" s="59">
        <f t="shared" si="976"/>
        <v>0</v>
      </c>
      <c r="N1573" s="59">
        <f t="shared" si="976"/>
        <v>0</v>
      </c>
      <c r="O1573" s="59">
        <f t="shared" si="976"/>
        <v>0</v>
      </c>
      <c r="P1573" s="59">
        <f t="shared" si="976"/>
        <v>0</v>
      </c>
      <c r="Q1573" s="59">
        <f t="shared" si="976"/>
        <v>0</v>
      </c>
      <c r="R1573" s="59">
        <f t="shared" si="976"/>
        <v>0</v>
      </c>
      <c r="S1573" s="59">
        <f t="shared" si="976"/>
        <v>0</v>
      </c>
      <c r="T1573" s="59">
        <f t="shared" si="976"/>
        <v>0</v>
      </c>
      <c r="U1573" s="59">
        <f t="shared" si="976"/>
        <v>0</v>
      </c>
      <c r="V1573" s="59">
        <f t="shared" si="976"/>
        <v>0</v>
      </c>
      <c r="W1573" s="59">
        <f t="shared" si="976"/>
        <v>0</v>
      </c>
      <c r="X1573" s="59">
        <f t="shared" si="976"/>
        <v>0</v>
      </c>
    </row>
    <row r="1574" spans="2:24" hidden="1">
      <c r="B1574" s="58" t="str">
        <f t="shared" si="973"/>
        <v/>
      </c>
      <c r="C1574" s="58" t="str">
        <f t="shared" si="973"/>
        <v/>
      </c>
      <c r="D1574" s="58" t="str">
        <f t="shared" si="973"/>
        <v/>
      </c>
      <c r="E1574" s="58" t="str">
        <f t="shared" si="973"/>
        <v/>
      </c>
      <c r="F1574" s="58"/>
      <c r="G1574" s="58"/>
      <c r="H1574" s="58"/>
      <c r="I1574" s="58"/>
      <c r="J1574" s="58"/>
      <c r="K1574" s="59">
        <f t="shared" ref="K1574:X1574" si="977">IF(AND($D1574="tak",OR($E1574="nie dotyczy",$E1574="badania przemysłowe"),K$1421&lt;=Koniec_Projekt),ROUND(K524*K556,0),0)</f>
        <v>0</v>
      </c>
      <c r="L1574" s="59">
        <f t="shared" si="977"/>
        <v>0</v>
      </c>
      <c r="M1574" s="59">
        <f t="shared" si="977"/>
        <v>0</v>
      </c>
      <c r="N1574" s="59">
        <f t="shared" si="977"/>
        <v>0</v>
      </c>
      <c r="O1574" s="59">
        <f t="shared" si="977"/>
        <v>0</v>
      </c>
      <c r="P1574" s="59">
        <f t="shared" si="977"/>
        <v>0</v>
      </c>
      <c r="Q1574" s="59">
        <f t="shared" si="977"/>
        <v>0</v>
      </c>
      <c r="R1574" s="59">
        <f t="shared" si="977"/>
        <v>0</v>
      </c>
      <c r="S1574" s="59">
        <f t="shared" si="977"/>
        <v>0</v>
      </c>
      <c r="T1574" s="59">
        <f t="shared" si="977"/>
        <v>0</v>
      </c>
      <c r="U1574" s="59">
        <f t="shared" si="977"/>
        <v>0</v>
      </c>
      <c r="V1574" s="59">
        <f t="shared" si="977"/>
        <v>0</v>
      </c>
      <c r="W1574" s="59">
        <f t="shared" si="977"/>
        <v>0</v>
      </c>
      <c r="X1574" s="59">
        <f t="shared" si="977"/>
        <v>0</v>
      </c>
    </row>
    <row r="1575" spans="2:24" hidden="1">
      <c r="B1575" s="58" t="str">
        <f t="shared" si="973"/>
        <v/>
      </c>
      <c r="C1575" s="58" t="str">
        <f t="shared" si="973"/>
        <v/>
      </c>
      <c r="D1575" s="58" t="str">
        <f t="shared" si="973"/>
        <v/>
      </c>
      <c r="E1575" s="58" t="str">
        <f t="shared" si="973"/>
        <v/>
      </c>
      <c r="F1575" s="58"/>
      <c r="G1575" s="58"/>
      <c r="H1575" s="58"/>
      <c r="I1575" s="58"/>
      <c r="J1575" s="58"/>
      <c r="K1575" s="59">
        <f t="shared" ref="K1575:X1575" si="978">IF(AND($D1575="tak",OR($E1575="nie dotyczy",$E1575="badania przemysłowe"),K$1421&lt;=Koniec_Projekt),ROUND(K525*K557,0),0)</f>
        <v>0</v>
      </c>
      <c r="L1575" s="59">
        <f t="shared" si="978"/>
        <v>0</v>
      </c>
      <c r="M1575" s="59">
        <f t="shared" si="978"/>
        <v>0</v>
      </c>
      <c r="N1575" s="59">
        <f t="shared" si="978"/>
        <v>0</v>
      </c>
      <c r="O1575" s="59">
        <f t="shared" si="978"/>
        <v>0</v>
      </c>
      <c r="P1575" s="59">
        <f t="shared" si="978"/>
        <v>0</v>
      </c>
      <c r="Q1575" s="59">
        <f t="shared" si="978"/>
        <v>0</v>
      </c>
      <c r="R1575" s="59">
        <f t="shared" si="978"/>
        <v>0</v>
      </c>
      <c r="S1575" s="59">
        <f t="shared" si="978"/>
        <v>0</v>
      </c>
      <c r="T1575" s="59">
        <f t="shared" si="978"/>
        <v>0</v>
      </c>
      <c r="U1575" s="59">
        <f t="shared" si="978"/>
        <v>0</v>
      </c>
      <c r="V1575" s="59">
        <f t="shared" si="978"/>
        <v>0</v>
      </c>
      <c r="W1575" s="59">
        <f t="shared" si="978"/>
        <v>0</v>
      </c>
      <c r="X1575" s="59">
        <f t="shared" si="978"/>
        <v>0</v>
      </c>
    </row>
    <row r="1576" spans="2:24" hidden="1">
      <c r="B1576" s="58" t="str">
        <f t="shared" si="973"/>
        <v/>
      </c>
      <c r="C1576" s="58" t="str">
        <f t="shared" si="973"/>
        <v/>
      </c>
      <c r="D1576" s="58" t="str">
        <f t="shared" si="973"/>
        <v/>
      </c>
      <c r="E1576" s="58" t="str">
        <f t="shared" si="973"/>
        <v/>
      </c>
      <c r="F1576" s="58"/>
      <c r="G1576" s="58"/>
      <c r="H1576" s="58"/>
      <c r="I1576" s="58"/>
      <c r="J1576" s="58"/>
      <c r="K1576" s="59">
        <f t="shared" ref="K1576:X1576" si="979">IF(AND($D1576="tak",OR($E1576="nie dotyczy",$E1576="badania przemysłowe"),K$1421&lt;=Koniec_Projekt),ROUND(K526*K558,0),0)</f>
        <v>0</v>
      </c>
      <c r="L1576" s="59">
        <f t="shared" si="979"/>
        <v>0</v>
      </c>
      <c r="M1576" s="59">
        <f t="shared" si="979"/>
        <v>0</v>
      </c>
      <c r="N1576" s="59">
        <f t="shared" si="979"/>
        <v>0</v>
      </c>
      <c r="O1576" s="59">
        <f t="shared" si="979"/>
        <v>0</v>
      </c>
      <c r="P1576" s="59">
        <f t="shared" si="979"/>
        <v>0</v>
      </c>
      <c r="Q1576" s="59">
        <f t="shared" si="979"/>
        <v>0</v>
      </c>
      <c r="R1576" s="59">
        <f t="shared" si="979"/>
        <v>0</v>
      </c>
      <c r="S1576" s="59">
        <f t="shared" si="979"/>
        <v>0</v>
      </c>
      <c r="T1576" s="59">
        <f t="shared" si="979"/>
        <v>0</v>
      </c>
      <c r="U1576" s="59">
        <f t="shared" si="979"/>
        <v>0</v>
      </c>
      <c r="V1576" s="59">
        <f t="shared" si="979"/>
        <v>0</v>
      </c>
      <c r="W1576" s="59">
        <f t="shared" si="979"/>
        <v>0</v>
      </c>
      <c r="X1576" s="59">
        <f t="shared" si="979"/>
        <v>0</v>
      </c>
    </row>
    <row r="1577" spans="2:24" hidden="1">
      <c r="B1577" s="58" t="str">
        <f t="shared" si="973"/>
        <v/>
      </c>
      <c r="C1577" s="58" t="str">
        <f t="shared" si="973"/>
        <v/>
      </c>
      <c r="D1577" s="58" t="str">
        <f t="shared" si="973"/>
        <v/>
      </c>
      <c r="E1577" s="58" t="str">
        <f t="shared" si="973"/>
        <v/>
      </c>
      <c r="F1577" s="58"/>
      <c r="G1577" s="58"/>
      <c r="H1577" s="58"/>
      <c r="I1577" s="58"/>
      <c r="J1577" s="58"/>
      <c r="K1577" s="59">
        <f t="shared" ref="K1577:X1577" si="980">IF(AND($D1577="tak",OR($E1577="nie dotyczy",$E1577="badania przemysłowe"),K$1421&lt;=Koniec_Projekt),ROUND(K527*K559,0),0)</f>
        <v>0</v>
      </c>
      <c r="L1577" s="59">
        <f t="shared" si="980"/>
        <v>0</v>
      </c>
      <c r="M1577" s="59">
        <f t="shared" si="980"/>
        <v>0</v>
      </c>
      <c r="N1577" s="59">
        <f t="shared" si="980"/>
        <v>0</v>
      </c>
      <c r="O1577" s="59">
        <f t="shared" si="980"/>
        <v>0</v>
      </c>
      <c r="P1577" s="59">
        <f t="shared" si="980"/>
        <v>0</v>
      </c>
      <c r="Q1577" s="59">
        <f t="shared" si="980"/>
        <v>0</v>
      </c>
      <c r="R1577" s="59">
        <f t="shared" si="980"/>
        <v>0</v>
      </c>
      <c r="S1577" s="59">
        <f t="shared" si="980"/>
        <v>0</v>
      </c>
      <c r="T1577" s="59">
        <f t="shared" si="980"/>
        <v>0</v>
      </c>
      <c r="U1577" s="59">
        <f t="shared" si="980"/>
        <v>0</v>
      </c>
      <c r="V1577" s="59">
        <f t="shared" si="980"/>
        <v>0</v>
      </c>
      <c r="W1577" s="59">
        <f t="shared" si="980"/>
        <v>0</v>
      </c>
      <c r="X1577" s="59">
        <f t="shared" si="980"/>
        <v>0</v>
      </c>
    </row>
    <row r="1578" spans="2:24" hidden="1">
      <c r="B1578" s="58" t="str">
        <f t="shared" si="973"/>
        <v/>
      </c>
      <c r="C1578" s="58" t="str">
        <f t="shared" si="973"/>
        <v/>
      </c>
      <c r="D1578" s="58" t="str">
        <f t="shared" si="973"/>
        <v/>
      </c>
      <c r="E1578" s="58" t="str">
        <f t="shared" si="973"/>
        <v/>
      </c>
      <c r="F1578" s="58"/>
      <c r="G1578" s="58"/>
      <c r="H1578" s="58"/>
      <c r="I1578" s="58"/>
      <c r="J1578" s="58"/>
      <c r="K1578" s="59">
        <f t="shared" ref="K1578:X1578" si="981">IF(AND($D1578="tak",OR($E1578="nie dotyczy",$E1578="badania przemysłowe"),K$1421&lt;=Koniec_Projekt),ROUND(K528*K560,0),0)</f>
        <v>0</v>
      </c>
      <c r="L1578" s="59">
        <f t="shared" si="981"/>
        <v>0</v>
      </c>
      <c r="M1578" s="59">
        <f t="shared" si="981"/>
        <v>0</v>
      </c>
      <c r="N1578" s="59">
        <f t="shared" si="981"/>
        <v>0</v>
      </c>
      <c r="O1578" s="59">
        <f t="shared" si="981"/>
        <v>0</v>
      </c>
      <c r="P1578" s="59">
        <f t="shared" si="981"/>
        <v>0</v>
      </c>
      <c r="Q1578" s="59">
        <f t="shared" si="981"/>
        <v>0</v>
      </c>
      <c r="R1578" s="59">
        <f t="shared" si="981"/>
        <v>0</v>
      </c>
      <c r="S1578" s="59">
        <f t="shared" si="981"/>
        <v>0</v>
      </c>
      <c r="T1578" s="59">
        <f t="shared" si="981"/>
        <v>0</v>
      </c>
      <c r="U1578" s="59">
        <f t="shared" si="981"/>
        <v>0</v>
      </c>
      <c r="V1578" s="59">
        <f t="shared" si="981"/>
        <v>0</v>
      </c>
      <c r="W1578" s="59">
        <f t="shared" si="981"/>
        <v>0</v>
      </c>
      <c r="X1578" s="59">
        <f t="shared" si="981"/>
        <v>0</v>
      </c>
    </row>
    <row r="1579" spans="2:24" hidden="1">
      <c r="B1579" s="58" t="str">
        <f t="shared" si="973"/>
        <v/>
      </c>
      <c r="C1579" s="58" t="str">
        <f t="shared" si="973"/>
        <v/>
      </c>
      <c r="D1579" s="58" t="str">
        <f t="shared" si="973"/>
        <v/>
      </c>
      <c r="E1579" s="58" t="str">
        <f t="shared" si="973"/>
        <v/>
      </c>
      <c r="F1579" s="58"/>
      <c r="G1579" s="58"/>
      <c r="H1579" s="58"/>
      <c r="I1579" s="58"/>
      <c r="J1579" s="58"/>
      <c r="K1579" s="59">
        <f t="shared" ref="K1579:X1579" si="982">IF(AND($D1579="tak",OR($E1579="nie dotyczy",$E1579="badania przemysłowe"),K$1421&lt;=Koniec_Projekt),ROUND(K529*K561,0),0)</f>
        <v>0</v>
      </c>
      <c r="L1579" s="59">
        <f t="shared" si="982"/>
        <v>0</v>
      </c>
      <c r="M1579" s="59">
        <f t="shared" si="982"/>
        <v>0</v>
      </c>
      <c r="N1579" s="59">
        <f t="shared" si="982"/>
        <v>0</v>
      </c>
      <c r="O1579" s="59">
        <f t="shared" si="982"/>
        <v>0</v>
      </c>
      <c r="P1579" s="59">
        <f t="shared" si="982"/>
        <v>0</v>
      </c>
      <c r="Q1579" s="59">
        <f t="shared" si="982"/>
        <v>0</v>
      </c>
      <c r="R1579" s="59">
        <f t="shared" si="982"/>
        <v>0</v>
      </c>
      <c r="S1579" s="59">
        <f t="shared" si="982"/>
        <v>0</v>
      </c>
      <c r="T1579" s="59">
        <f t="shared" si="982"/>
        <v>0</v>
      </c>
      <c r="U1579" s="59">
        <f t="shared" si="982"/>
        <v>0</v>
      </c>
      <c r="V1579" s="59">
        <f t="shared" si="982"/>
        <v>0</v>
      </c>
      <c r="W1579" s="59">
        <f t="shared" si="982"/>
        <v>0</v>
      </c>
      <c r="X1579" s="59">
        <f t="shared" si="982"/>
        <v>0</v>
      </c>
    </row>
    <row r="1580" spans="2:24" hidden="1">
      <c r="B1580" s="58" t="str">
        <f t="shared" si="973"/>
        <v/>
      </c>
      <c r="C1580" s="58" t="str">
        <f t="shared" si="973"/>
        <v/>
      </c>
      <c r="D1580" s="58" t="str">
        <f t="shared" si="973"/>
        <v/>
      </c>
      <c r="E1580" s="58" t="str">
        <f t="shared" si="973"/>
        <v/>
      </c>
      <c r="F1580" s="58"/>
      <c r="G1580" s="58"/>
      <c r="H1580" s="58"/>
      <c r="I1580" s="58"/>
      <c r="J1580" s="58"/>
      <c r="K1580" s="59">
        <f t="shared" ref="K1580:X1580" si="983">IF(AND($D1580="tak",OR($E1580="nie dotyczy",$E1580="badania przemysłowe"),K$1421&lt;=Koniec_Projekt),ROUND(K530*K562,0),0)</f>
        <v>0</v>
      </c>
      <c r="L1580" s="59">
        <f t="shared" si="983"/>
        <v>0</v>
      </c>
      <c r="M1580" s="59">
        <f t="shared" si="983"/>
        <v>0</v>
      </c>
      <c r="N1580" s="59">
        <f t="shared" si="983"/>
        <v>0</v>
      </c>
      <c r="O1580" s="59">
        <f t="shared" si="983"/>
        <v>0</v>
      </c>
      <c r="P1580" s="59">
        <f t="shared" si="983"/>
        <v>0</v>
      </c>
      <c r="Q1580" s="59">
        <f t="shared" si="983"/>
        <v>0</v>
      </c>
      <c r="R1580" s="59">
        <f t="shared" si="983"/>
        <v>0</v>
      </c>
      <c r="S1580" s="59">
        <f t="shared" si="983"/>
        <v>0</v>
      </c>
      <c r="T1580" s="59">
        <f t="shared" si="983"/>
        <v>0</v>
      </c>
      <c r="U1580" s="59">
        <f t="shared" si="983"/>
        <v>0</v>
      </c>
      <c r="V1580" s="59">
        <f t="shared" si="983"/>
        <v>0</v>
      </c>
      <c r="W1580" s="59">
        <f t="shared" si="983"/>
        <v>0</v>
      </c>
      <c r="X1580" s="59">
        <f t="shared" si="983"/>
        <v>0</v>
      </c>
    </row>
    <row r="1581" spans="2:24" hidden="1">
      <c r="B1581" s="58" t="str">
        <f t="shared" si="973"/>
        <v/>
      </c>
      <c r="C1581" s="58" t="str">
        <f t="shared" si="973"/>
        <v/>
      </c>
      <c r="D1581" s="58" t="str">
        <f t="shared" si="973"/>
        <v/>
      </c>
      <c r="E1581" s="58" t="str">
        <f t="shared" si="973"/>
        <v/>
      </c>
      <c r="F1581" s="58"/>
      <c r="G1581" s="58"/>
      <c r="H1581" s="58"/>
      <c r="I1581" s="58"/>
      <c r="J1581" s="58"/>
      <c r="K1581" s="59">
        <f t="shared" ref="K1581:X1581" si="984">IF(AND($D1581="tak",OR($E1581="nie dotyczy",$E1581="badania przemysłowe"),K$1421&lt;=Koniec_Projekt),ROUND(K531*K563,0),0)</f>
        <v>0</v>
      </c>
      <c r="L1581" s="59">
        <f t="shared" si="984"/>
        <v>0</v>
      </c>
      <c r="M1581" s="59">
        <f t="shared" si="984"/>
        <v>0</v>
      </c>
      <c r="N1581" s="59">
        <f t="shared" si="984"/>
        <v>0</v>
      </c>
      <c r="O1581" s="59">
        <f t="shared" si="984"/>
        <v>0</v>
      </c>
      <c r="P1581" s="59">
        <f t="shared" si="984"/>
        <v>0</v>
      </c>
      <c r="Q1581" s="59">
        <f t="shared" si="984"/>
        <v>0</v>
      </c>
      <c r="R1581" s="59">
        <f t="shared" si="984"/>
        <v>0</v>
      </c>
      <c r="S1581" s="59">
        <f t="shared" si="984"/>
        <v>0</v>
      </c>
      <c r="T1581" s="59">
        <f t="shared" si="984"/>
        <v>0</v>
      </c>
      <c r="U1581" s="59">
        <f t="shared" si="984"/>
        <v>0</v>
      </c>
      <c r="V1581" s="59">
        <f t="shared" si="984"/>
        <v>0</v>
      </c>
      <c r="W1581" s="59">
        <f t="shared" si="984"/>
        <v>0</v>
      </c>
      <c r="X1581" s="59">
        <f t="shared" si="984"/>
        <v>0</v>
      </c>
    </row>
    <row r="1582" spans="2:24" hidden="1">
      <c r="B1582" s="58" t="str">
        <f t="shared" si="973"/>
        <v/>
      </c>
      <c r="C1582" s="58" t="str">
        <f t="shared" si="973"/>
        <v/>
      </c>
      <c r="D1582" s="58" t="str">
        <f t="shared" si="973"/>
        <v/>
      </c>
      <c r="E1582" s="58" t="str">
        <f t="shared" si="973"/>
        <v/>
      </c>
      <c r="F1582" s="58"/>
      <c r="G1582" s="58"/>
      <c r="H1582" s="58"/>
      <c r="I1582" s="58"/>
      <c r="J1582" s="58"/>
      <c r="K1582" s="59">
        <f t="shared" ref="K1582:X1582" si="985">IF(AND($D1582="tak",OR($E1582="nie dotyczy",$E1582="badania przemysłowe"),K$1421&lt;=Koniec_Projekt),ROUND(K532*K564,0),0)</f>
        <v>0</v>
      </c>
      <c r="L1582" s="59">
        <f t="shared" si="985"/>
        <v>0</v>
      </c>
      <c r="M1582" s="59">
        <f t="shared" si="985"/>
        <v>0</v>
      </c>
      <c r="N1582" s="59">
        <f t="shared" si="985"/>
        <v>0</v>
      </c>
      <c r="O1582" s="59">
        <f t="shared" si="985"/>
        <v>0</v>
      </c>
      <c r="P1582" s="59">
        <f t="shared" si="985"/>
        <v>0</v>
      </c>
      <c r="Q1582" s="59">
        <f t="shared" si="985"/>
        <v>0</v>
      </c>
      <c r="R1582" s="59">
        <f t="shared" si="985"/>
        <v>0</v>
      </c>
      <c r="S1582" s="59">
        <f t="shared" si="985"/>
        <v>0</v>
      </c>
      <c r="T1582" s="59">
        <f t="shared" si="985"/>
        <v>0</v>
      </c>
      <c r="U1582" s="59">
        <f t="shared" si="985"/>
        <v>0</v>
      </c>
      <c r="V1582" s="59">
        <f t="shared" si="985"/>
        <v>0</v>
      </c>
      <c r="W1582" s="59">
        <f t="shared" si="985"/>
        <v>0</v>
      </c>
      <c r="X1582" s="59">
        <f t="shared" si="985"/>
        <v>0</v>
      </c>
    </row>
    <row r="1583" spans="2:24" hidden="1">
      <c r="B1583" s="58" t="str">
        <f t="shared" si="973"/>
        <v/>
      </c>
      <c r="C1583" s="58" t="str">
        <f t="shared" si="973"/>
        <v/>
      </c>
      <c r="D1583" s="58" t="str">
        <f t="shared" si="973"/>
        <v/>
      </c>
      <c r="E1583" s="58" t="str">
        <f t="shared" si="973"/>
        <v/>
      </c>
      <c r="F1583" s="58"/>
      <c r="G1583" s="58"/>
      <c r="H1583" s="58"/>
      <c r="I1583" s="58"/>
      <c r="J1583" s="58"/>
      <c r="K1583" s="59">
        <f t="shared" ref="K1583:X1583" si="986">IF(AND($D1583="tak",OR($E1583="nie dotyczy",$E1583="badania przemysłowe"),K$1421&lt;=Koniec_Projekt),ROUND(K533*K565,0),0)</f>
        <v>0</v>
      </c>
      <c r="L1583" s="59">
        <f t="shared" si="986"/>
        <v>0</v>
      </c>
      <c r="M1583" s="59">
        <f t="shared" si="986"/>
        <v>0</v>
      </c>
      <c r="N1583" s="59">
        <f t="shared" si="986"/>
        <v>0</v>
      </c>
      <c r="O1583" s="59">
        <f t="shared" si="986"/>
        <v>0</v>
      </c>
      <c r="P1583" s="59">
        <f t="shared" si="986"/>
        <v>0</v>
      </c>
      <c r="Q1583" s="59">
        <f t="shared" si="986"/>
        <v>0</v>
      </c>
      <c r="R1583" s="59">
        <f t="shared" si="986"/>
        <v>0</v>
      </c>
      <c r="S1583" s="59">
        <f t="shared" si="986"/>
        <v>0</v>
      </c>
      <c r="T1583" s="59">
        <f t="shared" si="986"/>
        <v>0</v>
      </c>
      <c r="U1583" s="59">
        <f t="shared" si="986"/>
        <v>0</v>
      </c>
      <c r="V1583" s="59">
        <f t="shared" si="986"/>
        <v>0</v>
      </c>
      <c r="W1583" s="59">
        <f t="shared" si="986"/>
        <v>0</v>
      </c>
      <c r="X1583" s="59">
        <f t="shared" si="986"/>
        <v>0</v>
      </c>
    </row>
    <row r="1584" spans="2:24" hidden="1">
      <c r="B1584" s="58" t="str">
        <f t="shared" si="973"/>
        <v/>
      </c>
      <c r="C1584" s="58" t="str">
        <f t="shared" si="973"/>
        <v/>
      </c>
      <c r="D1584" s="58" t="str">
        <f t="shared" si="973"/>
        <v/>
      </c>
      <c r="E1584" s="58" t="str">
        <f t="shared" si="973"/>
        <v/>
      </c>
      <c r="F1584" s="58"/>
      <c r="G1584" s="58"/>
      <c r="H1584" s="58"/>
      <c r="I1584" s="58"/>
      <c r="J1584" s="58"/>
      <c r="K1584" s="59">
        <f t="shared" ref="K1584:X1584" si="987">IF(AND($D1584="tak",OR($E1584="nie dotyczy",$E1584="badania przemysłowe"),K$1421&lt;=Koniec_Projekt),ROUND(K534*K566,0),0)</f>
        <v>0</v>
      </c>
      <c r="L1584" s="59">
        <f t="shared" si="987"/>
        <v>0</v>
      </c>
      <c r="M1584" s="59">
        <f t="shared" si="987"/>
        <v>0</v>
      </c>
      <c r="N1584" s="59">
        <f t="shared" si="987"/>
        <v>0</v>
      </c>
      <c r="O1584" s="59">
        <f t="shared" si="987"/>
        <v>0</v>
      </c>
      <c r="P1584" s="59">
        <f t="shared" si="987"/>
        <v>0</v>
      </c>
      <c r="Q1584" s="59">
        <f t="shared" si="987"/>
        <v>0</v>
      </c>
      <c r="R1584" s="59">
        <f t="shared" si="987"/>
        <v>0</v>
      </c>
      <c r="S1584" s="59">
        <f t="shared" si="987"/>
        <v>0</v>
      </c>
      <c r="T1584" s="59">
        <f t="shared" si="987"/>
        <v>0</v>
      </c>
      <c r="U1584" s="59">
        <f t="shared" si="987"/>
        <v>0</v>
      </c>
      <c r="V1584" s="59">
        <f t="shared" si="987"/>
        <v>0</v>
      </c>
      <c r="W1584" s="59">
        <f t="shared" si="987"/>
        <v>0</v>
      </c>
      <c r="X1584" s="59">
        <f t="shared" si="987"/>
        <v>0</v>
      </c>
    </row>
    <row r="1585" spans="2:24" hidden="1">
      <c r="B1585" s="58" t="str">
        <f t="shared" si="973"/>
        <v/>
      </c>
      <c r="C1585" s="58" t="str">
        <f t="shared" si="973"/>
        <v/>
      </c>
      <c r="D1585" s="58" t="str">
        <f t="shared" si="973"/>
        <v/>
      </c>
      <c r="E1585" s="58" t="str">
        <f t="shared" si="973"/>
        <v/>
      </c>
      <c r="F1585" s="58"/>
      <c r="G1585" s="58"/>
      <c r="H1585" s="58"/>
      <c r="I1585" s="58"/>
      <c r="J1585" s="58"/>
      <c r="K1585" s="59">
        <f t="shared" ref="K1585:X1585" si="988">IF(AND($D1585="tak",OR($E1585="nie dotyczy",$E1585="badania przemysłowe"),K$1421&lt;=Koniec_Projekt),ROUND(K535*K567,0),0)</f>
        <v>0</v>
      </c>
      <c r="L1585" s="59">
        <f t="shared" si="988"/>
        <v>0</v>
      </c>
      <c r="M1585" s="59">
        <f t="shared" si="988"/>
        <v>0</v>
      </c>
      <c r="N1585" s="59">
        <f t="shared" si="988"/>
        <v>0</v>
      </c>
      <c r="O1585" s="59">
        <f t="shared" si="988"/>
        <v>0</v>
      </c>
      <c r="P1585" s="59">
        <f t="shared" si="988"/>
        <v>0</v>
      </c>
      <c r="Q1585" s="59">
        <f t="shared" si="988"/>
        <v>0</v>
      </c>
      <c r="R1585" s="59">
        <f t="shared" si="988"/>
        <v>0</v>
      </c>
      <c r="S1585" s="59">
        <f t="shared" si="988"/>
        <v>0</v>
      </c>
      <c r="T1585" s="59">
        <f t="shared" si="988"/>
        <v>0</v>
      </c>
      <c r="U1585" s="59">
        <f t="shared" si="988"/>
        <v>0</v>
      </c>
      <c r="V1585" s="59">
        <f t="shared" si="988"/>
        <v>0</v>
      </c>
      <c r="W1585" s="59">
        <f t="shared" si="988"/>
        <v>0</v>
      </c>
      <c r="X1585" s="59">
        <f t="shared" si="988"/>
        <v>0</v>
      </c>
    </row>
    <row r="1586" spans="2:24" hidden="1">
      <c r="B1586" s="58" t="str">
        <f t="shared" si="973"/>
        <v/>
      </c>
      <c r="C1586" s="58" t="str">
        <f t="shared" si="973"/>
        <v/>
      </c>
      <c r="D1586" s="58" t="str">
        <f t="shared" si="973"/>
        <v/>
      </c>
      <c r="E1586" s="58" t="str">
        <f t="shared" si="973"/>
        <v/>
      </c>
      <c r="F1586" s="58"/>
      <c r="G1586" s="58"/>
      <c r="H1586" s="58"/>
      <c r="I1586" s="58"/>
      <c r="J1586" s="58"/>
      <c r="K1586" s="59">
        <f t="shared" ref="K1586:X1586" si="989">IF(AND($D1586="tak",OR($E1586="nie dotyczy",$E1586="badania przemysłowe"),K$1421&lt;=Koniec_Projekt),ROUND(K536*K568,0),0)</f>
        <v>0</v>
      </c>
      <c r="L1586" s="59">
        <f t="shared" si="989"/>
        <v>0</v>
      </c>
      <c r="M1586" s="59">
        <f t="shared" si="989"/>
        <v>0</v>
      </c>
      <c r="N1586" s="59">
        <f t="shared" si="989"/>
        <v>0</v>
      </c>
      <c r="O1586" s="59">
        <f t="shared" si="989"/>
        <v>0</v>
      </c>
      <c r="P1586" s="59">
        <f t="shared" si="989"/>
        <v>0</v>
      </c>
      <c r="Q1586" s="59">
        <f t="shared" si="989"/>
        <v>0</v>
      </c>
      <c r="R1586" s="59">
        <f t="shared" si="989"/>
        <v>0</v>
      </c>
      <c r="S1586" s="59">
        <f t="shared" si="989"/>
        <v>0</v>
      </c>
      <c r="T1586" s="59">
        <f t="shared" si="989"/>
        <v>0</v>
      </c>
      <c r="U1586" s="59">
        <f t="shared" si="989"/>
        <v>0</v>
      </c>
      <c r="V1586" s="59">
        <f t="shared" si="989"/>
        <v>0</v>
      </c>
      <c r="W1586" s="59">
        <f t="shared" si="989"/>
        <v>0</v>
      </c>
      <c r="X1586" s="59">
        <f t="shared" si="989"/>
        <v>0</v>
      </c>
    </row>
    <row r="1587" spans="2:24" hidden="1">
      <c r="B1587" s="58" t="str">
        <f t="shared" si="973"/>
        <v/>
      </c>
      <c r="C1587" s="58" t="str">
        <f t="shared" si="973"/>
        <v/>
      </c>
      <c r="D1587" s="58" t="str">
        <f t="shared" si="973"/>
        <v/>
      </c>
      <c r="E1587" s="58" t="str">
        <f t="shared" si="973"/>
        <v/>
      </c>
      <c r="F1587" s="58"/>
      <c r="G1587" s="58"/>
      <c r="H1587" s="58"/>
      <c r="I1587" s="58"/>
      <c r="J1587" s="58"/>
      <c r="K1587" s="59">
        <f t="shared" ref="K1587:X1587" si="990">IF(AND($D1587="tak",OR($E1587="nie dotyczy",$E1587="badania przemysłowe"),K$1421&lt;=Koniec_Projekt),ROUND(K537*K569,0),0)</f>
        <v>0</v>
      </c>
      <c r="L1587" s="59">
        <f t="shared" si="990"/>
        <v>0</v>
      </c>
      <c r="M1587" s="59">
        <f t="shared" si="990"/>
        <v>0</v>
      </c>
      <c r="N1587" s="59">
        <f t="shared" si="990"/>
        <v>0</v>
      </c>
      <c r="O1587" s="59">
        <f t="shared" si="990"/>
        <v>0</v>
      </c>
      <c r="P1587" s="59">
        <f t="shared" si="990"/>
        <v>0</v>
      </c>
      <c r="Q1587" s="59">
        <f t="shared" si="990"/>
        <v>0</v>
      </c>
      <c r="R1587" s="59">
        <f t="shared" si="990"/>
        <v>0</v>
      </c>
      <c r="S1587" s="59">
        <f t="shared" si="990"/>
        <v>0</v>
      </c>
      <c r="T1587" s="59">
        <f t="shared" si="990"/>
        <v>0</v>
      </c>
      <c r="U1587" s="59">
        <f t="shared" si="990"/>
        <v>0</v>
      </c>
      <c r="V1587" s="59">
        <f t="shared" si="990"/>
        <v>0</v>
      </c>
      <c r="W1587" s="59">
        <f t="shared" si="990"/>
        <v>0</v>
      </c>
      <c r="X1587" s="59">
        <f t="shared" si="990"/>
        <v>0</v>
      </c>
    </row>
    <row r="1588" spans="2:24" hidden="1">
      <c r="B1588" s="58" t="str">
        <f t="shared" si="973"/>
        <v/>
      </c>
      <c r="C1588" s="58" t="str">
        <f t="shared" si="973"/>
        <v/>
      </c>
      <c r="D1588" s="58" t="str">
        <f t="shared" si="973"/>
        <v/>
      </c>
      <c r="E1588" s="58" t="str">
        <f t="shared" si="973"/>
        <v/>
      </c>
      <c r="F1588" s="58"/>
      <c r="G1588" s="58"/>
      <c r="H1588" s="58"/>
      <c r="I1588" s="58"/>
      <c r="J1588" s="58"/>
      <c r="K1588" s="59">
        <f t="shared" ref="K1588:X1588" si="991">IF(AND($D1588="tak",OR($E1588="nie dotyczy",$E1588="badania przemysłowe"),K$1421&lt;=Koniec_Projekt),ROUND(K538*K570,0),0)</f>
        <v>0</v>
      </c>
      <c r="L1588" s="59">
        <f t="shared" si="991"/>
        <v>0</v>
      </c>
      <c r="M1588" s="59">
        <f t="shared" si="991"/>
        <v>0</v>
      </c>
      <c r="N1588" s="59">
        <f t="shared" si="991"/>
        <v>0</v>
      </c>
      <c r="O1588" s="59">
        <f t="shared" si="991"/>
        <v>0</v>
      </c>
      <c r="P1588" s="59">
        <f t="shared" si="991"/>
        <v>0</v>
      </c>
      <c r="Q1588" s="59">
        <f t="shared" si="991"/>
        <v>0</v>
      </c>
      <c r="R1588" s="59">
        <f t="shared" si="991"/>
        <v>0</v>
      </c>
      <c r="S1588" s="59">
        <f t="shared" si="991"/>
        <v>0</v>
      </c>
      <c r="T1588" s="59">
        <f t="shared" si="991"/>
        <v>0</v>
      </c>
      <c r="U1588" s="59">
        <f t="shared" si="991"/>
        <v>0</v>
      </c>
      <c r="V1588" s="59">
        <f t="shared" si="991"/>
        <v>0</v>
      </c>
      <c r="W1588" s="59">
        <f t="shared" si="991"/>
        <v>0</v>
      </c>
      <c r="X1588" s="59">
        <f t="shared" si="991"/>
        <v>0</v>
      </c>
    </row>
    <row r="1589" spans="2:24" hidden="1">
      <c r="B1589" s="58" t="str">
        <f t="shared" si="973"/>
        <v/>
      </c>
      <c r="C1589" s="58" t="str">
        <f t="shared" si="973"/>
        <v/>
      </c>
      <c r="D1589" s="58" t="str">
        <f t="shared" si="973"/>
        <v/>
      </c>
      <c r="E1589" s="58" t="str">
        <f t="shared" si="973"/>
        <v/>
      </c>
      <c r="F1589" s="58"/>
      <c r="G1589" s="58"/>
      <c r="H1589" s="58"/>
      <c r="I1589" s="58"/>
      <c r="J1589" s="58"/>
      <c r="K1589" s="59">
        <f t="shared" ref="K1589:X1589" si="992">IF(AND($D1589="tak",OR($E1589="nie dotyczy",$E1589="badania przemysłowe"),K$1421&lt;=Koniec_Projekt),ROUND(K539*K571,0),0)</f>
        <v>0</v>
      </c>
      <c r="L1589" s="59">
        <f t="shared" si="992"/>
        <v>0</v>
      </c>
      <c r="M1589" s="59">
        <f t="shared" si="992"/>
        <v>0</v>
      </c>
      <c r="N1589" s="59">
        <f t="shared" si="992"/>
        <v>0</v>
      </c>
      <c r="O1589" s="59">
        <f t="shared" si="992"/>
        <v>0</v>
      </c>
      <c r="P1589" s="59">
        <f t="shared" si="992"/>
        <v>0</v>
      </c>
      <c r="Q1589" s="59">
        <f t="shared" si="992"/>
        <v>0</v>
      </c>
      <c r="R1589" s="59">
        <f t="shared" si="992"/>
        <v>0</v>
      </c>
      <c r="S1589" s="59">
        <f t="shared" si="992"/>
        <v>0</v>
      </c>
      <c r="T1589" s="59">
        <f t="shared" si="992"/>
        <v>0</v>
      </c>
      <c r="U1589" s="59">
        <f t="shared" si="992"/>
        <v>0</v>
      </c>
      <c r="V1589" s="59">
        <f t="shared" si="992"/>
        <v>0</v>
      </c>
      <c r="W1589" s="59">
        <f t="shared" si="992"/>
        <v>0</v>
      </c>
      <c r="X1589" s="59">
        <f t="shared" si="992"/>
        <v>0</v>
      </c>
    </row>
    <row r="1590" spans="2:24" hidden="1">
      <c r="B1590" s="58" t="str">
        <f t="shared" si="973"/>
        <v/>
      </c>
      <c r="C1590" s="58" t="str">
        <f t="shared" si="973"/>
        <v/>
      </c>
      <c r="D1590" s="58" t="str">
        <f t="shared" si="973"/>
        <v/>
      </c>
      <c r="E1590" s="58" t="str">
        <f t="shared" si="973"/>
        <v/>
      </c>
      <c r="F1590" s="58"/>
      <c r="G1590" s="58"/>
      <c r="H1590" s="58"/>
      <c r="I1590" s="58"/>
      <c r="J1590" s="58"/>
      <c r="K1590" s="59">
        <f t="shared" ref="K1590:X1590" si="993">IF(AND($D1590="tak",OR($E1590="nie dotyczy",$E1590="badania przemysłowe"),K$1421&lt;=Koniec_Projekt),ROUND(K540*K572,0),0)</f>
        <v>0</v>
      </c>
      <c r="L1590" s="59">
        <f t="shared" si="993"/>
        <v>0</v>
      </c>
      <c r="M1590" s="59">
        <f t="shared" si="993"/>
        <v>0</v>
      </c>
      <c r="N1590" s="59">
        <f t="shared" si="993"/>
        <v>0</v>
      </c>
      <c r="O1590" s="59">
        <f t="shared" si="993"/>
        <v>0</v>
      </c>
      <c r="P1590" s="59">
        <f t="shared" si="993"/>
        <v>0</v>
      </c>
      <c r="Q1590" s="59">
        <f t="shared" si="993"/>
        <v>0</v>
      </c>
      <c r="R1590" s="59">
        <f t="shared" si="993"/>
        <v>0</v>
      </c>
      <c r="S1590" s="59">
        <f t="shared" si="993"/>
        <v>0</v>
      </c>
      <c r="T1590" s="59">
        <f t="shared" si="993"/>
        <v>0</v>
      </c>
      <c r="U1590" s="59">
        <f t="shared" si="993"/>
        <v>0</v>
      </c>
      <c r="V1590" s="59">
        <f t="shared" si="993"/>
        <v>0</v>
      </c>
      <c r="W1590" s="59">
        <f t="shared" si="993"/>
        <v>0</v>
      </c>
      <c r="X1590" s="59">
        <f t="shared" si="993"/>
        <v>0</v>
      </c>
    </row>
    <row r="1591" spans="2:24" hidden="1">
      <c r="B1591" s="58" t="str">
        <f t="shared" si="973"/>
        <v/>
      </c>
      <c r="C1591" s="58" t="str">
        <f t="shared" si="973"/>
        <v/>
      </c>
      <c r="D1591" s="58" t="str">
        <f t="shared" si="973"/>
        <v/>
      </c>
      <c r="E1591" s="58" t="str">
        <f t="shared" si="973"/>
        <v/>
      </c>
      <c r="F1591" s="58"/>
      <c r="G1591" s="58"/>
      <c r="H1591" s="58"/>
      <c r="I1591" s="58"/>
      <c r="J1591" s="58"/>
      <c r="K1591" s="59">
        <f t="shared" ref="K1591:X1591" si="994">IF(AND($D1591="tak",OR($E1591="nie dotyczy",$E1591="badania przemysłowe"),K$1421&lt;=Koniec_Projekt),ROUND(K541*K573,0),0)</f>
        <v>0</v>
      </c>
      <c r="L1591" s="59">
        <f t="shared" si="994"/>
        <v>0</v>
      </c>
      <c r="M1591" s="59">
        <f t="shared" si="994"/>
        <v>0</v>
      </c>
      <c r="N1591" s="59">
        <f t="shared" si="994"/>
        <v>0</v>
      </c>
      <c r="O1591" s="59">
        <f t="shared" si="994"/>
        <v>0</v>
      </c>
      <c r="P1591" s="59">
        <f t="shared" si="994"/>
        <v>0</v>
      </c>
      <c r="Q1591" s="59">
        <f t="shared" si="994"/>
        <v>0</v>
      </c>
      <c r="R1591" s="59">
        <f t="shared" si="994"/>
        <v>0</v>
      </c>
      <c r="S1591" s="59">
        <f t="shared" si="994"/>
        <v>0</v>
      </c>
      <c r="T1591" s="59">
        <f t="shared" si="994"/>
        <v>0</v>
      </c>
      <c r="U1591" s="59">
        <f t="shared" si="994"/>
        <v>0</v>
      </c>
      <c r="V1591" s="59">
        <f t="shared" si="994"/>
        <v>0</v>
      </c>
      <c r="W1591" s="59">
        <f t="shared" si="994"/>
        <v>0</v>
      </c>
      <c r="X1591" s="59">
        <f t="shared" si="994"/>
        <v>0</v>
      </c>
    </row>
    <row r="1592" spans="2:24" hidden="1">
      <c r="B1592" s="58" t="str">
        <f t="shared" si="973"/>
        <v/>
      </c>
      <c r="C1592" s="58" t="str">
        <f t="shared" si="973"/>
        <v/>
      </c>
      <c r="D1592" s="58" t="str">
        <f t="shared" si="973"/>
        <v/>
      </c>
      <c r="E1592" s="58" t="str">
        <f t="shared" si="973"/>
        <v/>
      </c>
      <c r="F1592" s="58"/>
      <c r="G1592" s="58"/>
      <c r="H1592" s="58"/>
      <c r="I1592" s="58"/>
      <c r="J1592" s="58"/>
      <c r="K1592" s="59">
        <f t="shared" ref="K1592:X1592" si="995">IF(AND($D1592="tak",OR($E1592="nie dotyczy",$E1592="badania przemysłowe"),K$1421&lt;=Koniec_Projekt),ROUND(K542*K574,0),0)</f>
        <v>0</v>
      </c>
      <c r="L1592" s="59">
        <f t="shared" si="995"/>
        <v>0</v>
      </c>
      <c r="M1592" s="59">
        <f t="shared" si="995"/>
        <v>0</v>
      </c>
      <c r="N1592" s="59">
        <f t="shared" si="995"/>
        <v>0</v>
      </c>
      <c r="O1592" s="59">
        <f t="shared" si="995"/>
        <v>0</v>
      </c>
      <c r="P1592" s="59">
        <f t="shared" si="995"/>
        <v>0</v>
      </c>
      <c r="Q1592" s="59">
        <f t="shared" si="995"/>
        <v>0</v>
      </c>
      <c r="R1592" s="59">
        <f t="shared" si="995"/>
        <v>0</v>
      </c>
      <c r="S1592" s="59">
        <f t="shared" si="995"/>
        <v>0</v>
      </c>
      <c r="T1592" s="59">
        <f t="shared" si="995"/>
        <v>0</v>
      </c>
      <c r="U1592" s="59">
        <f t="shared" si="995"/>
        <v>0</v>
      </c>
      <c r="V1592" s="59">
        <f t="shared" si="995"/>
        <v>0</v>
      </c>
      <c r="W1592" s="59">
        <f t="shared" si="995"/>
        <v>0</v>
      </c>
      <c r="X1592" s="59">
        <f t="shared" si="995"/>
        <v>0</v>
      </c>
    </row>
    <row r="1593" spans="2:24" hidden="1">
      <c r="B1593" s="58" t="str">
        <f t="shared" si="973"/>
        <v/>
      </c>
      <c r="C1593" s="58" t="str">
        <f t="shared" si="973"/>
        <v/>
      </c>
      <c r="D1593" s="58" t="str">
        <f t="shared" si="973"/>
        <v/>
      </c>
      <c r="E1593" s="58" t="str">
        <f t="shared" si="973"/>
        <v/>
      </c>
      <c r="F1593" s="58"/>
      <c r="G1593" s="58"/>
      <c r="H1593" s="58"/>
      <c r="I1593" s="58"/>
      <c r="J1593" s="58"/>
      <c r="K1593" s="59">
        <f t="shared" ref="K1593:X1593" si="996">IF(AND($D1593="tak",OR($E1593="nie dotyczy",$E1593="badania przemysłowe"),K$1421&lt;=Koniec_Projekt),ROUND(K543*K575,0),0)</f>
        <v>0</v>
      </c>
      <c r="L1593" s="59">
        <f t="shared" si="996"/>
        <v>0</v>
      </c>
      <c r="M1593" s="59">
        <f t="shared" si="996"/>
        <v>0</v>
      </c>
      <c r="N1593" s="59">
        <f t="shared" si="996"/>
        <v>0</v>
      </c>
      <c r="O1593" s="59">
        <f t="shared" si="996"/>
        <v>0</v>
      </c>
      <c r="P1593" s="59">
        <f t="shared" si="996"/>
        <v>0</v>
      </c>
      <c r="Q1593" s="59">
        <f t="shared" si="996"/>
        <v>0</v>
      </c>
      <c r="R1593" s="59">
        <f t="shared" si="996"/>
        <v>0</v>
      </c>
      <c r="S1593" s="59">
        <f t="shared" si="996"/>
        <v>0</v>
      </c>
      <c r="T1593" s="59">
        <f t="shared" si="996"/>
        <v>0</v>
      </c>
      <c r="U1593" s="59">
        <f t="shared" si="996"/>
        <v>0</v>
      </c>
      <c r="V1593" s="59">
        <f t="shared" si="996"/>
        <v>0</v>
      </c>
      <c r="W1593" s="59">
        <f t="shared" si="996"/>
        <v>0</v>
      </c>
      <c r="X1593" s="59">
        <f t="shared" si="996"/>
        <v>0</v>
      </c>
    </row>
    <row r="1594" spans="2:24" hidden="1">
      <c r="B1594" s="58" t="str">
        <f t="shared" si="973"/>
        <v/>
      </c>
      <c r="C1594" s="58" t="str">
        <f t="shared" si="973"/>
        <v/>
      </c>
      <c r="D1594" s="58" t="str">
        <f t="shared" si="973"/>
        <v/>
      </c>
      <c r="E1594" s="58" t="str">
        <f t="shared" si="973"/>
        <v/>
      </c>
      <c r="F1594" s="58"/>
      <c r="G1594" s="58"/>
      <c r="H1594" s="58"/>
      <c r="I1594" s="58"/>
      <c r="J1594" s="58"/>
      <c r="K1594" s="59">
        <f t="shared" ref="K1594:X1594" si="997">IF(AND($D1594="tak",OR($E1594="nie dotyczy",$E1594="badania przemysłowe"),K$1421&lt;=Koniec_Projekt),ROUND(K544*K576,0),0)</f>
        <v>0</v>
      </c>
      <c r="L1594" s="59">
        <f t="shared" si="997"/>
        <v>0</v>
      </c>
      <c r="M1594" s="59">
        <f t="shared" si="997"/>
        <v>0</v>
      </c>
      <c r="N1594" s="59">
        <f t="shared" si="997"/>
        <v>0</v>
      </c>
      <c r="O1594" s="59">
        <f t="shared" si="997"/>
        <v>0</v>
      </c>
      <c r="P1594" s="59">
        <f t="shared" si="997"/>
        <v>0</v>
      </c>
      <c r="Q1594" s="59">
        <f t="shared" si="997"/>
        <v>0</v>
      </c>
      <c r="R1594" s="59">
        <f t="shared" si="997"/>
        <v>0</v>
      </c>
      <c r="S1594" s="59">
        <f t="shared" si="997"/>
        <v>0</v>
      </c>
      <c r="T1594" s="59">
        <f t="shared" si="997"/>
        <v>0</v>
      </c>
      <c r="U1594" s="59">
        <f t="shared" si="997"/>
        <v>0</v>
      </c>
      <c r="V1594" s="59">
        <f t="shared" si="997"/>
        <v>0</v>
      </c>
      <c r="W1594" s="59">
        <f t="shared" si="997"/>
        <v>0</v>
      </c>
      <c r="X1594" s="59">
        <f t="shared" si="997"/>
        <v>0</v>
      </c>
    </row>
    <row r="1595" spans="2:24" hidden="1">
      <c r="B1595" s="58" t="str">
        <f t="shared" si="973"/>
        <v/>
      </c>
      <c r="C1595" s="58" t="str">
        <f t="shared" si="973"/>
        <v/>
      </c>
      <c r="D1595" s="58" t="str">
        <f t="shared" si="973"/>
        <v/>
      </c>
      <c r="E1595" s="58" t="str">
        <f t="shared" si="973"/>
        <v/>
      </c>
      <c r="F1595" s="58"/>
      <c r="G1595" s="58"/>
      <c r="H1595" s="58"/>
      <c r="I1595" s="58"/>
      <c r="J1595" s="58"/>
      <c r="K1595" s="59">
        <f t="shared" ref="K1595:X1595" si="998">IF(AND($D1595="tak",OR($E1595="nie dotyczy",$E1595="badania przemysłowe"),K$1421&lt;=Koniec_Projekt),ROUND(K545*K577,0),0)</f>
        <v>0</v>
      </c>
      <c r="L1595" s="59">
        <f t="shared" si="998"/>
        <v>0</v>
      </c>
      <c r="M1595" s="59">
        <f t="shared" si="998"/>
        <v>0</v>
      </c>
      <c r="N1595" s="59">
        <f t="shared" si="998"/>
        <v>0</v>
      </c>
      <c r="O1595" s="59">
        <f t="shared" si="998"/>
        <v>0</v>
      </c>
      <c r="P1595" s="59">
        <f t="shared" si="998"/>
        <v>0</v>
      </c>
      <c r="Q1595" s="59">
        <f t="shared" si="998"/>
        <v>0</v>
      </c>
      <c r="R1595" s="59">
        <f t="shared" si="998"/>
        <v>0</v>
      </c>
      <c r="S1595" s="59">
        <f t="shared" si="998"/>
        <v>0</v>
      </c>
      <c r="T1595" s="59">
        <f t="shared" si="998"/>
        <v>0</v>
      </c>
      <c r="U1595" s="59">
        <f t="shared" si="998"/>
        <v>0</v>
      </c>
      <c r="V1595" s="59">
        <f t="shared" si="998"/>
        <v>0</v>
      </c>
      <c r="W1595" s="59">
        <f t="shared" si="998"/>
        <v>0</v>
      </c>
      <c r="X1595" s="59">
        <f t="shared" si="998"/>
        <v>0</v>
      </c>
    </row>
    <row r="1596" spans="2:24" hidden="1">
      <c r="B1596" s="58" t="str">
        <f t="shared" si="973"/>
        <v/>
      </c>
      <c r="C1596" s="58" t="str">
        <f t="shared" si="973"/>
        <v/>
      </c>
      <c r="D1596" s="58" t="str">
        <f t="shared" si="973"/>
        <v/>
      </c>
      <c r="E1596" s="58" t="str">
        <f t="shared" si="973"/>
        <v/>
      </c>
      <c r="F1596" s="58"/>
      <c r="G1596" s="58"/>
      <c r="H1596" s="58"/>
      <c r="I1596" s="58"/>
      <c r="J1596" s="58"/>
      <c r="K1596" s="59">
        <f t="shared" ref="K1596:X1596" si="999">IF(AND($D1596="tak",OR($E1596="nie dotyczy",$E1596="badania przemysłowe"),K$1421&lt;=Koniec_Projekt),ROUND(K546*K578,0),0)</f>
        <v>0</v>
      </c>
      <c r="L1596" s="59">
        <f t="shared" si="999"/>
        <v>0</v>
      </c>
      <c r="M1596" s="59">
        <f t="shared" si="999"/>
        <v>0</v>
      </c>
      <c r="N1596" s="59">
        <f t="shared" si="999"/>
        <v>0</v>
      </c>
      <c r="O1596" s="59">
        <f t="shared" si="999"/>
        <v>0</v>
      </c>
      <c r="P1596" s="59">
        <f t="shared" si="999"/>
        <v>0</v>
      </c>
      <c r="Q1596" s="59">
        <f t="shared" si="999"/>
        <v>0</v>
      </c>
      <c r="R1596" s="59">
        <f t="shared" si="999"/>
        <v>0</v>
      </c>
      <c r="S1596" s="59">
        <f t="shared" si="999"/>
        <v>0</v>
      </c>
      <c r="T1596" s="59">
        <f t="shared" si="999"/>
        <v>0</v>
      </c>
      <c r="U1596" s="59">
        <f t="shared" si="999"/>
        <v>0</v>
      </c>
      <c r="V1596" s="59">
        <f t="shared" si="999"/>
        <v>0</v>
      </c>
      <c r="W1596" s="59">
        <f t="shared" si="999"/>
        <v>0</v>
      </c>
      <c r="X1596" s="59">
        <f t="shared" si="999"/>
        <v>0</v>
      </c>
    </row>
    <row r="1597" spans="2:24" hidden="1">
      <c r="B1597" s="58" t="str">
        <f t="shared" si="973"/>
        <v/>
      </c>
      <c r="C1597" s="58" t="str">
        <f t="shared" si="973"/>
        <v/>
      </c>
      <c r="D1597" s="58" t="str">
        <f t="shared" si="973"/>
        <v/>
      </c>
      <c r="E1597" s="58" t="str">
        <f t="shared" si="973"/>
        <v/>
      </c>
      <c r="F1597" s="58"/>
      <c r="G1597" s="58"/>
      <c r="H1597" s="58"/>
      <c r="I1597" s="58"/>
      <c r="J1597" s="58"/>
      <c r="K1597" s="59">
        <f t="shared" ref="K1597:X1597" si="1000">IF(AND($D1597="tak",OR($E1597="nie dotyczy",$E1597="badania przemysłowe"),K$1421&lt;=Koniec_Projekt),ROUND(K547*K579,0),0)</f>
        <v>0</v>
      </c>
      <c r="L1597" s="59">
        <f t="shared" si="1000"/>
        <v>0</v>
      </c>
      <c r="M1597" s="59">
        <f t="shared" si="1000"/>
        <v>0</v>
      </c>
      <c r="N1597" s="59">
        <f t="shared" si="1000"/>
        <v>0</v>
      </c>
      <c r="O1597" s="59">
        <f t="shared" si="1000"/>
        <v>0</v>
      </c>
      <c r="P1597" s="59">
        <f t="shared" si="1000"/>
        <v>0</v>
      </c>
      <c r="Q1597" s="59">
        <f t="shared" si="1000"/>
        <v>0</v>
      </c>
      <c r="R1597" s="59">
        <f t="shared" si="1000"/>
        <v>0</v>
      </c>
      <c r="S1597" s="59">
        <f t="shared" si="1000"/>
        <v>0</v>
      </c>
      <c r="T1597" s="59">
        <f t="shared" si="1000"/>
        <v>0</v>
      </c>
      <c r="U1597" s="59">
        <f t="shared" si="1000"/>
        <v>0</v>
      </c>
      <c r="V1597" s="59">
        <f t="shared" si="1000"/>
        <v>0</v>
      </c>
      <c r="W1597" s="59">
        <f t="shared" si="1000"/>
        <v>0</v>
      </c>
      <c r="X1597" s="59">
        <f t="shared" si="1000"/>
        <v>0</v>
      </c>
    </row>
    <row r="1598" spans="2:24" hidden="1">
      <c r="B1598" s="58" t="str">
        <f t="shared" si="973"/>
        <v/>
      </c>
      <c r="C1598" s="58" t="str">
        <f t="shared" si="973"/>
        <v/>
      </c>
      <c r="D1598" s="58" t="str">
        <f t="shared" si="973"/>
        <v/>
      </c>
      <c r="E1598" s="58" t="str">
        <f t="shared" si="973"/>
        <v/>
      </c>
      <c r="F1598" s="58"/>
      <c r="G1598" s="58"/>
      <c r="H1598" s="58"/>
      <c r="I1598" s="58"/>
      <c r="J1598" s="58"/>
      <c r="K1598" s="59">
        <f t="shared" ref="K1598:X1598" si="1001">IF(AND($D1598="tak",OR($E1598="nie dotyczy",$E1598="badania przemysłowe"),K$1421&lt;=Koniec_Projekt),ROUND(K548*K580,0),0)</f>
        <v>0</v>
      </c>
      <c r="L1598" s="59">
        <f t="shared" si="1001"/>
        <v>0</v>
      </c>
      <c r="M1598" s="59">
        <f t="shared" si="1001"/>
        <v>0</v>
      </c>
      <c r="N1598" s="59">
        <f t="shared" si="1001"/>
        <v>0</v>
      </c>
      <c r="O1598" s="59">
        <f t="shared" si="1001"/>
        <v>0</v>
      </c>
      <c r="P1598" s="59">
        <f t="shared" si="1001"/>
        <v>0</v>
      </c>
      <c r="Q1598" s="59">
        <f t="shared" si="1001"/>
        <v>0</v>
      </c>
      <c r="R1598" s="59">
        <f t="shared" si="1001"/>
        <v>0</v>
      </c>
      <c r="S1598" s="59">
        <f t="shared" si="1001"/>
        <v>0</v>
      </c>
      <c r="T1598" s="59">
        <f t="shared" si="1001"/>
        <v>0</v>
      </c>
      <c r="U1598" s="59">
        <f t="shared" si="1001"/>
        <v>0</v>
      </c>
      <c r="V1598" s="59">
        <f t="shared" si="1001"/>
        <v>0</v>
      </c>
      <c r="W1598" s="59">
        <f t="shared" si="1001"/>
        <v>0</v>
      </c>
      <c r="X1598" s="59">
        <f t="shared" si="1001"/>
        <v>0</v>
      </c>
    </row>
    <row r="1599" spans="2:24" hidden="1">
      <c r="B1599" s="58" t="str">
        <f t="shared" si="973"/>
        <v/>
      </c>
      <c r="C1599" s="58" t="str">
        <f t="shared" si="973"/>
        <v/>
      </c>
      <c r="D1599" s="58" t="str">
        <f t="shared" si="973"/>
        <v/>
      </c>
      <c r="E1599" s="58" t="str">
        <f t="shared" si="973"/>
        <v/>
      </c>
      <c r="F1599" s="58"/>
      <c r="G1599" s="58"/>
      <c r="H1599" s="58"/>
      <c r="I1599" s="58"/>
      <c r="J1599" s="58"/>
      <c r="K1599" s="59">
        <f t="shared" ref="K1599:X1599" si="1002">IF(AND($D1599="tak",OR($E1599="nie dotyczy",$E1599="badania przemysłowe"),K$1421&lt;=Koniec_Projekt),ROUND(K549*K581,0),0)</f>
        <v>0</v>
      </c>
      <c r="L1599" s="59">
        <f t="shared" si="1002"/>
        <v>0</v>
      </c>
      <c r="M1599" s="59">
        <f t="shared" si="1002"/>
        <v>0</v>
      </c>
      <c r="N1599" s="59">
        <f t="shared" si="1002"/>
        <v>0</v>
      </c>
      <c r="O1599" s="59">
        <f t="shared" si="1002"/>
        <v>0</v>
      </c>
      <c r="P1599" s="59">
        <f t="shared" si="1002"/>
        <v>0</v>
      </c>
      <c r="Q1599" s="59">
        <f t="shared" si="1002"/>
        <v>0</v>
      </c>
      <c r="R1599" s="59">
        <f t="shared" si="1002"/>
        <v>0</v>
      </c>
      <c r="S1599" s="59">
        <f t="shared" si="1002"/>
        <v>0</v>
      </c>
      <c r="T1599" s="59">
        <f t="shared" si="1002"/>
        <v>0</v>
      </c>
      <c r="U1599" s="59">
        <f t="shared" si="1002"/>
        <v>0</v>
      </c>
      <c r="V1599" s="59">
        <f t="shared" si="1002"/>
        <v>0</v>
      </c>
      <c r="W1599" s="59">
        <f t="shared" si="1002"/>
        <v>0</v>
      </c>
      <c r="X1599" s="59">
        <f t="shared" si="1002"/>
        <v>0</v>
      </c>
    </row>
    <row r="1600" spans="2:24" hidden="1">
      <c r="B1600" s="58" t="str">
        <f t="shared" si="973"/>
        <v/>
      </c>
      <c r="C1600" s="58" t="str">
        <f t="shared" si="973"/>
        <v/>
      </c>
      <c r="D1600" s="58" t="str">
        <f t="shared" si="973"/>
        <v/>
      </c>
      <c r="E1600" s="58" t="str">
        <f t="shared" si="973"/>
        <v/>
      </c>
      <c r="F1600" s="58"/>
      <c r="G1600" s="58"/>
      <c r="H1600" s="58"/>
      <c r="I1600" s="58"/>
      <c r="J1600" s="58"/>
      <c r="K1600" s="59">
        <f t="shared" ref="K1600:X1600" si="1003">IF(AND($D1600="tak",OR($E1600="nie dotyczy",$E1600="badania przemysłowe"),K$1421&lt;=Koniec_Projekt),ROUND(K550*K582,0),0)</f>
        <v>0</v>
      </c>
      <c r="L1600" s="59">
        <f t="shared" si="1003"/>
        <v>0</v>
      </c>
      <c r="M1600" s="59">
        <f t="shared" si="1003"/>
        <v>0</v>
      </c>
      <c r="N1600" s="59">
        <f t="shared" si="1003"/>
        <v>0</v>
      </c>
      <c r="O1600" s="59">
        <f t="shared" si="1003"/>
        <v>0</v>
      </c>
      <c r="P1600" s="59">
        <f t="shared" si="1003"/>
        <v>0</v>
      </c>
      <c r="Q1600" s="59">
        <f t="shared" si="1003"/>
        <v>0</v>
      </c>
      <c r="R1600" s="59">
        <f t="shared" si="1003"/>
        <v>0</v>
      </c>
      <c r="S1600" s="59">
        <f t="shared" si="1003"/>
        <v>0</v>
      </c>
      <c r="T1600" s="59">
        <f t="shared" si="1003"/>
        <v>0</v>
      </c>
      <c r="U1600" s="59">
        <f t="shared" si="1003"/>
        <v>0</v>
      </c>
      <c r="V1600" s="59">
        <f t="shared" si="1003"/>
        <v>0</v>
      </c>
      <c r="W1600" s="59">
        <f t="shared" si="1003"/>
        <v>0</v>
      </c>
      <c r="X1600" s="59">
        <f t="shared" si="1003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4">ROUND(SUM(K1571:K1600),0)</f>
        <v>0</v>
      </c>
      <c r="L1601" s="60">
        <f t="shared" si="1004"/>
        <v>0</v>
      </c>
      <c r="M1601" s="60">
        <f t="shared" si="1004"/>
        <v>0</v>
      </c>
      <c r="N1601" s="60">
        <f t="shared" si="1004"/>
        <v>0</v>
      </c>
      <c r="O1601" s="60">
        <f t="shared" si="1004"/>
        <v>0</v>
      </c>
      <c r="P1601" s="60">
        <f t="shared" si="1004"/>
        <v>0</v>
      </c>
      <c r="Q1601" s="60">
        <f t="shared" si="1004"/>
        <v>0</v>
      </c>
      <c r="R1601" s="60">
        <f t="shared" si="1004"/>
        <v>0</v>
      </c>
      <c r="S1601" s="60">
        <f t="shared" si="1004"/>
        <v>0</v>
      </c>
      <c r="T1601" s="60">
        <f t="shared" si="1004"/>
        <v>0</v>
      </c>
      <c r="U1601" s="60">
        <f t="shared" si="1004"/>
        <v>0</v>
      </c>
      <c r="V1601" s="60">
        <f t="shared" si="1004"/>
        <v>0</v>
      </c>
      <c r="W1601" s="60">
        <f t="shared" si="1004"/>
        <v>0</v>
      </c>
      <c r="X1601" s="60">
        <f t="shared" si="1004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5">ROUND(SUM(L1605:L1609),0)</f>
        <v>0</v>
      </c>
      <c r="M1610" s="60">
        <f t="shared" si="1005"/>
        <v>0</v>
      </c>
      <c r="N1610" s="60">
        <f t="shared" si="1005"/>
        <v>0</v>
      </c>
      <c r="O1610" s="60">
        <f t="shared" si="1005"/>
        <v>0</v>
      </c>
      <c r="P1610" s="60">
        <f t="shared" si="1005"/>
        <v>0</v>
      </c>
      <c r="Q1610" s="60">
        <f t="shared" si="1005"/>
        <v>0</v>
      </c>
      <c r="R1610" s="60">
        <f t="shared" si="1005"/>
        <v>0</v>
      </c>
      <c r="S1610" s="60">
        <f t="shared" si="1005"/>
        <v>0</v>
      </c>
      <c r="T1610" s="60">
        <f t="shared" si="1005"/>
        <v>0</v>
      </c>
      <c r="U1610" s="60">
        <f t="shared" si="1005"/>
        <v>0</v>
      </c>
      <c r="V1610" s="60">
        <f t="shared" si="1005"/>
        <v>0</v>
      </c>
      <c r="W1610" s="60">
        <f t="shared" si="1005"/>
        <v>0</v>
      </c>
      <c r="X1610" s="60">
        <f t="shared" si="1005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06">ROUND(SUM(L1614:L1618),0)</f>
        <v>0</v>
      </c>
      <c r="M1619" s="60">
        <f t="shared" si="1006"/>
        <v>0</v>
      </c>
      <c r="N1619" s="60">
        <f t="shared" si="1006"/>
        <v>0</v>
      </c>
      <c r="O1619" s="60">
        <f t="shared" si="1006"/>
        <v>0</v>
      </c>
      <c r="P1619" s="60">
        <f t="shared" si="1006"/>
        <v>0</v>
      </c>
      <c r="Q1619" s="60">
        <f t="shared" si="1006"/>
        <v>0</v>
      </c>
      <c r="R1619" s="60">
        <f t="shared" si="1006"/>
        <v>0</v>
      </c>
      <c r="S1619" s="60">
        <f t="shared" si="1006"/>
        <v>0</v>
      </c>
      <c r="T1619" s="60">
        <f t="shared" si="1006"/>
        <v>0</v>
      </c>
      <c r="U1619" s="60">
        <f t="shared" si="1006"/>
        <v>0</v>
      </c>
      <c r="V1619" s="60">
        <f t="shared" si="1006"/>
        <v>0</v>
      </c>
      <c r="W1619" s="60">
        <f t="shared" si="1006"/>
        <v>0</v>
      </c>
      <c r="X1619" s="60">
        <f t="shared" si="1006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07">ROUND(SUM(L1623:L1627),0)</f>
        <v>0</v>
      </c>
      <c r="M1628" s="60">
        <f t="shared" si="1007"/>
        <v>0</v>
      </c>
      <c r="N1628" s="60">
        <f t="shared" si="1007"/>
        <v>0</v>
      </c>
      <c r="O1628" s="60">
        <f t="shared" si="1007"/>
        <v>0</v>
      </c>
      <c r="P1628" s="60">
        <f t="shared" si="1007"/>
        <v>0</v>
      </c>
      <c r="Q1628" s="60">
        <f t="shared" si="1007"/>
        <v>0</v>
      </c>
      <c r="R1628" s="60">
        <f t="shared" si="1007"/>
        <v>0</v>
      </c>
      <c r="S1628" s="60">
        <f t="shared" si="1007"/>
        <v>0</v>
      </c>
      <c r="T1628" s="60">
        <f t="shared" si="1007"/>
        <v>0</v>
      </c>
      <c r="U1628" s="60">
        <f t="shared" si="1007"/>
        <v>0</v>
      </c>
      <c r="V1628" s="60">
        <f t="shared" si="1007"/>
        <v>0</v>
      </c>
      <c r="W1628" s="60">
        <f t="shared" si="1007"/>
        <v>0</v>
      </c>
      <c r="X1628" s="60">
        <f t="shared" si="1007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08">IF(LataProjekcji&lt;=Koniec_Projekt,ROUND(K1444,0),0)</f>
        <v>0</v>
      </c>
      <c r="L1632" s="22">
        <f t="shared" si="1008"/>
        <v>0</v>
      </c>
      <c r="M1632" s="22">
        <f t="shared" si="1008"/>
        <v>0</v>
      </c>
      <c r="N1632" s="22">
        <f t="shared" si="1008"/>
        <v>0</v>
      </c>
      <c r="O1632" s="22">
        <f t="shared" si="1008"/>
        <v>0</v>
      </c>
      <c r="P1632" s="22">
        <f t="shared" si="1008"/>
        <v>0</v>
      </c>
      <c r="Q1632" s="22">
        <f t="shared" si="1008"/>
        <v>0</v>
      </c>
      <c r="R1632" s="22">
        <f t="shared" si="1008"/>
        <v>0</v>
      </c>
      <c r="S1632" s="22">
        <f t="shared" si="1008"/>
        <v>0</v>
      </c>
      <c r="T1632" s="22">
        <f t="shared" si="1008"/>
        <v>0</v>
      </c>
      <c r="U1632" s="22">
        <f t="shared" si="1008"/>
        <v>0</v>
      </c>
      <c r="V1632" s="22">
        <f t="shared" si="1008"/>
        <v>0</v>
      </c>
      <c r="W1632" s="22">
        <f t="shared" si="1008"/>
        <v>0</v>
      </c>
      <c r="X1632" s="22">
        <f t="shared" si="1008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09">IF(LataProjekcji&lt;=Koniec_Projekt,ROUND(K1468,0),0)</f>
        <v>0</v>
      </c>
      <c r="L1633" s="22">
        <f t="shared" si="1009"/>
        <v>0</v>
      </c>
      <c r="M1633" s="22">
        <f t="shared" si="1009"/>
        <v>0</v>
      </c>
      <c r="N1633" s="22">
        <f t="shared" si="1009"/>
        <v>0</v>
      </c>
      <c r="O1633" s="22">
        <f t="shared" si="1009"/>
        <v>0</v>
      </c>
      <c r="P1633" s="22">
        <f t="shared" si="1009"/>
        <v>0</v>
      </c>
      <c r="Q1633" s="22">
        <f t="shared" si="1009"/>
        <v>0</v>
      </c>
      <c r="R1633" s="22">
        <f t="shared" si="1009"/>
        <v>0</v>
      </c>
      <c r="S1633" s="22">
        <f t="shared" si="1009"/>
        <v>0</v>
      </c>
      <c r="T1633" s="22">
        <f t="shared" si="1009"/>
        <v>0</v>
      </c>
      <c r="U1633" s="22">
        <f t="shared" si="1009"/>
        <v>0</v>
      </c>
      <c r="V1633" s="22">
        <f t="shared" si="1009"/>
        <v>0</v>
      </c>
      <c r="W1633" s="22">
        <f t="shared" si="1009"/>
        <v>0</v>
      </c>
      <c r="X1633" s="22">
        <f t="shared" si="1009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0">IF(LataProjekcji&lt;=Koniec_Projekt,ROUND(K1477,0),0)</f>
        <v>0</v>
      </c>
      <c r="L1634" s="22">
        <f t="shared" si="1010"/>
        <v>0</v>
      </c>
      <c r="M1634" s="22">
        <f t="shared" si="1010"/>
        <v>0</v>
      </c>
      <c r="N1634" s="22">
        <f t="shared" si="1010"/>
        <v>0</v>
      </c>
      <c r="O1634" s="22">
        <f t="shared" si="1010"/>
        <v>0</v>
      </c>
      <c r="P1634" s="22">
        <f t="shared" si="1010"/>
        <v>0</v>
      </c>
      <c r="Q1634" s="22">
        <f t="shared" si="1010"/>
        <v>0</v>
      </c>
      <c r="R1634" s="22">
        <f t="shared" si="1010"/>
        <v>0</v>
      </c>
      <c r="S1634" s="22">
        <f t="shared" si="1010"/>
        <v>0</v>
      </c>
      <c r="T1634" s="22">
        <f t="shared" si="1010"/>
        <v>0</v>
      </c>
      <c r="U1634" s="22">
        <f t="shared" si="1010"/>
        <v>0</v>
      </c>
      <c r="V1634" s="22">
        <f t="shared" si="1010"/>
        <v>0</v>
      </c>
      <c r="W1634" s="22">
        <f t="shared" si="1010"/>
        <v>0</v>
      </c>
      <c r="X1634" s="22">
        <f t="shared" si="1010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1">IF(LataProjekcji&lt;=Koniec_Projekt,ROUND(K1522,0),0)</f>
        <v>0</v>
      </c>
      <c r="L1635" s="22">
        <f t="shared" si="1011"/>
        <v>0</v>
      </c>
      <c r="M1635" s="22">
        <f t="shared" si="1011"/>
        <v>0</v>
      </c>
      <c r="N1635" s="22">
        <f t="shared" si="1011"/>
        <v>0</v>
      </c>
      <c r="O1635" s="22">
        <f t="shared" si="1011"/>
        <v>0</v>
      </c>
      <c r="P1635" s="22">
        <f t="shared" si="1011"/>
        <v>0</v>
      </c>
      <c r="Q1635" s="22">
        <f t="shared" si="1011"/>
        <v>0</v>
      </c>
      <c r="R1635" s="22">
        <f t="shared" si="1011"/>
        <v>0</v>
      </c>
      <c r="S1635" s="22">
        <f t="shared" si="1011"/>
        <v>0</v>
      </c>
      <c r="T1635" s="22">
        <f t="shared" si="1011"/>
        <v>0</v>
      </c>
      <c r="U1635" s="22">
        <f t="shared" si="1011"/>
        <v>0</v>
      </c>
      <c r="V1635" s="22">
        <f t="shared" si="1011"/>
        <v>0</v>
      </c>
      <c r="W1635" s="22">
        <f t="shared" si="1011"/>
        <v>0</v>
      </c>
      <c r="X1635" s="22">
        <f t="shared" si="1011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2">IF(LataProjekcji&lt;=Koniec_Projekt,ROUND(K1567,0),0)</f>
        <v>0</v>
      </c>
      <c r="L1636" s="22">
        <f t="shared" si="1012"/>
        <v>0</v>
      </c>
      <c r="M1636" s="22">
        <f t="shared" si="1012"/>
        <v>0</v>
      </c>
      <c r="N1636" s="22">
        <f t="shared" si="1012"/>
        <v>0</v>
      </c>
      <c r="O1636" s="22">
        <f t="shared" si="1012"/>
        <v>0</v>
      </c>
      <c r="P1636" s="22">
        <f t="shared" si="1012"/>
        <v>0</v>
      </c>
      <c r="Q1636" s="22">
        <f t="shared" si="1012"/>
        <v>0</v>
      </c>
      <c r="R1636" s="22">
        <f t="shared" si="1012"/>
        <v>0</v>
      </c>
      <c r="S1636" s="22">
        <f t="shared" si="1012"/>
        <v>0</v>
      </c>
      <c r="T1636" s="22">
        <f t="shared" si="1012"/>
        <v>0</v>
      </c>
      <c r="U1636" s="22">
        <f t="shared" si="1012"/>
        <v>0</v>
      </c>
      <c r="V1636" s="22">
        <f t="shared" si="1012"/>
        <v>0</v>
      </c>
      <c r="W1636" s="22">
        <f t="shared" si="1012"/>
        <v>0</v>
      </c>
      <c r="X1636" s="22">
        <f t="shared" si="1012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3">IF(LataProjekcji&lt;=Koniec_Projekt,ROUND(K1601,0),0)</f>
        <v>0</v>
      </c>
      <c r="L1637" s="22">
        <f t="shared" si="1013"/>
        <v>0</v>
      </c>
      <c r="M1637" s="22">
        <f t="shared" si="1013"/>
        <v>0</v>
      </c>
      <c r="N1637" s="22">
        <f t="shared" si="1013"/>
        <v>0</v>
      </c>
      <c r="O1637" s="22">
        <f t="shared" si="1013"/>
        <v>0</v>
      </c>
      <c r="P1637" s="22">
        <f t="shared" si="1013"/>
        <v>0</v>
      </c>
      <c r="Q1637" s="22">
        <f t="shared" si="1013"/>
        <v>0</v>
      </c>
      <c r="R1637" s="22">
        <f t="shared" si="1013"/>
        <v>0</v>
      </c>
      <c r="S1637" s="22">
        <f t="shared" si="1013"/>
        <v>0</v>
      </c>
      <c r="T1637" s="22">
        <f t="shared" si="1013"/>
        <v>0</v>
      </c>
      <c r="U1637" s="22">
        <f t="shared" si="1013"/>
        <v>0</v>
      </c>
      <c r="V1637" s="22">
        <f t="shared" si="1013"/>
        <v>0</v>
      </c>
      <c r="W1637" s="22">
        <f t="shared" si="1013"/>
        <v>0</v>
      </c>
      <c r="X1637" s="22">
        <f t="shared" si="1013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4">IF(LataProjekcji&lt;=Koniec_Projekt,K1610,0)</f>
        <v>0</v>
      </c>
      <c r="L1638" s="22">
        <f t="shared" si="1014"/>
        <v>0</v>
      </c>
      <c r="M1638" s="22">
        <f t="shared" si="1014"/>
        <v>0</v>
      </c>
      <c r="N1638" s="22">
        <f t="shared" si="1014"/>
        <v>0</v>
      </c>
      <c r="O1638" s="22">
        <f t="shared" si="1014"/>
        <v>0</v>
      </c>
      <c r="P1638" s="22">
        <f t="shared" si="1014"/>
        <v>0</v>
      </c>
      <c r="Q1638" s="22">
        <f t="shared" si="1014"/>
        <v>0</v>
      </c>
      <c r="R1638" s="22">
        <f t="shared" si="1014"/>
        <v>0</v>
      </c>
      <c r="S1638" s="22">
        <f t="shared" si="1014"/>
        <v>0</v>
      </c>
      <c r="T1638" s="22">
        <f t="shared" si="1014"/>
        <v>0</v>
      </c>
      <c r="U1638" s="22">
        <f t="shared" si="1014"/>
        <v>0</v>
      </c>
      <c r="V1638" s="22">
        <f t="shared" si="1014"/>
        <v>0</v>
      </c>
      <c r="W1638" s="22">
        <f t="shared" si="1014"/>
        <v>0</v>
      </c>
      <c r="X1638" s="22">
        <f t="shared" si="1014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5">IF(LataProjekcji&lt;=Koniec_Projekt,ROUND(K1619,0),0)</f>
        <v>0</v>
      </c>
      <c r="L1639" s="22">
        <f t="shared" si="1015"/>
        <v>0</v>
      </c>
      <c r="M1639" s="22">
        <f t="shared" si="1015"/>
        <v>0</v>
      </c>
      <c r="N1639" s="22">
        <f t="shared" si="1015"/>
        <v>0</v>
      </c>
      <c r="O1639" s="22">
        <f t="shared" si="1015"/>
        <v>0</v>
      </c>
      <c r="P1639" s="22">
        <f t="shared" si="1015"/>
        <v>0</v>
      </c>
      <c r="Q1639" s="22">
        <f t="shared" si="1015"/>
        <v>0</v>
      </c>
      <c r="R1639" s="22">
        <f t="shared" si="1015"/>
        <v>0</v>
      </c>
      <c r="S1639" s="22">
        <f t="shared" si="1015"/>
        <v>0</v>
      </c>
      <c r="T1639" s="22">
        <f t="shared" si="1015"/>
        <v>0</v>
      </c>
      <c r="U1639" s="22">
        <f t="shared" si="1015"/>
        <v>0</v>
      </c>
      <c r="V1639" s="22">
        <f t="shared" si="1015"/>
        <v>0</v>
      </c>
      <c r="W1639" s="22">
        <f t="shared" si="1015"/>
        <v>0</v>
      </c>
      <c r="X1639" s="22">
        <f t="shared" si="1015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16">IF(LataProjekcji&lt;=Koniec_Projekt,ROUND(K1628,0),0)</f>
        <v>0</v>
      </c>
      <c r="L1640" s="22">
        <f t="shared" si="1016"/>
        <v>0</v>
      </c>
      <c r="M1640" s="22">
        <f t="shared" si="1016"/>
        <v>0</v>
      </c>
      <c r="N1640" s="22">
        <f t="shared" si="1016"/>
        <v>0</v>
      </c>
      <c r="O1640" s="22">
        <f t="shared" si="1016"/>
        <v>0</v>
      </c>
      <c r="P1640" s="22">
        <f t="shared" si="1016"/>
        <v>0</v>
      </c>
      <c r="Q1640" s="22">
        <f t="shared" si="1016"/>
        <v>0</v>
      </c>
      <c r="R1640" s="22">
        <f t="shared" si="1016"/>
        <v>0</v>
      </c>
      <c r="S1640" s="22">
        <f t="shared" si="1016"/>
        <v>0</v>
      </c>
      <c r="T1640" s="22">
        <f t="shared" si="1016"/>
        <v>0</v>
      </c>
      <c r="U1640" s="22">
        <f t="shared" si="1016"/>
        <v>0</v>
      </c>
      <c r="V1640" s="22">
        <f t="shared" si="1016"/>
        <v>0</v>
      </c>
      <c r="W1640" s="22">
        <f t="shared" si="1016"/>
        <v>0</v>
      </c>
      <c r="X1640" s="22">
        <f t="shared" si="1016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17">ROUND(SUM(L1632:L1640),0)</f>
        <v>0</v>
      </c>
      <c r="M1641" s="65">
        <f t="shared" si="1017"/>
        <v>0</v>
      </c>
      <c r="N1641" s="65">
        <f t="shared" si="1017"/>
        <v>0</v>
      </c>
      <c r="O1641" s="65">
        <f t="shared" si="1017"/>
        <v>0</v>
      </c>
      <c r="P1641" s="65">
        <f t="shared" si="1017"/>
        <v>0</v>
      </c>
      <c r="Q1641" s="65">
        <f t="shared" si="1017"/>
        <v>0</v>
      </c>
      <c r="R1641" s="65">
        <f t="shared" si="1017"/>
        <v>0</v>
      </c>
      <c r="S1641" s="65">
        <f t="shared" si="1017"/>
        <v>0</v>
      </c>
      <c r="T1641" s="65">
        <f t="shared" si="1017"/>
        <v>0</v>
      </c>
      <c r="U1641" s="65">
        <f t="shared" si="1017"/>
        <v>0</v>
      </c>
      <c r="V1641" s="65">
        <f t="shared" si="1017"/>
        <v>0</v>
      </c>
      <c r="W1641" s="65">
        <f t="shared" si="1017"/>
        <v>0</v>
      </c>
      <c r="X1641" s="65">
        <f t="shared" si="1017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18">LataProjekcji</f>
        <v>Uzupełnij dane</v>
      </c>
      <c r="L1644" s="63" t="str">
        <f t="shared" si="1018"/>
        <v/>
      </c>
      <c r="M1644" s="63" t="str">
        <f t="shared" si="1018"/>
        <v/>
      </c>
      <c r="N1644" s="63" t="str">
        <f t="shared" si="1018"/>
        <v/>
      </c>
      <c r="O1644" s="63" t="str">
        <f t="shared" si="1018"/>
        <v/>
      </c>
      <c r="P1644" s="63" t="str">
        <f t="shared" si="1018"/>
        <v/>
      </c>
      <c r="Q1644" s="63" t="str">
        <f t="shared" si="1018"/>
        <v/>
      </c>
      <c r="R1644" s="63" t="str">
        <f t="shared" si="1018"/>
        <v/>
      </c>
      <c r="S1644" s="63" t="str">
        <f t="shared" si="1018"/>
        <v/>
      </c>
      <c r="T1644" s="63" t="str">
        <f t="shared" si="1018"/>
        <v/>
      </c>
      <c r="U1644" s="63" t="str">
        <f t="shared" si="1018"/>
        <v/>
      </c>
      <c r="V1644" s="63" t="str">
        <f t="shared" si="1018"/>
        <v/>
      </c>
      <c r="W1644" s="63" t="str">
        <f t="shared" si="1018"/>
        <v/>
      </c>
      <c r="X1644" s="63" t="str">
        <f t="shared" si="1018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19">ROUND(K1646+L1641,0)</f>
        <v>0</v>
      </c>
      <c r="M1646" s="65">
        <f t="shared" si="1019"/>
        <v>0</v>
      </c>
      <c r="N1646" s="65">
        <f t="shared" si="1019"/>
        <v>0</v>
      </c>
      <c r="O1646" s="65">
        <f t="shared" si="1019"/>
        <v>0</v>
      </c>
      <c r="P1646" s="65">
        <f t="shared" si="1019"/>
        <v>0</v>
      </c>
      <c r="Q1646" s="65">
        <f t="shared" si="1019"/>
        <v>0</v>
      </c>
      <c r="R1646" s="65">
        <f t="shared" si="1019"/>
        <v>0</v>
      </c>
      <c r="S1646" s="65">
        <f t="shared" si="1019"/>
        <v>0</v>
      </c>
      <c r="T1646" s="65">
        <f t="shared" si="1019"/>
        <v>0</v>
      </c>
      <c r="U1646" s="65">
        <f t="shared" si="1019"/>
        <v>0</v>
      </c>
      <c r="V1646" s="65">
        <f t="shared" si="1019"/>
        <v>0</v>
      </c>
      <c r="W1646" s="65">
        <f t="shared" si="1019"/>
        <v>0</v>
      </c>
      <c r="X1646" s="65">
        <f t="shared" si="1019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0">IF(LataProjekcji&lt;=Koniec_Projekt,K1641,0)</f>
        <v>0</v>
      </c>
      <c r="L1651" s="65">
        <f t="shared" si="1020"/>
        <v>0</v>
      </c>
      <c r="M1651" s="65">
        <f t="shared" si="1020"/>
        <v>0</v>
      </c>
      <c r="N1651" s="65">
        <f t="shared" si="1020"/>
        <v>0</v>
      </c>
      <c r="O1651" s="65">
        <f t="shared" si="1020"/>
        <v>0</v>
      </c>
      <c r="P1651" s="65">
        <f t="shared" si="1020"/>
        <v>0</v>
      </c>
      <c r="Q1651" s="65">
        <f t="shared" si="1020"/>
        <v>0</v>
      </c>
      <c r="R1651" s="65">
        <f t="shared" si="1020"/>
        <v>0</v>
      </c>
      <c r="S1651" s="65">
        <f t="shared" si="1020"/>
        <v>0</v>
      </c>
      <c r="T1651" s="65">
        <f t="shared" si="1020"/>
        <v>0</v>
      </c>
      <c r="U1651" s="65">
        <f t="shared" si="1020"/>
        <v>0</v>
      </c>
      <c r="V1651" s="65">
        <f t="shared" si="1020"/>
        <v>0</v>
      </c>
      <c r="W1651" s="65">
        <f t="shared" si="1020"/>
        <v>0</v>
      </c>
      <c r="X1651" s="65">
        <f t="shared" si="1020"/>
        <v>0</v>
      </c>
    </row>
    <row r="1661" spans="2:24" hidden="1">
      <c r="B1661" s="110" t="s">
        <v>678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1">LataProjekcji</f>
        <v>Uzupełnij dane</v>
      </c>
      <c r="L1661" s="113" t="str">
        <f t="shared" si="1021"/>
        <v/>
      </c>
      <c r="M1661" s="113" t="str">
        <f t="shared" si="1021"/>
        <v/>
      </c>
      <c r="N1661" s="113" t="str">
        <f t="shared" si="1021"/>
        <v/>
      </c>
      <c r="O1661" s="113" t="str">
        <f t="shared" si="1021"/>
        <v/>
      </c>
      <c r="P1661" s="113" t="str">
        <f t="shared" si="1021"/>
        <v/>
      </c>
      <c r="Q1661" s="113" t="str">
        <f t="shared" si="1021"/>
        <v/>
      </c>
      <c r="R1661" s="113" t="str">
        <f t="shared" si="1021"/>
        <v/>
      </c>
      <c r="S1661" s="113" t="str">
        <f t="shared" si="1021"/>
        <v/>
      </c>
      <c r="T1661" s="113" t="str">
        <f t="shared" si="1021"/>
        <v/>
      </c>
      <c r="U1661" s="113" t="str">
        <f t="shared" si="1021"/>
        <v/>
      </c>
      <c r="V1661" s="113" t="str">
        <f t="shared" si="1021"/>
        <v/>
      </c>
      <c r="W1661" s="113" t="str">
        <f t="shared" si="1021"/>
        <v/>
      </c>
      <c r="X1661" s="113" t="str">
        <f t="shared" si="1021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2">IF(ISBLANK(B1424),"",B1424)</f>
        <v/>
      </c>
      <c r="C1664" s="116" t="str">
        <f t="shared" si="1022"/>
        <v/>
      </c>
      <c r="D1664" s="116" t="str">
        <f t="shared" si="1022"/>
        <v/>
      </c>
      <c r="E1664" s="116" t="str">
        <f t="shared" si="1022"/>
        <v/>
      </c>
      <c r="F1664" s="116"/>
      <c r="G1664" s="116"/>
      <c r="H1664" s="116"/>
      <c r="I1664" s="116"/>
      <c r="J1664" s="116"/>
      <c r="K1664" s="118">
        <f t="shared" ref="K1664:X1664" si="1023">IF(AND($D1664="tak",OR($E1664="nie dotyczy",$E1664="badania przemysłowe"),LataProjekcji&lt;=Koniec_Projekt),K117,0)</f>
        <v>0</v>
      </c>
      <c r="L1664" s="118">
        <f t="shared" si="1023"/>
        <v>0</v>
      </c>
      <c r="M1664" s="118">
        <f t="shared" si="1023"/>
        <v>0</v>
      </c>
      <c r="N1664" s="118">
        <f t="shared" si="1023"/>
        <v>0</v>
      </c>
      <c r="O1664" s="118">
        <f t="shared" si="1023"/>
        <v>0</v>
      </c>
      <c r="P1664" s="118">
        <f t="shared" si="1023"/>
        <v>0</v>
      </c>
      <c r="Q1664" s="118">
        <f t="shared" si="1023"/>
        <v>0</v>
      </c>
      <c r="R1664" s="118">
        <f t="shared" si="1023"/>
        <v>0</v>
      </c>
      <c r="S1664" s="118">
        <f t="shared" si="1023"/>
        <v>0</v>
      </c>
      <c r="T1664" s="118">
        <f t="shared" si="1023"/>
        <v>0</v>
      </c>
      <c r="U1664" s="118">
        <f t="shared" si="1023"/>
        <v>0</v>
      </c>
      <c r="V1664" s="118">
        <f t="shared" si="1023"/>
        <v>0</v>
      </c>
      <c r="W1664" s="118">
        <f t="shared" si="1023"/>
        <v>0</v>
      </c>
      <c r="X1664" s="118">
        <f t="shared" si="1023"/>
        <v>0</v>
      </c>
    </row>
    <row r="1665" spans="2:24" hidden="1">
      <c r="B1665" s="116" t="str">
        <f t="shared" si="1022"/>
        <v/>
      </c>
      <c r="C1665" s="116" t="str">
        <f t="shared" si="1022"/>
        <v/>
      </c>
      <c r="D1665" s="116" t="str">
        <f t="shared" si="1022"/>
        <v/>
      </c>
      <c r="E1665" s="116" t="str">
        <f t="shared" si="1022"/>
        <v/>
      </c>
      <c r="F1665" s="116"/>
      <c r="G1665" s="116"/>
      <c r="H1665" s="116"/>
      <c r="I1665" s="116"/>
      <c r="J1665" s="116"/>
      <c r="K1665" s="118">
        <f t="shared" ref="K1665:X1665" si="1024">IF(AND($D1665="tak",OR($E1665="nie dotyczy",$E1665="badania przemysłowe"),LataProjekcji&lt;=Koniec_Projekt),K118,0)</f>
        <v>0</v>
      </c>
      <c r="L1665" s="118">
        <f t="shared" si="1024"/>
        <v>0</v>
      </c>
      <c r="M1665" s="118">
        <f t="shared" si="1024"/>
        <v>0</v>
      </c>
      <c r="N1665" s="118">
        <f t="shared" si="1024"/>
        <v>0</v>
      </c>
      <c r="O1665" s="118">
        <f t="shared" si="1024"/>
        <v>0</v>
      </c>
      <c r="P1665" s="118">
        <f t="shared" si="1024"/>
        <v>0</v>
      </c>
      <c r="Q1665" s="118">
        <f t="shared" si="1024"/>
        <v>0</v>
      </c>
      <c r="R1665" s="118">
        <f t="shared" si="1024"/>
        <v>0</v>
      </c>
      <c r="S1665" s="118">
        <f t="shared" si="1024"/>
        <v>0</v>
      </c>
      <c r="T1665" s="118">
        <f t="shared" si="1024"/>
        <v>0</v>
      </c>
      <c r="U1665" s="118">
        <f t="shared" si="1024"/>
        <v>0</v>
      </c>
      <c r="V1665" s="118">
        <f t="shared" si="1024"/>
        <v>0</v>
      </c>
      <c r="W1665" s="118">
        <f t="shared" si="1024"/>
        <v>0</v>
      </c>
      <c r="X1665" s="118">
        <f t="shared" si="1024"/>
        <v>0</v>
      </c>
    </row>
    <row r="1666" spans="2:24" hidden="1">
      <c r="B1666" s="116" t="str">
        <f t="shared" si="1022"/>
        <v/>
      </c>
      <c r="C1666" s="116" t="str">
        <f t="shared" si="1022"/>
        <v/>
      </c>
      <c r="D1666" s="116" t="str">
        <f t="shared" si="1022"/>
        <v/>
      </c>
      <c r="E1666" s="116" t="str">
        <f t="shared" si="1022"/>
        <v/>
      </c>
      <c r="F1666" s="116"/>
      <c r="G1666" s="116"/>
      <c r="H1666" s="116"/>
      <c r="I1666" s="116"/>
      <c r="J1666" s="116"/>
      <c r="K1666" s="118">
        <f t="shared" ref="K1666:X1666" si="1025">IF(AND($D1666="tak",OR($E1666="nie dotyczy",$E1666="badania przemysłowe"),LataProjekcji&lt;=Koniec_Projekt),K119,0)</f>
        <v>0</v>
      </c>
      <c r="L1666" s="118">
        <f t="shared" si="1025"/>
        <v>0</v>
      </c>
      <c r="M1666" s="118">
        <f t="shared" si="1025"/>
        <v>0</v>
      </c>
      <c r="N1666" s="118">
        <f t="shared" si="1025"/>
        <v>0</v>
      </c>
      <c r="O1666" s="118">
        <f t="shared" si="1025"/>
        <v>0</v>
      </c>
      <c r="P1666" s="118">
        <f t="shared" si="1025"/>
        <v>0</v>
      </c>
      <c r="Q1666" s="118">
        <f t="shared" si="1025"/>
        <v>0</v>
      </c>
      <c r="R1666" s="118">
        <f t="shared" si="1025"/>
        <v>0</v>
      </c>
      <c r="S1666" s="118">
        <f t="shared" si="1025"/>
        <v>0</v>
      </c>
      <c r="T1666" s="118">
        <f t="shared" si="1025"/>
        <v>0</v>
      </c>
      <c r="U1666" s="118">
        <f t="shared" si="1025"/>
        <v>0</v>
      </c>
      <c r="V1666" s="118">
        <f t="shared" si="1025"/>
        <v>0</v>
      </c>
      <c r="W1666" s="118">
        <f t="shared" si="1025"/>
        <v>0</v>
      </c>
      <c r="X1666" s="118">
        <f t="shared" si="1025"/>
        <v>0</v>
      </c>
    </row>
    <row r="1667" spans="2:24" hidden="1">
      <c r="B1667" s="116" t="str">
        <f t="shared" si="1022"/>
        <v/>
      </c>
      <c r="C1667" s="116" t="str">
        <f t="shared" si="1022"/>
        <v/>
      </c>
      <c r="D1667" s="116" t="str">
        <f t="shared" si="1022"/>
        <v/>
      </c>
      <c r="E1667" s="116" t="str">
        <f t="shared" si="1022"/>
        <v/>
      </c>
      <c r="F1667" s="116"/>
      <c r="G1667" s="116"/>
      <c r="H1667" s="116"/>
      <c r="I1667" s="116"/>
      <c r="J1667" s="116"/>
      <c r="K1667" s="118">
        <f t="shared" ref="K1667:X1667" si="1026">IF(AND($D1667="tak",OR($E1667="nie dotyczy",$E1667="badania przemysłowe"),LataProjekcji&lt;=Koniec_Projekt),K120,0)</f>
        <v>0</v>
      </c>
      <c r="L1667" s="118">
        <f t="shared" si="1026"/>
        <v>0</v>
      </c>
      <c r="M1667" s="118">
        <f t="shared" si="1026"/>
        <v>0</v>
      </c>
      <c r="N1667" s="118">
        <f t="shared" si="1026"/>
        <v>0</v>
      </c>
      <c r="O1667" s="118">
        <f t="shared" si="1026"/>
        <v>0</v>
      </c>
      <c r="P1667" s="118">
        <f t="shared" si="1026"/>
        <v>0</v>
      </c>
      <c r="Q1667" s="118">
        <f t="shared" si="1026"/>
        <v>0</v>
      </c>
      <c r="R1667" s="118">
        <f t="shared" si="1026"/>
        <v>0</v>
      </c>
      <c r="S1667" s="118">
        <f t="shared" si="1026"/>
        <v>0</v>
      </c>
      <c r="T1667" s="118">
        <f t="shared" si="1026"/>
        <v>0</v>
      </c>
      <c r="U1667" s="118">
        <f t="shared" si="1026"/>
        <v>0</v>
      </c>
      <c r="V1667" s="118">
        <f t="shared" si="1026"/>
        <v>0</v>
      </c>
      <c r="W1667" s="118">
        <f t="shared" si="1026"/>
        <v>0</v>
      </c>
      <c r="X1667" s="118">
        <f t="shared" si="1026"/>
        <v>0</v>
      </c>
    </row>
    <row r="1668" spans="2:24" hidden="1">
      <c r="B1668" s="116" t="str">
        <f t="shared" si="1022"/>
        <v/>
      </c>
      <c r="C1668" s="116" t="str">
        <f t="shared" si="1022"/>
        <v/>
      </c>
      <c r="D1668" s="116" t="str">
        <f t="shared" si="1022"/>
        <v/>
      </c>
      <c r="E1668" s="116" t="str">
        <f t="shared" si="1022"/>
        <v/>
      </c>
      <c r="F1668" s="116"/>
      <c r="G1668" s="116"/>
      <c r="H1668" s="116"/>
      <c r="I1668" s="116"/>
      <c r="J1668" s="116"/>
      <c r="K1668" s="118">
        <f t="shared" ref="K1668:X1668" si="1027">IF(AND($D1668="tak",OR($E1668="nie dotyczy",$E1668="badania przemysłowe"),LataProjekcji&lt;=Koniec_Projekt),K121,0)</f>
        <v>0</v>
      </c>
      <c r="L1668" s="118">
        <f t="shared" si="1027"/>
        <v>0</v>
      </c>
      <c r="M1668" s="118">
        <f t="shared" si="1027"/>
        <v>0</v>
      </c>
      <c r="N1668" s="118">
        <f t="shared" si="1027"/>
        <v>0</v>
      </c>
      <c r="O1668" s="118">
        <f t="shared" si="1027"/>
        <v>0</v>
      </c>
      <c r="P1668" s="118">
        <f t="shared" si="1027"/>
        <v>0</v>
      </c>
      <c r="Q1668" s="118">
        <f t="shared" si="1027"/>
        <v>0</v>
      </c>
      <c r="R1668" s="118">
        <f t="shared" si="1027"/>
        <v>0</v>
      </c>
      <c r="S1668" s="118">
        <f t="shared" si="1027"/>
        <v>0</v>
      </c>
      <c r="T1668" s="118">
        <f t="shared" si="1027"/>
        <v>0</v>
      </c>
      <c r="U1668" s="118">
        <f t="shared" si="1027"/>
        <v>0</v>
      </c>
      <c r="V1668" s="118">
        <f t="shared" si="1027"/>
        <v>0</v>
      </c>
      <c r="W1668" s="118">
        <f t="shared" si="1027"/>
        <v>0</v>
      </c>
      <c r="X1668" s="118">
        <f t="shared" si="1027"/>
        <v>0</v>
      </c>
    </row>
    <row r="1669" spans="2:24" hidden="1">
      <c r="B1669" s="116" t="str">
        <f t="shared" si="1022"/>
        <v/>
      </c>
      <c r="C1669" s="116" t="str">
        <f t="shared" si="1022"/>
        <v/>
      </c>
      <c r="D1669" s="116" t="str">
        <f t="shared" si="1022"/>
        <v/>
      </c>
      <c r="E1669" s="116" t="str">
        <f t="shared" si="1022"/>
        <v/>
      </c>
      <c r="F1669" s="116"/>
      <c r="G1669" s="116"/>
      <c r="H1669" s="116"/>
      <c r="I1669" s="116"/>
      <c r="J1669" s="116"/>
      <c r="K1669" s="118">
        <f t="shared" ref="K1669:X1669" si="1028">IF(AND($D1669="tak",OR($E1669="nie dotyczy",$E1669="badania przemysłowe"),LataProjekcji&lt;=Koniec_Projekt),K122,0)</f>
        <v>0</v>
      </c>
      <c r="L1669" s="118">
        <f t="shared" si="1028"/>
        <v>0</v>
      </c>
      <c r="M1669" s="118">
        <f t="shared" si="1028"/>
        <v>0</v>
      </c>
      <c r="N1669" s="118">
        <f t="shared" si="1028"/>
        <v>0</v>
      </c>
      <c r="O1669" s="118">
        <f t="shared" si="1028"/>
        <v>0</v>
      </c>
      <c r="P1669" s="118">
        <f t="shared" si="1028"/>
        <v>0</v>
      </c>
      <c r="Q1669" s="118">
        <f t="shared" si="1028"/>
        <v>0</v>
      </c>
      <c r="R1669" s="118">
        <f t="shared" si="1028"/>
        <v>0</v>
      </c>
      <c r="S1669" s="118">
        <f t="shared" si="1028"/>
        <v>0</v>
      </c>
      <c r="T1669" s="118">
        <f t="shared" si="1028"/>
        <v>0</v>
      </c>
      <c r="U1669" s="118">
        <f t="shared" si="1028"/>
        <v>0</v>
      </c>
      <c r="V1669" s="118">
        <f t="shared" si="1028"/>
        <v>0</v>
      </c>
      <c r="W1669" s="118">
        <f t="shared" si="1028"/>
        <v>0</v>
      </c>
      <c r="X1669" s="118">
        <f t="shared" si="1028"/>
        <v>0</v>
      </c>
    </row>
    <row r="1670" spans="2:24" hidden="1">
      <c r="B1670" s="116" t="str">
        <f t="shared" si="1022"/>
        <v/>
      </c>
      <c r="C1670" s="116" t="str">
        <f t="shared" si="1022"/>
        <v/>
      </c>
      <c r="D1670" s="116" t="str">
        <f t="shared" si="1022"/>
        <v/>
      </c>
      <c r="E1670" s="116" t="str">
        <f t="shared" si="1022"/>
        <v/>
      </c>
      <c r="F1670" s="116"/>
      <c r="G1670" s="116"/>
      <c r="H1670" s="116"/>
      <c r="I1670" s="116"/>
      <c r="J1670" s="116"/>
      <c r="K1670" s="118">
        <f t="shared" ref="K1670:X1670" si="1029">IF(AND($D1670="tak",OR($E1670="nie dotyczy",$E1670="badania przemysłowe"),LataProjekcji&lt;=Koniec_Projekt),K123,0)</f>
        <v>0</v>
      </c>
      <c r="L1670" s="118">
        <f t="shared" si="1029"/>
        <v>0</v>
      </c>
      <c r="M1670" s="118">
        <f t="shared" si="1029"/>
        <v>0</v>
      </c>
      <c r="N1670" s="118">
        <f t="shared" si="1029"/>
        <v>0</v>
      </c>
      <c r="O1670" s="118">
        <f t="shared" si="1029"/>
        <v>0</v>
      </c>
      <c r="P1670" s="118">
        <f t="shared" si="1029"/>
        <v>0</v>
      </c>
      <c r="Q1670" s="118">
        <f t="shared" si="1029"/>
        <v>0</v>
      </c>
      <c r="R1670" s="118">
        <f t="shared" si="1029"/>
        <v>0</v>
      </c>
      <c r="S1670" s="118">
        <f t="shared" si="1029"/>
        <v>0</v>
      </c>
      <c r="T1670" s="118">
        <f t="shared" si="1029"/>
        <v>0</v>
      </c>
      <c r="U1670" s="118">
        <f t="shared" si="1029"/>
        <v>0</v>
      </c>
      <c r="V1670" s="118">
        <f t="shared" si="1029"/>
        <v>0</v>
      </c>
      <c r="W1670" s="118">
        <f t="shared" si="1029"/>
        <v>0</v>
      </c>
      <c r="X1670" s="118">
        <f t="shared" si="1029"/>
        <v>0</v>
      </c>
    </row>
    <row r="1671" spans="2:24" hidden="1">
      <c r="B1671" s="116" t="str">
        <f t="shared" si="1022"/>
        <v/>
      </c>
      <c r="C1671" s="116" t="str">
        <f t="shared" si="1022"/>
        <v/>
      </c>
      <c r="D1671" s="116" t="str">
        <f t="shared" si="1022"/>
        <v/>
      </c>
      <c r="E1671" s="116" t="str">
        <f t="shared" si="1022"/>
        <v/>
      </c>
      <c r="F1671" s="116"/>
      <c r="G1671" s="116"/>
      <c r="H1671" s="116"/>
      <c r="I1671" s="116"/>
      <c r="J1671" s="116"/>
      <c r="K1671" s="118">
        <f t="shared" ref="K1671:X1671" si="1030">IF(AND($D1671="tak",OR($E1671="nie dotyczy",$E1671="badania przemysłowe"),LataProjekcji&lt;=Koniec_Projekt),K124,0)</f>
        <v>0</v>
      </c>
      <c r="L1671" s="118">
        <f t="shared" si="1030"/>
        <v>0</v>
      </c>
      <c r="M1671" s="118">
        <f t="shared" si="1030"/>
        <v>0</v>
      </c>
      <c r="N1671" s="118">
        <f t="shared" si="1030"/>
        <v>0</v>
      </c>
      <c r="O1671" s="118">
        <f t="shared" si="1030"/>
        <v>0</v>
      </c>
      <c r="P1671" s="118">
        <f t="shared" si="1030"/>
        <v>0</v>
      </c>
      <c r="Q1671" s="118">
        <f t="shared" si="1030"/>
        <v>0</v>
      </c>
      <c r="R1671" s="118">
        <f t="shared" si="1030"/>
        <v>0</v>
      </c>
      <c r="S1671" s="118">
        <f t="shared" si="1030"/>
        <v>0</v>
      </c>
      <c r="T1671" s="118">
        <f t="shared" si="1030"/>
        <v>0</v>
      </c>
      <c r="U1671" s="118">
        <f t="shared" si="1030"/>
        <v>0</v>
      </c>
      <c r="V1671" s="118">
        <f t="shared" si="1030"/>
        <v>0</v>
      </c>
      <c r="W1671" s="118">
        <f t="shared" si="1030"/>
        <v>0</v>
      </c>
      <c r="X1671" s="118">
        <f t="shared" si="1030"/>
        <v>0</v>
      </c>
    </row>
    <row r="1672" spans="2:24" hidden="1">
      <c r="B1672" s="116" t="str">
        <f t="shared" si="1022"/>
        <v/>
      </c>
      <c r="C1672" s="116" t="str">
        <f t="shared" si="1022"/>
        <v/>
      </c>
      <c r="D1672" s="116" t="str">
        <f t="shared" si="1022"/>
        <v/>
      </c>
      <c r="E1672" s="116" t="str">
        <f t="shared" si="1022"/>
        <v/>
      </c>
      <c r="F1672" s="116"/>
      <c r="G1672" s="116"/>
      <c r="H1672" s="116"/>
      <c r="I1672" s="116"/>
      <c r="J1672" s="116"/>
      <c r="K1672" s="118">
        <f t="shared" ref="K1672:X1672" si="1031">IF(AND($D1672="tak",OR($E1672="nie dotyczy",$E1672="badania przemysłowe"),LataProjekcji&lt;=Koniec_Projekt),K125,0)</f>
        <v>0</v>
      </c>
      <c r="L1672" s="118">
        <f t="shared" si="1031"/>
        <v>0</v>
      </c>
      <c r="M1672" s="118">
        <f t="shared" si="1031"/>
        <v>0</v>
      </c>
      <c r="N1672" s="118">
        <f t="shared" si="1031"/>
        <v>0</v>
      </c>
      <c r="O1672" s="118">
        <f t="shared" si="1031"/>
        <v>0</v>
      </c>
      <c r="P1672" s="118">
        <f t="shared" si="1031"/>
        <v>0</v>
      </c>
      <c r="Q1672" s="118">
        <f t="shared" si="1031"/>
        <v>0</v>
      </c>
      <c r="R1672" s="118">
        <f t="shared" si="1031"/>
        <v>0</v>
      </c>
      <c r="S1672" s="118">
        <f t="shared" si="1031"/>
        <v>0</v>
      </c>
      <c r="T1672" s="118">
        <f t="shared" si="1031"/>
        <v>0</v>
      </c>
      <c r="U1672" s="118">
        <f t="shared" si="1031"/>
        <v>0</v>
      </c>
      <c r="V1672" s="118">
        <f t="shared" si="1031"/>
        <v>0</v>
      </c>
      <c r="W1672" s="118">
        <f t="shared" si="1031"/>
        <v>0</v>
      </c>
      <c r="X1672" s="118">
        <f t="shared" si="1031"/>
        <v>0</v>
      </c>
    </row>
    <row r="1673" spans="2:24" hidden="1">
      <c r="B1673" s="116" t="str">
        <f t="shared" si="1022"/>
        <v/>
      </c>
      <c r="C1673" s="116" t="str">
        <f t="shared" si="1022"/>
        <v/>
      </c>
      <c r="D1673" s="116" t="str">
        <f t="shared" si="1022"/>
        <v/>
      </c>
      <c r="E1673" s="116" t="str">
        <f t="shared" si="1022"/>
        <v/>
      </c>
      <c r="F1673" s="116"/>
      <c r="G1673" s="116"/>
      <c r="H1673" s="116"/>
      <c r="I1673" s="116"/>
      <c r="J1673" s="116"/>
      <c r="K1673" s="118">
        <f t="shared" ref="K1673:X1673" si="1032">IF(AND($D1673="tak",OR($E1673="nie dotyczy",$E1673="badania przemysłowe"),LataProjekcji&lt;=Koniec_Projekt),K126,0)</f>
        <v>0</v>
      </c>
      <c r="L1673" s="118">
        <f t="shared" si="1032"/>
        <v>0</v>
      </c>
      <c r="M1673" s="118">
        <f t="shared" si="1032"/>
        <v>0</v>
      </c>
      <c r="N1673" s="118">
        <f t="shared" si="1032"/>
        <v>0</v>
      </c>
      <c r="O1673" s="118">
        <f t="shared" si="1032"/>
        <v>0</v>
      </c>
      <c r="P1673" s="118">
        <f t="shared" si="1032"/>
        <v>0</v>
      </c>
      <c r="Q1673" s="118">
        <f t="shared" si="1032"/>
        <v>0</v>
      </c>
      <c r="R1673" s="118">
        <f t="shared" si="1032"/>
        <v>0</v>
      </c>
      <c r="S1673" s="118">
        <f t="shared" si="1032"/>
        <v>0</v>
      </c>
      <c r="T1673" s="118">
        <f t="shared" si="1032"/>
        <v>0</v>
      </c>
      <c r="U1673" s="118">
        <f t="shared" si="1032"/>
        <v>0</v>
      </c>
      <c r="V1673" s="118">
        <f t="shared" si="1032"/>
        <v>0</v>
      </c>
      <c r="W1673" s="118">
        <f t="shared" si="1032"/>
        <v>0</v>
      </c>
      <c r="X1673" s="118">
        <f t="shared" si="1032"/>
        <v>0</v>
      </c>
    </row>
    <row r="1674" spans="2:24" hidden="1">
      <c r="B1674" s="116" t="str">
        <f t="shared" si="1022"/>
        <v/>
      </c>
      <c r="C1674" s="116" t="str">
        <f t="shared" si="1022"/>
        <v/>
      </c>
      <c r="D1674" s="116" t="str">
        <f t="shared" si="1022"/>
        <v/>
      </c>
      <c r="E1674" s="116" t="str">
        <f t="shared" si="1022"/>
        <v/>
      </c>
      <c r="F1674" s="116"/>
      <c r="G1674" s="116"/>
      <c r="H1674" s="116"/>
      <c r="I1674" s="116"/>
      <c r="J1674" s="116"/>
      <c r="K1674" s="118">
        <f t="shared" ref="K1674:X1674" si="1033">IF(AND($D1674="tak",OR($E1674="nie dotyczy",$E1674="badania przemysłowe"),LataProjekcji&lt;=Koniec_Projekt),K127,0)</f>
        <v>0</v>
      </c>
      <c r="L1674" s="118">
        <f t="shared" si="1033"/>
        <v>0</v>
      </c>
      <c r="M1674" s="118">
        <f t="shared" si="1033"/>
        <v>0</v>
      </c>
      <c r="N1674" s="118">
        <f t="shared" si="1033"/>
        <v>0</v>
      </c>
      <c r="O1674" s="118">
        <f t="shared" si="1033"/>
        <v>0</v>
      </c>
      <c r="P1674" s="118">
        <f t="shared" si="1033"/>
        <v>0</v>
      </c>
      <c r="Q1674" s="118">
        <f t="shared" si="1033"/>
        <v>0</v>
      </c>
      <c r="R1674" s="118">
        <f t="shared" si="1033"/>
        <v>0</v>
      </c>
      <c r="S1674" s="118">
        <f t="shared" si="1033"/>
        <v>0</v>
      </c>
      <c r="T1674" s="118">
        <f t="shared" si="1033"/>
        <v>0</v>
      </c>
      <c r="U1674" s="118">
        <f t="shared" si="1033"/>
        <v>0</v>
      </c>
      <c r="V1674" s="118">
        <f t="shared" si="1033"/>
        <v>0</v>
      </c>
      <c r="W1674" s="118">
        <f t="shared" si="1033"/>
        <v>0</v>
      </c>
      <c r="X1674" s="118">
        <f t="shared" si="1033"/>
        <v>0</v>
      </c>
    </row>
    <row r="1675" spans="2:24" hidden="1">
      <c r="B1675" s="116" t="str">
        <f t="shared" si="1022"/>
        <v/>
      </c>
      <c r="C1675" s="116" t="str">
        <f t="shared" si="1022"/>
        <v/>
      </c>
      <c r="D1675" s="116" t="str">
        <f t="shared" si="1022"/>
        <v/>
      </c>
      <c r="E1675" s="116" t="str">
        <f t="shared" si="1022"/>
        <v/>
      </c>
      <c r="F1675" s="116"/>
      <c r="G1675" s="116"/>
      <c r="H1675" s="116"/>
      <c r="I1675" s="116"/>
      <c r="J1675" s="116"/>
      <c r="K1675" s="118">
        <f t="shared" ref="K1675:X1675" si="1034">IF(AND($D1675="tak",OR($E1675="nie dotyczy",$E1675="badania przemysłowe"),LataProjekcji&lt;=Koniec_Projekt),K128,0)</f>
        <v>0</v>
      </c>
      <c r="L1675" s="118">
        <f t="shared" si="1034"/>
        <v>0</v>
      </c>
      <c r="M1675" s="118">
        <f t="shared" si="1034"/>
        <v>0</v>
      </c>
      <c r="N1675" s="118">
        <f t="shared" si="1034"/>
        <v>0</v>
      </c>
      <c r="O1675" s="118">
        <f t="shared" si="1034"/>
        <v>0</v>
      </c>
      <c r="P1675" s="118">
        <f t="shared" si="1034"/>
        <v>0</v>
      </c>
      <c r="Q1675" s="118">
        <f t="shared" si="1034"/>
        <v>0</v>
      </c>
      <c r="R1675" s="118">
        <f t="shared" si="1034"/>
        <v>0</v>
      </c>
      <c r="S1675" s="118">
        <f t="shared" si="1034"/>
        <v>0</v>
      </c>
      <c r="T1675" s="118">
        <f t="shared" si="1034"/>
        <v>0</v>
      </c>
      <c r="U1675" s="118">
        <f t="shared" si="1034"/>
        <v>0</v>
      </c>
      <c r="V1675" s="118">
        <f t="shared" si="1034"/>
        <v>0</v>
      </c>
      <c r="W1675" s="118">
        <f t="shared" si="1034"/>
        <v>0</v>
      </c>
      <c r="X1675" s="118">
        <f t="shared" si="1034"/>
        <v>0</v>
      </c>
    </row>
    <row r="1676" spans="2:24" hidden="1">
      <c r="B1676" s="116" t="str">
        <f t="shared" si="1022"/>
        <v/>
      </c>
      <c r="C1676" s="116" t="str">
        <f t="shared" si="1022"/>
        <v/>
      </c>
      <c r="D1676" s="116" t="str">
        <f t="shared" si="1022"/>
        <v/>
      </c>
      <c r="E1676" s="116" t="str">
        <f t="shared" si="1022"/>
        <v/>
      </c>
      <c r="F1676" s="116"/>
      <c r="G1676" s="116"/>
      <c r="H1676" s="116"/>
      <c r="I1676" s="116"/>
      <c r="J1676" s="116"/>
      <c r="K1676" s="118">
        <f t="shared" ref="K1676:X1676" si="1035">IF(AND($D1676="tak",OR($E1676="nie dotyczy",$E1676="badania przemysłowe"),LataProjekcji&lt;=Koniec_Projekt),K129,0)</f>
        <v>0</v>
      </c>
      <c r="L1676" s="118">
        <f t="shared" si="1035"/>
        <v>0</v>
      </c>
      <c r="M1676" s="118">
        <f t="shared" si="1035"/>
        <v>0</v>
      </c>
      <c r="N1676" s="118">
        <f t="shared" si="1035"/>
        <v>0</v>
      </c>
      <c r="O1676" s="118">
        <f t="shared" si="1035"/>
        <v>0</v>
      </c>
      <c r="P1676" s="118">
        <f t="shared" si="1035"/>
        <v>0</v>
      </c>
      <c r="Q1676" s="118">
        <f t="shared" si="1035"/>
        <v>0</v>
      </c>
      <c r="R1676" s="118">
        <f t="shared" si="1035"/>
        <v>0</v>
      </c>
      <c r="S1676" s="118">
        <f t="shared" si="1035"/>
        <v>0</v>
      </c>
      <c r="T1676" s="118">
        <f t="shared" si="1035"/>
        <v>0</v>
      </c>
      <c r="U1676" s="118">
        <f t="shared" si="1035"/>
        <v>0</v>
      </c>
      <c r="V1676" s="118">
        <f t="shared" si="1035"/>
        <v>0</v>
      </c>
      <c r="W1676" s="118">
        <f t="shared" si="1035"/>
        <v>0</v>
      </c>
      <c r="X1676" s="118">
        <f t="shared" si="1035"/>
        <v>0</v>
      </c>
    </row>
    <row r="1677" spans="2:24" hidden="1">
      <c r="B1677" s="116" t="str">
        <f t="shared" si="1022"/>
        <v/>
      </c>
      <c r="C1677" s="116" t="str">
        <f t="shared" si="1022"/>
        <v/>
      </c>
      <c r="D1677" s="116" t="str">
        <f t="shared" si="1022"/>
        <v/>
      </c>
      <c r="E1677" s="116" t="str">
        <f t="shared" si="1022"/>
        <v/>
      </c>
      <c r="F1677" s="116"/>
      <c r="G1677" s="116"/>
      <c r="H1677" s="116"/>
      <c r="I1677" s="116"/>
      <c r="J1677" s="116"/>
      <c r="K1677" s="118">
        <f t="shared" ref="K1677:X1677" si="1036">IF(AND($D1677="tak",OR($E1677="nie dotyczy",$E1677="badania przemysłowe"),LataProjekcji&lt;=Koniec_Projekt),K130,0)</f>
        <v>0</v>
      </c>
      <c r="L1677" s="118">
        <f t="shared" si="1036"/>
        <v>0</v>
      </c>
      <c r="M1677" s="118">
        <f t="shared" si="1036"/>
        <v>0</v>
      </c>
      <c r="N1677" s="118">
        <f t="shared" si="1036"/>
        <v>0</v>
      </c>
      <c r="O1677" s="118">
        <f t="shared" si="1036"/>
        <v>0</v>
      </c>
      <c r="P1677" s="118">
        <f t="shared" si="1036"/>
        <v>0</v>
      </c>
      <c r="Q1677" s="118">
        <f t="shared" si="1036"/>
        <v>0</v>
      </c>
      <c r="R1677" s="118">
        <f t="shared" si="1036"/>
        <v>0</v>
      </c>
      <c r="S1677" s="118">
        <f t="shared" si="1036"/>
        <v>0</v>
      </c>
      <c r="T1677" s="118">
        <f t="shared" si="1036"/>
        <v>0</v>
      </c>
      <c r="U1677" s="118">
        <f t="shared" si="1036"/>
        <v>0</v>
      </c>
      <c r="V1677" s="118">
        <f t="shared" si="1036"/>
        <v>0</v>
      </c>
      <c r="W1677" s="118">
        <f t="shared" si="1036"/>
        <v>0</v>
      </c>
      <c r="X1677" s="118">
        <f t="shared" si="1036"/>
        <v>0</v>
      </c>
    </row>
    <row r="1678" spans="2:24" hidden="1">
      <c r="B1678" s="116" t="str">
        <f t="shared" si="1022"/>
        <v/>
      </c>
      <c r="C1678" s="116" t="str">
        <f t="shared" si="1022"/>
        <v/>
      </c>
      <c r="D1678" s="116" t="str">
        <f t="shared" si="1022"/>
        <v/>
      </c>
      <c r="E1678" s="116" t="str">
        <f t="shared" si="1022"/>
        <v/>
      </c>
      <c r="F1678" s="116"/>
      <c r="G1678" s="116"/>
      <c r="H1678" s="116"/>
      <c r="I1678" s="116"/>
      <c r="J1678" s="116"/>
      <c r="K1678" s="118">
        <f t="shared" ref="K1678:X1678" si="1037">IF(AND($D1678="tak",OR($E1678="nie dotyczy",$E1678="badania przemysłowe"),LataProjekcji&lt;=Koniec_Projekt),K131,0)</f>
        <v>0</v>
      </c>
      <c r="L1678" s="118">
        <f t="shared" si="1037"/>
        <v>0</v>
      </c>
      <c r="M1678" s="118">
        <f t="shared" si="1037"/>
        <v>0</v>
      </c>
      <c r="N1678" s="118">
        <f t="shared" si="1037"/>
        <v>0</v>
      </c>
      <c r="O1678" s="118">
        <f t="shared" si="1037"/>
        <v>0</v>
      </c>
      <c r="P1678" s="118">
        <f t="shared" si="1037"/>
        <v>0</v>
      </c>
      <c r="Q1678" s="118">
        <f t="shared" si="1037"/>
        <v>0</v>
      </c>
      <c r="R1678" s="118">
        <f t="shared" si="1037"/>
        <v>0</v>
      </c>
      <c r="S1678" s="118">
        <f t="shared" si="1037"/>
        <v>0</v>
      </c>
      <c r="T1678" s="118">
        <f t="shared" si="1037"/>
        <v>0</v>
      </c>
      <c r="U1678" s="118">
        <f t="shared" si="1037"/>
        <v>0</v>
      </c>
      <c r="V1678" s="118">
        <f t="shared" si="1037"/>
        <v>0</v>
      </c>
      <c r="W1678" s="118">
        <f t="shared" si="1037"/>
        <v>0</v>
      </c>
      <c r="X1678" s="118">
        <f t="shared" si="1037"/>
        <v>0</v>
      </c>
    </row>
    <row r="1679" spans="2:24" hidden="1">
      <c r="B1679" s="116" t="str">
        <f t="shared" si="1022"/>
        <v/>
      </c>
      <c r="C1679" s="116" t="str">
        <f t="shared" si="1022"/>
        <v/>
      </c>
      <c r="D1679" s="116" t="str">
        <f t="shared" si="1022"/>
        <v/>
      </c>
      <c r="E1679" s="116" t="str">
        <f t="shared" si="1022"/>
        <v/>
      </c>
      <c r="F1679" s="116"/>
      <c r="G1679" s="116"/>
      <c r="H1679" s="116"/>
      <c r="I1679" s="116"/>
      <c r="J1679" s="116"/>
      <c r="K1679" s="118">
        <f t="shared" ref="K1679:X1679" si="1038">IF(AND($D1679="tak",OR($E1679="nie dotyczy",$E1679="badania przemysłowe"),LataProjekcji&lt;=Koniec_Projekt),K132,0)</f>
        <v>0</v>
      </c>
      <c r="L1679" s="118">
        <f t="shared" si="1038"/>
        <v>0</v>
      </c>
      <c r="M1679" s="118">
        <f t="shared" si="1038"/>
        <v>0</v>
      </c>
      <c r="N1679" s="118">
        <f t="shared" si="1038"/>
        <v>0</v>
      </c>
      <c r="O1679" s="118">
        <f t="shared" si="1038"/>
        <v>0</v>
      </c>
      <c r="P1679" s="118">
        <f t="shared" si="1038"/>
        <v>0</v>
      </c>
      <c r="Q1679" s="118">
        <f t="shared" si="1038"/>
        <v>0</v>
      </c>
      <c r="R1679" s="118">
        <f t="shared" si="1038"/>
        <v>0</v>
      </c>
      <c r="S1679" s="118">
        <f t="shared" si="1038"/>
        <v>0</v>
      </c>
      <c r="T1679" s="118">
        <f t="shared" si="1038"/>
        <v>0</v>
      </c>
      <c r="U1679" s="118">
        <f t="shared" si="1038"/>
        <v>0</v>
      </c>
      <c r="V1679" s="118">
        <f t="shared" si="1038"/>
        <v>0</v>
      </c>
      <c r="W1679" s="118">
        <f t="shared" si="1038"/>
        <v>0</v>
      </c>
      <c r="X1679" s="118">
        <f t="shared" si="1038"/>
        <v>0</v>
      </c>
    </row>
    <row r="1680" spans="2:24" hidden="1">
      <c r="B1680" s="116" t="str">
        <f t="shared" si="1022"/>
        <v/>
      </c>
      <c r="C1680" s="116" t="str">
        <f t="shared" si="1022"/>
        <v/>
      </c>
      <c r="D1680" s="116" t="str">
        <f t="shared" si="1022"/>
        <v/>
      </c>
      <c r="E1680" s="116" t="str">
        <f t="shared" si="1022"/>
        <v/>
      </c>
      <c r="F1680" s="116"/>
      <c r="G1680" s="116"/>
      <c r="H1680" s="116"/>
      <c r="I1680" s="116"/>
      <c r="J1680" s="116"/>
      <c r="K1680" s="118">
        <f t="shared" ref="K1680:X1680" si="1039">IF(AND($D1680="tak",OR($E1680="nie dotyczy",$E1680="badania przemysłowe"),LataProjekcji&lt;=Koniec_Projekt),K133,0)</f>
        <v>0</v>
      </c>
      <c r="L1680" s="118">
        <f t="shared" si="1039"/>
        <v>0</v>
      </c>
      <c r="M1680" s="118">
        <f t="shared" si="1039"/>
        <v>0</v>
      </c>
      <c r="N1680" s="118">
        <f t="shared" si="1039"/>
        <v>0</v>
      </c>
      <c r="O1680" s="118">
        <f t="shared" si="1039"/>
        <v>0</v>
      </c>
      <c r="P1680" s="118">
        <f t="shared" si="1039"/>
        <v>0</v>
      </c>
      <c r="Q1680" s="118">
        <f t="shared" si="1039"/>
        <v>0</v>
      </c>
      <c r="R1680" s="118">
        <f t="shared" si="1039"/>
        <v>0</v>
      </c>
      <c r="S1680" s="118">
        <f t="shared" si="1039"/>
        <v>0</v>
      </c>
      <c r="T1680" s="118">
        <f t="shared" si="1039"/>
        <v>0</v>
      </c>
      <c r="U1680" s="118">
        <f t="shared" si="1039"/>
        <v>0</v>
      </c>
      <c r="V1680" s="118">
        <f t="shared" si="1039"/>
        <v>0</v>
      </c>
      <c r="W1680" s="118">
        <f t="shared" si="1039"/>
        <v>0</v>
      </c>
      <c r="X1680" s="118">
        <f t="shared" si="1039"/>
        <v>0</v>
      </c>
    </row>
    <row r="1681" spans="2:24" hidden="1">
      <c r="B1681" s="116" t="str">
        <f t="shared" si="1022"/>
        <v/>
      </c>
      <c r="C1681" s="116" t="str">
        <f t="shared" si="1022"/>
        <v/>
      </c>
      <c r="D1681" s="116" t="str">
        <f t="shared" si="1022"/>
        <v/>
      </c>
      <c r="E1681" s="116" t="str">
        <f t="shared" si="1022"/>
        <v/>
      </c>
      <c r="F1681" s="116"/>
      <c r="G1681" s="116"/>
      <c r="H1681" s="116"/>
      <c r="I1681" s="116"/>
      <c r="J1681" s="116"/>
      <c r="K1681" s="118">
        <f t="shared" ref="K1681:X1681" si="1040">IF(AND($D1681="tak",OR($E1681="nie dotyczy",$E1681="badania przemysłowe"),LataProjekcji&lt;=Koniec_Projekt),K134,0)</f>
        <v>0</v>
      </c>
      <c r="L1681" s="118">
        <f t="shared" si="1040"/>
        <v>0</v>
      </c>
      <c r="M1681" s="118">
        <f t="shared" si="1040"/>
        <v>0</v>
      </c>
      <c r="N1681" s="118">
        <f t="shared" si="1040"/>
        <v>0</v>
      </c>
      <c r="O1681" s="118">
        <f t="shared" si="1040"/>
        <v>0</v>
      </c>
      <c r="P1681" s="118">
        <f t="shared" si="1040"/>
        <v>0</v>
      </c>
      <c r="Q1681" s="118">
        <f t="shared" si="1040"/>
        <v>0</v>
      </c>
      <c r="R1681" s="118">
        <f t="shared" si="1040"/>
        <v>0</v>
      </c>
      <c r="S1681" s="118">
        <f t="shared" si="1040"/>
        <v>0</v>
      </c>
      <c r="T1681" s="118">
        <f t="shared" si="1040"/>
        <v>0</v>
      </c>
      <c r="U1681" s="118">
        <f t="shared" si="1040"/>
        <v>0</v>
      </c>
      <c r="V1681" s="118">
        <f t="shared" si="1040"/>
        <v>0</v>
      </c>
      <c r="W1681" s="118">
        <f t="shared" si="1040"/>
        <v>0</v>
      </c>
      <c r="X1681" s="118">
        <f t="shared" si="1040"/>
        <v>0</v>
      </c>
    </row>
    <row r="1682" spans="2:24" hidden="1">
      <c r="B1682" s="116" t="str">
        <f t="shared" si="1022"/>
        <v/>
      </c>
      <c r="C1682" s="116" t="str">
        <f t="shared" si="1022"/>
        <v/>
      </c>
      <c r="D1682" s="116" t="str">
        <f t="shared" si="1022"/>
        <v/>
      </c>
      <c r="E1682" s="116" t="str">
        <f t="shared" si="1022"/>
        <v/>
      </c>
      <c r="F1682" s="116"/>
      <c r="G1682" s="116"/>
      <c r="H1682" s="116"/>
      <c r="I1682" s="116"/>
      <c r="J1682" s="116"/>
      <c r="K1682" s="118">
        <f t="shared" ref="K1682:X1682" si="1041">IF(AND($D1682="tak",OR($E1682="nie dotyczy",$E1682="badania przemysłowe"),LataProjekcji&lt;=Koniec_Projekt),K135,0)</f>
        <v>0</v>
      </c>
      <c r="L1682" s="118">
        <f t="shared" si="1041"/>
        <v>0</v>
      </c>
      <c r="M1682" s="118">
        <f t="shared" si="1041"/>
        <v>0</v>
      </c>
      <c r="N1682" s="118">
        <f t="shared" si="1041"/>
        <v>0</v>
      </c>
      <c r="O1682" s="118">
        <f t="shared" si="1041"/>
        <v>0</v>
      </c>
      <c r="P1682" s="118">
        <f t="shared" si="1041"/>
        <v>0</v>
      </c>
      <c r="Q1682" s="118">
        <f t="shared" si="1041"/>
        <v>0</v>
      </c>
      <c r="R1682" s="118">
        <f t="shared" si="1041"/>
        <v>0</v>
      </c>
      <c r="S1682" s="118">
        <f t="shared" si="1041"/>
        <v>0</v>
      </c>
      <c r="T1682" s="118">
        <f t="shared" si="1041"/>
        <v>0</v>
      </c>
      <c r="U1682" s="118">
        <f t="shared" si="1041"/>
        <v>0</v>
      </c>
      <c r="V1682" s="118">
        <f t="shared" si="1041"/>
        <v>0</v>
      </c>
      <c r="W1682" s="118">
        <f t="shared" si="1041"/>
        <v>0</v>
      </c>
      <c r="X1682" s="118">
        <f t="shared" si="1041"/>
        <v>0</v>
      </c>
    </row>
    <row r="1683" spans="2:24" hidden="1">
      <c r="B1683" s="116" t="str">
        <f t="shared" si="1022"/>
        <v/>
      </c>
      <c r="C1683" s="116" t="str">
        <f t="shared" si="1022"/>
        <v/>
      </c>
      <c r="D1683" s="116" t="str">
        <f t="shared" si="1022"/>
        <v/>
      </c>
      <c r="E1683" s="116" t="str">
        <f t="shared" si="1022"/>
        <v/>
      </c>
      <c r="F1683" s="116"/>
      <c r="G1683" s="116"/>
      <c r="H1683" s="116"/>
      <c r="I1683" s="116"/>
      <c r="J1683" s="116"/>
      <c r="K1683" s="118">
        <f t="shared" ref="K1683:X1683" si="1042">IF(AND($D1683="tak",OR($E1683="nie dotyczy",$E1683="badania przemysłowe"),LataProjekcji&lt;=Koniec_Projekt),K136,0)</f>
        <v>0</v>
      </c>
      <c r="L1683" s="118">
        <f t="shared" si="1042"/>
        <v>0</v>
      </c>
      <c r="M1683" s="118">
        <f t="shared" si="1042"/>
        <v>0</v>
      </c>
      <c r="N1683" s="118">
        <f t="shared" si="1042"/>
        <v>0</v>
      </c>
      <c r="O1683" s="118">
        <f t="shared" si="1042"/>
        <v>0</v>
      </c>
      <c r="P1683" s="118">
        <f t="shared" si="1042"/>
        <v>0</v>
      </c>
      <c r="Q1683" s="118">
        <f t="shared" si="1042"/>
        <v>0</v>
      </c>
      <c r="R1683" s="118">
        <f t="shared" si="1042"/>
        <v>0</v>
      </c>
      <c r="S1683" s="118">
        <f t="shared" si="1042"/>
        <v>0</v>
      </c>
      <c r="T1683" s="118">
        <f t="shared" si="1042"/>
        <v>0</v>
      </c>
      <c r="U1683" s="118">
        <f t="shared" si="1042"/>
        <v>0</v>
      </c>
      <c r="V1683" s="118">
        <f t="shared" si="1042"/>
        <v>0</v>
      </c>
      <c r="W1683" s="118">
        <f t="shared" si="1042"/>
        <v>0</v>
      </c>
      <c r="X1683" s="118">
        <f t="shared" si="1042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3">ROUND(SUM(K1664:K1683),0)</f>
        <v>0</v>
      </c>
      <c r="L1684" s="119">
        <f t="shared" si="1043"/>
        <v>0</v>
      </c>
      <c r="M1684" s="119">
        <f t="shared" si="1043"/>
        <v>0</v>
      </c>
      <c r="N1684" s="119">
        <f t="shared" si="1043"/>
        <v>0</v>
      </c>
      <c r="O1684" s="119">
        <f t="shared" si="1043"/>
        <v>0</v>
      </c>
      <c r="P1684" s="119">
        <f t="shared" si="1043"/>
        <v>0</v>
      </c>
      <c r="Q1684" s="119">
        <f t="shared" si="1043"/>
        <v>0</v>
      </c>
      <c r="R1684" s="119">
        <f t="shared" si="1043"/>
        <v>0</v>
      </c>
      <c r="S1684" s="119">
        <f t="shared" si="1043"/>
        <v>0</v>
      </c>
      <c r="T1684" s="119">
        <f t="shared" si="1043"/>
        <v>0</v>
      </c>
      <c r="U1684" s="119">
        <f t="shared" si="1043"/>
        <v>0</v>
      </c>
      <c r="V1684" s="119">
        <f t="shared" si="1043"/>
        <v>0</v>
      </c>
      <c r="W1684" s="119">
        <f t="shared" si="1043"/>
        <v>0</v>
      </c>
      <c r="X1684" s="119">
        <f t="shared" si="1043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4">IF(ISBLANK(B1448),"",B1448)</f>
        <v/>
      </c>
      <c r="C1688" s="116" t="str">
        <f t="shared" si="1044"/>
        <v/>
      </c>
      <c r="D1688" s="116" t="str">
        <f t="shared" si="1044"/>
        <v/>
      </c>
      <c r="E1688" s="116" t="str">
        <f t="shared" si="1044"/>
        <v/>
      </c>
      <c r="F1688" s="116"/>
      <c r="G1688" s="116"/>
      <c r="H1688" s="116"/>
      <c r="I1688" s="116"/>
      <c r="J1688" s="116"/>
      <c r="K1688" s="118">
        <f t="shared" ref="K1688:X1688" si="1045">IF(AND($D1688="tak",OR($E1688="nie dotyczy",$E1688="badania przemysłowe"),LataProjekcji&lt;=Koniec_Projekt),K162,0)</f>
        <v>0</v>
      </c>
      <c r="L1688" s="118">
        <f t="shared" si="1045"/>
        <v>0</v>
      </c>
      <c r="M1688" s="118">
        <f t="shared" si="1045"/>
        <v>0</v>
      </c>
      <c r="N1688" s="118">
        <f t="shared" si="1045"/>
        <v>0</v>
      </c>
      <c r="O1688" s="118">
        <f t="shared" si="1045"/>
        <v>0</v>
      </c>
      <c r="P1688" s="118">
        <f t="shared" si="1045"/>
        <v>0</v>
      </c>
      <c r="Q1688" s="118">
        <f t="shared" si="1045"/>
        <v>0</v>
      </c>
      <c r="R1688" s="118">
        <f t="shared" si="1045"/>
        <v>0</v>
      </c>
      <c r="S1688" s="118">
        <f t="shared" si="1045"/>
        <v>0</v>
      </c>
      <c r="T1688" s="118">
        <f t="shared" si="1045"/>
        <v>0</v>
      </c>
      <c r="U1688" s="118">
        <f t="shared" si="1045"/>
        <v>0</v>
      </c>
      <c r="V1688" s="118">
        <f t="shared" si="1045"/>
        <v>0</v>
      </c>
      <c r="W1688" s="118">
        <f t="shared" si="1045"/>
        <v>0</v>
      </c>
      <c r="X1688" s="118">
        <f t="shared" si="1045"/>
        <v>0</v>
      </c>
    </row>
    <row r="1689" spans="2:24" hidden="1">
      <c r="B1689" s="116" t="str">
        <f t="shared" si="1044"/>
        <v/>
      </c>
      <c r="C1689" s="116" t="str">
        <f t="shared" si="1044"/>
        <v/>
      </c>
      <c r="D1689" s="116" t="str">
        <f t="shared" si="1044"/>
        <v/>
      </c>
      <c r="E1689" s="116" t="str">
        <f t="shared" si="1044"/>
        <v/>
      </c>
      <c r="F1689" s="116"/>
      <c r="G1689" s="116"/>
      <c r="H1689" s="116"/>
      <c r="I1689" s="116"/>
      <c r="J1689" s="116"/>
      <c r="K1689" s="118">
        <f t="shared" ref="K1689:X1689" si="1046">IF(AND($D1689="tak",OR($E1689="nie dotyczy",$E1689="badania przemysłowe"),LataProjekcji&lt;=Koniec_Projekt),K163,0)</f>
        <v>0</v>
      </c>
      <c r="L1689" s="118">
        <f t="shared" si="1046"/>
        <v>0</v>
      </c>
      <c r="M1689" s="118">
        <f t="shared" si="1046"/>
        <v>0</v>
      </c>
      <c r="N1689" s="118">
        <f t="shared" si="1046"/>
        <v>0</v>
      </c>
      <c r="O1689" s="118">
        <f t="shared" si="1046"/>
        <v>0</v>
      </c>
      <c r="P1689" s="118">
        <f t="shared" si="1046"/>
        <v>0</v>
      </c>
      <c r="Q1689" s="118">
        <f t="shared" si="1046"/>
        <v>0</v>
      </c>
      <c r="R1689" s="118">
        <f t="shared" si="1046"/>
        <v>0</v>
      </c>
      <c r="S1689" s="118">
        <f t="shared" si="1046"/>
        <v>0</v>
      </c>
      <c r="T1689" s="118">
        <f t="shared" si="1046"/>
        <v>0</v>
      </c>
      <c r="U1689" s="118">
        <f t="shared" si="1046"/>
        <v>0</v>
      </c>
      <c r="V1689" s="118">
        <f t="shared" si="1046"/>
        <v>0</v>
      </c>
      <c r="W1689" s="118">
        <f t="shared" si="1046"/>
        <v>0</v>
      </c>
      <c r="X1689" s="118">
        <f t="shared" si="1046"/>
        <v>0</v>
      </c>
    </row>
    <row r="1690" spans="2:24" hidden="1">
      <c r="B1690" s="116" t="str">
        <f t="shared" si="1044"/>
        <v/>
      </c>
      <c r="C1690" s="116" t="str">
        <f t="shared" si="1044"/>
        <v/>
      </c>
      <c r="D1690" s="116" t="str">
        <f t="shared" si="1044"/>
        <v/>
      </c>
      <c r="E1690" s="116" t="str">
        <f t="shared" si="1044"/>
        <v/>
      </c>
      <c r="F1690" s="116"/>
      <c r="G1690" s="116"/>
      <c r="H1690" s="116"/>
      <c r="I1690" s="116"/>
      <c r="J1690" s="116"/>
      <c r="K1690" s="118">
        <f t="shared" ref="K1690:X1690" si="1047">IF(AND($D1690="tak",OR($E1690="nie dotyczy",$E1690="badania przemysłowe"),LataProjekcji&lt;=Koniec_Projekt),K164,0)</f>
        <v>0</v>
      </c>
      <c r="L1690" s="118">
        <f t="shared" si="1047"/>
        <v>0</v>
      </c>
      <c r="M1690" s="118">
        <f t="shared" si="1047"/>
        <v>0</v>
      </c>
      <c r="N1690" s="118">
        <f t="shared" si="1047"/>
        <v>0</v>
      </c>
      <c r="O1690" s="118">
        <f t="shared" si="1047"/>
        <v>0</v>
      </c>
      <c r="P1690" s="118">
        <f t="shared" si="1047"/>
        <v>0</v>
      </c>
      <c r="Q1690" s="118">
        <f t="shared" si="1047"/>
        <v>0</v>
      </c>
      <c r="R1690" s="118">
        <f t="shared" si="1047"/>
        <v>0</v>
      </c>
      <c r="S1690" s="118">
        <f t="shared" si="1047"/>
        <v>0</v>
      </c>
      <c r="T1690" s="118">
        <f t="shared" si="1047"/>
        <v>0</v>
      </c>
      <c r="U1690" s="118">
        <f t="shared" si="1047"/>
        <v>0</v>
      </c>
      <c r="V1690" s="118">
        <f t="shared" si="1047"/>
        <v>0</v>
      </c>
      <c r="W1690" s="118">
        <f t="shared" si="1047"/>
        <v>0</v>
      </c>
      <c r="X1690" s="118">
        <f t="shared" si="1047"/>
        <v>0</v>
      </c>
    </row>
    <row r="1691" spans="2:24" hidden="1">
      <c r="B1691" s="116" t="str">
        <f t="shared" si="1044"/>
        <v/>
      </c>
      <c r="C1691" s="116" t="str">
        <f t="shared" si="1044"/>
        <v/>
      </c>
      <c r="D1691" s="116" t="str">
        <f t="shared" si="1044"/>
        <v/>
      </c>
      <c r="E1691" s="116" t="str">
        <f t="shared" si="1044"/>
        <v/>
      </c>
      <c r="F1691" s="116"/>
      <c r="G1691" s="116"/>
      <c r="H1691" s="116"/>
      <c r="I1691" s="116"/>
      <c r="J1691" s="116"/>
      <c r="K1691" s="118">
        <f t="shared" ref="K1691:X1691" si="1048">IF(AND($D1691="tak",OR($E1691="nie dotyczy",$E1691="badania przemysłowe"),LataProjekcji&lt;=Koniec_Projekt),K165,0)</f>
        <v>0</v>
      </c>
      <c r="L1691" s="118">
        <f t="shared" si="1048"/>
        <v>0</v>
      </c>
      <c r="M1691" s="118">
        <f t="shared" si="1048"/>
        <v>0</v>
      </c>
      <c r="N1691" s="118">
        <f t="shared" si="1048"/>
        <v>0</v>
      </c>
      <c r="O1691" s="118">
        <f t="shared" si="1048"/>
        <v>0</v>
      </c>
      <c r="P1691" s="118">
        <f t="shared" si="1048"/>
        <v>0</v>
      </c>
      <c r="Q1691" s="118">
        <f t="shared" si="1048"/>
        <v>0</v>
      </c>
      <c r="R1691" s="118">
        <f t="shared" si="1048"/>
        <v>0</v>
      </c>
      <c r="S1691" s="118">
        <f t="shared" si="1048"/>
        <v>0</v>
      </c>
      <c r="T1691" s="118">
        <f t="shared" si="1048"/>
        <v>0</v>
      </c>
      <c r="U1691" s="118">
        <f t="shared" si="1048"/>
        <v>0</v>
      </c>
      <c r="V1691" s="118">
        <f t="shared" si="1048"/>
        <v>0</v>
      </c>
      <c r="W1691" s="118">
        <f t="shared" si="1048"/>
        <v>0</v>
      </c>
      <c r="X1691" s="118">
        <f t="shared" si="1048"/>
        <v>0</v>
      </c>
    </row>
    <row r="1692" spans="2:24" hidden="1">
      <c r="B1692" s="116" t="str">
        <f t="shared" si="1044"/>
        <v/>
      </c>
      <c r="C1692" s="116" t="str">
        <f t="shared" si="1044"/>
        <v/>
      </c>
      <c r="D1692" s="116" t="str">
        <f t="shared" si="1044"/>
        <v/>
      </c>
      <c r="E1692" s="116" t="str">
        <f t="shared" si="1044"/>
        <v/>
      </c>
      <c r="F1692" s="116"/>
      <c r="G1692" s="116"/>
      <c r="H1692" s="116"/>
      <c r="I1692" s="116"/>
      <c r="J1692" s="116"/>
      <c r="K1692" s="118">
        <f t="shared" ref="K1692:X1692" si="1049">IF(AND($D1692="tak",OR($E1692="nie dotyczy",$E1692="badania przemysłowe"),LataProjekcji&lt;=Koniec_Projekt),K166,0)</f>
        <v>0</v>
      </c>
      <c r="L1692" s="118">
        <f t="shared" si="1049"/>
        <v>0</v>
      </c>
      <c r="M1692" s="118">
        <f t="shared" si="1049"/>
        <v>0</v>
      </c>
      <c r="N1692" s="118">
        <f t="shared" si="1049"/>
        <v>0</v>
      </c>
      <c r="O1692" s="118">
        <f t="shared" si="1049"/>
        <v>0</v>
      </c>
      <c r="P1692" s="118">
        <f t="shared" si="1049"/>
        <v>0</v>
      </c>
      <c r="Q1692" s="118">
        <f t="shared" si="1049"/>
        <v>0</v>
      </c>
      <c r="R1692" s="118">
        <f t="shared" si="1049"/>
        <v>0</v>
      </c>
      <c r="S1692" s="118">
        <f t="shared" si="1049"/>
        <v>0</v>
      </c>
      <c r="T1692" s="118">
        <f t="shared" si="1049"/>
        <v>0</v>
      </c>
      <c r="U1692" s="118">
        <f t="shared" si="1049"/>
        <v>0</v>
      </c>
      <c r="V1692" s="118">
        <f t="shared" si="1049"/>
        <v>0</v>
      </c>
      <c r="W1692" s="118">
        <f t="shared" si="1049"/>
        <v>0</v>
      </c>
      <c r="X1692" s="118">
        <f t="shared" si="1049"/>
        <v>0</v>
      </c>
    </row>
    <row r="1693" spans="2:24" hidden="1">
      <c r="B1693" s="116" t="str">
        <f t="shared" si="1044"/>
        <v/>
      </c>
      <c r="C1693" s="116" t="str">
        <f t="shared" si="1044"/>
        <v/>
      </c>
      <c r="D1693" s="116" t="str">
        <f t="shared" si="1044"/>
        <v/>
      </c>
      <c r="E1693" s="116" t="str">
        <f t="shared" si="1044"/>
        <v/>
      </c>
      <c r="F1693" s="116"/>
      <c r="G1693" s="116"/>
      <c r="H1693" s="116"/>
      <c r="I1693" s="116"/>
      <c r="J1693" s="116"/>
      <c r="K1693" s="118">
        <f t="shared" ref="K1693:X1693" si="1050">IF(AND($D1693="tak",OR($E1693="nie dotyczy",$E1693="badania przemysłowe"),LataProjekcji&lt;=Koniec_Projekt),K167,0)</f>
        <v>0</v>
      </c>
      <c r="L1693" s="118">
        <f t="shared" si="1050"/>
        <v>0</v>
      </c>
      <c r="M1693" s="118">
        <f t="shared" si="1050"/>
        <v>0</v>
      </c>
      <c r="N1693" s="118">
        <f t="shared" si="1050"/>
        <v>0</v>
      </c>
      <c r="O1693" s="118">
        <f t="shared" si="1050"/>
        <v>0</v>
      </c>
      <c r="P1693" s="118">
        <f t="shared" si="1050"/>
        <v>0</v>
      </c>
      <c r="Q1693" s="118">
        <f t="shared" si="1050"/>
        <v>0</v>
      </c>
      <c r="R1693" s="118">
        <f t="shared" si="1050"/>
        <v>0</v>
      </c>
      <c r="S1693" s="118">
        <f t="shared" si="1050"/>
        <v>0</v>
      </c>
      <c r="T1693" s="118">
        <f t="shared" si="1050"/>
        <v>0</v>
      </c>
      <c r="U1693" s="118">
        <f t="shared" si="1050"/>
        <v>0</v>
      </c>
      <c r="V1693" s="118">
        <f t="shared" si="1050"/>
        <v>0</v>
      </c>
      <c r="W1693" s="118">
        <f t="shared" si="1050"/>
        <v>0</v>
      </c>
      <c r="X1693" s="118">
        <f t="shared" si="1050"/>
        <v>0</v>
      </c>
    </row>
    <row r="1694" spans="2:24" hidden="1">
      <c r="B1694" s="116" t="str">
        <f t="shared" si="1044"/>
        <v/>
      </c>
      <c r="C1694" s="116" t="str">
        <f t="shared" si="1044"/>
        <v/>
      </c>
      <c r="D1694" s="116" t="str">
        <f t="shared" si="1044"/>
        <v/>
      </c>
      <c r="E1694" s="116" t="str">
        <f t="shared" si="1044"/>
        <v/>
      </c>
      <c r="F1694" s="116"/>
      <c r="G1694" s="116"/>
      <c r="H1694" s="116"/>
      <c r="I1694" s="116"/>
      <c r="J1694" s="116"/>
      <c r="K1694" s="118">
        <f t="shared" ref="K1694:X1694" si="1051">IF(AND($D1694="tak",OR($E1694="nie dotyczy",$E1694="badania przemysłowe"),LataProjekcji&lt;=Koniec_Projekt),K168,0)</f>
        <v>0</v>
      </c>
      <c r="L1694" s="118">
        <f t="shared" si="1051"/>
        <v>0</v>
      </c>
      <c r="M1694" s="118">
        <f t="shared" si="1051"/>
        <v>0</v>
      </c>
      <c r="N1694" s="118">
        <f t="shared" si="1051"/>
        <v>0</v>
      </c>
      <c r="O1694" s="118">
        <f t="shared" si="1051"/>
        <v>0</v>
      </c>
      <c r="P1694" s="118">
        <f t="shared" si="1051"/>
        <v>0</v>
      </c>
      <c r="Q1694" s="118">
        <f t="shared" si="1051"/>
        <v>0</v>
      </c>
      <c r="R1694" s="118">
        <f t="shared" si="1051"/>
        <v>0</v>
      </c>
      <c r="S1694" s="118">
        <f t="shared" si="1051"/>
        <v>0</v>
      </c>
      <c r="T1694" s="118">
        <f t="shared" si="1051"/>
        <v>0</v>
      </c>
      <c r="U1694" s="118">
        <f t="shared" si="1051"/>
        <v>0</v>
      </c>
      <c r="V1694" s="118">
        <f t="shared" si="1051"/>
        <v>0</v>
      </c>
      <c r="W1694" s="118">
        <f t="shared" si="1051"/>
        <v>0</v>
      </c>
      <c r="X1694" s="118">
        <f t="shared" si="1051"/>
        <v>0</v>
      </c>
    </row>
    <row r="1695" spans="2:24" hidden="1">
      <c r="B1695" s="116" t="str">
        <f t="shared" si="1044"/>
        <v/>
      </c>
      <c r="C1695" s="116" t="str">
        <f t="shared" si="1044"/>
        <v/>
      </c>
      <c r="D1695" s="116" t="str">
        <f t="shared" si="1044"/>
        <v/>
      </c>
      <c r="E1695" s="116" t="str">
        <f t="shared" si="1044"/>
        <v/>
      </c>
      <c r="F1695" s="116"/>
      <c r="G1695" s="116"/>
      <c r="H1695" s="116"/>
      <c r="I1695" s="116"/>
      <c r="J1695" s="116"/>
      <c r="K1695" s="118">
        <f t="shared" ref="K1695:X1695" si="1052">IF(AND($D1695="tak",OR($E1695="nie dotyczy",$E1695="badania przemysłowe"),LataProjekcji&lt;=Koniec_Projekt),K169,0)</f>
        <v>0</v>
      </c>
      <c r="L1695" s="118">
        <f t="shared" si="1052"/>
        <v>0</v>
      </c>
      <c r="M1695" s="118">
        <f t="shared" si="1052"/>
        <v>0</v>
      </c>
      <c r="N1695" s="118">
        <f t="shared" si="1052"/>
        <v>0</v>
      </c>
      <c r="O1695" s="118">
        <f t="shared" si="1052"/>
        <v>0</v>
      </c>
      <c r="P1695" s="118">
        <f t="shared" si="1052"/>
        <v>0</v>
      </c>
      <c r="Q1695" s="118">
        <f t="shared" si="1052"/>
        <v>0</v>
      </c>
      <c r="R1695" s="118">
        <f t="shared" si="1052"/>
        <v>0</v>
      </c>
      <c r="S1695" s="118">
        <f t="shared" si="1052"/>
        <v>0</v>
      </c>
      <c r="T1695" s="118">
        <f t="shared" si="1052"/>
        <v>0</v>
      </c>
      <c r="U1695" s="118">
        <f t="shared" si="1052"/>
        <v>0</v>
      </c>
      <c r="V1695" s="118">
        <f t="shared" si="1052"/>
        <v>0</v>
      </c>
      <c r="W1695" s="118">
        <f t="shared" si="1052"/>
        <v>0</v>
      </c>
      <c r="X1695" s="118">
        <f t="shared" si="1052"/>
        <v>0</v>
      </c>
    </row>
    <row r="1696" spans="2:24" hidden="1">
      <c r="B1696" s="116" t="str">
        <f t="shared" si="1044"/>
        <v/>
      </c>
      <c r="C1696" s="116" t="str">
        <f t="shared" si="1044"/>
        <v/>
      </c>
      <c r="D1696" s="116" t="str">
        <f t="shared" si="1044"/>
        <v/>
      </c>
      <c r="E1696" s="116" t="str">
        <f t="shared" si="1044"/>
        <v/>
      </c>
      <c r="F1696" s="116"/>
      <c r="G1696" s="116"/>
      <c r="H1696" s="116"/>
      <c r="I1696" s="116"/>
      <c r="J1696" s="116"/>
      <c r="K1696" s="118">
        <f t="shared" ref="K1696:X1696" si="1053">IF(AND($D1696="tak",OR($E1696="nie dotyczy",$E1696="badania przemysłowe"),LataProjekcji&lt;=Koniec_Projekt),K170,0)</f>
        <v>0</v>
      </c>
      <c r="L1696" s="118">
        <f t="shared" si="1053"/>
        <v>0</v>
      </c>
      <c r="M1696" s="118">
        <f t="shared" si="1053"/>
        <v>0</v>
      </c>
      <c r="N1696" s="118">
        <f t="shared" si="1053"/>
        <v>0</v>
      </c>
      <c r="O1696" s="118">
        <f t="shared" si="1053"/>
        <v>0</v>
      </c>
      <c r="P1696" s="118">
        <f t="shared" si="1053"/>
        <v>0</v>
      </c>
      <c r="Q1696" s="118">
        <f t="shared" si="1053"/>
        <v>0</v>
      </c>
      <c r="R1696" s="118">
        <f t="shared" si="1053"/>
        <v>0</v>
      </c>
      <c r="S1696" s="118">
        <f t="shared" si="1053"/>
        <v>0</v>
      </c>
      <c r="T1696" s="118">
        <f t="shared" si="1053"/>
        <v>0</v>
      </c>
      <c r="U1696" s="118">
        <f t="shared" si="1053"/>
        <v>0</v>
      </c>
      <c r="V1696" s="118">
        <f t="shared" si="1053"/>
        <v>0</v>
      </c>
      <c r="W1696" s="118">
        <f t="shared" si="1053"/>
        <v>0</v>
      </c>
      <c r="X1696" s="118">
        <f t="shared" si="1053"/>
        <v>0</v>
      </c>
    </row>
    <row r="1697" spans="2:24" hidden="1">
      <c r="B1697" s="116" t="str">
        <f t="shared" si="1044"/>
        <v/>
      </c>
      <c r="C1697" s="116" t="str">
        <f t="shared" si="1044"/>
        <v/>
      </c>
      <c r="D1697" s="116" t="str">
        <f t="shared" si="1044"/>
        <v/>
      </c>
      <c r="E1697" s="116" t="str">
        <f t="shared" si="1044"/>
        <v/>
      </c>
      <c r="F1697" s="116"/>
      <c r="G1697" s="116"/>
      <c r="H1697" s="116"/>
      <c r="I1697" s="116"/>
      <c r="J1697" s="116"/>
      <c r="K1697" s="118">
        <f t="shared" ref="K1697:X1697" si="1054">IF(AND($D1697="tak",OR($E1697="nie dotyczy",$E1697="badania przemysłowe"),LataProjekcji&lt;=Koniec_Projekt),K171,0)</f>
        <v>0</v>
      </c>
      <c r="L1697" s="118">
        <f t="shared" si="1054"/>
        <v>0</v>
      </c>
      <c r="M1697" s="118">
        <f t="shared" si="1054"/>
        <v>0</v>
      </c>
      <c r="N1697" s="118">
        <f t="shared" si="1054"/>
        <v>0</v>
      </c>
      <c r="O1697" s="118">
        <f t="shared" si="1054"/>
        <v>0</v>
      </c>
      <c r="P1697" s="118">
        <f t="shared" si="1054"/>
        <v>0</v>
      </c>
      <c r="Q1697" s="118">
        <f t="shared" si="1054"/>
        <v>0</v>
      </c>
      <c r="R1697" s="118">
        <f t="shared" si="1054"/>
        <v>0</v>
      </c>
      <c r="S1697" s="118">
        <f t="shared" si="1054"/>
        <v>0</v>
      </c>
      <c r="T1697" s="118">
        <f t="shared" si="1054"/>
        <v>0</v>
      </c>
      <c r="U1697" s="118">
        <f t="shared" si="1054"/>
        <v>0</v>
      </c>
      <c r="V1697" s="118">
        <f t="shared" si="1054"/>
        <v>0</v>
      </c>
      <c r="W1697" s="118">
        <f t="shared" si="1054"/>
        <v>0</v>
      </c>
      <c r="X1697" s="118">
        <f t="shared" si="1054"/>
        <v>0</v>
      </c>
    </row>
    <row r="1698" spans="2:24" hidden="1">
      <c r="B1698" s="116" t="str">
        <f t="shared" si="1044"/>
        <v/>
      </c>
      <c r="C1698" s="116" t="str">
        <f t="shared" si="1044"/>
        <v/>
      </c>
      <c r="D1698" s="116" t="str">
        <f t="shared" si="1044"/>
        <v/>
      </c>
      <c r="E1698" s="116" t="str">
        <f t="shared" si="1044"/>
        <v/>
      </c>
      <c r="F1698" s="116"/>
      <c r="G1698" s="116"/>
      <c r="H1698" s="116"/>
      <c r="I1698" s="116"/>
      <c r="J1698" s="116"/>
      <c r="K1698" s="118">
        <f t="shared" ref="K1698:X1698" si="1055">IF(AND($D1698="tak",OR($E1698="nie dotyczy",$E1698="badania przemysłowe"),LataProjekcji&lt;=Koniec_Projekt),K172,0)</f>
        <v>0</v>
      </c>
      <c r="L1698" s="118">
        <f t="shared" si="1055"/>
        <v>0</v>
      </c>
      <c r="M1698" s="118">
        <f t="shared" si="1055"/>
        <v>0</v>
      </c>
      <c r="N1698" s="118">
        <f t="shared" si="1055"/>
        <v>0</v>
      </c>
      <c r="O1698" s="118">
        <f t="shared" si="1055"/>
        <v>0</v>
      </c>
      <c r="P1698" s="118">
        <f t="shared" si="1055"/>
        <v>0</v>
      </c>
      <c r="Q1698" s="118">
        <f t="shared" si="1055"/>
        <v>0</v>
      </c>
      <c r="R1698" s="118">
        <f t="shared" si="1055"/>
        <v>0</v>
      </c>
      <c r="S1698" s="118">
        <f t="shared" si="1055"/>
        <v>0</v>
      </c>
      <c r="T1698" s="118">
        <f t="shared" si="1055"/>
        <v>0</v>
      </c>
      <c r="U1698" s="118">
        <f t="shared" si="1055"/>
        <v>0</v>
      </c>
      <c r="V1698" s="118">
        <f t="shared" si="1055"/>
        <v>0</v>
      </c>
      <c r="W1698" s="118">
        <f t="shared" si="1055"/>
        <v>0</v>
      </c>
      <c r="X1698" s="118">
        <f t="shared" si="1055"/>
        <v>0</v>
      </c>
    </row>
    <row r="1699" spans="2:24" hidden="1">
      <c r="B1699" s="116" t="str">
        <f t="shared" si="1044"/>
        <v/>
      </c>
      <c r="C1699" s="116" t="str">
        <f t="shared" si="1044"/>
        <v/>
      </c>
      <c r="D1699" s="116" t="str">
        <f t="shared" si="1044"/>
        <v/>
      </c>
      <c r="E1699" s="116" t="str">
        <f t="shared" si="1044"/>
        <v/>
      </c>
      <c r="F1699" s="116"/>
      <c r="G1699" s="116"/>
      <c r="H1699" s="116"/>
      <c r="I1699" s="116"/>
      <c r="J1699" s="116"/>
      <c r="K1699" s="118">
        <f t="shared" ref="K1699:X1699" si="1056">IF(AND($D1699="tak",OR($E1699="nie dotyczy",$E1699="badania przemysłowe"),LataProjekcji&lt;=Koniec_Projekt),K173,0)</f>
        <v>0</v>
      </c>
      <c r="L1699" s="118">
        <f t="shared" si="1056"/>
        <v>0</v>
      </c>
      <c r="M1699" s="118">
        <f t="shared" si="1056"/>
        <v>0</v>
      </c>
      <c r="N1699" s="118">
        <f t="shared" si="1056"/>
        <v>0</v>
      </c>
      <c r="O1699" s="118">
        <f t="shared" si="1056"/>
        <v>0</v>
      </c>
      <c r="P1699" s="118">
        <f t="shared" si="1056"/>
        <v>0</v>
      </c>
      <c r="Q1699" s="118">
        <f t="shared" si="1056"/>
        <v>0</v>
      </c>
      <c r="R1699" s="118">
        <f t="shared" si="1056"/>
        <v>0</v>
      </c>
      <c r="S1699" s="118">
        <f t="shared" si="1056"/>
        <v>0</v>
      </c>
      <c r="T1699" s="118">
        <f t="shared" si="1056"/>
        <v>0</v>
      </c>
      <c r="U1699" s="118">
        <f t="shared" si="1056"/>
        <v>0</v>
      </c>
      <c r="V1699" s="118">
        <f t="shared" si="1056"/>
        <v>0</v>
      </c>
      <c r="W1699" s="118">
        <f t="shared" si="1056"/>
        <v>0</v>
      </c>
      <c r="X1699" s="118">
        <f t="shared" si="1056"/>
        <v>0</v>
      </c>
    </row>
    <row r="1700" spans="2:24" hidden="1">
      <c r="B1700" s="116" t="str">
        <f t="shared" si="1044"/>
        <v/>
      </c>
      <c r="C1700" s="116" t="str">
        <f t="shared" si="1044"/>
        <v/>
      </c>
      <c r="D1700" s="116" t="str">
        <f t="shared" si="1044"/>
        <v/>
      </c>
      <c r="E1700" s="116" t="str">
        <f t="shared" si="1044"/>
        <v/>
      </c>
      <c r="F1700" s="116"/>
      <c r="G1700" s="116"/>
      <c r="H1700" s="116"/>
      <c r="I1700" s="116"/>
      <c r="J1700" s="116"/>
      <c r="K1700" s="118">
        <f t="shared" ref="K1700:X1700" si="1057">IF(AND($D1700="tak",OR($E1700="nie dotyczy",$E1700="badania przemysłowe"),LataProjekcji&lt;=Koniec_Projekt),K174,0)</f>
        <v>0</v>
      </c>
      <c r="L1700" s="118">
        <f t="shared" si="1057"/>
        <v>0</v>
      </c>
      <c r="M1700" s="118">
        <f t="shared" si="1057"/>
        <v>0</v>
      </c>
      <c r="N1700" s="118">
        <f t="shared" si="1057"/>
        <v>0</v>
      </c>
      <c r="O1700" s="118">
        <f t="shared" si="1057"/>
        <v>0</v>
      </c>
      <c r="P1700" s="118">
        <f t="shared" si="1057"/>
        <v>0</v>
      </c>
      <c r="Q1700" s="118">
        <f t="shared" si="1057"/>
        <v>0</v>
      </c>
      <c r="R1700" s="118">
        <f t="shared" si="1057"/>
        <v>0</v>
      </c>
      <c r="S1700" s="118">
        <f t="shared" si="1057"/>
        <v>0</v>
      </c>
      <c r="T1700" s="118">
        <f t="shared" si="1057"/>
        <v>0</v>
      </c>
      <c r="U1700" s="118">
        <f t="shared" si="1057"/>
        <v>0</v>
      </c>
      <c r="V1700" s="118">
        <f t="shared" si="1057"/>
        <v>0</v>
      </c>
      <c r="W1700" s="118">
        <f t="shared" si="1057"/>
        <v>0</v>
      </c>
      <c r="X1700" s="118">
        <f t="shared" si="1057"/>
        <v>0</v>
      </c>
    </row>
    <row r="1701" spans="2:24" hidden="1">
      <c r="B1701" s="116" t="str">
        <f t="shared" si="1044"/>
        <v/>
      </c>
      <c r="C1701" s="116" t="str">
        <f t="shared" si="1044"/>
        <v/>
      </c>
      <c r="D1701" s="116" t="str">
        <f t="shared" si="1044"/>
        <v/>
      </c>
      <c r="E1701" s="116" t="str">
        <f t="shared" si="1044"/>
        <v/>
      </c>
      <c r="F1701" s="116"/>
      <c r="G1701" s="116"/>
      <c r="H1701" s="116"/>
      <c r="I1701" s="116"/>
      <c r="J1701" s="116"/>
      <c r="K1701" s="118">
        <f t="shared" ref="K1701:X1701" si="1058">IF(AND($D1701="tak",OR($E1701="nie dotyczy",$E1701="badania przemysłowe"),LataProjekcji&lt;=Koniec_Projekt),K175,0)</f>
        <v>0</v>
      </c>
      <c r="L1701" s="118">
        <f t="shared" si="1058"/>
        <v>0</v>
      </c>
      <c r="M1701" s="118">
        <f t="shared" si="1058"/>
        <v>0</v>
      </c>
      <c r="N1701" s="118">
        <f t="shared" si="1058"/>
        <v>0</v>
      </c>
      <c r="O1701" s="118">
        <f t="shared" si="1058"/>
        <v>0</v>
      </c>
      <c r="P1701" s="118">
        <f t="shared" si="1058"/>
        <v>0</v>
      </c>
      <c r="Q1701" s="118">
        <f t="shared" si="1058"/>
        <v>0</v>
      </c>
      <c r="R1701" s="118">
        <f t="shared" si="1058"/>
        <v>0</v>
      </c>
      <c r="S1701" s="118">
        <f t="shared" si="1058"/>
        <v>0</v>
      </c>
      <c r="T1701" s="118">
        <f t="shared" si="1058"/>
        <v>0</v>
      </c>
      <c r="U1701" s="118">
        <f t="shared" si="1058"/>
        <v>0</v>
      </c>
      <c r="V1701" s="118">
        <f t="shared" si="1058"/>
        <v>0</v>
      </c>
      <c r="W1701" s="118">
        <f t="shared" si="1058"/>
        <v>0</v>
      </c>
      <c r="X1701" s="118">
        <f t="shared" si="1058"/>
        <v>0</v>
      </c>
    </row>
    <row r="1702" spans="2:24" hidden="1">
      <c r="B1702" s="116" t="str">
        <f t="shared" si="1044"/>
        <v/>
      </c>
      <c r="C1702" s="116" t="str">
        <f t="shared" si="1044"/>
        <v/>
      </c>
      <c r="D1702" s="116" t="str">
        <f t="shared" si="1044"/>
        <v/>
      </c>
      <c r="E1702" s="116" t="str">
        <f t="shared" si="1044"/>
        <v/>
      </c>
      <c r="F1702" s="116"/>
      <c r="G1702" s="116"/>
      <c r="H1702" s="116"/>
      <c r="I1702" s="116"/>
      <c r="J1702" s="116"/>
      <c r="K1702" s="118">
        <f t="shared" ref="K1702:X1702" si="1059">IF(AND($D1702="tak",OR($E1702="nie dotyczy",$E1702="badania przemysłowe"),LataProjekcji&lt;=Koniec_Projekt),K176,0)</f>
        <v>0</v>
      </c>
      <c r="L1702" s="118">
        <f t="shared" si="1059"/>
        <v>0</v>
      </c>
      <c r="M1702" s="118">
        <f t="shared" si="1059"/>
        <v>0</v>
      </c>
      <c r="N1702" s="118">
        <f t="shared" si="1059"/>
        <v>0</v>
      </c>
      <c r="O1702" s="118">
        <f t="shared" si="1059"/>
        <v>0</v>
      </c>
      <c r="P1702" s="118">
        <f t="shared" si="1059"/>
        <v>0</v>
      </c>
      <c r="Q1702" s="118">
        <f t="shared" si="1059"/>
        <v>0</v>
      </c>
      <c r="R1702" s="118">
        <f t="shared" si="1059"/>
        <v>0</v>
      </c>
      <c r="S1702" s="118">
        <f t="shared" si="1059"/>
        <v>0</v>
      </c>
      <c r="T1702" s="118">
        <f t="shared" si="1059"/>
        <v>0</v>
      </c>
      <c r="U1702" s="118">
        <f t="shared" si="1059"/>
        <v>0</v>
      </c>
      <c r="V1702" s="118">
        <f t="shared" si="1059"/>
        <v>0</v>
      </c>
      <c r="W1702" s="118">
        <f t="shared" si="1059"/>
        <v>0</v>
      </c>
      <c r="X1702" s="118">
        <f t="shared" si="1059"/>
        <v>0</v>
      </c>
    </row>
    <row r="1703" spans="2:24" hidden="1">
      <c r="B1703" s="116" t="str">
        <f t="shared" si="1044"/>
        <v/>
      </c>
      <c r="C1703" s="116" t="str">
        <f t="shared" si="1044"/>
        <v/>
      </c>
      <c r="D1703" s="116" t="str">
        <f t="shared" si="1044"/>
        <v/>
      </c>
      <c r="E1703" s="116" t="str">
        <f t="shared" si="1044"/>
        <v/>
      </c>
      <c r="F1703" s="116"/>
      <c r="G1703" s="116"/>
      <c r="H1703" s="116"/>
      <c r="I1703" s="116"/>
      <c r="J1703" s="116"/>
      <c r="K1703" s="118">
        <f t="shared" ref="K1703:X1703" si="1060">IF(AND($D1703="tak",OR($E1703="nie dotyczy",$E1703="badania przemysłowe"),LataProjekcji&lt;=Koniec_Projekt),K177,0)</f>
        <v>0</v>
      </c>
      <c r="L1703" s="118">
        <f t="shared" si="1060"/>
        <v>0</v>
      </c>
      <c r="M1703" s="118">
        <f t="shared" si="1060"/>
        <v>0</v>
      </c>
      <c r="N1703" s="118">
        <f t="shared" si="1060"/>
        <v>0</v>
      </c>
      <c r="O1703" s="118">
        <f t="shared" si="1060"/>
        <v>0</v>
      </c>
      <c r="P1703" s="118">
        <f t="shared" si="1060"/>
        <v>0</v>
      </c>
      <c r="Q1703" s="118">
        <f t="shared" si="1060"/>
        <v>0</v>
      </c>
      <c r="R1703" s="118">
        <f t="shared" si="1060"/>
        <v>0</v>
      </c>
      <c r="S1703" s="118">
        <f t="shared" si="1060"/>
        <v>0</v>
      </c>
      <c r="T1703" s="118">
        <f t="shared" si="1060"/>
        <v>0</v>
      </c>
      <c r="U1703" s="118">
        <f t="shared" si="1060"/>
        <v>0</v>
      </c>
      <c r="V1703" s="118">
        <f t="shared" si="1060"/>
        <v>0</v>
      </c>
      <c r="W1703" s="118">
        <f t="shared" si="1060"/>
        <v>0</v>
      </c>
      <c r="X1703" s="118">
        <f t="shared" si="1060"/>
        <v>0</v>
      </c>
    </row>
    <row r="1704" spans="2:24" hidden="1">
      <c r="B1704" s="116" t="str">
        <f t="shared" si="1044"/>
        <v/>
      </c>
      <c r="C1704" s="116" t="str">
        <f t="shared" si="1044"/>
        <v/>
      </c>
      <c r="D1704" s="116" t="str">
        <f t="shared" si="1044"/>
        <v/>
      </c>
      <c r="E1704" s="116" t="str">
        <f t="shared" si="1044"/>
        <v/>
      </c>
      <c r="F1704" s="116"/>
      <c r="G1704" s="116"/>
      <c r="H1704" s="116"/>
      <c r="I1704" s="116"/>
      <c r="J1704" s="116"/>
      <c r="K1704" s="118">
        <f t="shared" ref="K1704:X1704" si="1061">IF(AND($D1704="tak",OR($E1704="nie dotyczy",$E1704="badania przemysłowe"),LataProjekcji&lt;=Koniec_Projekt),K178,0)</f>
        <v>0</v>
      </c>
      <c r="L1704" s="118">
        <f t="shared" si="1061"/>
        <v>0</v>
      </c>
      <c r="M1704" s="118">
        <f t="shared" si="1061"/>
        <v>0</v>
      </c>
      <c r="N1704" s="118">
        <f t="shared" si="1061"/>
        <v>0</v>
      </c>
      <c r="O1704" s="118">
        <f t="shared" si="1061"/>
        <v>0</v>
      </c>
      <c r="P1704" s="118">
        <f t="shared" si="1061"/>
        <v>0</v>
      </c>
      <c r="Q1704" s="118">
        <f t="shared" si="1061"/>
        <v>0</v>
      </c>
      <c r="R1704" s="118">
        <f t="shared" si="1061"/>
        <v>0</v>
      </c>
      <c r="S1704" s="118">
        <f t="shared" si="1061"/>
        <v>0</v>
      </c>
      <c r="T1704" s="118">
        <f t="shared" si="1061"/>
        <v>0</v>
      </c>
      <c r="U1704" s="118">
        <f t="shared" si="1061"/>
        <v>0</v>
      </c>
      <c r="V1704" s="118">
        <f t="shared" si="1061"/>
        <v>0</v>
      </c>
      <c r="W1704" s="118">
        <f t="shared" si="1061"/>
        <v>0</v>
      </c>
      <c r="X1704" s="118">
        <f t="shared" si="1061"/>
        <v>0</v>
      </c>
    </row>
    <row r="1705" spans="2:24" hidden="1">
      <c r="B1705" s="116" t="str">
        <f t="shared" si="1044"/>
        <v/>
      </c>
      <c r="C1705" s="116" t="str">
        <f t="shared" si="1044"/>
        <v/>
      </c>
      <c r="D1705" s="116" t="str">
        <f t="shared" si="1044"/>
        <v/>
      </c>
      <c r="E1705" s="116" t="str">
        <f t="shared" si="1044"/>
        <v/>
      </c>
      <c r="F1705" s="116"/>
      <c r="G1705" s="116"/>
      <c r="H1705" s="116"/>
      <c r="I1705" s="116"/>
      <c r="J1705" s="116"/>
      <c r="K1705" s="118">
        <f t="shared" ref="K1705:X1705" si="1062">IF(AND($D1705="tak",OR($E1705="nie dotyczy",$E1705="badania przemysłowe"),LataProjekcji&lt;=Koniec_Projekt),K179,0)</f>
        <v>0</v>
      </c>
      <c r="L1705" s="118">
        <f t="shared" si="1062"/>
        <v>0</v>
      </c>
      <c r="M1705" s="118">
        <f t="shared" si="1062"/>
        <v>0</v>
      </c>
      <c r="N1705" s="118">
        <f t="shared" si="1062"/>
        <v>0</v>
      </c>
      <c r="O1705" s="118">
        <f t="shared" si="1062"/>
        <v>0</v>
      </c>
      <c r="P1705" s="118">
        <f t="shared" si="1062"/>
        <v>0</v>
      </c>
      <c r="Q1705" s="118">
        <f t="shared" si="1062"/>
        <v>0</v>
      </c>
      <c r="R1705" s="118">
        <f t="shared" si="1062"/>
        <v>0</v>
      </c>
      <c r="S1705" s="118">
        <f t="shared" si="1062"/>
        <v>0</v>
      </c>
      <c r="T1705" s="118">
        <f t="shared" si="1062"/>
        <v>0</v>
      </c>
      <c r="U1705" s="118">
        <f t="shared" si="1062"/>
        <v>0</v>
      </c>
      <c r="V1705" s="118">
        <f t="shared" si="1062"/>
        <v>0</v>
      </c>
      <c r="W1705" s="118">
        <f t="shared" si="1062"/>
        <v>0</v>
      </c>
      <c r="X1705" s="118">
        <f t="shared" si="1062"/>
        <v>0</v>
      </c>
    </row>
    <row r="1706" spans="2:24" hidden="1">
      <c r="B1706" s="116" t="str">
        <f t="shared" si="1044"/>
        <v/>
      </c>
      <c r="C1706" s="116" t="str">
        <f t="shared" si="1044"/>
        <v/>
      </c>
      <c r="D1706" s="116" t="str">
        <f t="shared" si="1044"/>
        <v/>
      </c>
      <c r="E1706" s="116" t="str">
        <f t="shared" si="1044"/>
        <v/>
      </c>
      <c r="F1706" s="116"/>
      <c r="G1706" s="116"/>
      <c r="H1706" s="116"/>
      <c r="I1706" s="116"/>
      <c r="J1706" s="116"/>
      <c r="K1706" s="118">
        <f t="shared" ref="K1706:X1706" si="1063">IF(AND($D1706="tak",OR($E1706="nie dotyczy",$E1706="badania przemysłowe"),LataProjekcji&lt;=Koniec_Projekt),K180,0)</f>
        <v>0</v>
      </c>
      <c r="L1706" s="118">
        <f t="shared" si="1063"/>
        <v>0</v>
      </c>
      <c r="M1706" s="118">
        <f t="shared" si="1063"/>
        <v>0</v>
      </c>
      <c r="N1706" s="118">
        <f t="shared" si="1063"/>
        <v>0</v>
      </c>
      <c r="O1706" s="118">
        <f t="shared" si="1063"/>
        <v>0</v>
      </c>
      <c r="P1706" s="118">
        <f t="shared" si="1063"/>
        <v>0</v>
      </c>
      <c r="Q1706" s="118">
        <f t="shared" si="1063"/>
        <v>0</v>
      </c>
      <c r="R1706" s="118">
        <f t="shared" si="1063"/>
        <v>0</v>
      </c>
      <c r="S1706" s="118">
        <f t="shared" si="1063"/>
        <v>0</v>
      </c>
      <c r="T1706" s="118">
        <f t="shared" si="1063"/>
        <v>0</v>
      </c>
      <c r="U1706" s="118">
        <f t="shared" si="1063"/>
        <v>0</v>
      </c>
      <c r="V1706" s="118">
        <f t="shared" si="1063"/>
        <v>0</v>
      </c>
      <c r="W1706" s="118">
        <f t="shared" si="1063"/>
        <v>0</v>
      </c>
      <c r="X1706" s="118">
        <f t="shared" si="1063"/>
        <v>0</v>
      </c>
    </row>
    <row r="1707" spans="2:24" hidden="1">
      <c r="B1707" s="116" t="str">
        <f t="shared" si="1044"/>
        <v/>
      </c>
      <c r="C1707" s="116" t="str">
        <f t="shared" si="1044"/>
        <v/>
      </c>
      <c r="D1707" s="116" t="str">
        <f t="shared" si="1044"/>
        <v/>
      </c>
      <c r="E1707" s="116" t="str">
        <f t="shared" si="1044"/>
        <v/>
      </c>
      <c r="F1707" s="116"/>
      <c r="G1707" s="116"/>
      <c r="H1707" s="116"/>
      <c r="I1707" s="116"/>
      <c r="J1707" s="116"/>
      <c r="K1707" s="118">
        <f t="shared" ref="K1707:X1707" si="1064">IF(AND($D1707="tak",OR($E1707="nie dotyczy",$E1707="badania przemysłowe"),LataProjekcji&lt;=Koniec_Projekt),K181,0)</f>
        <v>0</v>
      </c>
      <c r="L1707" s="118">
        <f t="shared" si="1064"/>
        <v>0</v>
      </c>
      <c r="M1707" s="118">
        <f t="shared" si="1064"/>
        <v>0</v>
      </c>
      <c r="N1707" s="118">
        <f t="shared" si="1064"/>
        <v>0</v>
      </c>
      <c r="O1707" s="118">
        <f t="shared" si="1064"/>
        <v>0</v>
      </c>
      <c r="P1707" s="118">
        <f t="shared" si="1064"/>
        <v>0</v>
      </c>
      <c r="Q1707" s="118">
        <f t="shared" si="1064"/>
        <v>0</v>
      </c>
      <c r="R1707" s="118">
        <f t="shared" si="1064"/>
        <v>0</v>
      </c>
      <c r="S1707" s="118">
        <f t="shared" si="1064"/>
        <v>0</v>
      </c>
      <c r="T1707" s="118">
        <f t="shared" si="1064"/>
        <v>0</v>
      </c>
      <c r="U1707" s="118">
        <f t="shared" si="1064"/>
        <v>0</v>
      </c>
      <c r="V1707" s="118">
        <f t="shared" si="1064"/>
        <v>0</v>
      </c>
      <c r="W1707" s="118">
        <f t="shared" si="1064"/>
        <v>0</v>
      </c>
      <c r="X1707" s="118">
        <f t="shared" si="1064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5">ROUND(SUM(K1688:K1707),0)</f>
        <v>0</v>
      </c>
      <c r="L1708" s="119">
        <f t="shared" si="1065"/>
        <v>0</v>
      </c>
      <c r="M1708" s="119">
        <f t="shared" si="1065"/>
        <v>0</v>
      </c>
      <c r="N1708" s="119">
        <f t="shared" si="1065"/>
        <v>0</v>
      </c>
      <c r="O1708" s="119">
        <f t="shared" si="1065"/>
        <v>0</v>
      </c>
      <c r="P1708" s="119">
        <f t="shared" si="1065"/>
        <v>0</v>
      </c>
      <c r="Q1708" s="119">
        <f t="shared" si="1065"/>
        <v>0</v>
      </c>
      <c r="R1708" s="119">
        <f t="shared" si="1065"/>
        <v>0</v>
      </c>
      <c r="S1708" s="119">
        <f t="shared" si="1065"/>
        <v>0</v>
      </c>
      <c r="T1708" s="119">
        <f t="shared" si="1065"/>
        <v>0</v>
      </c>
      <c r="U1708" s="119">
        <f t="shared" si="1065"/>
        <v>0</v>
      </c>
      <c r="V1708" s="119">
        <f t="shared" si="1065"/>
        <v>0</v>
      </c>
      <c r="W1708" s="119">
        <f t="shared" si="1065"/>
        <v>0</v>
      </c>
      <c r="X1708" s="119">
        <f t="shared" si="1065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66">IF(ISBLANK(B1472),"",B1472)</f>
        <v/>
      </c>
      <c r="C1712" s="116" t="str">
        <f t="shared" si="1066"/>
        <v/>
      </c>
      <c r="D1712" s="116" t="str">
        <f t="shared" si="1066"/>
        <v/>
      </c>
      <c r="E1712" s="116" t="str">
        <f t="shared" si="1066"/>
        <v/>
      </c>
      <c r="F1712" s="116"/>
      <c r="G1712" s="116"/>
      <c r="H1712" s="116"/>
      <c r="I1712" s="116"/>
      <c r="J1712" s="116"/>
      <c r="K1712" s="118">
        <f t="shared" ref="K1712:X1712" si="1067">IF(AND($D1712="tak",OR($E1712="nie dotyczy",$E1712="badania przemysłowe"),LataProjekcji&lt;=Koniec_Projekt),K207,0)</f>
        <v>0</v>
      </c>
      <c r="L1712" s="118">
        <f t="shared" si="1067"/>
        <v>0</v>
      </c>
      <c r="M1712" s="118">
        <f t="shared" si="1067"/>
        <v>0</v>
      </c>
      <c r="N1712" s="118">
        <f t="shared" si="1067"/>
        <v>0</v>
      </c>
      <c r="O1712" s="118">
        <f t="shared" si="1067"/>
        <v>0</v>
      </c>
      <c r="P1712" s="118">
        <f t="shared" si="1067"/>
        <v>0</v>
      </c>
      <c r="Q1712" s="118">
        <f t="shared" si="1067"/>
        <v>0</v>
      </c>
      <c r="R1712" s="118">
        <f t="shared" si="1067"/>
        <v>0</v>
      </c>
      <c r="S1712" s="118">
        <f t="shared" si="1067"/>
        <v>0</v>
      </c>
      <c r="T1712" s="118">
        <f t="shared" si="1067"/>
        <v>0</v>
      </c>
      <c r="U1712" s="118">
        <f t="shared" si="1067"/>
        <v>0</v>
      </c>
      <c r="V1712" s="118">
        <f t="shared" si="1067"/>
        <v>0</v>
      </c>
      <c r="W1712" s="118">
        <f t="shared" si="1067"/>
        <v>0</v>
      </c>
      <c r="X1712" s="118">
        <f t="shared" si="1067"/>
        <v>0</v>
      </c>
    </row>
    <row r="1713" spans="2:24" hidden="1">
      <c r="B1713" s="116" t="str">
        <f t="shared" si="1066"/>
        <v/>
      </c>
      <c r="C1713" s="116" t="str">
        <f t="shared" si="1066"/>
        <v/>
      </c>
      <c r="D1713" s="116" t="str">
        <f t="shared" si="1066"/>
        <v/>
      </c>
      <c r="E1713" s="116" t="str">
        <f t="shared" si="1066"/>
        <v/>
      </c>
      <c r="F1713" s="116"/>
      <c r="G1713" s="116"/>
      <c r="H1713" s="116"/>
      <c r="I1713" s="116"/>
      <c r="J1713" s="116"/>
      <c r="K1713" s="118">
        <f t="shared" ref="K1713:X1713" si="1068">IF(AND($D1713="tak",OR($E1713="nie dotyczy",$E1713="badania przemysłowe"),LataProjekcji&lt;=Koniec_Projekt),K208,0)</f>
        <v>0</v>
      </c>
      <c r="L1713" s="118">
        <f t="shared" si="1068"/>
        <v>0</v>
      </c>
      <c r="M1713" s="118">
        <f t="shared" si="1068"/>
        <v>0</v>
      </c>
      <c r="N1713" s="118">
        <f t="shared" si="1068"/>
        <v>0</v>
      </c>
      <c r="O1713" s="118">
        <f t="shared" si="1068"/>
        <v>0</v>
      </c>
      <c r="P1713" s="118">
        <f t="shared" si="1068"/>
        <v>0</v>
      </c>
      <c r="Q1713" s="118">
        <f t="shared" si="1068"/>
        <v>0</v>
      </c>
      <c r="R1713" s="118">
        <f t="shared" si="1068"/>
        <v>0</v>
      </c>
      <c r="S1713" s="118">
        <f t="shared" si="1068"/>
        <v>0</v>
      </c>
      <c r="T1713" s="118">
        <f t="shared" si="1068"/>
        <v>0</v>
      </c>
      <c r="U1713" s="118">
        <f t="shared" si="1068"/>
        <v>0</v>
      </c>
      <c r="V1713" s="118">
        <f t="shared" si="1068"/>
        <v>0</v>
      </c>
      <c r="W1713" s="118">
        <f t="shared" si="1068"/>
        <v>0</v>
      </c>
      <c r="X1713" s="118">
        <f t="shared" si="1068"/>
        <v>0</v>
      </c>
    </row>
    <row r="1714" spans="2:24" hidden="1">
      <c r="B1714" s="116" t="str">
        <f t="shared" si="1066"/>
        <v/>
      </c>
      <c r="C1714" s="116" t="str">
        <f t="shared" si="1066"/>
        <v/>
      </c>
      <c r="D1714" s="116" t="str">
        <f t="shared" si="1066"/>
        <v/>
      </c>
      <c r="E1714" s="116" t="str">
        <f t="shared" si="1066"/>
        <v/>
      </c>
      <c r="F1714" s="116"/>
      <c r="G1714" s="116"/>
      <c r="H1714" s="116"/>
      <c r="I1714" s="116"/>
      <c r="J1714" s="116"/>
      <c r="K1714" s="118">
        <f t="shared" ref="K1714:X1714" si="1069">IF(AND($D1714="tak",OR($E1714="nie dotyczy",$E1714="badania przemysłowe"),LataProjekcji&lt;=Koniec_Projekt),K209,0)</f>
        <v>0</v>
      </c>
      <c r="L1714" s="118">
        <f t="shared" si="1069"/>
        <v>0</v>
      </c>
      <c r="M1714" s="118">
        <f t="shared" si="1069"/>
        <v>0</v>
      </c>
      <c r="N1714" s="118">
        <f t="shared" si="1069"/>
        <v>0</v>
      </c>
      <c r="O1714" s="118">
        <f t="shared" si="1069"/>
        <v>0</v>
      </c>
      <c r="P1714" s="118">
        <f t="shared" si="1069"/>
        <v>0</v>
      </c>
      <c r="Q1714" s="118">
        <f t="shared" si="1069"/>
        <v>0</v>
      </c>
      <c r="R1714" s="118">
        <f t="shared" si="1069"/>
        <v>0</v>
      </c>
      <c r="S1714" s="118">
        <f t="shared" si="1069"/>
        <v>0</v>
      </c>
      <c r="T1714" s="118">
        <f t="shared" si="1069"/>
        <v>0</v>
      </c>
      <c r="U1714" s="118">
        <f t="shared" si="1069"/>
        <v>0</v>
      </c>
      <c r="V1714" s="118">
        <f t="shared" si="1069"/>
        <v>0</v>
      </c>
      <c r="W1714" s="118">
        <f t="shared" si="1069"/>
        <v>0</v>
      </c>
      <c r="X1714" s="118">
        <f t="shared" si="1069"/>
        <v>0</v>
      </c>
    </row>
    <row r="1715" spans="2:24" hidden="1">
      <c r="B1715" s="116" t="str">
        <f t="shared" si="1066"/>
        <v/>
      </c>
      <c r="C1715" s="116" t="str">
        <f t="shared" si="1066"/>
        <v/>
      </c>
      <c r="D1715" s="116" t="str">
        <f t="shared" si="1066"/>
        <v/>
      </c>
      <c r="E1715" s="116" t="str">
        <f t="shared" si="1066"/>
        <v/>
      </c>
      <c r="F1715" s="116"/>
      <c r="G1715" s="116"/>
      <c r="H1715" s="116"/>
      <c r="I1715" s="116"/>
      <c r="J1715" s="116"/>
      <c r="K1715" s="118">
        <f t="shared" ref="K1715:X1715" si="1070">IF(AND($D1715="tak",OR($E1715="nie dotyczy",$E1715="badania przemysłowe"),LataProjekcji&lt;=Koniec_Projekt),K210,0)</f>
        <v>0</v>
      </c>
      <c r="L1715" s="118">
        <f t="shared" si="1070"/>
        <v>0</v>
      </c>
      <c r="M1715" s="118">
        <f t="shared" si="1070"/>
        <v>0</v>
      </c>
      <c r="N1715" s="118">
        <f t="shared" si="1070"/>
        <v>0</v>
      </c>
      <c r="O1715" s="118">
        <f t="shared" si="1070"/>
        <v>0</v>
      </c>
      <c r="P1715" s="118">
        <f t="shared" si="1070"/>
        <v>0</v>
      </c>
      <c r="Q1715" s="118">
        <f t="shared" si="1070"/>
        <v>0</v>
      </c>
      <c r="R1715" s="118">
        <f t="shared" si="1070"/>
        <v>0</v>
      </c>
      <c r="S1715" s="118">
        <f t="shared" si="1070"/>
        <v>0</v>
      </c>
      <c r="T1715" s="118">
        <f t="shared" si="1070"/>
        <v>0</v>
      </c>
      <c r="U1715" s="118">
        <f t="shared" si="1070"/>
        <v>0</v>
      </c>
      <c r="V1715" s="118">
        <f t="shared" si="1070"/>
        <v>0</v>
      </c>
      <c r="W1715" s="118">
        <f t="shared" si="1070"/>
        <v>0</v>
      </c>
      <c r="X1715" s="118">
        <f t="shared" si="1070"/>
        <v>0</v>
      </c>
    </row>
    <row r="1716" spans="2:24" hidden="1">
      <c r="B1716" s="116" t="str">
        <f t="shared" si="1066"/>
        <v/>
      </c>
      <c r="C1716" s="116" t="str">
        <f t="shared" si="1066"/>
        <v/>
      </c>
      <c r="D1716" s="116" t="str">
        <f t="shared" si="1066"/>
        <v/>
      </c>
      <c r="E1716" s="116" t="str">
        <f t="shared" si="1066"/>
        <v/>
      </c>
      <c r="F1716" s="116"/>
      <c r="G1716" s="116"/>
      <c r="H1716" s="116"/>
      <c r="I1716" s="116"/>
      <c r="J1716" s="116"/>
      <c r="K1716" s="118">
        <f t="shared" ref="K1716:X1716" si="1071">IF(AND($D1716="tak",OR($E1716="nie dotyczy",$E1716="badania przemysłowe"),LataProjekcji&lt;=Koniec_Projekt),K211,0)</f>
        <v>0</v>
      </c>
      <c r="L1716" s="118">
        <f t="shared" si="1071"/>
        <v>0</v>
      </c>
      <c r="M1716" s="118">
        <f t="shared" si="1071"/>
        <v>0</v>
      </c>
      <c r="N1716" s="118">
        <f t="shared" si="1071"/>
        <v>0</v>
      </c>
      <c r="O1716" s="118">
        <f t="shared" si="1071"/>
        <v>0</v>
      </c>
      <c r="P1716" s="118">
        <f t="shared" si="1071"/>
        <v>0</v>
      </c>
      <c r="Q1716" s="118">
        <f t="shared" si="1071"/>
        <v>0</v>
      </c>
      <c r="R1716" s="118">
        <f t="shared" si="1071"/>
        <v>0</v>
      </c>
      <c r="S1716" s="118">
        <f t="shared" si="1071"/>
        <v>0</v>
      </c>
      <c r="T1716" s="118">
        <f t="shared" si="1071"/>
        <v>0</v>
      </c>
      <c r="U1716" s="118">
        <f t="shared" si="1071"/>
        <v>0</v>
      </c>
      <c r="V1716" s="118">
        <f t="shared" si="1071"/>
        <v>0</v>
      </c>
      <c r="W1716" s="118">
        <f t="shared" si="1071"/>
        <v>0</v>
      </c>
      <c r="X1716" s="118">
        <f t="shared" si="1071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2">ROUND(SUM(L1712:L1716),0)</f>
        <v>0</v>
      </c>
      <c r="M1717" s="119">
        <f t="shared" si="1072"/>
        <v>0</v>
      </c>
      <c r="N1717" s="119">
        <f t="shared" si="1072"/>
        <v>0</v>
      </c>
      <c r="O1717" s="119">
        <f t="shared" si="1072"/>
        <v>0</v>
      </c>
      <c r="P1717" s="119">
        <f t="shared" si="1072"/>
        <v>0</v>
      </c>
      <c r="Q1717" s="119">
        <f t="shared" si="1072"/>
        <v>0</v>
      </c>
      <c r="R1717" s="119">
        <f t="shared" si="1072"/>
        <v>0</v>
      </c>
      <c r="S1717" s="119">
        <f t="shared" si="1072"/>
        <v>0</v>
      </c>
      <c r="T1717" s="119">
        <f t="shared" si="1072"/>
        <v>0</v>
      </c>
      <c r="U1717" s="119">
        <f t="shared" si="1072"/>
        <v>0</v>
      </c>
      <c r="V1717" s="119">
        <f t="shared" si="1072"/>
        <v>0</v>
      </c>
      <c r="W1717" s="119">
        <f t="shared" si="1072"/>
        <v>0</v>
      </c>
      <c r="X1717" s="119">
        <f t="shared" si="1072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3">IF(ISBLANK(B1482),"",B1482)</f>
        <v/>
      </c>
      <c r="C1722" s="116" t="str">
        <f t="shared" si="1073"/>
        <v/>
      </c>
      <c r="D1722" s="116" t="str">
        <f t="shared" si="1073"/>
        <v/>
      </c>
      <c r="E1722" s="116" t="str">
        <f t="shared" si="1073"/>
        <v/>
      </c>
      <c r="F1722" s="116"/>
      <c r="G1722" s="116"/>
      <c r="H1722" s="116"/>
      <c r="I1722" s="116"/>
      <c r="J1722" s="116"/>
      <c r="K1722" s="118">
        <f t="shared" ref="K1722:X1722" si="1074">IF(AND($D1722="tak",OR($E1722="nie dotyczy",$E1722="badania przemysłowe"),LataProjekcji&lt;=Koniec_Projekt),K391,0)</f>
        <v>0</v>
      </c>
      <c r="L1722" s="118">
        <f t="shared" si="1074"/>
        <v>0</v>
      </c>
      <c r="M1722" s="118">
        <f t="shared" si="1074"/>
        <v>0</v>
      </c>
      <c r="N1722" s="118">
        <f t="shared" si="1074"/>
        <v>0</v>
      </c>
      <c r="O1722" s="118">
        <f t="shared" si="1074"/>
        <v>0</v>
      </c>
      <c r="P1722" s="118">
        <f t="shared" si="1074"/>
        <v>0</v>
      </c>
      <c r="Q1722" s="118">
        <f t="shared" si="1074"/>
        <v>0</v>
      </c>
      <c r="R1722" s="118">
        <f t="shared" si="1074"/>
        <v>0</v>
      </c>
      <c r="S1722" s="118">
        <f t="shared" si="1074"/>
        <v>0</v>
      </c>
      <c r="T1722" s="118">
        <f t="shared" si="1074"/>
        <v>0</v>
      </c>
      <c r="U1722" s="118">
        <f t="shared" si="1074"/>
        <v>0</v>
      </c>
      <c r="V1722" s="118">
        <f t="shared" si="1074"/>
        <v>0</v>
      </c>
      <c r="W1722" s="118">
        <f t="shared" si="1074"/>
        <v>0</v>
      </c>
      <c r="X1722" s="118">
        <f t="shared" si="1074"/>
        <v>0</v>
      </c>
    </row>
    <row r="1723" spans="2:24" hidden="1">
      <c r="B1723" s="116" t="str">
        <f t="shared" si="1073"/>
        <v/>
      </c>
      <c r="C1723" s="116" t="str">
        <f t="shared" si="1073"/>
        <v/>
      </c>
      <c r="D1723" s="116" t="str">
        <f t="shared" si="1073"/>
        <v/>
      </c>
      <c r="E1723" s="116" t="str">
        <f t="shared" si="1073"/>
        <v/>
      </c>
      <c r="F1723" s="116"/>
      <c r="G1723" s="116"/>
      <c r="H1723" s="116"/>
      <c r="I1723" s="116"/>
      <c r="J1723" s="116"/>
      <c r="K1723" s="118">
        <f t="shared" ref="K1723:X1723" si="1075">IF(AND($D1723="tak",OR($E1723="nie dotyczy",$E1723="badania przemysłowe"),LataProjekcji&lt;=Koniec_Projekt),K392,0)</f>
        <v>0</v>
      </c>
      <c r="L1723" s="118">
        <f t="shared" si="1075"/>
        <v>0</v>
      </c>
      <c r="M1723" s="118">
        <f t="shared" si="1075"/>
        <v>0</v>
      </c>
      <c r="N1723" s="118">
        <f t="shared" si="1075"/>
        <v>0</v>
      </c>
      <c r="O1723" s="118">
        <f t="shared" si="1075"/>
        <v>0</v>
      </c>
      <c r="P1723" s="118">
        <f t="shared" si="1075"/>
        <v>0</v>
      </c>
      <c r="Q1723" s="118">
        <f t="shared" si="1075"/>
        <v>0</v>
      </c>
      <c r="R1723" s="118">
        <f t="shared" si="1075"/>
        <v>0</v>
      </c>
      <c r="S1723" s="118">
        <f t="shared" si="1075"/>
        <v>0</v>
      </c>
      <c r="T1723" s="118">
        <f t="shared" si="1075"/>
        <v>0</v>
      </c>
      <c r="U1723" s="118">
        <f t="shared" si="1075"/>
        <v>0</v>
      </c>
      <c r="V1723" s="118">
        <f t="shared" si="1075"/>
        <v>0</v>
      </c>
      <c r="W1723" s="118">
        <f t="shared" si="1075"/>
        <v>0</v>
      </c>
      <c r="X1723" s="118">
        <f t="shared" si="1075"/>
        <v>0</v>
      </c>
    </row>
    <row r="1724" spans="2:24" hidden="1">
      <c r="B1724" s="116" t="str">
        <f t="shared" si="1073"/>
        <v/>
      </c>
      <c r="C1724" s="116" t="str">
        <f t="shared" si="1073"/>
        <v/>
      </c>
      <c r="D1724" s="116" t="str">
        <f t="shared" si="1073"/>
        <v/>
      </c>
      <c r="E1724" s="116" t="str">
        <f t="shared" si="1073"/>
        <v/>
      </c>
      <c r="F1724" s="116"/>
      <c r="G1724" s="116"/>
      <c r="H1724" s="116"/>
      <c r="I1724" s="116"/>
      <c r="J1724" s="116"/>
      <c r="K1724" s="118">
        <f t="shared" ref="K1724:X1724" si="1076">IF(AND($D1724="tak",OR($E1724="nie dotyczy",$E1724="badania przemysłowe"),LataProjekcji&lt;=Koniec_Projekt),K393,0)</f>
        <v>0</v>
      </c>
      <c r="L1724" s="118">
        <f t="shared" si="1076"/>
        <v>0</v>
      </c>
      <c r="M1724" s="118">
        <f t="shared" si="1076"/>
        <v>0</v>
      </c>
      <c r="N1724" s="118">
        <f t="shared" si="1076"/>
        <v>0</v>
      </c>
      <c r="O1724" s="118">
        <f t="shared" si="1076"/>
        <v>0</v>
      </c>
      <c r="P1724" s="118">
        <f t="shared" si="1076"/>
        <v>0</v>
      </c>
      <c r="Q1724" s="118">
        <f t="shared" si="1076"/>
        <v>0</v>
      </c>
      <c r="R1724" s="118">
        <f t="shared" si="1076"/>
        <v>0</v>
      </c>
      <c r="S1724" s="118">
        <f t="shared" si="1076"/>
        <v>0</v>
      </c>
      <c r="T1724" s="118">
        <f t="shared" si="1076"/>
        <v>0</v>
      </c>
      <c r="U1724" s="118">
        <f t="shared" si="1076"/>
        <v>0</v>
      </c>
      <c r="V1724" s="118">
        <f t="shared" si="1076"/>
        <v>0</v>
      </c>
      <c r="W1724" s="118">
        <f t="shared" si="1076"/>
        <v>0</v>
      </c>
      <c r="X1724" s="118">
        <f t="shared" si="1076"/>
        <v>0</v>
      </c>
    </row>
    <row r="1725" spans="2:24" hidden="1">
      <c r="B1725" s="116" t="str">
        <f t="shared" si="1073"/>
        <v/>
      </c>
      <c r="C1725" s="116" t="str">
        <f t="shared" si="1073"/>
        <v/>
      </c>
      <c r="D1725" s="116" t="str">
        <f t="shared" si="1073"/>
        <v/>
      </c>
      <c r="E1725" s="116" t="str">
        <f t="shared" si="1073"/>
        <v/>
      </c>
      <c r="F1725" s="116"/>
      <c r="G1725" s="116"/>
      <c r="H1725" s="116"/>
      <c r="I1725" s="116"/>
      <c r="J1725" s="116"/>
      <c r="K1725" s="118">
        <f t="shared" ref="K1725:X1725" si="1077">IF(AND($D1725="tak",OR($E1725="nie dotyczy",$E1725="badania przemysłowe"),LataProjekcji&lt;=Koniec_Projekt),K394,0)</f>
        <v>0</v>
      </c>
      <c r="L1725" s="118">
        <f t="shared" si="1077"/>
        <v>0</v>
      </c>
      <c r="M1725" s="118">
        <f t="shared" si="1077"/>
        <v>0</v>
      </c>
      <c r="N1725" s="118">
        <f t="shared" si="1077"/>
        <v>0</v>
      </c>
      <c r="O1725" s="118">
        <f t="shared" si="1077"/>
        <v>0</v>
      </c>
      <c r="P1725" s="118">
        <f t="shared" si="1077"/>
        <v>0</v>
      </c>
      <c r="Q1725" s="118">
        <f t="shared" si="1077"/>
        <v>0</v>
      </c>
      <c r="R1725" s="118">
        <f t="shared" si="1077"/>
        <v>0</v>
      </c>
      <c r="S1725" s="118">
        <f t="shared" si="1077"/>
        <v>0</v>
      </c>
      <c r="T1725" s="118">
        <f t="shared" si="1077"/>
        <v>0</v>
      </c>
      <c r="U1725" s="118">
        <f t="shared" si="1077"/>
        <v>0</v>
      </c>
      <c r="V1725" s="118">
        <f t="shared" si="1077"/>
        <v>0</v>
      </c>
      <c r="W1725" s="118">
        <f t="shared" si="1077"/>
        <v>0</v>
      </c>
      <c r="X1725" s="118">
        <f t="shared" si="1077"/>
        <v>0</v>
      </c>
    </row>
    <row r="1726" spans="2:24" hidden="1">
      <c r="B1726" s="116" t="str">
        <f t="shared" si="1073"/>
        <v/>
      </c>
      <c r="C1726" s="116" t="str">
        <f t="shared" si="1073"/>
        <v/>
      </c>
      <c r="D1726" s="116" t="str">
        <f t="shared" si="1073"/>
        <v/>
      </c>
      <c r="E1726" s="116" t="str">
        <f t="shared" si="1073"/>
        <v/>
      </c>
      <c r="F1726" s="116"/>
      <c r="G1726" s="116"/>
      <c r="H1726" s="116"/>
      <c r="I1726" s="116"/>
      <c r="J1726" s="116"/>
      <c r="K1726" s="118">
        <f t="shared" ref="K1726:X1726" si="1078">IF(AND($D1726="tak",OR($E1726="nie dotyczy",$E1726="badania przemysłowe"),LataProjekcji&lt;=Koniec_Projekt),K395,0)</f>
        <v>0</v>
      </c>
      <c r="L1726" s="118">
        <f t="shared" si="1078"/>
        <v>0</v>
      </c>
      <c r="M1726" s="118">
        <f t="shared" si="1078"/>
        <v>0</v>
      </c>
      <c r="N1726" s="118">
        <f t="shared" si="1078"/>
        <v>0</v>
      </c>
      <c r="O1726" s="118">
        <f t="shared" si="1078"/>
        <v>0</v>
      </c>
      <c r="P1726" s="118">
        <f t="shared" si="1078"/>
        <v>0</v>
      </c>
      <c r="Q1726" s="118">
        <f t="shared" si="1078"/>
        <v>0</v>
      </c>
      <c r="R1726" s="118">
        <f t="shared" si="1078"/>
        <v>0</v>
      </c>
      <c r="S1726" s="118">
        <f t="shared" si="1078"/>
        <v>0</v>
      </c>
      <c r="T1726" s="118">
        <f t="shared" si="1078"/>
        <v>0</v>
      </c>
      <c r="U1726" s="118">
        <f t="shared" si="1078"/>
        <v>0</v>
      </c>
      <c r="V1726" s="118">
        <f t="shared" si="1078"/>
        <v>0</v>
      </c>
      <c r="W1726" s="118">
        <f t="shared" si="1078"/>
        <v>0</v>
      </c>
      <c r="X1726" s="118">
        <f t="shared" si="1078"/>
        <v>0</v>
      </c>
    </row>
    <row r="1727" spans="2:24" hidden="1">
      <c r="B1727" s="116" t="str">
        <f t="shared" si="1073"/>
        <v/>
      </c>
      <c r="C1727" s="116" t="str">
        <f t="shared" si="1073"/>
        <v/>
      </c>
      <c r="D1727" s="116" t="str">
        <f t="shared" si="1073"/>
        <v/>
      </c>
      <c r="E1727" s="116" t="str">
        <f t="shared" si="1073"/>
        <v/>
      </c>
      <c r="F1727" s="116"/>
      <c r="G1727" s="116"/>
      <c r="H1727" s="116"/>
      <c r="I1727" s="116"/>
      <c r="J1727" s="116"/>
      <c r="K1727" s="118">
        <f t="shared" ref="K1727:X1727" si="1079">IF(AND($D1727="tak",OR($E1727="nie dotyczy",$E1727="badania przemysłowe"),LataProjekcji&lt;=Koniec_Projekt),K396,0)</f>
        <v>0</v>
      </c>
      <c r="L1727" s="118">
        <f t="shared" si="1079"/>
        <v>0</v>
      </c>
      <c r="M1727" s="118">
        <f t="shared" si="1079"/>
        <v>0</v>
      </c>
      <c r="N1727" s="118">
        <f t="shared" si="1079"/>
        <v>0</v>
      </c>
      <c r="O1727" s="118">
        <f t="shared" si="1079"/>
        <v>0</v>
      </c>
      <c r="P1727" s="118">
        <f t="shared" si="1079"/>
        <v>0</v>
      </c>
      <c r="Q1727" s="118">
        <f t="shared" si="1079"/>
        <v>0</v>
      </c>
      <c r="R1727" s="118">
        <f t="shared" si="1079"/>
        <v>0</v>
      </c>
      <c r="S1727" s="118">
        <f t="shared" si="1079"/>
        <v>0</v>
      </c>
      <c r="T1727" s="118">
        <f t="shared" si="1079"/>
        <v>0</v>
      </c>
      <c r="U1727" s="118">
        <f t="shared" si="1079"/>
        <v>0</v>
      </c>
      <c r="V1727" s="118">
        <f t="shared" si="1079"/>
        <v>0</v>
      </c>
      <c r="W1727" s="118">
        <f t="shared" si="1079"/>
        <v>0</v>
      </c>
      <c r="X1727" s="118">
        <f t="shared" si="1079"/>
        <v>0</v>
      </c>
    </row>
    <row r="1728" spans="2:24" hidden="1">
      <c r="B1728" s="116" t="str">
        <f t="shared" si="1073"/>
        <v/>
      </c>
      <c r="C1728" s="116" t="str">
        <f t="shared" si="1073"/>
        <v/>
      </c>
      <c r="D1728" s="116" t="str">
        <f t="shared" si="1073"/>
        <v/>
      </c>
      <c r="E1728" s="116" t="str">
        <f t="shared" si="1073"/>
        <v/>
      </c>
      <c r="F1728" s="116"/>
      <c r="G1728" s="116"/>
      <c r="H1728" s="116"/>
      <c r="I1728" s="116"/>
      <c r="J1728" s="116"/>
      <c r="K1728" s="118">
        <f t="shared" ref="K1728:X1728" si="1080">IF(AND($D1728="tak",OR($E1728="nie dotyczy",$E1728="badania przemysłowe"),LataProjekcji&lt;=Koniec_Projekt),K397,0)</f>
        <v>0</v>
      </c>
      <c r="L1728" s="118">
        <f t="shared" si="1080"/>
        <v>0</v>
      </c>
      <c r="M1728" s="118">
        <f t="shared" si="1080"/>
        <v>0</v>
      </c>
      <c r="N1728" s="118">
        <f t="shared" si="1080"/>
        <v>0</v>
      </c>
      <c r="O1728" s="118">
        <f t="shared" si="1080"/>
        <v>0</v>
      </c>
      <c r="P1728" s="118">
        <f t="shared" si="1080"/>
        <v>0</v>
      </c>
      <c r="Q1728" s="118">
        <f t="shared" si="1080"/>
        <v>0</v>
      </c>
      <c r="R1728" s="118">
        <f t="shared" si="1080"/>
        <v>0</v>
      </c>
      <c r="S1728" s="118">
        <f t="shared" si="1080"/>
        <v>0</v>
      </c>
      <c r="T1728" s="118">
        <f t="shared" si="1080"/>
        <v>0</v>
      </c>
      <c r="U1728" s="118">
        <f t="shared" si="1080"/>
        <v>0</v>
      </c>
      <c r="V1728" s="118">
        <f t="shared" si="1080"/>
        <v>0</v>
      </c>
      <c r="W1728" s="118">
        <f t="shared" si="1080"/>
        <v>0</v>
      </c>
      <c r="X1728" s="118">
        <f t="shared" si="1080"/>
        <v>0</v>
      </c>
    </row>
    <row r="1729" spans="2:24" hidden="1">
      <c r="B1729" s="116" t="str">
        <f t="shared" si="1073"/>
        <v/>
      </c>
      <c r="C1729" s="116" t="str">
        <f t="shared" si="1073"/>
        <v/>
      </c>
      <c r="D1729" s="116" t="str">
        <f t="shared" si="1073"/>
        <v/>
      </c>
      <c r="E1729" s="116" t="str">
        <f t="shared" si="1073"/>
        <v/>
      </c>
      <c r="F1729" s="116"/>
      <c r="G1729" s="116"/>
      <c r="H1729" s="116"/>
      <c r="I1729" s="116"/>
      <c r="J1729" s="116"/>
      <c r="K1729" s="118">
        <f t="shared" ref="K1729:X1729" si="1081">IF(AND($D1729="tak",OR($E1729="nie dotyczy",$E1729="badania przemysłowe"),LataProjekcji&lt;=Koniec_Projekt),K398,0)</f>
        <v>0</v>
      </c>
      <c r="L1729" s="118">
        <f t="shared" si="1081"/>
        <v>0</v>
      </c>
      <c r="M1729" s="118">
        <f t="shared" si="1081"/>
        <v>0</v>
      </c>
      <c r="N1729" s="118">
        <f t="shared" si="1081"/>
        <v>0</v>
      </c>
      <c r="O1729" s="118">
        <f t="shared" si="1081"/>
        <v>0</v>
      </c>
      <c r="P1729" s="118">
        <f t="shared" si="1081"/>
        <v>0</v>
      </c>
      <c r="Q1729" s="118">
        <f t="shared" si="1081"/>
        <v>0</v>
      </c>
      <c r="R1729" s="118">
        <f t="shared" si="1081"/>
        <v>0</v>
      </c>
      <c r="S1729" s="118">
        <f t="shared" si="1081"/>
        <v>0</v>
      </c>
      <c r="T1729" s="118">
        <f t="shared" si="1081"/>
        <v>0</v>
      </c>
      <c r="U1729" s="118">
        <f t="shared" si="1081"/>
        <v>0</v>
      </c>
      <c r="V1729" s="118">
        <f t="shared" si="1081"/>
        <v>0</v>
      </c>
      <c r="W1729" s="118">
        <f t="shared" si="1081"/>
        <v>0</v>
      </c>
      <c r="X1729" s="118">
        <f t="shared" si="1081"/>
        <v>0</v>
      </c>
    </row>
    <row r="1730" spans="2:24" hidden="1">
      <c r="B1730" s="116" t="str">
        <f t="shared" si="1073"/>
        <v/>
      </c>
      <c r="C1730" s="116" t="str">
        <f t="shared" si="1073"/>
        <v/>
      </c>
      <c r="D1730" s="116" t="str">
        <f t="shared" si="1073"/>
        <v/>
      </c>
      <c r="E1730" s="116" t="str">
        <f t="shared" si="1073"/>
        <v/>
      </c>
      <c r="F1730" s="116"/>
      <c r="G1730" s="116"/>
      <c r="H1730" s="116"/>
      <c r="I1730" s="116"/>
      <c r="J1730" s="116"/>
      <c r="K1730" s="118">
        <f t="shared" ref="K1730:X1730" si="1082">IF(AND($D1730="tak",OR($E1730="nie dotyczy",$E1730="badania przemysłowe"),LataProjekcji&lt;=Koniec_Projekt),K399,0)</f>
        <v>0</v>
      </c>
      <c r="L1730" s="118">
        <f t="shared" si="1082"/>
        <v>0</v>
      </c>
      <c r="M1730" s="118">
        <f t="shared" si="1082"/>
        <v>0</v>
      </c>
      <c r="N1730" s="118">
        <f t="shared" si="1082"/>
        <v>0</v>
      </c>
      <c r="O1730" s="118">
        <f t="shared" si="1082"/>
        <v>0</v>
      </c>
      <c r="P1730" s="118">
        <f t="shared" si="1082"/>
        <v>0</v>
      </c>
      <c r="Q1730" s="118">
        <f t="shared" si="1082"/>
        <v>0</v>
      </c>
      <c r="R1730" s="118">
        <f t="shared" si="1082"/>
        <v>0</v>
      </c>
      <c r="S1730" s="118">
        <f t="shared" si="1082"/>
        <v>0</v>
      </c>
      <c r="T1730" s="118">
        <f t="shared" si="1082"/>
        <v>0</v>
      </c>
      <c r="U1730" s="118">
        <f t="shared" si="1082"/>
        <v>0</v>
      </c>
      <c r="V1730" s="118">
        <f t="shared" si="1082"/>
        <v>0</v>
      </c>
      <c r="W1730" s="118">
        <f t="shared" si="1082"/>
        <v>0</v>
      </c>
      <c r="X1730" s="118">
        <f t="shared" si="1082"/>
        <v>0</v>
      </c>
    </row>
    <row r="1731" spans="2:24" hidden="1">
      <c r="B1731" s="116" t="str">
        <f t="shared" si="1073"/>
        <v/>
      </c>
      <c r="C1731" s="116" t="str">
        <f t="shared" si="1073"/>
        <v/>
      </c>
      <c r="D1731" s="116" t="str">
        <f t="shared" si="1073"/>
        <v/>
      </c>
      <c r="E1731" s="116" t="str">
        <f t="shared" si="1073"/>
        <v/>
      </c>
      <c r="F1731" s="116"/>
      <c r="G1731" s="116"/>
      <c r="H1731" s="116"/>
      <c r="I1731" s="116"/>
      <c r="J1731" s="116"/>
      <c r="K1731" s="118">
        <f t="shared" ref="K1731:X1731" si="1083">IF(AND($D1731="tak",OR($E1731="nie dotyczy",$E1731="badania przemysłowe"),LataProjekcji&lt;=Koniec_Projekt),K400,0)</f>
        <v>0</v>
      </c>
      <c r="L1731" s="118">
        <f t="shared" si="1083"/>
        <v>0</v>
      </c>
      <c r="M1731" s="118">
        <f t="shared" si="1083"/>
        <v>0</v>
      </c>
      <c r="N1731" s="118">
        <f t="shared" si="1083"/>
        <v>0</v>
      </c>
      <c r="O1731" s="118">
        <f t="shared" si="1083"/>
        <v>0</v>
      </c>
      <c r="P1731" s="118">
        <f t="shared" si="1083"/>
        <v>0</v>
      </c>
      <c r="Q1731" s="118">
        <f t="shared" si="1083"/>
        <v>0</v>
      </c>
      <c r="R1731" s="118">
        <f t="shared" si="1083"/>
        <v>0</v>
      </c>
      <c r="S1731" s="118">
        <f t="shared" si="1083"/>
        <v>0</v>
      </c>
      <c r="T1731" s="118">
        <f t="shared" si="1083"/>
        <v>0</v>
      </c>
      <c r="U1731" s="118">
        <f t="shared" si="1083"/>
        <v>0</v>
      </c>
      <c r="V1731" s="118">
        <f t="shared" si="1083"/>
        <v>0</v>
      </c>
      <c r="W1731" s="118">
        <f t="shared" si="1083"/>
        <v>0</v>
      </c>
      <c r="X1731" s="118">
        <f t="shared" si="1083"/>
        <v>0</v>
      </c>
    </row>
    <row r="1732" spans="2:24" hidden="1">
      <c r="B1732" s="116" t="str">
        <f t="shared" si="1073"/>
        <v/>
      </c>
      <c r="C1732" s="116" t="str">
        <f t="shared" si="1073"/>
        <v/>
      </c>
      <c r="D1732" s="116" t="str">
        <f t="shared" si="1073"/>
        <v/>
      </c>
      <c r="E1732" s="116" t="str">
        <f t="shared" si="1073"/>
        <v/>
      </c>
      <c r="F1732" s="116"/>
      <c r="G1732" s="116"/>
      <c r="H1732" s="116"/>
      <c r="I1732" s="116"/>
      <c r="J1732" s="116"/>
      <c r="K1732" s="118">
        <f t="shared" ref="K1732:X1732" si="1084">IF(AND($D1732="tak",OR($E1732="nie dotyczy",$E1732="badania przemysłowe"),LataProjekcji&lt;=Koniec_Projekt),K401,0)</f>
        <v>0</v>
      </c>
      <c r="L1732" s="118">
        <f t="shared" si="1084"/>
        <v>0</v>
      </c>
      <c r="M1732" s="118">
        <f t="shared" si="1084"/>
        <v>0</v>
      </c>
      <c r="N1732" s="118">
        <f t="shared" si="1084"/>
        <v>0</v>
      </c>
      <c r="O1732" s="118">
        <f t="shared" si="1084"/>
        <v>0</v>
      </c>
      <c r="P1732" s="118">
        <f t="shared" si="1084"/>
        <v>0</v>
      </c>
      <c r="Q1732" s="118">
        <f t="shared" si="1084"/>
        <v>0</v>
      </c>
      <c r="R1732" s="118">
        <f t="shared" si="1084"/>
        <v>0</v>
      </c>
      <c r="S1732" s="118">
        <f t="shared" si="1084"/>
        <v>0</v>
      </c>
      <c r="T1732" s="118">
        <f t="shared" si="1084"/>
        <v>0</v>
      </c>
      <c r="U1732" s="118">
        <f t="shared" si="1084"/>
        <v>0</v>
      </c>
      <c r="V1732" s="118">
        <f t="shared" si="1084"/>
        <v>0</v>
      </c>
      <c r="W1732" s="118">
        <f t="shared" si="1084"/>
        <v>0</v>
      </c>
      <c r="X1732" s="118">
        <f t="shared" si="1084"/>
        <v>0</v>
      </c>
    </row>
    <row r="1733" spans="2:24" hidden="1">
      <c r="B1733" s="116" t="str">
        <f t="shared" si="1073"/>
        <v/>
      </c>
      <c r="C1733" s="116" t="str">
        <f t="shared" si="1073"/>
        <v/>
      </c>
      <c r="D1733" s="116" t="str">
        <f t="shared" si="1073"/>
        <v/>
      </c>
      <c r="E1733" s="116" t="str">
        <f t="shared" si="1073"/>
        <v/>
      </c>
      <c r="F1733" s="116"/>
      <c r="G1733" s="116"/>
      <c r="H1733" s="116"/>
      <c r="I1733" s="116"/>
      <c r="J1733" s="116"/>
      <c r="K1733" s="118">
        <f t="shared" ref="K1733:X1733" si="1085">IF(AND($D1733="tak",OR($E1733="nie dotyczy",$E1733="badania przemysłowe"),LataProjekcji&lt;=Koniec_Projekt),K402,0)</f>
        <v>0</v>
      </c>
      <c r="L1733" s="118">
        <f t="shared" si="1085"/>
        <v>0</v>
      </c>
      <c r="M1733" s="118">
        <f t="shared" si="1085"/>
        <v>0</v>
      </c>
      <c r="N1733" s="118">
        <f t="shared" si="1085"/>
        <v>0</v>
      </c>
      <c r="O1733" s="118">
        <f t="shared" si="1085"/>
        <v>0</v>
      </c>
      <c r="P1733" s="118">
        <f t="shared" si="1085"/>
        <v>0</v>
      </c>
      <c r="Q1733" s="118">
        <f t="shared" si="1085"/>
        <v>0</v>
      </c>
      <c r="R1733" s="118">
        <f t="shared" si="1085"/>
        <v>0</v>
      </c>
      <c r="S1733" s="118">
        <f t="shared" si="1085"/>
        <v>0</v>
      </c>
      <c r="T1733" s="118">
        <f t="shared" si="1085"/>
        <v>0</v>
      </c>
      <c r="U1733" s="118">
        <f t="shared" si="1085"/>
        <v>0</v>
      </c>
      <c r="V1733" s="118">
        <f t="shared" si="1085"/>
        <v>0</v>
      </c>
      <c r="W1733" s="118">
        <f t="shared" si="1085"/>
        <v>0</v>
      </c>
      <c r="X1733" s="118">
        <f t="shared" si="1085"/>
        <v>0</v>
      </c>
    </row>
    <row r="1734" spans="2:24" hidden="1">
      <c r="B1734" s="116" t="str">
        <f t="shared" si="1073"/>
        <v/>
      </c>
      <c r="C1734" s="116" t="str">
        <f t="shared" si="1073"/>
        <v/>
      </c>
      <c r="D1734" s="116" t="str">
        <f t="shared" si="1073"/>
        <v/>
      </c>
      <c r="E1734" s="116" t="str">
        <f t="shared" si="1073"/>
        <v/>
      </c>
      <c r="F1734" s="116"/>
      <c r="G1734" s="116"/>
      <c r="H1734" s="116"/>
      <c r="I1734" s="116"/>
      <c r="J1734" s="116"/>
      <c r="K1734" s="118">
        <f t="shared" ref="K1734:X1734" si="1086">IF(AND($D1734="tak",OR($E1734="nie dotyczy",$E1734="badania przemysłowe"),LataProjekcji&lt;=Koniec_Projekt),K403,0)</f>
        <v>0</v>
      </c>
      <c r="L1734" s="118">
        <f t="shared" si="1086"/>
        <v>0</v>
      </c>
      <c r="M1734" s="118">
        <f t="shared" si="1086"/>
        <v>0</v>
      </c>
      <c r="N1734" s="118">
        <f t="shared" si="1086"/>
        <v>0</v>
      </c>
      <c r="O1734" s="118">
        <f t="shared" si="1086"/>
        <v>0</v>
      </c>
      <c r="P1734" s="118">
        <f t="shared" si="1086"/>
        <v>0</v>
      </c>
      <c r="Q1734" s="118">
        <f t="shared" si="1086"/>
        <v>0</v>
      </c>
      <c r="R1734" s="118">
        <f t="shared" si="1086"/>
        <v>0</v>
      </c>
      <c r="S1734" s="118">
        <f t="shared" si="1086"/>
        <v>0</v>
      </c>
      <c r="T1734" s="118">
        <f t="shared" si="1086"/>
        <v>0</v>
      </c>
      <c r="U1734" s="118">
        <f t="shared" si="1086"/>
        <v>0</v>
      </c>
      <c r="V1734" s="118">
        <f t="shared" si="1086"/>
        <v>0</v>
      </c>
      <c r="W1734" s="118">
        <f t="shared" si="1086"/>
        <v>0</v>
      </c>
      <c r="X1734" s="118">
        <f t="shared" si="1086"/>
        <v>0</v>
      </c>
    </row>
    <row r="1735" spans="2:24" hidden="1">
      <c r="B1735" s="116" t="str">
        <f t="shared" si="1073"/>
        <v/>
      </c>
      <c r="C1735" s="116" t="str">
        <f t="shared" si="1073"/>
        <v/>
      </c>
      <c r="D1735" s="116" t="str">
        <f t="shared" si="1073"/>
        <v/>
      </c>
      <c r="E1735" s="116" t="str">
        <f t="shared" si="1073"/>
        <v/>
      </c>
      <c r="F1735" s="116"/>
      <c r="G1735" s="116"/>
      <c r="H1735" s="116"/>
      <c r="I1735" s="116"/>
      <c r="J1735" s="116"/>
      <c r="K1735" s="118">
        <f t="shared" ref="K1735:X1735" si="1087">IF(AND($D1735="tak",OR($E1735="nie dotyczy",$E1735="badania przemysłowe"),LataProjekcji&lt;=Koniec_Projekt),K404,0)</f>
        <v>0</v>
      </c>
      <c r="L1735" s="118">
        <f t="shared" si="1087"/>
        <v>0</v>
      </c>
      <c r="M1735" s="118">
        <f t="shared" si="1087"/>
        <v>0</v>
      </c>
      <c r="N1735" s="118">
        <f t="shared" si="1087"/>
        <v>0</v>
      </c>
      <c r="O1735" s="118">
        <f t="shared" si="1087"/>
        <v>0</v>
      </c>
      <c r="P1735" s="118">
        <f t="shared" si="1087"/>
        <v>0</v>
      </c>
      <c r="Q1735" s="118">
        <f t="shared" si="1087"/>
        <v>0</v>
      </c>
      <c r="R1735" s="118">
        <f t="shared" si="1087"/>
        <v>0</v>
      </c>
      <c r="S1735" s="118">
        <f t="shared" si="1087"/>
        <v>0</v>
      </c>
      <c r="T1735" s="118">
        <f t="shared" si="1087"/>
        <v>0</v>
      </c>
      <c r="U1735" s="118">
        <f t="shared" si="1087"/>
        <v>0</v>
      </c>
      <c r="V1735" s="118">
        <f t="shared" si="1087"/>
        <v>0</v>
      </c>
      <c r="W1735" s="118">
        <f t="shared" si="1087"/>
        <v>0</v>
      </c>
      <c r="X1735" s="118">
        <f t="shared" si="1087"/>
        <v>0</v>
      </c>
    </row>
    <row r="1736" spans="2:24" hidden="1">
      <c r="B1736" s="116" t="str">
        <f t="shared" si="1073"/>
        <v/>
      </c>
      <c r="C1736" s="116" t="str">
        <f t="shared" si="1073"/>
        <v/>
      </c>
      <c r="D1736" s="116" t="str">
        <f t="shared" si="1073"/>
        <v/>
      </c>
      <c r="E1736" s="116" t="str">
        <f t="shared" si="1073"/>
        <v/>
      </c>
      <c r="F1736" s="116"/>
      <c r="G1736" s="116"/>
      <c r="H1736" s="116"/>
      <c r="I1736" s="116"/>
      <c r="J1736" s="116"/>
      <c r="K1736" s="118">
        <f t="shared" ref="K1736:X1736" si="1088">IF(AND($D1736="tak",OR($E1736="nie dotyczy",$E1736="badania przemysłowe"),LataProjekcji&lt;=Koniec_Projekt),K405,0)</f>
        <v>0</v>
      </c>
      <c r="L1736" s="118">
        <f t="shared" si="1088"/>
        <v>0</v>
      </c>
      <c r="M1736" s="118">
        <f t="shared" si="1088"/>
        <v>0</v>
      </c>
      <c r="N1736" s="118">
        <f t="shared" si="1088"/>
        <v>0</v>
      </c>
      <c r="O1736" s="118">
        <f t="shared" si="1088"/>
        <v>0</v>
      </c>
      <c r="P1736" s="118">
        <f t="shared" si="1088"/>
        <v>0</v>
      </c>
      <c r="Q1736" s="118">
        <f t="shared" si="1088"/>
        <v>0</v>
      </c>
      <c r="R1736" s="118">
        <f t="shared" si="1088"/>
        <v>0</v>
      </c>
      <c r="S1736" s="118">
        <f t="shared" si="1088"/>
        <v>0</v>
      </c>
      <c r="T1736" s="118">
        <f t="shared" si="1088"/>
        <v>0</v>
      </c>
      <c r="U1736" s="118">
        <f t="shared" si="1088"/>
        <v>0</v>
      </c>
      <c r="V1736" s="118">
        <f t="shared" si="1088"/>
        <v>0</v>
      </c>
      <c r="W1736" s="118">
        <f t="shared" si="1088"/>
        <v>0</v>
      </c>
      <c r="X1736" s="118">
        <f t="shared" si="1088"/>
        <v>0</v>
      </c>
    </row>
    <row r="1737" spans="2:24" hidden="1">
      <c r="B1737" s="116" t="str">
        <f t="shared" si="1073"/>
        <v/>
      </c>
      <c r="C1737" s="116" t="str">
        <f t="shared" si="1073"/>
        <v/>
      </c>
      <c r="D1737" s="116" t="str">
        <f t="shared" si="1073"/>
        <v/>
      </c>
      <c r="E1737" s="116" t="str">
        <f t="shared" si="1073"/>
        <v/>
      </c>
      <c r="F1737" s="116"/>
      <c r="G1737" s="116"/>
      <c r="H1737" s="116"/>
      <c r="I1737" s="116"/>
      <c r="J1737" s="116"/>
      <c r="K1737" s="118">
        <f t="shared" ref="K1737:X1737" si="1089">IF(AND($D1737="tak",OR($E1737="nie dotyczy",$E1737="badania przemysłowe"),LataProjekcji&lt;=Koniec_Projekt),K406,0)</f>
        <v>0</v>
      </c>
      <c r="L1737" s="118">
        <f t="shared" si="1089"/>
        <v>0</v>
      </c>
      <c r="M1737" s="118">
        <f t="shared" si="1089"/>
        <v>0</v>
      </c>
      <c r="N1737" s="118">
        <f t="shared" si="1089"/>
        <v>0</v>
      </c>
      <c r="O1737" s="118">
        <f t="shared" si="1089"/>
        <v>0</v>
      </c>
      <c r="P1737" s="118">
        <f t="shared" si="1089"/>
        <v>0</v>
      </c>
      <c r="Q1737" s="118">
        <f t="shared" si="1089"/>
        <v>0</v>
      </c>
      <c r="R1737" s="118">
        <f t="shared" si="1089"/>
        <v>0</v>
      </c>
      <c r="S1737" s="118">
        <f t="shared" si="1089"/>
        <v>0</v>
      </c>
      <c r="T1737" s="118">
        <f t="shared" si="1089"/>
        <v>0</v>
      </c>
      <c r="U1737" s="118">
        <f t="shared" si="1089"/>
        <v>0</v>
      </c>
      <c r="V1737" s="118">
        <f t="shared" si="1089"/>
        <v>0</v>
      </c>
      <c r="W1737" s="118">
        <f t="shared" si="1089"/>
        <v>0</v>
      </c>
      <c r="X1737" s="118">
        <f t="shared" si="1089"/>
        <v>0</v>
      </c>
    </row>
    <row r="1738" spans="2:24" hidden="1">
      <c r="B1738" s="116" t="str">
        <f t="shared" si="1073"/>
        <v/>
      </c>
      <c r="C1738" s="116" t="str">
        <f t="shared" si="1073"/>
        <v/>
      </c>
      <c r="D1738" s="116" t="str">
        <f t="shared" si="1073"/>
        <v/>
      </c>
      <c r="E1738" s="116" t="str">
        <f t="shared" si="1073"/>
        <v/>
      </c>
      <c r="F1738" s="116"/>
      <c r="G1738" s="116"/>
      <c r="H1738" s="116"/>
      <c r="I1738" s="116"/>
      <c r="J1738" s="116"/>
      <c r="K1738" s="118">
        <f t="shared" ref="K1738:X1738" si="1090">IF(AND($D1738="tak",OR($E1738="nie dotyczy",$E1738="badania przemysłowe"),LataProjekcji&lt;=Koniec_Projekt),K407,0)</f>
        <v>0</v>
      </c>
      <c r="L1738" s="118">
        <f t="shared" si="1090"/>
        <v>0</v>
      </c>
      <c r="M1738" s="118">
        <f t="shared" si="1090"/>
        <v>0</v>
      </c>
      <c r="N1738" s="118">
        <f t="shared" si="1090"/>
        <v>0</v>
      </c>
      <c r="O1738" s="118">
        <f t="shared" si="1090"/>
        <v>0</v>
      </c>
      <c r="P1738" s="118">
        <f t="shared" si="1090"/>
        <v>0</v>
      </c>
      <c r="Q1738" s="118">
        <f t="shared" si="1090"/>
        <v>0</v>
      </c>
      <c r="R1738" s="118">
        <f t="shared" si="1090"/>
        <v>0</v>
      </c>
      <c r="S1738" s="118">
        <f t="shared" si="1090"/>
        <v>0</v>
      </c>
      <c r="T1738" s="118">
        <f t="shared" si="1090"/>
        <v>0</v>
      </c>
      <c r="U1738" s="118">
        <f t="shared" si="1090"/>
        <v>0</v>
      </c>
      <c r="V1738" s="118">
        <f t="shared" si="1090"/>
        <v>0</v>
      </c>
      <c r="W1738" s="118">
        <f t="shared" si="1090"/>
        <v>0</v>
      </c>
      <c r="X1738" s="118">
        <f t="shared" si="1090"/>
        <v>0</v>
      </c>
    </row>
    <row r="1739" spans="2:24" hidden="1">
      <c r="B1739" s="116" t="str">
        <f t="shared" si="1073"/>
        <v/>
      </c>
      <c r="C1739" s="116" t="str">
        <f t="shared" si="1073"/>
        <v/>
      </c>
      <c r="D1739" s="116" t="str">
        <f t="shared" si="1073"/>
        <v/>
      </c>
      <c r="E1739" s="116" t="str">
        <f t="shared" si="1073"/>
        <v/>
      </c>
      <c r="F1739" s="116"/>
      <c r="G1739" s="116"/>
      <c r="H1739" s="116"/>
      <c r="I1739" s="116"/>
      <c r="J1739" s="116"/>
      <c r="K1739" s="118">
        <f t="shared" ref="K1739:X1739" si="1091">IF(AND($D1739="tak",OR($E1739="nie dotyczy",$E1739="badania przemysłowe"),LataProjekcji&lt;=Koniec_Projekt),K408,0)</f>
        <v>0</v>
      </c>
      <c r="L1739" s="118">
        <f t="shared" si="1091"/>
        <v>0</v>
      </c>
      <c r="M1739" s="118">
        <f t="shared" si="1091"/>
        <v>0</v>
      </c>
      <c r="N1739" s="118">
        <f t="shared" si="1091"/>
        <v>0</v>
      </c>
      <c r="O1739" s="118">
        <f t="shared" si="1091"/>
        <v>0</v>
      </c>
      <c r="P1739" s="118">
        <f t="shared" si="1091"/>
        <v>0</v>
      </c>
      <c r="Q1739" s="118">
        <f t="shared" si="1091"/>
        <v>0</v>
      </c>
      <c r="R1739" s="118">
        <f t="shared" si="1091"/>
        <v>0</v>
      </c>
      <c r="S1739" s="118">
        <f t="shared" si="1091"/>
        <v>0</v>
      </c>
      <c r="T1739" s="118">
        <f t="shared" si="1091"/>
        <v>0</v>
      </c>
      <c r="U1739" s="118">
        <f t="shared" si="1091"/>
        <v>0</v>
      </c>
      <c r="V1739" s="118">
        <f t="shared" si="1091"/>
        <v>0</v>
      </c>
      <c r="W1739" s="118">
        <f t="shared" si="1091"/>
        <v>0</v>
      </c>
      <c r="X1739" s="118">
        <f t="shared" si="1091"/>
        <v>0</v>
      </c>
    </row>
    <row r="1740" spans="2:24" hidden="1">
      <c r="B1740" s="116" t="str">
        <f t="shared" si="1073"/>
        <v/>
      </c>
      <c r="C1740" s="116" t="str">
        <f t="shared" si="1073"/>
        <v/>
      </c>
      <c r="D1740" s="116" t="str">
        <f t="shared" si="1073"/>
        <v/>
      </c>
      <c r="E1740" s="116" t="str">
        <f t="shared" si="1073"/>
        <v/>
      </c>
      <c r="F1740" s="116"/>
      <c r="G1740" s="116"/>
      <c r="H1740" s="116"/>
      <c r="I1740" s="116"/>
      <c r="J1740" s="116"/>
      <c r="K1740" s="118">
        <f t="shared" ref="K1740:X1740" si="1092">IF(AND($D1740="tak",OR($E1740="nie dotyczy",$E1740="badania przemysłowe"),LataProjekcji&lt;=Koniec_Projekt),K409,0)</f>
        <v>0</v>
      </c>
      <c r="L1740" s="118">
        <f t="shared" si="1092"/>
        <v>0</v>
      </c>
      <c r="M1740" s="118">
        <f t="shared" si="1092"/>
        <v>0</v>
      </c>
      <c r="N1740" s="118">
        <f t="shared" si="1092"/>
        <v>0</v>
      </c>
      <c r="O1740" s="118">
        <f t="shared" si="1092"/>
        <v>0</v>
      </c>
      <c r="P1740" s="118">
        <f t="shared" si="1092"/>
        <v>0</v>
      </c>
      <c r="Q1740" s="118">
        <f t="shared" si="1092"/>
        <v>0</v>
      </c>
      <c r="R1740" s="118">
        <f t="shared" si="1092"/>
        <v>0</v>
      </c>
      <c r="S1740" s="118">
        <f t="shared" si="1092"/>
        <v>0</v>
      </c>
      <c r="T1740" s="118">
        <f t="shared" si="1092"/>
        <v>0</v>
      </c>
      <c r="U1740" s="118">
        <f t="shared" si="1092"/>
        <v>0</v>
      </c>
      <c r="V1740" s="118">
        <f t="shared" si="1092"/>
        <v>0</v>
      </c>
      <c r="W1740" s="118">
        <f t="shared" si="1092"/>
        <v>0</v>
      </c>
      <c r="X1740" s="118">
        <f t="shared" si="1092"/>
        <v>0</v>
      </c>
    </row>
    <row r="1741" spans="2:24" hidden="1">
      <c r="B1741" s="116" t="str">
        <f t="shared" si="1073"/>
        <v/>
      </c>
      <c r="C1741" s="116" t="str">
        <f t="shared" si="1073"/>
        <v/>
      </c>
      <c r="D1741" s="116" t="str">
        <f t="shared" si="1073"/>
        <v/>
      </c>
      <c r="E1741" s="116" t="str">
        <f t="shared" si="1073"/>
        <v/>
      </c>
      <c r="F1741" s="116"/>
      <c r="G1741" s="116"/>
      <c r="H1741" s="116"/>
      <c r="I1741" s="116"/>
      <c r="J1741" s="116"/>
      <c r="K1741" s="118">
        <f t="shared" ref="K1741:X1741" si="1093">IF(AND($D1741="tak",OR($E1741="nie dotyczy",$E1741="badania przemysłowe"),LataProjekcji&lt;=Koniec_Projekt),K410,0)</f>
        <v>0</v>
      </c>
      <c r="L1741" s="118">
        <f t="shared" si="1093"/>
        <v>0</v>
      </c>
      <c r="M1741" s="118">
        <f t="shared" si="1093"/>
        <v>0</v>
      </c>
      <c r="N1741" s="118">
        <f t="shared" si="1093"/>
        <v>0</v>
      </c>
      <c r="O1741" s="118">
        <f t="shared" si="1093"/>
        <v>0</v>
      </c>
      <c r="P1741" s="118">
        <f t="shared" si="1093"/>
        <v>0</v>
      </c>
      <c r="Q1741" s="118">
        <f t="shared" si="1093"/>
        <v>0</v>
      </c>
      <c r="R1741" s="118">
        <f t="shared" si="1093"/>
        <v>0</v>
      </c>
      <c r="S1741" s="118">
        <f t="shared" si="1093"/>
        <v>0</v>
      </c>
      <c r="T1741" s="118">
        <f t="shared" si="1093"/>
        <v>0</v>
      </c>
      <c r="U1741" s="118">
        <f t="shared" si="1093"/>
        <v>0</v>
      </c>
      <c r="V1741" s="118">
        <f t="shared" si="1093"/>
        <v>0</v>
      </c>
      <c r="W1741" s="118">
        <f t="shared" si="1093"/>
        <v>0</v>
      </c>
      <c r="X1741" s="118">
        <f t="shared" si="1093"/>
        <v>0</v>
      </c>
    </row>
    <row r="1742" spans="2:24" hidden="1">
      <c r="B1742" s="116" t="str">
        <f t="shared" ref="B1742:E1761" si="1094">IF(ISBLANK(B1502),"",B1502)</f>
        <v/>
      </c>
      <c r="C1742" s="116" t="str">
        <f t="shared" si="1094"/>
        <v/>
      </c>
      <c r="D1742" s="116" t="str">
        <f t="shared" si="1094"/>
        <v/>
      </c>
      <c r="E1742" s="116" t="str">
        <f t="shared" si="1094"/>
        <v/>
      </c>
      <c r="F1742" s="116"/>
      <c r="G1742" s="116"/>
      <c r="H1742" s="116"/>
      <c r="I1742" s="116"/>
      <c r="J1742" s="116"/>
      <c r="K1742" s="118">
        <f t="shared" ref="K1742:X1742" si="1095">IF(AND($D1742="tak",OR($E1742="nie dotyczy",$E1742="badania przemysłowe"),LataProjekcji&lt;=Koniec_Projekt),K411,0)</f>
        <v>0</v>
      </c>
      <c r="L1742" s="118">
        <f t="shared" si="1095"/>
        <v>0</v>
      </c>
      <c r="M1742" s="118">
        <f t="shared" si="1095"/>
        <v>0</v>
      </c>
      <c r="N1742" s="118">
        <f t="shared" si="1095"/>
        <v>0</v>
      </c>
      <c r="O1742" s="118">
        <f t="shared" si="1095"/>
        <v>0</v>
      </c>
      <c r="P1742" s="118">
        <f t="shared" si="1095"/>
        <v>0</v>
      </c>
      <c r="Q1742" s="118">
        <f t="shared" si="1095"/>
        <v>0</v>
      </c>
      <c r="R1742" s="118">
        <f t="shared" si="1095"/>
        <v>0</v>
      </c>
      <c r="S1742" s="118">
        <f t="shared" si="1095"/>
        <v>0</v>
      </c>
      <c r="T1742" s="118">
        <f t="shared" si="1095"/>
        <v>0</v>
      </c>
      <c r="U1742" s="118">
        <f t="shared" si="1095"/>
        <v>0</v>
      </c>
      <c r="V1742" s="118">
        <f t="shared" si="1095"/>
        <v>0</v>
      </c>
      <c r="W1742" s="118">
        <f t="shared" si="1095"/>
        <v>0</v>
      </c>
      <c r="X1742" s="118">
        <f t="shared" si="1095"/>
        <v>0</v>
      </c>
    </row>
    <row r="1743" spans="2:24" hidden="1">
      <c r="B1743" s="116" t="str">
        <f t="shared" si="1094"/>
        <v/>
      </c>
      <c r="C1743" s="116" t="str">
        <f t="shared" si="1094"/>
        <v/>
      </c>
      <c r="D1743" s="116" t="str">
        <f t="shared" si="1094"/>
        <v/>
      </c>
      <c r="E1743" s="116" t="str">
        <f t="shared" si="1094"/>
        <v/>
      </c>
      <c r="F1743" s="116"/>
      <c r="G1743" s="116"/>
      <c r="H1743" s="116"/>
      <c r="I1743" s="116"/>
      <c r="J1743" s="116"/>
      <c r="K1743" s="118">
        <f t="shared" ref="K1743:X1743" si="1096">IF(AND($D1743="tak",OR($E1743="nie dotyczy",$E1743="badania przemysłowe"),LataProjekcji&lt;=Koniec_Projekt),K412,0)</f>
        <v>0</v>
      </c>
      <c r="L1743" s="118">
        <f t="shared" si="1096"/>
        <v>0</v>
      </c>
      <c r="M1743" s="118">
        <f t="shared" si="1096"/>
        <v>0</v>
      </c>
      <c r="N1743" s="118">
        <f t="shared" si="1096"/>
        <v>0</v>
      </c>
      <c r="O1743" s="118">
        <f t="shared" si="1096"/>
        <v>0</v>
      </c>
      <c r="P1743" s="118">
        <f t="shared" si="1096"/>
        <v>0</v>
      </c>
      <c r="Q1743" s="118">
        <f t="shared" si="1096"/>
        <v>0</v>
      </c>
      <c r="R1743" s="118">
        <f t="shared" si="1096"/>
        <v>0</v>
      </c>
      <c r="S1743" s="118">
        <f t="shared" si="1096"/>
        <v>0</v>
      </c>
      <c r="T1743" s="118">
        <f t="shared" si="1096"/>
        <v>0</v>
      </c>
      <c r="U1743" s="118">
        <f t="shared" si="1096"/>
        <v>0</v>
      </c>
      <c r="V1743" s="118">
        <f t="shared" si="1096"/>
        <v>0</v>
      </c>
      <c r="W1743" s="118">
        <f t="shared" si="1096"/>
        <v>0</v>
      </c>
      <c r="X1743" s="118">
        <f t="shared" si="1096"/>
        <v>0</v>
      </c>
    </row>
    <row r="1744" spans="2:24" hidden="1">
      <c r="B1744" s="116" t="str">
        <f t="shared" si="1094"/>
        <v/>
      </c>
      <c r="C1744" s="116" t="str">
        <f t="shared" si="1094"/>
        <v/>
      </c>
      <c r="D1744" s="116" t="str">
        <f t="shared" si="1094"/>
        <v/>
      </c>
      <c r="E1744" s="116" t="str">
        <f t="shared" si="1094"/>
        <v/>
      </c>
      <c r="F1744" s="116"/>
      <c r="G1744" s="116"/>
      <c r="H1744" s="116"/>
      <c r="I1744" s="116"/>
      <c r="J1744" s="116"/>
      <c r="K1744" s="118">
        <f t="shared" ref="K1744:X1744" si="1097">IF(AND($D1744="tak",OR($E1744="nie dotyczy",$E1744="badania przemysłowe"),LataProjekcji&lt;=Koniec_Projekt),K413,0)</f>
        <v>0</v>
      </c>
      <c r="L1744" s="118">
        <f t="shared" si="1097"/>
        <v>0</v>
      </c>
      <c r="M1744" s="118">
        <f t="shared" si="1097"/>
        <v>0</v>
      </c>
      <c r="N1744" s="118">
        <f t="shared" si="1097"/>
        <v>0</v>
      </c>
      <c r="O1744" s="118">
        <f t="shared" si="1097"/>
        <v>0</v>
      </c>
      <c r="P1744" s="118">
        <f t="shared" si="1097"/>
        <v>0</v>
      </c>
      <c r="Q1744" s="118">
        <f t="shared" si="1097"/>
        <v>0</v>
      </c>
      <c r="R1744" s="118">
        <f t="shared" si="1097"/>
        <v>0</v>
      </c>
      <c r="S1744" s="118">
        <f t="shared" si="1097"/>
        <v>0</v>
      </c>
      <c r="T1744" s="118">
        <f t="shared" si="1097"/>
        <v>0</v>
      </c>
      <c r="U1744" s="118">
        <f t="shared" si="1097"/>
        <v>0</v>
      </c>
      <c r="V1744" s="118">
        <f t="shared" si="1097"/>
        <v>0</v>
      </c>
      <c r="W1744" s="118">
        <f t="shared" si="1097"/>
        <v>0</v>
      </c>
      <c r="X1744" s="118">
        <f t="shared" si="1097"/>
        <v>0</v>
      </c>
    </row>
    <row r="1745" spans="2:24" hidden="1">
      <c r="B1745" s="116" t="str">
        <f t="shared" si="1094"/>
        <v/>
      </c>
      <c r="C1745" s="116" t="str">
        <f t="shared" si="1094"/>
        <v/>
      </c>
      <c r="D1745" s="116" t="str">
        <f t="shared" si="1094"/>
        <v/>
      </c>
      <c r="E1745" s="116" t="str">
        <f t="shared" si="1094"/>
        <v/>
      </c>
      <c r="F1745" s="116"/>
      <c r="G1745" s="116"/>
      <c r="H1745" s="116"/>
      <c r="I1745" s="116"/>
      <c r="J1745" s="116"/>
      <c r="K1745" s="118">
        <f t="shared" ref="K1745:X1745" si="1098">IF(AND($D1745="tak",OR($E1745="nie dotyczy",$E1745="badania przemysłowe"),LataProjekcji&lt;=Koniec_Projekt),K414,0)</f>
        <v>0</v>
      </c>
      <c r="L1745" s="118">
        <f t="shared" si="1098"/>
        <v>0</v>
      </c>
      <c r="M1745" s="118">
        <f t="shared" si="1098"/>
        <v>0</v>
      </c>
      <c r="N1745" s="118">
        <f t="shared" si="1098"/>
        <v>0</v>
      </c>
      <c r="O1745" s="118">
        <f t="shared" si="1098"/>
        <v>0</v>
      </c>
      <c r="P1745" s="118">
        <f t="shared" si="1098"/>
        <v>0</v>
      </c>
      <c r="Q1745" s="118">
        <f t="shared" si="1098"/>
        <v>0</v>
      </c>
      <c r="R1745" s="118">
        <f t="shared" si="1098"/>
        <v>0</v>
      </c>
      <c r="S1745" s="118">
        <f t="shared" si="1098"/>
        <v>0</v>
      </c>
      <c r="T1745" s="118">
        <f t="shared" si="1098"/>
        <v>0</v>
      </c>
      <c r="U1745" s="118">
        <f t="shared" si="1098"/>
        <v>0</v>
      </c>
      <c r="V1745" s="118">
        <f t="shared" si="1098"/>
        <v>0</v>
      </c>
      <c r="W1745" s="118">
        <f t="shared" si="1098"/>
        <v>0</v>
      </c>
      <c r="X1745" s="118">
        <f t="shared" si="1098"/>
        <v>0</v>
      </c>
    </row>
    <row r="1746" spans="2:24" hidden="1">
      <c r="B1746" s="116" t="str">
        <f t="shared" si="1094"/>
        <v/>
      </c>
      <c r="C1746" s="116" t="str">
        <f t="shared" si="1094"/>
        <v/>
      </c>
      <c r="D1746" s="116" t="str">
        <f t="shared" si="1094"/>
        <v/>
      </c>
      <c r="E1746" s="116" t="str">
        <f t="shared" si="1094"/>
        <v/>
      </c>
      <c r="F1746" s="116"/>
      <c r="G1746" s="116"/>
      <c r="H1746" s="116"/>
      <c r="I1746" s="116"/>
      <c r="J1746" s="116"/>
      <c r="K1746" s="118">
        <f t="shared" ref="K1746:X1746" si="1099">IF(AND($D1746="tak",OR($E1746="nie dotyczy",$E1746="badania przemysłowe"),LataProjekcji&lt;=Koniec_Projekt),K415,0)</f>
        <v>0</v>
      </c>
      <c r="L1746" s="118">
        <f t="shared" si="1099"/>
        <v>0</v>
      </c>
      <c r="M1746" s="118">
        <f t="shared" si="1099"/>
        <v>0</v>
      </c>
      <c r="N1746" s="118">
        <f t="shared" si="1099"/>
        <v>0</v>
      </c>
      <c r="O1746" s="118">
        <f t="shared" si="1099"/>
        <v>0</v>
      </c>
      <c r="P1746" s="118">
        <f t="shared" si="1099"/>
        <v>0</v>
      </c>
      <c r="Q1746" s="118">
        <f t="shared" si="1099"/>
        <v>0</v>
      </c>
      <c r="R1746" s="118">
        <f t="shared" si="1099"/>
        <v>0</v>
      </c>
      <c r="S1746" s="118">
        <f t="shared" si="1099"/>
        <v>0</v>
      </c>
      <c r="T1746" s="118">
        <f t="shared" si="1099"/>
        <v>0</v>
      </c>
      <c r="U1746" s="118">
        <f t="shared" si="1099"/>
        <v>0</v>
      </c>
      <c r="V1746" s="118">
        <f t="shared" si="1099"/>
        <v>0</v>
      </c>
      <c r="W1746" s="118">
        <f t="shared" si="1099"/>
        <v>0</v>
      </c>
      <c r="X1746" s="118">
        <f t="shared" si="1099"/>
        <v>0</v>
      </c>
    </row>
    <row r="1747" spans="2:24" hidden="1">
      <c r="B1747" s="116" t="str">
        <f t="shared" si="1094"/>
        <v/>
      </c>
      <c r="C1747" s="116" t="str">
        <f t="shared" si="1094"/>
        <v/>
      </c>
      <c r="D1747" s="116" t="str">
        <f t="shared" si="1094"/>
        <v/>
      </c>
      <c r="E1747" s="116" t="str">
        <f t="shared" si="1094"/>
        <v/>
      </c>
      <c r="F1747" s="116"/>
      <c r="G1747" s="116"/>
      <c r="H1747" s="116"/>
      <c r="I1747" s="116"/>
      <c r="J1747" s="116"/>
      <c r="K1747" s="118">
        <f t="shared" ref="K1747:X1747" si="1100">IF(AND($D1747="tak",OR($E1747="nie dotyczy",$E1747="badania przemysłowe"),LataProjekcji&lt;=Koniec_Projekt),K416,0)</f>
        <v>0</v>
      </c>
      <c r="L1747" s="118">
        <f t="shared" si="1100"/>
        <v>0</v>
      </c>
      <c r="M1747" s="118">
        <f t="shared" si="1100"/>
        <v>0</v>
      </c>
      <c r="N1747" s="118">
        <f t="shared" si="1100"/>
        <v>0</v>
      </c>
      <c r="O1747" s="118">
        <f t="shared" si="1100"/>
        <v>0</v>
      </c>
      <c r="P1747" s="118">
        <f t="shared" si="1100"/>
        <v>0</v>
      </c>
      <c r="Q1747" s="118">
        <f t="shared" si="1100"/>
        <v>0</v>
      </c>
      <c r="R1747" s="118">
        <f t="shared" si="1100"/>
        <v>0</v>
      </c>
      <c r="S1747" s="118">
        <f t="shared" si="1100"/>
        <v>0</v>
      </c>
      <c r="T1747" s="118">
        <f t="shared" si="1100"/>
        <v>0</v>
      </c>
      <c r="U1747" s="118">
        <f t="shared" si="1100"/>
        <v>0</v>
      </c>
      <c r="V1747" s="118">
        <f t="shared" si="1100"/>
        <v>0</v>
      </c>
      <c r="W1747" s="118">
        <f t="shared" si="1100"/>
        <v>0</v>
      </c>
      <c r="X1747" s="118">
        <f t="shared" si="1100"/>
        <v>0</v>
      </c>
    </row>
    <row r="1748" spans="2:24" hidden="1">
      <c r="B1748" s="116" t="str">
        <f t="shared" si="1094"/>
        <v/>
      </c>
      <c r="C1748" s="116" t="str">
        <f t="shared" si="1094"/>
        <v/>
      </c>
      <c r="D1748" s="116" t="str">
        <f t="shared" si="1094"/>
        <v/>
      </c>
      <c r="E1748" s="116" t="str">
        <f t="shared" si="1094"/>
        <v/>
      </c>
      <c r="F1748" s="116"/>
      <c r="G1748" s="116"/>
      <c r="H1748" s="116"/>
      <c r="I1748" s="116"/>
      <c r="J1748" s="116"/>
      <c r="K1748" s="118">
        <f t="shared" ref="K1748:X1748" si="1101">IF(AND($D1748="tak",OR($E1748="nie dotyczy",$E1748="badania przemysłowe"),LataProjekcji&lt;=Koniec_Projekt),K417,0)</f>
        <v>0</v>
      </c>
      <c r="L1748" s="118">
        <f t="shared" si="1101"/>
        <v>0</v>
      </c>
      <c r="M1748" s="118">
        <f t="shared" si="1101"/>
        <v>0</v>
      </c>
      <c r="N1748" s="118">
        <f t="shared" si="1101"/>
        <v>0</v>
      </c>
      <c r="O1748" s="118">
        <f t="shared" si="1101"/>
        <v>0</v>
      </c>
      <c r="P1748" s="118">
        <f t="shared" si="1101"/>
        <v>0</v>
      </c>
      <c r="Q1748" s="118">
        <f t="shared" si="1101"/>
        <v>0</v>
      </c>
      <c r="R1748" s="118">
        <f t="shared" si="1101"/>
        <v>0</v>
      </c>
      <c r="S1748" s="118">
        <f t="shared" si="1101"/>
        <v>0</v>
      </c>
      <c r="T1748" s="118">
        <f t="shared" si="1101"/>
        <v>0</v>
      </c>
      <c r="U1748" s="118">
        <f t="shared" si="1101"/>
        <v>0</v>
      </c>
      <c r="V1748" s="118">
        <f t="shared" si="1101"/>
        <v>0</v>
      </c>
      <c r="W1748" s="118">
        <f t="shared" si="1101"/>
        <v>0</v>
      </c>
      <c r="X1748" s="118">
        <f t="shared" si="1101"/>
        <v>0</v>
      </c>
    </row>
    <row r="1749" spans="2:24" hidden="1">
      <c r="B1749" s="116" t="str">
        <f t="shared" si="1094"/>
        <v/>
      </c>
      <c r="C1749" s="116" t="str">
        <f t="shared" si="1094"/>
        <v/>
      </c>
      <c r="D1749" s="116" t="str">
        <f t="shared" si="1094"/>
        <v/>
      </c>
      <c r="E1749" s="116" t="str">
        <f t="shared" si="1094"/>
        <v/>
      </c>
      <c r="F1749" s="116"/>
      <c r="G1749" s="116"/>
      <c r="H1749" s="116"/>
      <c r="I1749" s="116"/>
      <c r="J1749" s="116"/>
      <c r="K1749" s="118">
        <f t="shared" ref="K1749:X1749" si="1102">IF(AND($D1749="tak",OR($E1749="nie dotyczy",$E1749="badania przemysłowe"),LataProjekcji&lt;=Koniec_Projekt),K418,0)</f>
        <v>0</v>
      </c>
      <c r="L1749" s="118">
        <f t="shared" si="1102"/>
        <v>0</v>
      </c>
      <c r="M1749" s="118">
        <f t="shared" si="1102"/>
        <v>0</v>
      </c>
      <c r="N1749" s="118">
        <f t="shared" si="1102"/>
        <v>0</v>
      </c>
      <c r="O1749" s="118">
        <f t="shared" si="1102"/>
        <v>0</v>
      </c>
      <c r="P1749" s="118">
        <f t="shared" si="1102"/>
        <v>0</v>
      </c>
      <c r="Q1749" s="118">
        <f t="shared" si="1102"/>
        <v>0</v>
      </c>
      <c r="R1749" s="118">
        <f t="shared" si="1102"/>
        <v>0</v>
      </c>
      <c r="S1749" s="118">
        <f t="shared" si="1102"/>
        <v>0</v>
      </c>
      <c r="T1749" s="118">
        <f t="shared" si="1102"/>
        <v>0</v>
      </c>
      <c r="U1749" s="118">
        <f t="shared" si="1102"/>
        <v>0</v>
      </c>
      <c r="V1749" s="118">
        <f t="shared" si="1102"/>
        <v>0</v>
      </c>
      <c r="W1749" s="118">
        <f t="shared" si="1102"/>
        <v>0</v>
      </c>
      <c r="X1749" s="118">
        <f t="shared" si="1102"/>
        <v>0</v>
      </c>
    </row>
    <row r="1750" spans="2:24" hidden="1">
      <c r="B1750" s="116" t="str">
        <f t="shared" si="1094"/>
        <v/>
      </c>
      <c r="C1750" s="116" t="str">
        <f t="shared" si="1094"/>
        <v/>
      </c>
      <c r="D1750" s="116" t="str">
        <f t="shared" si="1094"/>
        <v/>
      </c>
      <c r="E1750" s="116" t="str">
        <f t="shared" si="1094"/>
        <v/>
      </c>
      <c r="F1750" s="116"/>
      <c r="G1750" s="116"/>
      <c r="H1750" s="116"/>
      <c r="I1750" s="116"/>
      <c r="J1750" s="116"/>
      <c r="K1750" s="118">
        <f t="shared" ref="K1750:X1750" si="1103">IF(AND($D1750="tak",OR($E1750="nie dotyczy",$E1750="badania przemysłowe"),LataProjekcji&lt;=Koniec_Projekt),K419,0)</f>
        <v>0</v>
      </c>
      <c r="L1750" s="118">
        <f t="shared" si="1103"/>
        <v>0</v>
      </c>
      <c r="M1750" s="118">
        <f t="shared" si="1103"/>
        <v>0</v>
      </c>
      <c r="N1750" s="118">
        <f t="shared" si="1103"/>
        <v>0</v>
      </c>
      <c r="O1750" s="118">
        <f t="shared" si="1103"/>
        <v>0</v>
      </c>
      <c r="P1750" s="118">
        <f t="shared" si="1103"/>
        <v>0</v>
      </c>
      <c r="Q1750" s="118">
        <f t="shared" si="1103"/>
        <v>0</v>
      </c>
      <c r="R1750" s="118">
        <f t="shared" si="1103"/>
        <v>0</v>
      </c>
      <c r="S1750" s="118">
        <f t="shared" si="1103"/>
        <v>0</v>
      </c>
      <c r="T1750" s="118">
        <f t="shared" si="1103"/>
        <v>0</v>
      </c>
      <c r="U1750" s="118">
        <f t="shared" si="1103"/>
        <v>0</v>
      </c>
      <c r="V1750" s="118">
        <f t="shared" si="1103"/>
        <v>0</v>
      </c>
      <c r="W1750" s="118">
        <f t="shared" si="1103"/>
        <v>0</v>
      </c>
      <c r="X1750" s="118">
        <f t="shared" si="1103"/>
        <v>0</v>
      </c>
    </row>
    <row r="1751" spans="2:24" hidden="1">
      <c r="B1751" s="116" t="str">
        <f t="shared" si="1094"/>
        <v/>
      </c>
      <c r="C1751" s="116" t="str">
        <f t="shared" si="1094"/>
        <v/>
      </c>
      <c r="D1751" s="116" t="str">
        <f t="shared" si="1094"/>
        <v/>
      </c>
      <c r="E1751" s="116" t="str">
        <f t="shared" si="1094"/>
        <v/>
      </c>
      <c r="F1751" s="116"/>
      <c r="G1751" s="116"/>
      <c r="H1751" s="116"/>
      <c r="I1751" s="116"/>
      <c r="J1751" s="116"/>
      <c r="K1751" s="118">
        <f t="shared" ref="K1751:X1751" si="1104">IF(AND($D1751="tak",OR($E1751="nie dotyczy",$E1751="badania przemysłowe"),LataProjekcji&lt;=Koniec_Projekt),K420,0)</f>
        <v>0</v>
      </c>
      <c r="L1751" s="118">
        <f t="shared" si="1104"/>
        <v>0</v>
      </c>
      <c r="M1751" s="118">
        <f t="shared" si="1104"/>
        <v>0</v>
      </c>
      <c r="N1751" s="118">
        <f t="shared" si="1104"/>
        <v>0</v>
      </c>
      <c r="O1751" s="118">
        <f t="shared" si="1104"/>
        <v>0</v>
      </c>
      <c r="P1751" s="118">
        <f t="shared" si="1104"/>
        <v>0</v>
      </c>
      <c r="Q1751" s="118">
        <f t="shared" si="1104"/>
        <v>0</v>
      </c>
      <c r="R1751" s="118">
        <f t="shared" si="1104"/>
        <v>0</v>
      </c>
      <c r="S1751" s="118">
        <f t="shared" si="1104"/>
        <v>0</v>
      </c>
      <c r="T1751" s="118">
        <f t="shared" si="1104"/>
        <v>0</v>
      </c>
      <c r="U1751" s="118">
        <f t="shared" si="1104"/>
        <v>0</v>
      </c>
      <c r="V1751" s="118">
        <f t="shared" si="1104"/>
        <v>0</v>
      </c>
      <c r="W1751" s="118">
        <f t="shared" si="1104"/>
        <v>0</v>
      </c>
      <c r="X1751" s="118">
        <f t="shared" si="1104"/>
        <v>0</v>
      </c>
    </row>
    <row r="1752" spans="2:24" hidden="1">
      <c r="B1752" s="116" t="str">
        <f t="shared" si="1094"/>
        <v/>
      </c>
      <c r="C1752" s="116" t="str">
        <f t="shared" si="1094"/>
        <v/>
      </c>
      <c r="D1752" s="116" t="str">
        <f t="shared" si="1094"/>
        <v/>
      </c>
      <c r="E1752" s="116" t="str">
        <f t="shared" si="1094"/>
        <v/>
      </c>
      <c r="F1752" s="116"/>
      <c r="G1752" s="116"/>
      <c r="H1752" s="116"/>
      <c r="I1752" s="116"/>
      <c r="J1752" s="116"/>
      <c r="K1752" s="118">
        <f t="shared" ref="K1752:X1752" si="1105">IF(AND($D1752="tak",OR($E1752="nie dotyczy",$E1752="badania przemysłowe"),LataProjekcji&lt;=Koniec_Projekt),K421,0)</f>
        <v>0</v>
      </c>
      <c r="L1752" s="118">
        <f t="shared" si="1105"/>
        <v>0</v>
      </c>
      <c r="M1752" s="118">
        <f t="shared" si="1105"/>
        <v>0</v>
      </c>
      <c r="N1752" s="118">
        <f t="shared" si="1105"/>
        <v>0</v>
      </c>
      <c r="O1752" s="118">
        <f t="shared" si="1105"/>
        <v>0</v>
      </c>
      <c r="P1752" s="118">
        <f t="shared" si="1105"/>
        <v>0</v>
      </c>
      <c r="Q1752" s="118">
        <f t="shared" si="1105"/>
        <v>0</v>
      </c>
      <c r="R1752" s="118">
        <f t="shared" si="1105"/>
        <v>0</v>
      </c>
      <c r="S1752" s="118">
        <f t="shared" si="1105"/>
        <v>0</v>
      </c>
      <c r="T1752" s="118">
        <f t="shared" si="1105"/>
        <v>0</v>
      </c>
      <c r="U1752" s="118">
        <f t="shared" si="1105"/>
        <v>0</v>
      </c>
      <c r="V1752" s="118">
        <f t="shared" si="1105"/>
        <v>0</v>
      </c>
      <c r="W1752" s="118">
        <f t="shared" si="1105"/>
        <v>0</v>
      </c>
      <c r="X1752" s="118">
        <f t="shared" si="1105"/>
        <v>0</v>
      </c>
    </row>
    <row r="1753" spans="2:24" hidden="1">
      <c r="B1753" s="116" t="str">
        <f t="shared" si="1094"/>
        <v/>
      </c>
      <c r="C1753" s="116" t="str">
        <f t="shared" si="1094"/>
        <v/>
      </c>
      <c r="D1753" s="116" t="str">
        <f t="shared" si="1094"/>
        <v/>
      </c>
      <c r="E1753" s="116" t="str">
        <f t="shared" si="1094"/>
        <v/>
      </c>
      <c r="F1753" s="116"/>
      <c r="G1753" s="116"/>
      <c r="H1753" s="116"/>
      <c r="I1753" s="116"/>
      <c r="J1753" s="116"/>
      <c r="K1753" s="118">
        <f t="shared" ref="K1753:X1753" si="1106">IF(AND($D1753="tak",OR($E1753="nie dotyczy",$E1753="badania przemysłowe"),LataProjekcji&lt;=Koniec_Projekt),K422,0)</f>
        <v>0</v>
      </c>
      <c r="L1753" s="118">
        <f t="shared" si="1106"/>
        <v>0</v>
      </c>
      <c r="M1753" s="118">
        <f t="shared" si="1106"/>
        <v>0</v>
      </c>
      <c r="N1753" s="118">
        <f t="shared" si="1106"/>
        <v>0</v>
      </c>
      <c r="O1753" s="118">
        <f t="shared" si="1106"/>
        <v>0</v>
      </c>
      <c r="P1753" s="118">
        <f t="shared" si="1106"/>
        <v>0</v>
      </c>
      <c r="Q1753" s="118">
        <f t="shared" si="1106"/>
        <v>0</v>
      </c>
      <c r="R1753" s="118">
        <f t="shared" si="1106"/>
        <v>0</v>
      </c>
      <c r="S1753" s="118">
        <f t="shared" si="1106"/>
        <v>0</v>
      </c>
      <c r="T1753" s="118">
        <f t="shared" si="1106"/>
        <v>0</v>
      </c>
      <c r="U1753" s="118">
        <f t="shared" si="1106"/>
        <v>0</v>
      </c>
      <c r="V1753" s="118">
        <f t="shared" si="1106"/>
        <v>0</v>
      </c>
      <c r="W1753" s="118">
        <f t="shared" si="1106"/>
        <v>0</v>
      </c>
      <c r="X1753" s="118">
        <f t="shared" si="1106"/>
        <v>0</v>
      </c>
    </row>
    <row r="1754" spans="2:24" hidden="1">
      <c r="B1754" s="116" t="str">
        <f t="shared" si="1094"/>
        <v/>
      </c>
      <c r="C1754" s="116" t="str">
        <f t="shared" si="1094"/>
        <v/>
      </c>
      <c r="D1754" s="116" t="str">
        <f t="shared" si="1094"/>
        <v/>
      </c>
      <c r="E1754" s="116" t="str">
        <f t="shared" si="1094"/>
        <v/>
      </c>
      <c r="F1754" s="116"/>
      <c r="G1754" s="116"/>
      <c r="H1754" s="116"/>
      <c r="I1754" s="116"/>
      <c r="J1754" s="116"/>
      <c r="K1754" s="118">
        <f t="shared" ref="K1754:X1754" si="1107">IF(AND($D1754="tak",OR($E1754="nie dotyczy",$E1754="badania przemysłowe"),LataProjekcji&lt;=Koniec_Projekt),K423,0)</f>
        <v>0</v>
      </c>
      <c r="L1754" s="118">
        <f t="shared" si="1107"/>
        <v>0</v>
      </c>
      <c r="M1754" s="118">
        <f t="shared" si="1107"/>
        <v>0</v>
      </c>
      <c r="N1754" s="118">
        <f t="shared" si="1107"/>
        <v>0</v>
      </c>
      <c r="O1754" s="118">
        <f t="shared" si="1107"/>
        <v>0</v>
      </c>
      <c r="P1754" s="118">
        <f t="shared" si="1107"/>
        <v>0</v>
      </c>
      <c r="Q1754" s="118">
        <f t="shared" si="1107"/>
        <v>0</v>
      </c>
      <c r="R1754" s="118">
        <f t="shared" si="1107"/>
        <v>0</v>
      </c>
      <c r="S1754" s="118">
        <f t="shared" si="1107"/>
        <v>0</v>
      </c>
      <c r="T1754" s="118">
        <f t="shared" si="1107"/>
        <v>0</v>
      </c>
      <c r="U1754" s="118">
        <f t="shared" si="1107"/>
        <v>0</v>
      </c>
      <c r="V1754" s="118">
        <f t="shared" si="1107"/>
        <v>0</v>
      </c>
      <c r="W1754" s="118">
        <f t="shared" si="1107"/>
        <v>0</v>
      </c>
      <c r="X1754" s="118">
        <f t="shared" si="1107"/>
        <v>0</v>
      </c>
    </row>
    <row r="1755" spans="2:24" hidden="1">
      <c r="B1755" s="116" t="str">
        <f t="shared" si="1094"/>
        <v/>
      </c>
      <c r="C1755" s="116" t="str">
        <f t="shared" si="1094"/>
        <v/>
      </c>
      <c r="D1755" s="116" t="str">
        <f t="shared" si="1094"/>
        <v/>
      </c>
      <c r="E1755" s="116" t="str">
        <f t="shared" si="1094"/>
        <v/>
      </c>
      <c r="F1755" s="116"/>
      <c r="G1755" s="116"/>
      <c r="H1755" s="116"/>
      <c r="I1755" s="116"/>
      <c r="J1755" s="116"/>
      <c r="K1755" s="118">
        <f t="shared" ref="K1755:X1755" si="1108">IF(AND($D1755="tak",OR($E1755="nie dotyczy",$E1755="badania przemysłowe"),LataProjekcji&lt;=Koniec_Projekt),K424,0)</f>
        <v>0</v>
      </c>
      <c r="L1755" s="118">
        <f t="shared" si="1108"/>
        <v>0</v>
      </c>
      <c r="M1755" s="118">
        <f t="shared" si="1108"/>
        <v>0</v>
      </c>
      <c r="N1755" s="118">
        <f t="shared" si="1108"/>
        <v>0</v>
      </c>
      <c r="O1755" s="118">
        <f t="shared" si="1108"/>
        <v>0</v>
      </c>
      <c r="P1755" s="118">
        <f t="shared" si="1108"/>
        <v>0</v>
      </c>
      <c r="Q1755" s="118">
        <f t="shared" si="1108"/>
        <v>0</v>
      </c>
      <c r="R1755" s="118">
        <f t="shared" si="1108"/>
        <v>0</v>
      </c>
      <c r="S1755" s="118">
        <f t="shared" si="1108"/>
        <v>0</v>
      </c>
      <c r="T1755" s="118">
        <f t="shared" si="1108"/>
        <v>0</v>
      </c>
      <c r="U1755" s="118">
        <f t="shared" si="1108"/>
        <v>0</v>
      </c>
      <c r="V1755" s="118">
        <f t="shared" si="1108"/>
        <v>0</v>
      </c>
      <c r="W1755" s="118">
        <f t="shared" si="1108"/>
        <v>0</v>
      </c>
      <c r="X1755" s="118">
        <f t="shared" si="1108"/>
        <v>0</v>
      </c>
    </row>
    <row r="1756" spans="2:24" hidden="1">
      <c r="B1756" s="116" t="str">
        <f t="shared" si="1094"/>
        <v/>
      </c>
      <c r="C1756" s="116" t="str">
        <f t="shared" si="1094"/>
        <v/>
      </c>
      <c r="D1756" s="116" t="str">
        <f t="shared" si="1094"/>
        <v/>
      </c>
      <c r="E1756" s="116" t="str">
        <f t="shared" si="1094"/>
        <v/>
      </c>
      <c r="F1756" s="116"/>
      <c r="G1756" s="116"/>
      <c r="H1756" s="116"/>
      <c r="I1756" s="116"/>
      <c r="J1756" s="116"/>
      <c r="K1756" s="118">
        <f t="shared" ref="K1756:X1756" si="1109">IF(AND($D1756="tak",OR($E1756="nie dotyczy",$E1756="badania przemysłowe"),LataProjekcji&lt;=Koniec_Projekt),K425,0)</f>
        <v>0</v>
      </c>
      <c r="L1756" s="118">
        <f t="shared" si="1109"/>
        <v>0</v>
      </c>
      <c r="M1756" s="118">
        <f t="shared" si="1109"/>
        <v>0</v>
      </c>
      <c r="N1756" s="118">
        <f t="shared" si="1109"/>
        <v>0</v>
      </c>
      <c r="O1756" s="118">
        <f t="shared" si="1109"/>
        <v>0</v>
      </c>
      <c r="P1756" s="118">
        <f t="shared" si="1109"/>
        <v>0</v>
      </c>
      <c r="Q1756" s="118">
        <f t="shared" si="1109"/>
        <v>0</v>
      </c>
      <c r="R1756" s="118">
        <f t="shared" si="1109"/>
        <v>0</v>
      </c>
      <c r="S1756" s="118">
        <f t="shared" si="1109"/>
        <v>0</v>
      </c>
      <c r="T1756" s="118">
        <f t="shared" si="1109"/>
        <v>0</v>
      </c>
      <c r="U1756" s="118">
        <f t="shared" si="1109"/>
        <v>0</v>
      </c>
      <c r="V1756" s="118">
        <f t="shared" si="1109"/>
        <v>0</v>
      </c>
      <c r="W1756" s="118">
        <f t="shared" si="1109"/>
        <v>0</v>
      </c>
      <c r="X1756" s="118">
        <f t="shared" si="1109"/>
        <v>0</v>
      </c>
    </row>
    <row r="1757" spans="2:24" hidden="1">
      <c r="B1757" s="116" t="str">
        <f t="shared" si="1094"/>
        <v/>
      </c>
      <c r="C1757" s="116" t="str">
        <f t="shared" si="1094"/>
        <v/>
      </c>
      <c r="D1757" s="116" t="str">
        <f t="shared" si="1094"/>
        <v/>
      </c>
      <c r="E1757" s="116" t="str">
        <f t="shared" si="1094"/>
        <v/>
      </c>
      <c r="F1757" s="116"/>
      <c r="G1757" s="116"/>
      <c r="H1757" s="116"/>
      <c r="I1757" s="116"/>
      <c r="J1757" s="116"/>
      <c r="K1757" s="118">
        <f t="shared" ref="K1757:X1757" si="1110">IF(AND($D1757="tak",OR($E1757="nie dotyczy",$E1757="badania przemysłowe"),LataProjekcji&lt;=Koniec_Projekt),K426,0)</f>
        <v>0</v>
      </c>
      <c r="L1757" s="118">
        <f t="shared" si="1110"/>
        <v>0</v>
      </c>
      <c r="M1757" s="118">
        <f t="shared" si="1110"/>
        <v>0</v>
      </c>
      <c r="N1757" s="118">
        <f t="shared" si="1110"/>
        <v>0</v>
      </c>
      <c r="O1757" s="118">
        <f t="shared" si="1110"/>
        <v>0</v>
      </c>
      <c r="P1757" s="118">
        <f t="shared" si="1110"/>
        <v>0</v>
      </c>
      <c r="Q1757" s="118">
        <f t="shared" si="1110"/>
        <v>0</v>
      </c>
      <c r="R1757" s="118">
        <f t="shared" si="1110"/>
        <v>0</v>
      </c>
      <c r="S1757" s="118">
        <f t="shared" si="1110"/>
        <v>0</v>
      </c>
      <c r="T1757" s="118">
        <f t="shared" si="1110"/>
        <v>0</v>
      </c>
      <c r="U1757" s="118">
        <f t="shared" si="1110"/>
        <v>0</v>
      </c>
      <c r="V1757" s="118">
        <f t="shared" si="1110"/>
        <v>0</v>
      </c>
      <c r="W1757" s="118">
        <f t="shared" si="1110"/>
        <v>0</v>
      </c>
      <c r="X1757" s="118">
        <f t="shared" si="1110"/>
        <v>0</v>
      </c>
    </row>
    <row r="1758" spans="2:24" hidden="1">
      <c r="B1758" s="116" t="str">
        <f t="shared" si="1094"/>
        <v/>
      </c>
      <c r="C1758" s="116" t="str">
        <f t="shared" si="1094"/>
        <v/>
      </c>
      <c r="D1758" s="116" t="str">
        <f t="shared" si="1094"/>
        <v/>
      </c>
      <c r="E1758" s="116" t="str">
        <f t="shared" si="1094"/>
        <v/>
      </c>
      <c r="F1758" s="116"/>
      <c r="G1758" s="116"/>
      <c r="H1758" s="116"/>
      <c r="I1758" s="116"/>
      <c r="J1758" s="116"/>
      <c r="K1758" s="118">
        <f t="shared" ref="K1758:X1758" si="1111">IF(AND($D1758="tak",OR($E1758="nie dotyczy",$E1758="badania przemysłowe"),LataProjekcji&lt;=Koniec_Projekt),K427,0)</f>
        <v>0</v>
      </c>
      <c r="L1758" s="118">
        <f t="shared" si="1111"/>
        <v>0</v>
      </c>
      <c r="M1758" s="118">
        <f t="shared" si="1111"/>
        <v>0</v>
      </c>
      <c r="N1758" s="118">
        <f t="shared" si="1111"/>
        <v>0</v>
      </c>
      <c r="O1758" s="118">
        <f t="shared" si="1111"/>
        <v>0</v>
      </c>
      <c r="P1758" s="118">
        <f t="shared" si="1111"/>
        <v>0</v>
      </c>
      <c r="Q1758" s="118">
        <f t="shared" si="1111"/>
        <v>0</v>
      </c>
      <c r="R1758" s="118">
        <f t="shared" si="1111"/>
        <v>0</v>
      </c>
      <c r="S1758" s="118">
        <f t="shared" si="1111"/>
        <v>0</v>
      </c>
      <c r="T1758" s="118">
        <f t="shared" si="1111"/>
        <v>0</v>
      </c>
      <c r="U1758" s="118">
        <f t="shared" si="1111"/>
        <v>0</v>
      </c>
      <c r="V1758" s="118">
        <f t="shared" si="1111"/>
        <v>0</v>
      </c>
      <c r="W1758" s="118">
        <f t="shared" si="1111"/>
        <v>0</v>
      </c>
      <c r="X1758" s="118">
        <f t="shared" si="1111"/>
        <v>0</v>
      </c>
    </row>
    <row r="1759" spans="2:24" hidden="1">
      <c r="B1759" s="116" t="str">
        <f t="shared" si="1094"/>
        <v/>
      </c>
      <c r="C1759" s="116" t="str">
        <f t="shared" si="1094"/>
        <v/>
      </c>
      <c r="D1759" s="116" t="str">
        <f t="shared" si="1094"/>
        <v/>
      </c>
      <c r="E1759" s="116" t="str">
        <f t="shared" si="1094"/>
        <v/>
      </c>
      <c r="F1759" s="116"/>
      <c r="G1759" s="116"/>
      <c r="H1759" s="116"/>
      <c r="I1759" s="116"/>
      <c r="J1759" s="116"/>
      <c r="K1759" s="118">
        <f t="shared" ref="K1759:X1759" si="1112">IF(AND($D1759="tak",OR($E1759="nie dotyczy",$E1759="badania przemysłowe"),LataProjekcji&lt;=Koniec_Projekt),K428,0)</f>
        <v>0</v>
      </c>
      <c r="L1759" s="118">
        <f t="shared" si="1112"/>
        <v>0</v>
      </c>
      <c r="M1759" s="118">
        <f t="shared" si="1112"/>
        <v>0</v>
      </c>
      <c r="N1759" s="118">
        <f t="shared" si="1112"/>
        <v>0</v>
      </c>
      <c r="O1759" s="118">
        <f t="shared" si="1112"/>
        <v>0</v>
      </c>
      <c r="P1759" s="118">
        <f t="shared" si="1112"/>
        <v>0</v>
      </c>
      <c r="Q1759" s="118">
        <f t="shared" si="1112"/>
        <v>0</v>
      </c>
      <c r="R1759" s="118">
        <f t="shared" si="1112"/>
        <v>0</v>
      </c>
      <c r="S1759" s="118">
        <f t="shared" si="1112"/>
        <v>0</v>
      </c>
      <c r="T1759" s="118">
        <f t="shared" si="1112"/>
        <v>0</v>
      </c>
      <c r="U1759" s="118">
        <f t="shared" si="1112"/>
        <v>0</v>
      </c>
      <c r="V1759" s="118">
        <f t="shared" si="1112"/>
        <v>0</v>
      </c>
      <c r="W1759" s="118">
        <f t="shared" si="1112"/>
        <v>0</v>
      </c>
      <c r="X1759" s="118">
        <f t="shared" si="1112"/>
        <v>0</v>
      </c>
    </row>
    <row r="1760" spans="2:24" hidden="1">
      <c r="B1760" s="116" t="str">
        <f t="shared" si="1094"/>
        <v/>
      </c>
      <c r="C1760" s="116" t="str">
        <f t="shared" si="1094"/>
        <v/>
      </c>
      <c r="D1760" s="116" t="str">
        <f t="shared" si="1094"/>
        <v/>
      </c>
      <c r="E1760" s="116" t="str">
        <f t="shared" si="1094"/>
        <v/>
      </c>
      <c r="F1760" s="116"/>
      <c r="G1760" s="116"/>
      <c r="H1760" s="116"/>
      <c r="I1760" s="116"/>
      <c r="J1760" s="116"/>
      <c r="K1760" s="118">
        <f t="shared" ref="K1760:X1760" si="1113">IF(AND($D1760="tak",OR($E1760="nie dotyczy",$E1760="badania przemysłowe"),LataProjekcji&lt;=Koniec_Projekt),K429,0)</f>
        <v>0</v>
      </c>
      <c r="L1760" s="118">
        <f t="shared" si="1113"/>
        <v>0</v>
      </c>
      <c r="M1760" s="118">
        <f t="shared" si="1113"/>
        <v>0</v>
      </c>
      <c r="N1760" s="118">
        <f t="shared" si="1113"/>
        <v>0</v>
      </c>
      <c r="O1760" s="118">
        <f t="shared" si="1113"/>
        <v>0</v>
      </c>
      <c r="P1760" s="118">
        <f t="shared" si="1113"/>
        <v>0</v>
      </c>
      <c r="Q1760" s="118">
        <f t="shared" si="1113"/>
        <v>0</v>
      </c>
      <c r="R1760" s="118">
        <f t="shared" si="1113"/>
        <v>0</v>
      </c>
      <c r="S1760" s="118">
        <f t="shared" si="1113"/>
        <v>0</v>
      </c>
      <c r="T1760" s="118">
        <f t="shared" si="1113"/>
        <v>0</v>
      </c>
      <c r="U1760" s="118">
        <f t="shared" si="1113"/>
        <v>0</v>
      </c>
      <c r="V1760" s="118">
        <f t="shared" si="1113"/>
        <v>0</v>
      </c>
      <c r="W1760" s="118">
        <f t="shared" si="1113"/>
        <v>0</v>
      </c>
      <c r="X1760" s="118">
        <f t="shared" si="1113"/>
        <v>0</v>
      </c>
    </row>
    <row r="1761" spans="2:24" hidden="1">
      <c r="B1761" s="116" t="str">
        <f t="shared" si="1094"/>
        <v/>
      </c>
      <c r="C1761" s="116" t="str">
        <f t="shared" si="1094"/>
        <v/>
      </c>
      <c r="D1761" s="116" t="str">
        <f t="shared" si="1094"/>
        <v/>
      </c>
      <c r="E1761" s="116" t="str">
        <f t="shared" si="1094"/>
        <v/>
      </c>
      <c r="F1761" s="116"/>
      <c r="G1761" s="116"/>
      <c r="H1761" s="116"/>
      <c r="I1761" s="116"/>
      <c r="J1761" s="116"/>
      <c r="K1761" s="118">
        <f t="shared" ref="K1761:X1761" si="1114">IF(AND($D1761="tak",OR($E1761="nie dotyczy",$E1761="badania przemysłowe"),LataProjekcji&lt;=Koniec_Projekt),K430,0)</f>
        <v>0</v>
      </c>
      <c r="L1761" s="118">
        <f t="shared" si="1114"/>
        <v>0</v>
      </c>
      <c r="M1761" s="118">
        <f t="shared" si="1114"/>
        <v>0</v>
      </c>
      <c r="N1761" s="118">
        <f t="shared" si="1114"/>
        <v>0</v>
      </c>
      <c r="O1761" s="118">
        <f t="shared" si="1114"/>
        <v>0</v>
      </c>
      <c r="P1761" s="118">
        <f t="shared" si="1114"/>
        <v>0</v>
      </c>
      <c r="Q1761" s="118">
        <f t="shared" si="1114"/>
        <v>0</v>
      </c>
      <c r="R1761" s="118">
        <f t="shared" si="1114"/>
        <v>0</v>
      </c>
      <c r="S1761" s="118">
        <f t="shared" si="1114"/>
        <v>0</v>
      </c>
      <c r="T1761" s="118">
        <f t="shared" si="1114"/>
        <v>0</v>
      </c>
      <c r="U1761" s="118">
        <f t="shared" si="1114"/>
        <v>0</v>
      </c>
      <c r="V1761" s="118">
        <f t="shared" si="1114"/>
        <v>0</v>
      </c>
      <c r="W1761" s="118">
        <f t="shared" si="1114"/>
        <v>0</v>
      </c>
      <c r="X1761" s="118">
        <f t="shared" si="1114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5">ROUND(SUM(K1722:K1761),0)</f>
        <v>0</v>
      </c>
      <c r="L1762" s="119">
        <f t="shared" si="1115"/>
        <v>0</v>
      </c>
      <c r="M1762" s="119">
        <f t="shared" si="1115"/>
        <v>0</v>
      </c>
      <c r="N1762" s="119">
        <f t="shared" si="1115"/>
        <v>0</v>
      </c>
      <c r="O1762" s="119">
        <f t="shared" si="1115"/>
        <v>0</v>
      </c>
      <c r="P1762" s="119">
        <f t="shared" si="1115"/>
        <v>0</v>
      </c>
      <c r="Q1762" s="119">
        <f t="shared" si="1115"/>
        <v>0</v>
      </c>
      <c r="R1762" s="119">
        <f t="shared" si="1115"/>
        <v>0</v>
      </c>
      <c r="S1762" s="119">
        <f t="shared" si="1115"/>
        <v>0</v>
      </c>
      <c r="T1762" s="119">
        <f t="shared" si="1115"/>
        <v>0</v>
      </c>
      <c r="U1762" s="119">
        <f t="shared" si="1115"/>
        <v>0</v>
      </c>
      <c r="V1762" s="119">
        <f t="shared" si="1115"/>
        <v>0</v>
      </c>
      <c r="W1762" s="119">
        <f t="shared" si="1115"/>
        <v>0</v>
      </c>
      <c r="X1762" s="119">
        <f t="shared" si="1115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16">IF(ISBLANK(B1527),"",B1527)</f>
        <v/>
      </c>
      <c r="C1767" s="116" t="str">
        <f t="shared" si="1116"/>
        <v/>
      </c>
      <c r="D1767" s="116" t="str">
        <f t="shared" si="1116"/>
        <v/>
      </c>
      <c r="E1767" s="116" t="str">
        <f t="shared" si="1116"/>
        <v/>
      </c>
      <c r="F1767" s="116"/>
      <c r="G1767" s="116"/>
      <c r="H1767" s="116"/>
      <c r="I1767" s="116"/>
      <c r="J1767" s="116"/>
      <c r="K1767" s="118">
        <f t="shared" ref="K1767:X1767" si="1117">IF(AND($D1767="tak",OR($E1767="nie dotyczy",$E1767="badania przemysłowe"),LataProjekcji&lt;=Koniec_Projekt),K436,0)</f>
        <v>0</v>
      </c>
      <c r="L1767" s="118">
        <f t="shared" si="1117"/>
        <v>0</v>
      </c>
      <c r="M1767" s="118">
        <f t="shared" si="1117"/>
        <v>0</v>
      </c>
      <c r="N1767" s="118">
        <f t="shared" si="1117"/>
        <v>0</v>
      </c>
      <c r="O1767" s="118">
        <f t="shared" si="1117"/>
        <v>0</v>
      </c>
      <c r="P1767" s="118">
        <f t="shared" si="1117"/>
        <v>0</v>
      </c>
      <c r="Q1767" s="118">
        <f t="shared" si="1117"/>
        <v>0</v>
      </c>
      <c r="R1767" s="118">
        <f t="shared" si="1117"/>
        <v>0</v>
      </c>
      <c r="S1767" s="118">
        <f t="shared" si="1117"/>
        <v>0</v>
      </c>
      <c r="T1767" s="118">
        <f t="shared" si="1117"/>
        <v>0</v>
      </c>
      <c r="U1767" s="118">
        <f t="shared" si="1117"/>
        <v>0</v>
      </c>
      <c r="V1767" s="118">
        <f t="shared" si="1117"/>
        <v>0</v>
      </c>
      <c r="W1767" s="118">
        <f t="shared" si="1117"/>
        <v>0</v>
      </c>
      <c r="X1767" s="118">
        <f t="shared" si="1117"/>
        <v>0</v>
      </c>
    </row>
    <row r="1768" spans="2:24" hidden="1">
      <c r="B1768" s="116" t="str">
        <f t="shared" si="1116"/>
        <v/>
      </c>
      <c r="C1768" s="116" t="str">
        <f t="shared" si="1116"/>
        <v/>
      </c>
      <c r="D1768" s="116" t="str">
        <f t="shared" si="1116"/>
        <v/>
      </c>
      <c r="E1768" s="116" t="str">
        <f t="shared" si="1116"/>
        <v/>
      </c>
      <c r="F1768" s="116"/>
      <c r="G1768" s="116"/>
      <c r="H1768" s="116"/>
      <c r="I1768" s="116"/>
      <c r="J1768" s="116"/>
      <c r="K1768" s="118">
        <f t="shared" ref="K1768:X1768" si="1118">IF(AND($D1768="tak",OR($E1768="nie dotyczy",$E1768="badania przemysłowe"),LataProjekcji&lt;=Koniec_Projekt),K437,0)</f>
        <v>0</v>
      </c>
      <c r="L1768" s="118">
        <f t="shared" si="1118"/>
        <v>0</v>
      </c>
      <c r="M1768" s="118">
        <f t="shared" si="1118"/>
        <v>0</v>
      </c>
      <c r="N1768" s="118">
        <f t="shared" si="1118"/>
        <v>0</v>
      </c>
      <c r="O1768" s="118">
        <f t="shared" si="1118"/>
        <v>0</v>
      </c>
      <c r="P1768" s="118">
        <f t="shared" si="1118"/>
        <v>0</v>
      </c>
      <c r="Q1768" s="118">
        <f t="shared" si="1118"/>
        <v>0</v>
      </c>
      <c r="R1768" s="118">
        <f t="shared" si="1118"/>
        <v>0</v>
      </c>
      <c r="S1768" s="118">
        <f t="shared" si="1118"/>
        <v>0</v>
      </c>
      <c r="T1768" s="118">
        <f t="shared" si="1118"/>
        <v>0</v>
      </c>
      <c r="U1768" s="118">
        <f t="shared" si="1118"/>
        <v>0</v>
      </c>
      <c r="V1768" s="118">
        <f t="shared" si="1118"/>
        <v>0</v>
      </c>
      <c r="W1768" s="118">
        <f t="shared" si="1118"/>
        <v>0</v>
      </c>
      <c r="X1768" s="118">
        <f t="shared" si="1118"/>
        <v>0</v>
      </c>
    </row>
    <row r="1769" spans="2:24" hidden="1">
      <c r="B1769" s="116" t="str">
        <f t="shared" si="1116"/>
        <v/>
      </c>
      <c r="C1769" s="116" t="str">
        <f t="shared" si="1116"/>
        <v/>
      </c>
      <c r="D1769" s="116" t="str">
        <f t="shared" si="1116"/>
        <v/>
      </c>
      <c r="E1769" s="116" t="str">
        <f t="shared" si="1116"/>
        <v/>
      </c>
      <c r="F1769" s="116"/>
      <c r="G1769" s="116"/>
      <c r="H1769" s="116"/>
      <c r="I1769" s="116"/>
      <c r="J1769" s="116"/>
      <c r="K1769" s="118">
        <f t="shared" ref="K1769:X1769" si="1119">IF(AND($D1769="tak",OR($E1769="nie dotyczy",$E1769="badania przemysłowe"),LataProjekcji&lt;=Koniec_Projekt),K438,0)</f>
        <v>0</v>
      </c>
      <c r="L1769" s="118">
        <f t="shared" si="1119"/>
        <v>0</v>
      </c>
      <c r="M1769" s="118">
        <f t="shared" si="1119"/>
        <v>0</v>
      </c>
      <c r="N1769" s="118">
        <f t="shared" si="1119"/>
        <v>0</v>
      </c>
      <c r="O1769" s="118">
        <f t="shared" si="1119"/>
        <v>0</v>
      </c>
      <c r="P1769" s="118">
        <f t="shared" si="1119"/>
        <v>0</v>
      </c>
      <c r="Q1769" s="118">
        <f t="shared" si="1119"/>
        <v>0</v>
      </c>
      <c r="R1769" s="118">
        <f t="shared" si="1119"/>
        <v>0</v>
      </c>
      <c r="S1769" s="118">
        <f t="shared" si="1119"/>
        <v>0</v>
      </c>
      <c r="T1769" s="118">
        <f t="shared" si="1119"/>
        <v>0</v>
      </c>
      <c r="U1769" s="118">
        <f t="shared" si="1119"/>
        <v>0</v>
      </c>
      <c r="V1769" s="118">
        <f t="shared" si="1119"/>
        <v>0</v>
      </c>
      <c r="W1769" s="118">
        <f t="shared" si="1119"/>
        <v>0</v>
      </c>
      <c r="X1769" s="118">
        <f t="shared" si="1119"/>
        <v>0</v>
      </c>
    </row>
    <row r="1770" spans="2:24" hidden="1">
      <c r="B1770" s="116" t="str">
        <f t="shared" si="1116"/>
        <v/>
      </c>
      <c r="C1770" s="116" t="str">
        <f t="shared" si="1116"/>
        <v/>
      </c>
      <c r="D1770" s="116" t="str">
        <f t="shared" si="1116"/>
        <v/>
      </c>
      <c r="E1770" s="116" t="str">
        <f t="shared" si="1116"/>
        <v/>
      </c>
      <c r="F1770" s="116"/>
      <c r="G1770" s="116"/>
      <c r="H1770" s="116"/>
      <c r="I1770" s="116"/>
      <c r="J1770" s="116"/>
      <c r="K1770" s="118">
        <f t="shared" ref="K1770:X1770" si="1120">IF(AND($D1770="tak",OR($E1770="nie dotyczy",$E1770="badania przemysłowe"),LataProjekcji&lt;=Koniec_Projekt),K439,0)</f>
        <v>0</v>
      </c>
      <c r="L1770" s="118">
        <f t="shared" si="1120"/>
        <v>0</v>
      </c>
      <c r="M1770" s="118">
        <f t="shared" si="1120"/>
        <v>0</v>
      </c>
      <c r="N1770" s="118">
        <f t="shared" si="1120"/>
        <v>0</v>
      </c>
      <c r="O1770" s="118">
        <f t="shared" si="1120"/>
        <v>0</v>
      </c>
      <c r="P1770" s="118">
        <f t="shared" si="1120"/>
        <v>0</v>
      </c>
      <c r="Q1770" s="118">
        <f t="shared" si="1120"/>
        <v>0</v>
      </c>
      <c r="R1770" s="118">
        <f t="shared" si="1120"/>
        <v>0</v>
      </c>
      <c r="S1770" s="118">
        <f t="shared" si="1120"/>
        <v>0</v>
      </c>
      <c r="T1770" s="118">
        <f t="shared" si="1120"/>
        <v>0</v>
      </c>
      <c r="U1770" s="118">
        <f t="shared" si="1120"/>
        <v>0</v>
      </c>
      <c r="V1770" s="118">
        <f t="shared" si="1120"/>
        <v>0</v>
      </c>
      <c r="W1770" s="118">
        <f t="shared" si="1120"/>
        <v>0</v>
      </c>
      <c r="X1770" s="118">
        <f t="shared" si="1120"/>
        <v>0</v>
      </c>
    </row>
    <row r="1771" spans="2:24" hidden="1">
      <c r="B1771" s="116" t="str">
        <f t="shared" si="1116"/>
        <v/>
      </c>
      <c r="C1771" s="116" t="str">
        <f t="shared" si="1116"/>
        <v/>
      </c>
      <c r="D1771" s="116" t="str">
        <f t="shared" si="1116"/>
        <v/>
      </c>
      <c r="E1771" s="116" t="str">
        <f t="shared" si="1116"/>
        <v/>
      </c>
      <c r="F1771" s="116"/>
      <c r="G1771" s="116"/>
      <c r="H1771" s="116"/>
      <c r="I1771" s="116"/>
      <c r="J1771" s="116"/>
      <c r="K1771" s="118">
        <f t="shared" ref="K1771:X1771" si="1121">IF(AND($D1771="tak",OR($E1771="nie dotyczy",$E1771="badania przemysłowe"),LataProjekcji&lt;=Koniec_Projekt),K440,0)</f>
        <v>0</v>
      </c>
      <c r="L1771" s="118">
        <f t="shared" si="1121"/>
        <v>0</v>
      </c>
      <c r="M1771" s="118">
        <f t="shared" si="1121"/>
        <v>0</v>
      </c>
      <c r="N1771" s="118">
        <f t="shared" si="1121"/>
        <v>0</v>
      </c>
      <c r="O1771" s="118">
        <f t="shared" si="1121"/>
        <v>0</v>
      </c>
      <c r="P1771" s="118">
        <f t="shared" si="1121"/>
        <v>0</v>
      </c>
      <c r="Q1771" s="118">
        <f t="shared" si="1121"/>
        <v>0</v>
      </c>
      <c r="R1771" s="118">
        <f t="shared" si="1121"/>
        <v>0</v>
      </c>
      <c r="S1771" s="118">
        <f t="shared" si="1121"/>
        <v>0</v>
      </c>
      <c r="T1771" s="118">
        <f t="shared" si="1121"/>
        <v>0</v>
      </c>
      <c r="U1771" s="118">
        <f t="shared" si="1121"/>
        <v>0</v>
      </c>
      <c r="V1771" s="118">
        <f t="shared" si="1121"/>
        <v>0</v>
      </c>
      <c r="W1771" s="118">
        <f t="shared" si="1121"/>
        <v>0</v>
      </c>
      <c r="X1771" s="118">
        <f t="shared" si="1121"/>
        <v>0</v>
      </c>
    </row>
    <row r="1772" spans="2:24" hidden="1">
      <c r="B1772" s="116" t="str">
        <f t="shared" si="1116"/>
        <v/>
      </c>
      <c r="C1772" s="116" t="str">
        <f t="shared" si="1116"/>
        <v/>
      </c>
      <c r="D1772" s="116" t="str">
        <f t="shared" si="1116"/>
        <v/>
      </c>
      <c r="E1772" s="116" t="str">
        <f t="shared" si="1116"/>
        <v/>
      </c>
      <c r="F1772" s="116"/>
      <c r="G1772" s="116"/>
      <c r="H1772" s="116"/>
      <c r="I1772" s="116"/>
      <c r="J1772" s="116"/>
      <c r="K1772" s="118">
        <f t="shared" ref="K1772:X1772" si="1122">IF(AND($D1772="tak",OR($E1772="nie dotyczy",$E1772="badania przemysłowe"),LataProjekcji&lt;=Koniec_Projekt),K441,0)</f>
        <v>0</v>
      </c>
      <c r="L1772" s="118">
        <f t="shared" si="1122"/>
        <v>0</v>
      </c>
      <c r="M1772" s="118">
        <f t="shared" si="1122"/>
        <v>0</v>
      </c>
      <c r="N1772" s="118">
        <f t="shared" si="1122"/>
        <v>0</v>
      </c>
      <c r="O1772" s="118">
        <f t="shared" si="1122"/>
        <v>0</v>
      </c>
      <c r="P1772" s="118">
        <f t="shared" si="1122"/>
        <v>0</v>
      </c>
      <c r="Q1772" s="118">
        <f t="shared" si="1122"/>
        <v>0</v>
      </c>
      <c r="R1772" s="118">
        <f t="shared" si="1122"/>
        <v>0</v>
      </c>
      <c r="S1772" s="118">
        <f t="shared" si="1122"/>
        <v>0</v>
      </c>
      <c r="T1772" s="118">
        <f t="shared" si="1122"/>
        <v>0</v>
      </c>
      <c r="U1772" s="118">
        <f t="shared" si="1122"/>
        <v>0</v>
      </c>
      <c r="V1772" s="118">
        <f t="shared" si="1122"/>
        <v>0</v>
      </c>
      <c r="W1772" s="118">
        <f t="shared" si="1122"/>
        <v>0</v>
      </c>
      <c r="X1772" s="118">
        <f t="shared" si="1122"/>
        <v>0</v>
      </c>
    </row>
    <row r="1773" spans="2:24" hidden="1">
      <c r="B1773" s="116" t="str">
        <f t="shared" si="1116"/>
        <v/>
      </c>
      <c r="C1773" s="116" t="str">
        <f t="shared" si="1116"/>
        <v/>
      </c>
      <c r="D1773" s="116" t="str">
        <f t="shared" si="1116"/>
        <v/>
      </c>
      <c r="E1773" s="116" t="str">
        <f t="shared" si="1116"/>
        <v/>
      </c>
      <c r="F1773" s="116"/>
      <c r="G1773" s="116"/>
      <c r="H1773" s="116"/>
      <c r="I1773" s="116"/>
      <c r="J1773" s="116"/>
      <c r="K1773" s="118">
        <f t="shared" ref="K1773:X1773" si="1123">IF(AND($D1773="tak",OR($E1773="nie dotyczy",$E1773="badania przemysłowe"),LataProjekcji&lt;=Koniec_Projekt),K442,0)</f>
        <v>0</v>
      </c>
      <c r="L1773" s="118">
        <f t="shared" si="1123"/>
        <v>0</v>
      </c>
      <c r="M1773" s="118">
        <f t="shared" si="1123"/>
        <v>0</v>
      </c>
      <c r="N1773" s="118">
        <f t="shared" si="1123"/>
        <v>0</v>
      </c>
      <c r="O1773" s="118">
        <f t="shared" si="1123"/>
        <v>0</v>
      </c>
      <c r="P1773" s="118">
        <f t="shared" si="1123"/>
        <v>0</v>
      </c>
      <c r="Q1773" s="118">
        <f t="shared" si="1123"/>
        <v>0</v>
      </c>
      <c r="R1773" s="118">
        <f t="shared" si="1123"/>
        <v>0</v>
      </c>
      <c r="S1773" s="118">
        <f t="shared" si="1123"/>
        <v>0</v>
      </c>
      <c r="T1773" s="118">
        <f t="shared" si="1123"/>
        <v>0</v>
      </c>
      <c r="U1773" s="118">
        <f t="shared" si="1123"/>
        <v>0</v>
      </c>
      <c r="V1773" s="118">
        <f t="shared" si="1123"/>
        <v>0</v>
      </c>
      <c r="W1773" s="118">
        <f t="shared" si="1123"/>
        <v>0</v>
      </c>
      <c r="X1773" s="118">
        <f t="shared" si="1123"/>
        <v>0</v>
      </c>
    </row>
    <row r="1774" spans="2:24" hidden="1">
      <c r="B1774" s="116" t="str">
        <f t="shared" si="1116"/>
        <v/>
      </c>
      <c r="C1774" s="116" t="str">
        <f t="shared" si="1116"/>
        <v/>
      </c>
      <c r="D1774" s="116" t="str">
        <f t="shared" si="1116"/>
        <v/>
      </c>
      <c r="E1774" s="116" t="str">
        <f t="shared" si="1116"/>
        <v/>
      </c>
      <c r="F1774" s="116"/>
      <c r="G1774" s="116"/>
      <c r="H1774" s="116"/>
      <c r="I1774" s="116"/>
      <c r="J1774" s="116"/>
      <c r="K1774" s="118">
        <f t="shared" ref="K1774:X1774" si="1124">IF(AND($D1774="tak",OR($E1774="nie dotyczy",$E1774="badania przemysłowe"),LataProjekcji&lt;=Koniec_Projekt),K443,0)</f>
        <v>0</v>
      </c>
      <c r="L1774" s="118">
        <f t="shared" si="1124"/>
        <v>0</v>
      </c>
      <c r="M1774" s="118">
        <f t="shared" si="1124"/>
        <v>0</v>
      </c>
      <c r="N1774" s="118">
        <f t="shared" si="1124"/>
        <v>0</v>
      </c>
      <c r="O1774" s="118">
        <f t="shared" si="1124"/>
        <v>0</v>
      </c>
      <c r="P1774" s="118">
        <f t="shared" si="1124"/>
        <v>0</v>
      </c>
      <c r="Q1774" s="118">
        <f t="shared" si="1124"/>
        <v>0</v>
      </c>
      <c r="R1774" s="118">
        <f t="shared" si="1124"/>
        <v>0</v>
      </c>
      <c r="S1774" s="118">
        <f t="shared" si="1124"/>
        <v>0</v>
      </c>
      <c r="T1774" s="118">
        <f t="shared" si="1124"/>
        <v>0</v>
      </c>
      <c r="U1774" s="118">
        <f t="shared" si="1124"/>
        <v>0</v>
      </c>
      <c r="V1774" s="118">
        <f t="shared" si="1124"/>
        <v>0</v>
      </c>
      <c r="W1774" s="118">
        <f t="shared" si="1124"/>
        <v>0</v>
      </c>
      <c r="X1774" s="118">
        <f t="shared" si="1124"/>
        <v>0</v>
      </c>
    </row>
    <row r="1775" spans="2:24" hidden="1">
      <c r="B1775" s="116" t="str">
        <f t="shared" si="1116"/>
        <v/>
      </c>
      <c r="C1775" s="116" t="str">
        <f t="shared" si="1116"/>
        <v/>
      </c>
      <c r="D1775" s="116" t="str">
        <f t="shared" si="1116"/>
        <v/>
      </c>
      <c r="E1775" s="116" t="str">
        <f t="shared" si="1116"/>
        <v/>
      </c>
      <c r="F1775" s="116"/>
      <c r="G1775" s="116"/>
      <c r="H1775" s="116"/>
      <c r="I1775" s="116"/>
      <c r="J1775" s="116"/>
      <c r="K1775" s="118">
        <f t="shared" ref="K1775:X1775" si="1125">IF(AND($D1775="tak",OR($E1775="nie dotyczy",$E1775="badania przemysłowe"),LataProjekcji&lt;=Koniec_Projekt),K444,0)</f>
        <v>0</v>
      </c>
      <c r="L1775" s="118">
        <f t="shared" si="1125"/>
        <v>0</v>
      </c>
      <c r="M1775" s="118">
        <f t="shared" si="1125"/>
        <v>0</v>
      </c>
      <c r="N1775" s="118">
        <f t="shared" si="1125"/>
        <v>0</v>
      </c>
      <c r="O1775" s="118">
        <f t="shared" si="1125"/>
        <v>0</v>
      </c>
      <c r="P1775" s="118">
        <f t="shared" si="1125"/>
        <v>0</v>
      </c>
      <c r="Q1775" s="118">
        <f t="shared" si="1125"/>
        <v>0</v>
      </c>
      <c r="R1775" s="118">
        <f t="shared" si="1125"/>
        <v>0</v>
      </c>
      <c r="S1775" s="118">
        <f t="shared" si="1125"/>
        <v>0</v>
      </c>
      <c r="T1775" s="118">
        <f t="shared" si="1125"/>
        <v>0</v>
      </c>
      <c r="U1775" s="118">
        <f t="shared" si="1125"/>
        <v>0</v>
      </c>
      <c r="V1775" s="118">
        <f t="shared" si="1125"/>
        <v>0</v>
      </c>
      <c r="W1775" s="118">
        <f t="shared" si="1125"/>
        <v>0</v>
      </c>
      <c r="X1775" s="118">
        <f t="shared" si="1125"/>
        <v>0</v>
      </c>
    </row>
    <row r="1776" spans="2:24" hidden="1">
      <c r="B1776" s="116" t="str">
        <f t="shared" si="1116"/>
        <v/>
      </c>
      <c r="C1776" s="116" t="str">
        <f t="shared" si="1116"/>
        <v/>
      </c>
      <c r="D1776" s="116" t="str">
        <f t="shared" si="1116"/>
        <v/>
      </c>
      <c r="E1776" s="116" t="str">
        <f t="shared" si="1116"/>
        <v/>
      </c>
      <c r="F1776" s="116"/>
      <c r="G1776" s="116"/>
      <c r="H1776" s="116"/>
      <c r="I1776" s="116"/>
      <c r="J1776" s="116"/>
      <c r="K1776" s="118">
        <f t="shared" ref="K1776:X1776" si="1126">IF(AND($D1776="tak",OR($E1776="nie dotyczy",$E1776="badania przemysłowe"),LataProjekcji&lt;=Koniec_Projekt),K445,0)</f>
        <v>0</v>
      </c>
      <c r="L1776" s="118">
        <f t="shared" si="1126"/>
        <v>0</v>
      </c>
      <c r="M1776" s="118">
        <f t="shared" si="1126"/>
        <v>0</v>
      </c>
      <c r="N1776" s="118">
        <f t="shared" si="1126"/>
        <v>0</v>
      </c>
      <c r="O1776" s="118">
        <f t="shared" si="1126"/>
        <v>0</v>
      </c>
      <c r="P1776" s="118">
        <f t="shared" si="1126"/>
        <v>0</v>
      </c>
      <c r="Q1776" s="118">
        <f t="shared" si="1126"/>
        <v>0</v>
      </c>
      <c r="R1776" s="118">
        <f t="shared" si="1126"/>
        <v>0</v>
      </c>
      <c r="S1776" s="118">
        <f t="shared" si="1126"/>
        <v>0</v>
      </c>
      <c r="T1776" s="118">
        <f t="shared" si="1126"/>
        <v>0</v>
      </c>
      <c r="U1776" s="118">
        <f t="shared" si="1126"/>
        <v>0</v>
      </c>
      <c r="V1776" s="118">
        <f t="shared" si="1126"/>
        <v>0</v>
      </c>
      <c r="W1776" s="118">
        <f t="shared" si="1126"/>
        <v>0</v>
      </c>
      <c r="X1776" s="118">
        <f t="shared" si="1126"/>
        <v>0</v>
      </c>
    </row>
    <row r="1777" spans="2:24" hidden="1">
      <c r="B1777" s="116" t="str">
        <f t="shared" si="1116"/>
        <v/>
      </c>
      <c r="C1777" s="116" t="str">
        <f t="shared" si="1116"/>
        <v/>
      </c>
      <c r="D1777" s="116" t="str">
        <f t="shared" si="1116"/>
        <v/>
      </c>
      <c r="E1777" s="116" t="str">
        <f t="shared" si="1116"/>
        <v/>
      </c>
      <c r="F1777" s="116"/>
      <c r="G1777" s="116"/>
      <c r="H1777" s="116"/>
      <c r="I1777" s="116"/>
      <c r="J1777" s="116"/>
      <c r="K1777" s="118">
        <f t="shared" ref="K1777:X1777" si="1127">IF(AND($D1777="tak",OR($E1777="nie dotyczy",$E1777="badania przemysłowe"),LataProjekcji&lt;=Koniec_Projekt),K446,0)</f>
        <v>0</v>
      </c>
      <c r="L1777" s="118">
        <f t="shared" si="1127"/>
        <v>0</v>
      </c>
      <c r="M1777" s="118">
        <f t="shared" si="1127"/>
        <v>0</v>
      </c>
      <c r="N1777" s="118">
        <f t="shared" si="1127"/>
        <v>0</v>
      </c>
      <c r="O1777" s="118">
        <f t="shared" si="1127"/>
        <v>0</v>
      </c>
      <c r="P1777" s="118">
        <f t="shared" si="1127"/>
        <v>0</v>
      </c>
      <c r="Q1777" s="118">
        <f t="shared" si="1127"/>
        <v>0</v>
      </c>
      <c r="R1777" s="118">
        <f t="shared" si="1127"/>
        <v>0</v>
      </c>
      <c r="S1777" s="118">
        <f t="shared" si="1127"/>
        <v>0</v>
      </c>
      <c r="T1777" s="118">
        <f t="shared" si="1127"/>
        <v>0</v>
      </c>
      <c r="U1777" s="118">
        <f t="shared" si="1127"/>
        <v>0</v>
      </c>
      <c r="V1777" s="118">
        <f t="shared" si="1127"/>
        <v>0</v>
      </c>
      <c r="W1777" s="118">
        <f t="shared" si="1127"/>
        <v>0</v>
      </c>
      <c r="X1777" s="118">
        <f t="shared" si="1127"/>
        <v>0</v>
      </c>
    </row>
    <row r="1778" spans="2:24" hidden="1">
      <c r="B1778" s="116" t="str">
        <f t="shared" si="1116"/>
        <v/>
      </c>
      <c r="C1778" s="116" t="str">
        <f t="shared" si="1116"/>
        <v/>
      </c>
      <c r="D1778" s="116" t="str">
        <f t="shared" si="1116"/>
        <v/>
      </c>
      <c r="E1778" s="116" t="str">
        <f t="shared" si="1116"/>
        <v/>
      </c>
      <c r="F1778" s="116"/>
      <c r="G1778" s="116"/>
      <c r="H1778" s="116"/>
      <c r="I1778" s="116"/>
      <c r="J1778" s="116"/>
      <c r="K1778" s="118">
        <f t="shared" ref="K1778:X1778" si="1128">IF(AND($D1778="tak",OR($E1778="nie dotyczy",$E1778="badania przemysłowe"),LataProjekcji&lt;=Koniec_Projekt),K447,0)</f>
        <v>0</v>
      </c>
      <c r="L1778" s="118">
        <f t="shared" si="1128"/>
        <v>0</v>
      </c>
      <c r="M1778" s="118">
        <f t="shared" si="1128"/>
        <v>0</v>
      </c>
      <c r="N1778" s="118">
        <f t="shared" si="1128"/>
        <v>0</v>
      </c>
      <c r="O1778" s="118">
        <f t="shared" si="1128"/>
        <v>0</v>
      </c>
      <c r="P1778" s="118">
        <f t="shared" si="1128"/>
        <v>0</v>
      </c>
      <c r="Q1778" s="118">
        <f t="shared" si="1128"/>
        <v>0</v>
      </c>
      <c r="R1778" s="118">
        <f t="shared" si="1128"/>
        <v>0</v>
      </c>
      <c r="S1778" s="118">
        <f t="shared" si="1128"/>
        <v>0</v>
      </c>
      <c r="T1778" s="118">
        <f t="shared" si="1128"/>
        <v>0</v>
      </c>
      <c r="U1778" s="118">
        <f t="shared" si="1128"/>
        <v>0</v>
      </c>
      <c r="V1778" s="118">
        <f t="shared" si="1128"/>
        <v>0</v>
      </c>
      <c r="W1778" s="118">
        <f t="shared" si="1128"/>
        <v>0</v>
      </c>
      <c r="X1778" s="118">
        <f t="shared" si="1128"/>
        <v>0</v>
      </c>
    </row>
    <row r="1779" spans="2:24" hidden="1">
      <c r="B1779" s="116" t="str">
        <f t="shared" si="1116"/>
        <v/>
      </c>
      <c r="C1779" s="116" t="str">
        <f t="shared" si="1116"/>
        <v/>
      </c>
      <c r="D1779" s="116" t="str">
        <f t="shared" si="1116"/>
        <v/>
      </c>
      <c r="E1779" s="116" t="str">
        <f t="shared" si="1116"/>
        <v/>
      </c>
      <c r="F1779" s="116"/>
      <c r="G1779" s="116"/>
      <c r="H1779" s="116"/>
      <c r="I1779" s="116"/>
      <c r="J1779" s="116"/>
      <c r="K1779" s="118">
        <f t="shared" ref="K1779:X1779" si="1129">IF(AND($D1779="tak",OR($E1779="nie dotyczy",$E1779="badania przemysłowe"),LataProjekcji&lt;=Koniec_Projekt),K448,0)</f>
        <v>0</v>
      </c>
      <c r="L1779" s="118">
        <f t="shared" si="1129"/>
        <v>0</v>
      </c>
      <c r="M1779" s="118">
        <f t="shared" si="1129"/>
        <v>0</v>
      </c>
      <c r="N1779" s="118">
        <f t="shared" si="1129"/>
        <v>0</v>
      </c>
      <c r="O1779" s="118">
        <f t="shared" si="1129"/>
        <v>0</v>
      </c>
      <c r="P1779" s="118">
        <f t="shared" si="1129"/>
        <v>0</v>
      </c>
      <c r="Q1779" s="118">
        <f t="shared" si="1129"/>
        <v>0</v>
      </c>
      <c r="R1779" s="118">
        <f t="shared" si="1129"/>
        <v>0</v>
      </c>
      <c r="S1779" s="118">
        <f t="shared" si="1129"/>
        <v>0</v>
      </c>
      <c r="T1779" s="118">
        <f t="shared" si="1129"/>
        <v>0</v>
      </c>
      <c r="U1779" s="118">
        <f t="shared" si="1129"/>
        <v>0</v>
      </c>
      <c r="V1779" s="118">
        <f t="shared" si="1129"/>
        <v>0</v>
      </c>
      <c r="W1779" s="118">
        <f t="shared" si="1129"/>
        <v>0</v>
      </c>
      <c r="X1779" s="118">
        <f t="shared" si="1129"/>
        <v>0</v>
      </c>
    </row>
    <row r="1780" spans="2:24" hidden="1">
      <c r="B1780" s="116" t="str">
        <f t="shared" si="1116"/>
        <v/>
      </c>
      <c r="C1780" s="116" t="str">
        <f t="shared" si="1116"/>
        <v/>
      </c>
      <c r="D1780" s="116" t="str">
        <f t="shared" si="1116"/>
        <v/>
      </c>
      <c r="E1780" s="116" t="str">
        <f t="shared" si="1116"/>
        <v/>
      </c>
      <c r="F1780" s="116"/>
      <c r="G1780" s="116"/>
      <c r="H1780" s="116"/>
      <c r="I1780" s="116"/>
      <c r="J1780" s="116"/>
      <c r="K1780" s="118">
        <f t="shared" ref="K1780:X1780" si="1130">IF(AND($D1780="tak",OR($E1780="nie dotyczy",$E1780="badania przemysłowe"),LataProjekcji&lt;=Koniec_Projekt),K449,0)</f>
        <v>0</v>
      </c>
      <c r="L1780" s="118">
        <f t="shared" si="1130"/>
        <v>0</v>
      </c>
      <c r="M1780" s="118">
        <f t="shared" si="1130"/>
        <v>0</v>
      </c>
      <c r="N1780" s="118">
        <f t="shared" si="1130"/>
        <v>0</v>
      </c>
      <c r="O1780" s="118">
        <f t="shared" si="1130"/>
        <v>0</v>
      </c>
      <c r="P1780" s="118">
        <f t="shared" si="1130"/>
        <v>0</v>
      </c>
      <c r="Q1780" s="118">
        <f t="shared" si="1130"/>
        <v>0</v>
      </c>
      <c r="R1780" s="118">
        <f t="shared" si="1130"/>
        <v>0</v>
      </c>
      <c r="S1780" s="118">
        <f t="shared" si="1130"/>
        <v>0</v>
      </c>
      <c r="T1780" s="118">
        <f t="shared" si="1130"/>
        <v>0</v>
      </c>
      <c r="U1780" s="118">
        <f t="shared" si="1130"/>
        <v>0</v>
      </c>
      <c r="V1780" s="118">
        <f t="shared" si="1130"/>
        <v>0</v>
      </c>
      <c r="W1780" s="118">
        <f t="shared" si="1130"/>
        <v>0</v>
      </c>
      <c r="X1780" s="118">
        <f t="shared" si="1130"/>
        <v>0</v>
      </c>
    </row>
    <row r="1781" spans="2:24" hidden="1">
      <c r="B1781" s="116" t="str">
        <f t="shared" si="1116"/>
        <v/>
      </c>
      <c r="C1781" s="116" t="str">
        <f t="shared" si="1116"/>
        <v/>
      </c>
      <c r="D1781" s="116" t="str">
        <f t="shared" si="1116"/>
        <v/>
      </c>
      <c r="E1781" s="116" t="str">
        <f t="shared" si="1116"/>
        <v/>
      </c>
      <c r="F1781" s="116"/>
      <c r="G1781" s="116"/>
      <c r="H1781" s="116"/>
      <c r="I1781" s="116"/>
      <c r="J1781" s="116"/>
      <c r="K1781" s="118">
        <f t="shared" ref="K1781:X1781" si="1131">IF(AND($D1781="tak",OR($E1781="nie dotyczy",$E1781="badania przemysłowe"),LataProjekcji&lt;=Koniec_Projekt),K450,0)</f>
        <v>0</v>
      </c>
      <c r="L1781" s="118">
        <f t="shared" si="1131"/>
        <v>0</v>
      </c>
      <c r="M1781" s="118">
        <f t="shared" si="1131"/>
        <v>0</v>
      </c>
      <c r="N1781" s="118">
        <f t="shared" si="1131"/>
        <v>0</v>
      </c>
      <c r="O1781" s="118">
        <f t="shared" si="1131"/>
        <v>0</v>
      </c>
      <c r="P1781" s="118">
        <f t="shared" si="1131"/>
        <v>0</v>
      </c>
      <c r="Q1781" s="118">
        <f t="shared" si="1131"/>
        <v>0</v>
      </c>
      <c r="R1781" s="118">
        <f t="shared" si="1131"/>
        <v>0</v>
      </c>
      <c r="S1781" s="118">
        <f t="shared" si="1131"/>
        <v>0</v>
      </c>
      <c r="T1781" s="118">
        <f t="shared" si="1131"/>
        <v>0</v>
      </c>
      <c r="U1781" s="118">
        <f t="shared" si="1131"/>
        <v>0</v>
      </c>
      <c r="V1781" s="118">
        <f t="shared" si="1131"/>
        <v>0</v>
      </c>
      <c r="W1781" s="118">
        <f t="shared" si="1131"/>
        <v>0</v>
      </c>
      <c r="X1781" s="118">
        <f t="shared" si="1131"/>
        <v>0</v>
      </c>
    </row>
    <row r="1782" spans="2:24" hidden="1">
      <c r="B1782" s="116" t="str">
        <f t="shared" si="1116"/>
        <v/>
      </c>
      <c r="C1782" s="116" t="str">
        <f t="shared" si="1116"/>
        <v/>
      </c>
      <c r="D1782" s="116" t="str">
        <f t="shared" si="1116"/>
        <v/>
      </c>
      <c r="E1782" s="116" t="str">
        <f t="shared" si="1116"/>
        <v/>
      </c>
      <c r="F1782" s="116"/>
      <c r="G1782" s="116"/>
      <c r="H1782" s="116"/>
      <c r="I1782" s="116"/>
      <c r="J1782" s="116"/>
      <c r="K1782" s="118">
        <f t="shared" ref="K1782:X1782" si="1132">IF(AND($D1782="tak",OR($E1782="nie dotyczy",$E1782="badania przemysłowe"),LataProjekcji&lt;=Koniec_Projekt),K451,0)</f>
        <v>0</v>
      </c>
      <c r="L1782" s="118">
        <f t="shared" si="1132"/>
        <v>0</v>
      </c>
      <c r="M1782" s="118">
        <f t="shared" si="1132"/>
        <v>0</v>
      </c>
      <c r="N1782" s="118">
        <f t="shared" si="1132"/>
        <v>0</v>
      </c>
      <c r="O1782" s="118">
        <f t="shared" si="1132"/>
        <v>0</v>
      </c>
      <c r="P1782" s="118">
        <f t="shared" si="1132"/>
        <v>0</v>
      </c>
      <c r="Q1782" s="118">
        <f t="shared" si="1132"/>
        <v>0</v>
      </c>
      <c r="R1782" s="118">
        <f t="shared" si="1132"/>
        <v>0</v>
      </c>
      <c r="S1782" s="118">
        <f t="shared" si="1132"/>
        <v>0</v>
      </c>
      <c r="T1782" s="118">
        <f t="shared" si="1132"/>
        <v>0</v>
      </c>
      <c r="U1782" s="118">
        <f t="shared" si="1132"/>
        <v>0</v>
      </c>
      <c r="V1782" s="118">
        <f t="shared" si="1132"/>
        <v>0</v>
      </c>
      <c r="W1782" s="118">
        <f t="shared" si="1132"/>
        <v>0</v>
      </c>
      <c r="X1782" s="118">
        <f t="shared" si="1132"/>
        <v>0</v>
      </c>
    </row>
    <row r="1783" spans="2:24" hidden="1">
      <c r="B1783" s="116" t="str">
        <f t="shared" si="1116"/>
        <v/>
      </c>
      <c r="C1783" s="116" t="str">
        <f t="shared" si="1116"/>
        <v/>
      </c>
      <c r="D1783" s="116" t="str">
        <f t="shared" si="1116"/>
        <v/>
      </c>
      <c r="E1783" s="116" t="str">
        <f t="shared" si="1116"/>
        <v/>
      </c>
      <c r="F1783" s="116"/>
      <c r="G1783" s="116"/>
      <c r="H1783" s="116"/>
      <c r="I1783" s="116"/>
      <c r="J1783" s="116"/>
      <c r="K1783" s="118">
        <f t="shared" ref="K1783:X1783" si="1133">IF(AND($D1783="tak",OR($E1783="nie dotyczy",$E1783="badania przemysłowe"),LataProjekcji&lt;=Koniec_Projekt),K452,0)</f>
        <v>0</v>
      </c>
      <c r="L1783" s="118">
        <f t="shared" si="1133"/>
        <v>0</v>
      </c>
      <c r="M1783" s="118">
        <f t="shared" si="1133"/>
        <v>0</v>
      </c>
      <c r="N1783" s="118">
        <f t="shared" si="1133"/>
        <v>0</v>
      </c>
      <c r="O1783" s="118">
        <f t="shared" si="1133"/>
        <v>0</v>
      </c>
      <c r="P1783" s="118">
        <f t="shared" si="1133"/>
        <v>0</v>
      </c>
      <c r="Q1783" s="118">
        <f t="shared" si="1133"/>
        <v>0</v>
      </c>
      <c r="R1783" s="118">
        <f t="shared" si="1133"/>
        <v>0</v>
      </c>
      <c r="S1783" s="118">
        <f t="shared" si="1133"/>
        <v>0</v>
      </c>
      <c r="T1783" s="118">
        <f t="shared" si="1133"/>
        <v>0</v>
      </c>
      <c r="U1783" s="118">
        <f t="shared" si="1133"/>
        <v>0</v>
      </c>
      <c r="V1783" s="118">
        <f t="shared" si="1133"/>
        <v>0</v>
      </c>
      <c r="W1783" s="118">
        <f t="shared" si="1133"/>
        <v>0</v>
      </c>
      <c r="X1783" s="118">
        <f t="shared" si="1133"/>
        <v>0</v>
      </c>
    </row>
    <row r="1784" spans="2:24" hidden="1">
      <c r="B1784" s="116" t="str">
        <f t="shared" si="1116"/>
        <v/>
      </c>
      <c r="C1784" s="116" t="str">
        <f t="shared" si="1116"/>
        <v/>
      </c>
      <c r="D1784" s="116" t="str">
        <f t="shared" si="1116"/>
        <v/>
      </c>
      <c r="E1784" s="116" t="str">
        <f t="shared" si="1116"/>
        <v/>
      </c>
      <c r="F1784" s="116"/>
      <c r="G1784" s="116"/>
      <c r="H1784" s="116"/>
      <c r="I1784" s="116"/>
      <c r="J1784" s="116"/>
      <c r="K1784" s="118">
        <f t="shared" ref="K1784:X1784" si="1134">IF(AND($D1784="tak",OR($E1784="nie dotyczy",$E1784="badania przemysłowe"),LataProjekcji&lt;=Koniec_Projekt),K453,0)</f>
        <v>0</v>
      </c>
      <c r="L1784" s="118">
        <f t="shared" si="1134"/>
        <v>0</v>
      </c>
      <c r="M1784" s="118">
        <f t="shared" si="1134"/>
        <v>0</v>
      </c>
      <c r="N1784" s="118">
        <f t="shared" si="1134"/>
        <v>0</v>
      </c>
      <c r="O1784" s="118">
        <f t="shared" si="1134"/>
        <v>0</v>
      </c>
      <c r="P1784" s="118">
        <f t="shared" si="1134"/>
        <v>0</v>
      </c>
      <c r="Q1784" s="118">
        <f t="shared" si="1134"/>
        <v>0</v>
      </c>
      <c r="R1784" s="118">
        <f t="shared" si="1134"/>
        <v>0</v>
      </c>
      <c r="S1784" s="118">
        <f t="shared" si="1134"/>
        <v>0</v>
      </c>
      <c r="T1784" s="118">
        <f t="shared" si="1134"/>
        <v>0</v>
      </c>
      <c r="U1784" s="118">
        <f t="shared" si="1134"/>
        <v>0</v>
      </c>
      <c r="V1784" s="118">
        <f t="shared" si="1134"/>
        <v>0</v>
      </c>
      <c r="W1784" s="118">
        <f t="shared" si="1134"/>
        <v>0</v>
      </c>
      <c r="X1784" s="118">
        <f t="shared" si="1134"/>
        <v>0</v>
      </c>
    </row>
    <row r="1785" spans="2:24" hidden="1">
      <c r="B1785" s="116" t="str">
        <f t="shared" si="1116"/>
        <v/>
      </c>
      <c r="C1785" s="116" t="str">
        <f t="shared" si="1116"/>
        <v/>
      </c>
      <c r="D1785" s="116" t="str">
        <f t="shared" si="1116"/>
        <v/>
      </c>
      <c r="E1785" s="116" t="str">
        <f t="shared" si="1116"/>
        <v/>
      </c>
      <c r="F1785" s="116"/>
      <c r="G1785" s="116"/>
      <c r="H1785" s="116"/>
      <c r="I1785" s="116"/>
      <c r="J1785" s="116"/>
      <c r="K1785" s="118">
        <f t="shared" ref="K1785:X1785" si="1135">IF(AND($D1785="tak",OR($E1785="nie dotyczy",$E1785="badania przemysłowe"),LataProjekcji&lt;=Koniec_Projekt),K454,0)</f>
        <v>0</v>
      </c>
      <c r="L1785" s="118">
        <f t="shared" si="1135"/>
        <v>0</v>
      </c>
      <c r="M1785" s="118">
        <f t="shared" si="1135"/>
        <v>0</v>
      </c>
      <c r="N1785" s="118">
        <f t="shared" si="1135"/>
        <v>0</v>
      </c>
      <c r="O1785" s="118">
        <f t="shared" si="1135"/>
        <v>0</v>
      </c>
      <c r="P1785" s="118">
        <f t="shared" si="1135"/>
        <v>0</v>
      </c>
      <c r="Q1785" s="118">
        <f t="shared" si="1135"/>
        <v>0</v>
      </c>
      <c r="R1785" s="118">
        <f t="shared" si="1135"/>
        <v>0</v>
      </c>
      <c r="S1785" s="118">
        <f t="shared" si="1135"/>
        <v>0</v>
      </c>
      <c r="T1785" s="118">
        <f t="shared" si="1135"/>
        <v>0</v>
      </c>
      <c r="U1785" s="118">
        <f t="shared" si="1135"/>
        <v>0</v>
      </c>
      <c r="V1785" s="118">
        <f t="shared" si="1135"/>
        <v>0</v>
      </c>
      <c r="W1785" s="118">
        <f t="shared" si="1135"/>
        <v>0</v>
      </c>
      <c r="X1785" s="118">
        <f t="shared" si="1135"/>
        <v>0</v>
      </c>
    </row>
    <row r="1786" spans="2:24" hidden="1">
      <c r="B1786" s="116" t="str">
        <f t="shared" si="1116"/>
        <v/>
      </c>
      <c r="C1786" s="116" t="str">
        <f t="shared" si="1116"/>
        <v/>
      </c>
      <c r="D1786" s="116" t="str">
        <f t="shared" si="1116"/>
        <v/>
      </c>
      <c r="E1786" s="116" t="str">
        <f t="shared" si="1116"/>
        <v/>
      </c>
      <c r="F1786" s="116"/>
      <c r="G1786" s="116"/>
      <c r="H1786" s="116"/>
      <c r="I1786" s="116"/>
      <c r="J1786" s="116"/>
      <c r="K1786" s="118">
        <f t="shared" ref="K1786:X1786" si="1136">IF(AND($D1786="tak",OR($E1786="nie dotyczy",$E1786="badania przemysłowe"),LataProjekcji&lt;=Koniec_Projekt),K455,0)</f>
        <v>0</v>
      </c>
      <c r="L1786" s="118">
        <f t="shared" si="1136"/>
        <v>0</v>
      </c>
      <c r="M1786" s="118">
        <f t="shared" si="1136"/>
        <v>0</v>
      </c>
      <c r="N1786" s="118">
        <f t="shared" si="1136"/>
        <v>0</v>
      </c>
      <c r="O1786" s="118">
        <f t="shared" si="1136"/>
        <v>0</v>
      </c>
      <c r="P1786" s="118">
        <f t="shared" si="1136"/>
        <v>0</v>
      </c>
      <c r="Q1786" s="118">
        <f t="shared" si="1136"/>
        <v>0</v>
      </c>
      <c r="R1786" s="118">
        <f t="shared" si="1136"/>
        <v>0</v>
      </c>
      <c r="S1786" s="118">
        <f t="shared" si="1136"/>
        <v>0</v>
      </c>
      <c r="T1786" s="118">
        <f t="shared" si="1136"/>
        <v>0</v>
      </c>
      <c r="U1786" s="118">
        <f t="shared" si="1136"/>
        <v>0</v>
      </c>
      <c r="V1786" s="118">
        <f t="shared" si="1136"/>
        <v>0</v>
      </c>
      <c r="W1786" s="118">
        <f t="shared" si="1136"/>
        <v>0</v>
      </c>
      <c r="X1786" s="118">
        <f t="shared" si="1136"/>
        <v>0</v>
      </c>
    </row>
    <row r="1787" spans="2:24" hidden="1">
      <c r="B1787" s="116" t="str">
        <f t="shared" ref="B1787:E1806" si="1137">IF(ISBLANK(B1547),"",B1547)</f>
        <v/>
      </c>
      <c r="C1787" s="116" t="str">
        <f t="shared" si="1137"/>
        <v/>
      </c>
      <c r="D1787" s="116" t="str">
        <f t="shared" si="1137"/>
        <v/>
      </c>
      <c r="E1787" s="116" t="str">
        <f t="shared" si="1137"/>
        <v/>
      </c>
      <c r="F1787" s="116"/>
      <c r="G1787" s="116"/>
      <c r="H1787" s="116"/>
      <c r="I1787" s="116"/>
      <c r="J1787" s="116"/>
      <c r="K1787" s="118">
        <f t="shared" ref="K1787:X1787" si="1138">IF(AND($D1787="tak",OR($E1787="nie dotyczy",$E1787="badania przemysłowe"),LataProjekcji&lt;=Koniec_Projekt),K456,0)</f>
        <v>0</v>
      </c>
      <c r="L1787" s="118">
        <f t="shared" si="1138"/>
        <v>0</v>
      </c>
      <c r="M1787" s="118">
        <f t="shared" si="1138"/>
        <v>0</v>
      </c>
      <c r="N1787" s="118">
        <f t="shared" si="1138"/>
        <v>0</v>
      </c>
      <c r="O1787" s="118">
        <f t="shared" si="1138"/>
        <v>0</v>
      </c>
      <c r="P1787" s="118">
        <f t="shared" si="1138"/>
        <v>0</v>
      </c>
      <c r="Q1787" s="118">
        <f t="shared" si="1138"/>
        <v>0</v>
      </c>
      <c r="R1787" s="118">
        <f t="shared" si="1138"/>
        <v>0</v>
      </c>
      <c r="S1787" s="118">
        <f t="shared" si="1138"/>
        <v>0</v>
      </c>
      <c r="T1787" s="118">
        <f t="shared" si="1138"/>
        <v>0</v>
      </c>
      <c r="U1787" s="118">
        <f t="shared" si="1138"/>
        <v>0</v>
      </c>
      <c r="V1787" s="118">
        <f t="shared" si="1138"/>
        <v>0</v>
      </c>
      <c r="W1787" s="118">
        <f t="shared" si="1138"/>
        <v>0</v>
      </c>
      <c r="X1787" s="118">
        <f t="shared" si="1138"/>
        <v>0</v>
      </c>
    </row>
    <row r="1788" spans="2:24" hidden="1">
      <c r="B1788" s="116" t="str">
        <f t="shared" si="1137"/>
        <v/>
      </c>
      <c r="C1788" s="116" t="str">
        <f t="shared" si="1137"/>
        <v/>
      </c>
      <c r="D1788" s="116" t="str">
        <f t="shared" si="1137"/>
        <v/>
      </c>
      <c r="E1788" s="116" t="str">
        <f t="shared" si="1137"/>
        <v/>
      </c>
      <c r="F1788" s="116"/>
      <c r="G1788" s="116"/>
      <c r="H1788" s="116"/>
      <c r="I1788" s="116"/>
      <c r="J1788" s="116"/>
      <c r="K1788" s="118">
        <f t="shared" ref="K1788:X1788" si="1139">IF(AND($D1788="tak",OR($E1788="nie dotyczy",$E1788="badania przemysłowe"),LataProjekcji&lt;=Koniec_Projekt),K457,0)</f>
        <v>0</v>
      </c>
      <c r="L1788" s="118">
        <f t="shared" si="1139"/>
        <v>0</v>
      </c>
      <c r="M1788" s="118">
        <f t="shared" si="1139"/>
        <v>0</v>
      </c>
      <c r="N1788" s="118">
        <f t="shared" si="1139"/>
        <v>0</v>
      </c>
      <c r="O1788" s="118">
        <f t="shared" si="1139"/>
        <v>0</v>
      </c>
      <c r="P1788" s="118">
        <f t="shared" si="1139"/>
        <v>0</v>
      </c>
      <c r="Q1788" s="118">
        <f t="shared" si="1139"/>
        <v>0</v>
      </c>
      <c r="R1788" s="118">
        <f t="shared" si="1139"/>
        <v>0</v>
      </c>
      <c r="S1788" s="118">
        <f t="shared" si="1139"/>
        <v>0</v>
      </c>
      <c r="T1788" s="118">
        <f t="shared" si="1139"/>
        <v>0</v>
      </c>
      <c r="U1788" s="118">
        <f t="shared" si="1139"/>
        <v>0</v>
      </c>
      <c r="V1788" s="118">
        <f t="shared" si="1139"/>
        <v>0</v>
      </c>
      <c r="W1788" s="118">
        <f t="shared" si="1139"/>
        <v>0</v>
      </c>
      <c r="X1788" s="118">
        <f t="shared" si="1139"/>
        <v>0</v>
      </c>
    </row>
    <row r="1789" spans="2:24" hidden="1">
      <c r="B1789" s="116" t="str">
        <f t="shared" si="1137"/>
        <v/>
      </c>
      <c r="C1789" s="116" t="str">
        <f t="shared" si="1137"/>
        <v/>
      </c>
      <c r="D1789" s="116" t="str">
        <f t="shared" si="1137"/>
        <v/>
      </c>
      <c r="E1789" s="116" t="str">
        <f t="shared" si="1137"/>
        <v/>
      </c>
      <c r="F1789" s="116"/>
      <c r="G1789" s="116"/>
      <c r="H1789" s="116"/>
      <c r="I1789" s="116"/>
      <c r="J1789" s="116"/>
      <c r="K1789" s="118">
        <f t="shared" ref="K1789:X1789" si="1140">IF(AND($D1789="tak",OR($E1789="nie dotyczy",$E1789="badania przemysłowe"),LataProjekcji&lt;=Koniec_Projekt),K458,0)</f>
        <v>0</v>
      </c>
      <c r="L1789" s="118">
        <f t="shared" si="1140"/>
        <v>0</v>
      </c>
      <c r="M1789" s="118">
        <f t="shared" si="1140"/>
        <v>0</v>
      </c>
      <c r="N1789" s="118">
        <f t="shared" si="1140"/>
        <v>0</v>
      </c>
      <c r="O1789" s="118">
        <f t="shared" si="1140"/>
        <v>0</v>
      </c>
      <c r="P1789" s="118">
        <f t="shared" si="1140"/>
        <v>0</v>
      </c>
      <c r="Q1789" s="118">
        <f t="shared" si="1140"/>
        <v>0</v>
      </c>
      <c r="R1789" s="118">
        <f t="shared" si="1140"/>
        <v>0</v>
      </c>
      <c r="S1789" s="118">
        <f t="shared" si="1140"/>
        <v>0</v>
      </c>
      <c r="T1789" s="118">
        <f t="shared" si="1140"/>
        <v>0</v>
      </c>
      <c r="U1789" s="118">
        <f t="shared" si="1140"/>
        <v>0</v>
      </c>
      <c r="V1789" s="118">
        <f t="shared" si="1140"/>
        <v>0</v>
      </c>
      <c r="W1789" s="118">
        <f t="shared" si="1140"/>
        <v>0</v>
      </c>
      <c r="X1789" s="118">
        <f t="shared" si="1140"/>
        <v>0</v>
      </c>
    </row>
    <row r="1790" spans="2:24" hidden="1">
      <c r="B1790" s="116" t="str">
        <f t="shared" si="1137"/>
        <v/>
      </c>
      <c r="C1790" s="116" t="str">
        <f t="shared" si="1137"/>
        <v/>
      </c>
      <c r="D1790" s="116" t="str">
        <f t="shared" si="1137"/>
        <v/>
      </c>
      <c r="E1790" s="116" t="str">
        <f t="shared" si="1137"/>
        <v/>
      </c>
      <c r="F1790" s="116"/>
      <c r="G1790" s="116"/>
      <c r="H1790" s="116"/>
      <c r="I1790" s="116"/>
      <c r="J1790" s="116"/>
      <c r="K1790" s="118">
        <f t="shared" ref="K1790:X1790" si="1141">IF(AND($D1790="tak",OR($E1790="nie dotyczy",$E1790="badania przemysłowe"),LataProjekcji&lt;=Koniec_Projekt),K459,0)</f>
        <v>0</v>
      </c>
      <c r="L1790" s="118">
        <f t="shared" si="1141"/>
        <v>0</v>
      </c>
      <c r="M1790" s="118">
        <f t="shared" si="1141"/>
        <v>0</v>
      </c>
      <c r="N1790" s="118">
        <f t="shared" si="1141"/>
        <v>0</v>
      </c>
      <c r="O1790" s="118">
        <f t="shared" si="1141"/>
        <v>0</v>
      </c>
      <c r="P1790" s="118">
        <f t="shared" si="1141"/>
        <v>0</v>
      </c>
      <c r="Q1790" s="118">
        <f t="shared" si="1141"/>
        <v>0</v>
      </c>
      <c r="R1790" s="118">
        <f t="shared" si="1141"/>
        <v>0</v>
      </c>
      <c r="S1790" s="118">
        <f t="shared" si="1141"/>
        <v>0</v>
      </c>
      <c r="T1790" s="118">
        <f t="shared" si="1141"/>
        <v>0</v>
      </c>
      <c r="U1790" s="118">
        <f t="shared" si="1141"/>
        <v>0</v>
      </c>
      <c r="V1790" s="118">
        <f t="shared" si="1141"/>
        <v>0</v>
      </c>
      <c r="W1790" s="118">
        <f t="shared" si="1141"/>
        <v>0</v>
      </c>
      <c r="X1790" s="118">
        <f t="shared" si="1141"/>
        <v>0</v>
      </c>
    </row>
    <row r="1791" spans="2:24" hidden="1">
      <c r="B1791" s="116" t="str">
        <f t="shared" si="1137"/>
        <v/>
      </c>
      <c r="C1791" s="116" t="str">
        <f t="shared" si="1137"/>
        <v/>
      </c>
      <c r="D1791" s="116" t="str">
        <f t="shared" si="1137"/>
        <v/>
      </c>
      <c r="E1791" s="116" t="str">
        <f t="shared" si="1137"/>
        <v/>
      </c>
      <c r="F1791" s="116"/>
      <c r="G1791" s="116"/>
      <c r="H1791" s="116"/>
      <c r="I1791" s="116"/>
      <c r="J1791" s="116"/>
      <c r="K1791" s="118">
        <f t="shared" ref="K1791:X1791" si="1142">IF(AND($D1791="tak",OR($E1791="nie dotyczy",$E1791="badania przemysłowe"),LataProjekcji&lt;=Koniec_Projekt),K460,0)</f>
        <v>0</v>
      </c>
      <c r="L1791" s="118">
        <f t="shared" si="1142"/>
        <v>0</v>
      </c>
      <c r="M1791" s="118">
        <f t="shared" si="1142"/>
        <v>0</v>
      </c>
      <c r="N1791" s="118">
        <f t="shared" si="1142"/>
        <v>0</v>
      </c>
      <c r="O1791" s="118">
        <f t="shared" si="1142"/>
        <v>0</v>
      </c>
      <c r="P1791" s="118">
        <f t="shared" si="1142"/>
        <v>0</v>
      </c>
      <c r="Q1791" s="118">
        <f t="shared" si="1142"/>
        <v>0</v>
      </c>
      <c r="R1791" s="118">
        <f t="shared" si="1142"/>
        <v>0</v>
      </c>
      <c r="S1791" s="118">
        <f t="shared" si="1142"/>
        <v>0</v>
      </c>
      <c r="T1791" s="118">
        <f t="shared" si="1142"/>
        <v>0</v>
      </c>
      <c r="U1791" s="118">
        <f t="shared" si="1142"/>
        <v>0</v>
      </c>
      <c r="V1791" s="118">
        <f t="shared" si="1142"/>
        <v>0</v>
      </c>
      <c r="W1791" s="118">
        <f t="shared" si="1142"/>
        <v>0</v>
      </c>
      <c r="X1791" s="118">
        <f t="shared" si="1142"/>
        <v>0</v>
      </c>
    </row>
    <row r="1792" spans="2:24" hidden="1">
      <c r="B1792" s="116" t="str">
        <f t="shared" si="1137"/>
        <v/>
      </c>
      <c r="C1792" s="116" t="str">
        <f t="shared" si="1137"/>
        <v/>
      </c>
      <c r="D1792" s="116" t="str">
        <f t="shared" si="1137"/>
        <v/>
      </c>
      <c r="E1792" s="116" t="str">
        <f t="shared" si="1137"/>
        <v/>
      </c>
      <c r="F1792" s="116"/>
      <c r="G1792" s="116"/>
      <c r="H1792" s="116"/>
      <c r="I1792" s="116"/>
      <c r="J1792" s="116"/>
      <c r="K1792" s="118">
        <f t="shared" ref="K1792:X1792" si="1143">IF(AND($D1792="tak",OR($E1792="nie dotyczy",$E1792="badania przemysłowe"),LataProjekcji&lt;=Koniec_Projekt),K461,0)</f>
        <v>0</v>
      </c>
      <c r="L1792" s="118">
        <f t="shared" si="1143"/>
        <v>0</v>
      </c>
      <c r="M1792" s="118">
        <f t="shared" si="1143"/>
        <v>0</v>
      </c>
      <c r="N1792" s="118">
        <f t="shared" si="1143"/>
        <v>0</v>
      </c>
      <c r="O1792" s="118">
        <f t="shared" si="1143"/>
        <v>0</v>
      </c>
      <c r="P1792" s="118">
        <f t="shared" si="1143"/>
        <v>0</v>
      </c>
      <c r="Q1792" s="118">
        <f t="shared" si="1143"/>
        <v>0</v>
      </c>
      <c r="R1792" s="118">
        <f t="shared" si="1143"/>
        <v>0</v>
      </c>
      <c r="S1792" s="118">
        <f t="shared" si="1143"/>
        <v>0</v>
      </c>
      <c r="T1792" s="118">
        <f t="shared" si="1143"/>
        <v>0</v>
      </c>
      <c r="U1792" s="118">
        <f t="shared" si="1143"/>
        <v>0</v>
      </c>
      <c r="V1792" s="118">
        <f t="shared" si="1143"/>
        <v>0</v>
      </c>
      <c r="W1792" s="118">
        <f t="shared" si="1143"/>
        <v>0</v>
      </c>
      <c r="X1792" s="118">
        <f t="shared" si="1143"/>
        <v>0</v>
      </c>
    </row>
    <row r="1793" spans="2:24" hidden="1">
      <c r="B1793" s="116" t="str">
        <f t="shared" si="1137"/>
        <v/>
      </c>
      <c r="C1793" s="116" t="str">
        <f t="shared" si="1137"/>
        <v/>
      </c>
      <c r="D1793" s="116" t="str">
        <f t="shared" si="1137"/>
        <v/>
      </c>
      <c r="E1793" s="116" t="str">
        <f t="shared" si="1137"/>
        <v/>
      </c>
      <c r="F1793" s="116"/>
      <c r="G1793" s="116"/>
      <c r="H1793" s="116"/>
      <c r="I1793" s="116"/>
      <c r="J1793" s="116"/>
      <c r="K1793" s="118">
        <f t="shared" ref="K1793:X1793" si="1144">IF(AND($D1793="tak",OR($E1793="nie dotyczy",$E1793="badania przemysłowe"),LataProjekcji&lt;=Koniec_Projekt),K462,0)</f>
        <v>0</v>
      </c>
      <c r="L1793" s="118">
        <f t="shared" si="1144"/>
        <v>0</v>
      </c>
      <c r="M1793" s="118">
        <f t="shared" si="1144"/>
        <v>0</v>
      </c>
      <c r="N1793" s="118">
        <f t="shared" si="1144"/>
        <v>0</v>
      </c>
      <c r="O1793" s="118">
        <f t="shared" si="1144"/>
        <v>0</v>
      </c>
      <c r="P1793" s="118">
        <f t="shared" si="1144"/>
        <v>0</v>
      </c>
      <c r="Q1793" s="118">
        <f t="shared" si="1144"/>
        <v>0</v>
      </c>
      <c r="R1793" s="118">
        <f t="shared" si="1144"/>
        <v>0</v>
      </c>
      <c r="S1793" s="118">
        <f t="shared" si="1144"/>
        <v>0</v>
      </c>
      <c r="T1793" s="118">
        <f t="shared" si="1144"/>
        <v>0</v>
      </c>
      <c r="U1793" s="118">
        <f t="shared" si="1144"/>
        <v>0</v>
      </c>
      <c r="V1793" s="118">
        <f t="shared" si="1144"/>
        <v>0</v>
      </c>
      <c r="W1793" s="118">
        <f t="shared" si="1144"/>
        <v>0</v>
      </c>
      <c r="X1793" s="118">
        <f t="shared" si="1144"/>
        <v>0</v>
      </c>
    </row>
    <row r="1794" spans="2:24" hidden="1">
      <c r="B1794" s="116" t="str">
        <f t="shared" si="1137"/>
        <v/>
      </c>
      <c r="C1794" s="116" t="str">
        <f t="shared" si="1137"/>
        <v/>
      </c>
      <c r="D1794" s="116" t="str">
        <f t="shared" si="1137"/>
        <v/>
      </c>
      <c r="E1794" s="116" t="str">
        <f t="shared" si="1137"/>
        <v/>
      </c>
      <c r="F1794" s="116"/>
      <c r="G1794" s="116"/>
      <c r="H1794" s="116"/>
      <c r="I1794" s="116"/>
      <c r="J1794" s="116"/>
      <c r="K1794" s="118">
        <f t="shared" ref="K1794:X1794" si="1145">IF(AND($D1794="tak",OR($E1794="nie dotyczy",$E1794="badania przemysłowe"),LataProjekcji&lt;=Koniec_Projekt),K463,0)</f>
        <v>0</v>
      </c>
      <c r="L1794" s="118">
        <f t="shared" si="1145"/>
        <v>0</v>
      </c>
      <c r="M1794" s="118">
        <f t="shared" si="1145"/>
        <v>0</v>
      </c>
      <c r="N1794" s="118">
        <f t="shared" si="1145"/>
        <v>0</v>
      </c>
      <c r="O1794" s="118">
        <f t="shared" si="1145"/>
        <v>0</v>
      </c>
      <c r="P1794" s="118">
        <f t="shared" si="1145"/>
        <v>0</v>
      </c>
      <c r="Q1794" s="118">
        <f t="shared" si="1145"/>
        <v>0</v>
      </c>
      <c r="R1794" s="118">
        <f t="shared" si="1145"/>
        <v>0</v>
      </c>
      <c r="S1794" s="118">
        <f t="shared" si="1145"/>
        <v>0</v>
      </c>
      <c r="T1794" s="118">
        <f t="shared" si="1145"/>
        <v>0</v>
      </c>
      <c r="U1794" s="118">
        <f t="shared" si="1145"/>
        <v>0</v>
      </c>
      <c r="V1794" s="118">
        <f t="shared" si="1145"/>
        <v>0</v>
      </c>
      <c r="W1794" s="118">
        <f t="shared" si="1145"/>
        <v>0</v>
      </c>
      <c r="X1794" s="118">
        <f t="shared" si="1145"/>
        <v>0</v>
      </c>
    </row>
    <row r="1795" spans="2:24" hidden="1">
      <c r="B1795" s="116" t="str">
        <f t="shared" si="1137"/>
        <v/>
      </c>
      <c r="C1795" s="116" t="str">
        <f t="shared" si="1137"/>
        <v/>
      </c>
      <c r="D1795" s="116" t="str">
        <f t="shared" si="1137"/>
        <v/>
      </c>
      <c r="E1795" s="116" t="str">
        <f t="shared" si="1137"/>
        <v/>
      </c>
      <c r="F1795" s="116"/>
      <c r="G1795" s="116"/>
      <c r="H1795" s="116"/>
      <c r="I1795" s="116"/>
      <c r="J1795" s="116"/>
      <c r="K1795" s="118">
        <f t="shared" ref="K1795:X1795" si="1146">IF(AND($D1795="tak",OR($E1795="nie dotyczy",$E1795="badania przemysłowe"),LataProjekcji&lt;=Koniec_Projekt),K464,0)</f>
        <v>0</v>
      </c>
      <c r="L1795" s="118">
        <f t="shared" si="1146"/>
        <v>0</v>
      </c>
      <c r="M1795" s="118">
        <f t="shared" si="1146"/>
        <v>0</v>
      </c>
      <c r="N1795" s="118">
        <f t="shared" si="1146"/>
        <v>0</v>
      </c>
      <c r="O1795" s="118">
        <f t="shared" si="1146"/>
        <v>0</v>
      </c>
      <c r="P1795" s="118">
        <f t="shared" si="1146"/>
        <v>0</v>
      </c>
      <c r="Q1795" s="118">
        <f t="shared" si="1146"/>
        <v>0</v>
      </c>
      <c r="R1795" s="118">
        <f t="shared" si="1146"/>
        <v>0</v>
      </c>
      <c r="S1795" s="118">
        <f t="shared" si="1146"/>
        <v>0</v>
      </c>
      <c r="T1795" s="118">
        <f t="shared" si="1146"/>
        <v>0</v>
      </c>
      <c r="U1795" s="118">
        <f t="shared" si="1146"/>
        <v>0</v>
      </c>
      <c r="V1795" s="118">
        <f t="shared" si="1146"/>
        <v>0</v>
      </c>
      <c r="W1795" s="118">
        <f t="shared" si="1146"/>
        <v>0</v>
      </c>
      <c r="X1795" s="118">
        <f t="shared" si="1146"/>
        <v>0</v>
      </c>
    </row>
    <row r="1796" spans="2:24" hidden="1">
      <c r="B1796" s="116" t="str">
        <f t="shared" si="1137"/>
        <v/>
      </c>
      <c r="C1796" s="116" t="str">
        <f t="shared" si="1137"/>
        <v/>
      </c>
      <c r="D1796" s="116" t="str">
        <f t="shared" si="1137"/>
        <v/>
      </c>
      <c r="E1796" s="116" t="str">
        <f t="shared" si="1137"/>
        <v/>
      </c>
      <c r="F1796" s="116"/>
      <c r="G1796" s="116"/>
      <c r="H1796" s="116"/>
      <c r="I1796" s="116"/>
      <c r="J1796" s="116"/>
      <c r="K1796" s="118">
        <f t="shared" ref="K1796:X1796" si="1147">IF(AND($D1796="tak",OR($E1796="nie dotyczy",$E1796="badania przemysłowe"),LataProjekcji&lt;=Koniec_Projekt),K465,0)</f>
        <v>0</v>
      </c>
      <c r="L1796" s="118">
        <f t="shared" si="1147"/>
        <v>0</v>
      </c>
      <c r="M1796" s="118">
        <f t="shared" si="1147"/>
        <v>0</v>
      </c>
      <c r="N1796" s="118">
        <f t="shared" si="1147"/>
        <v>0</v>
      </c>
      <c r="O1796" s="118">
        <f t="shared" si="1147"/>
        <v>0</v>
      </c>
      <c r="P1796" s="118">
        <f t="shared" si="1147"/>
        <v>0</v>
      </c>
      <c r="Q1796" s="118">
        <f t="shared" si="1147"/>
        <v>0</v>
      </c>
      <c r="R1796" s="118">
        <f t="shared" si="1147"/>
        <v>0</v>
      </c>
      <c r="S1796" s="118">
        <f t="shared" si="1147"/>
        <v>0</v>
      </c>
      <c r="T1796" s="118">
        <f t="shared" si="1147"/>
        <v>0</v>
      </c>
      <c r="U1796" s="118">
        <f t="shared" si="1147"/>
        <v>0</v>
      </c>
      <c r="V1796" s="118">
        <f t="shared" si="1147"/>
        <v>0</v>
      </c>
      <c r="W1796" s="118">
        <f t="shared" si="1147"/>
        <v>0</v>
      </c>
      <c r="X1796" s="118">
        <f t="shared" si="1147"/>
        <v>0</v>
      </c>
    </row>
    <row r="1797" spans="2:24" hidden="1">
      <c r="B1797" s="116" t="str">
        <f t="shared" si="1137"/>
        <v/>
      </c>
      <c r="C1797" s="116" t="str">
        <f t="shared" si="1137"/>
        <v/>
      </c>
      <c r="D1797" s="116" t="str">
        <f t="shared" si="1137"/>
        <v/>
      </c>
      <c r="E1797" s="116" t="str">
        <f t="shared" si="1137"/>
        <v/>
      </c>
      <c r="F1797" s="116"/>
      <c r="G1797" s="116"/>
      <c r="H1797" s="116"/>
      <c r="I1797" s="116"/>
      <c r="J1797" s="116"/>
      <c r="K1797" s="118">
        <f t="shared" ref="K1797:X1797" si="1148">IF(AND($D1797="tak",OR($E1797="nie dotyczy",$E1797="badania przemysłowe"),LataProjekcji&lt;=Koniec_Projekt),K466,0)</f>
        <v>0</v>
      </c>
      <c r="L1797" s="118">
        <f t="shared" si="1148"/>
        <v>0</v>
      </c>
      <c r="M1797" s="118">
        <f t="shared" si="1148"/>
        <v>0</v>
      </c>
      <c r="N1797" s="118">
        <f t="shared" si="1148"/>
        <v>0</v>
      </c>
      <c r="O1797" s="118">
        <f t="shared" si="1148"/>
        <v>0</v>
      </c>
      <c r="P1797" s="118">
        <f t="shared" si="1148"/>
        <v>0</v>
      </c>
      <c r="Q1797" s="118">
        <f t="shared" si="1148"/>
        <v>0</v>
      </c>
      <c r="R1797" s="118">
        <f t="shared" si="1148"/>
        <v>0</v>
      </c>
      <c r="S1797" s="118">
        <f t="shared" si="1148"/>
        <v>0</v>
      </c>
      <c r="T1797" s="118">
        <f t="shared" si="1148"/>
        <v>0</v>
      </c>
      <c r="U1797" s="118">
        <f t="shared" si="1148"/>
        <v>0</v>
      </c>
      <c r="V1797" s="118">
        <f t="shared" si="1148"/>
        <v>0</v>
      </c>
      <c r="W1797" s="118">
        <f t="shared" si="1148"/>
        <v>0</v>
      </c>
      <c r="X1797" s="118">
        <f t="shared" si="1148"/>
        <v>0</v>
      </c>
    </row>
    <row r="1798" spans="2:24" hidden="1">
      <c r="B1798" s="116" t="str">
        <f t="shared" si="1137"/>
        <v/>
      </c>
      <c r="C1798" s="116" t="str">
        <f t="shared" si="1137"/>
        <v/>
      </c>
      <c r="D1798" s="116" t="str">
        <f t="shared" si="1137"/>
        <v/>
      </c>
      <c r="E1798" s="116" t="str">
        <f t="shared" si="1137"/>
        <v/>
      </c>
      <c r="F1798" s="116"/>
      <c r="G1798" s="116"/>
      <c r="H1798" s="116"/>
      <c r="I1798" s="116"/>
      <c r="J1798" s="116"/>
      <c r="K1798" s="118">
        <f t="shared" ref="K1798:X1798" si="1149">IF(AND($D1798="tak",OR($E1798="nie dotyczy",$E1798="badania przemysłowe"),LataProjekcji&lt;=Koniec_Projekt),K467,0)</f>
        <v>0</v>
      </c>
      <c r="L1798" s="118">
        <f t="shared" si="1149"/>
        <v>0</v>
      </c>
      <c r="M1798" s="118">
        <f t="shared" si="1149"/>
        <v>0</v>
      </c>
      <c r="N1798" s="118">
        <f t="shared" si="1149"/>
        <v>0</v>
      </c>
      <c r="O1798" s="118">
        <f t="shared" si="1149"/>
        <v>0</v>
      </c>
      <c r="P1798" s="118">
        <f t="shared" si="1149"/>
        <v>0</v>
      </c>
      <c r="Q1798" s="118">
        <f t="shared" si="1149"/>
        <v>0</v>
      </c>
      <c r="R1798" s="118">
        <f t="shared" si="1149"/>
        <v>0</v>
      </c>
      <c r="S1798" s="118">
        <f t="shared" si="1149"/>
        <v>0</v>
      </c>
      <c r="T1798" s="118">
        <f t="shared" si="1149"/>
        <v>0</v>
      </c>
      <c r="U1798" s="118">
        <f t="shared" si="1149"/>
        <v>0</v>
      </c>
      <c r="V1798" s="118">
        <f t="shared" si="1149"/>
        <v>0</v>
      </c>
      <c r="W1798" s="118">
        <f t="shared" si="1149"/>
        <v>0</v>
      </c>
      <c r="X1798" s="118">
        <f t="shared" si="1149"/>
        <v>0</v>
      </c>
    </row>
    <row r="1799" spans="2:24" hidden="1">
      <c r="B1799" s="116" t="str">
        <f t="shared" si="1137"/>
        <v/>
      </c>
      <c r="C1799" s="116" t="str">
        <f t="shared" si="1137"/>
        <v/>
      </c>
      <c r="D1799" s="116" t="str">
        <f t="shared" si="1137"/>
        <v/>
      </c>
      <c r="E1799" s="116" t="str">
        <f t="shared" si="1137"/>
        <v/>
      </c>
      <c r="F1799" s="116"/>
      <c r="G1799" s="116"/>
      <c r="H1799" s="116"/>
      <c r="I1799" s="116"/>
      <c r="J1799" s="116"/>
      <c r="K1799" s="118">
        <f t="shared" ref="K1799:X1799" si="1150">IF(AND($D1799="tak",OR($E1799="nie dotyczy",$E1799="badania przemysłowe"),LataProjekcji&lt;=Koniec_Projekt),K468,0)</f>
        <v>0</v>
      </c>
      <c r="L1799" s="118">
        <f t="shared" si="1150"/>
        <v>0</v>
      </c>
      <c r="M1799" s="118">
        <f t="shared" si="1150"/>
        <v>0</v>
      </c>
      <c r="N1799" s="118">
        <f t="shared" si="1150"/>
        <v>0</v>
      </c>
      <c r="O1799" s="118">
        <f t="shared" si="1150"/>
        <v>0</v>
      </c>
      <c r="P1799" s="118">
        <f t="shared" si="1150"/>
        <v>0</v>
      </c>
      <c r="Q1799" s="118">
        <f t="shared" si="1150"/>
        <v>0</v>
      </c>
      <c r="R1799" s="118">
        <f t="shared" si="1150"/>
        <v>0</v>
      </c>
      <c r="S1799" s="118">
        <f t="shared" si="1150"/>
        <v>0</v>
      </c>
      <c r="T1799" s="118">
        <f t="shared" si="1150"/>
        <v>0</v>
      </c>
      <c r="U1799" s="118">
        <f t="shared" si="1150"/>
        <v>0</v>
      </c>
      <c r="V1799" s="118">
        <f t="shared" si="1150"/>
        <v>0</v>
      </c>
      <c r="W1799" s="118">
        <f t="shared" si="1150"/>
        <v>0</v>
      </c>
      <c r="X1799" s="118">
        <f t="shared" si="1150"/>
        <v>0</v>
      </c>
    </row>
    <row r="1800" spans="2:24" hidden="1">
      <c r="B1800" s="116" t="str">
        <f t="shared" si="1137"/>
        <v/>
      </c>
      <c r="C1800" s="116" t="str">
        <f t="shared" si="1137"/>
        <v/>
      </c>
      <c r="D1800" s="116" t="str">
        <f t="shared" si="1137"/>
        <v/>
      </c>
      <c r="E1800" s="116" t="str">
        <f t="shared" si="1137"/>
        <v/>
      </c>
      <c r="F1800" s="116"/>
      <c r="G1800" s="116"/>
      <c r="H1800" s="116"/>
      <c r="I1800" s="116"/>
      <c r="J1800" s="116"/>
      <c r="K1800" s="118">
        <f t="shared" ref="K1800:X1800" si="1151">IF(AND($D1800="tak",OR($E1800="nie dotyczy",$E1800="badania przemysłowe"),LataProjekcji&lt;=Koniec_Projekt),K469,0)</f>
        <v>0</v>
      </c>
      <c r="L1800" s="118">
        <f t="shared" si="1151"/>
        <v>0</v>
      </c>
      <c r="M1800" s="118">
        <f t="shared" si="1151"/>
        <v>0</v>
      </c>
      <c r="N1800" s="118">
        <f t="shared" si="1151"/>
        <v>0</v>
      </c>
      <c r="O1800" s="118">
        <f t="shared" si="1151"/>
        <v>0</v>
      </c>
      <c r="P1800" s="118">
        <f t="shared" si="1151"/>
        <v>0</v>
      </c>
      <c r="Q1800" s="118">
        <f t="shared" si="1151"/>
        <v>0</v>
      </c>
      <c r="R1800" s="118">
        <f t="shared" si="1151"/>
        <v>0</v>
      </c>
      <c r="S1800" s="118">
        <f t="shared" si="1151"/>
        <v>0</v>
      </c>
      <c r="T1800" s="118">
        <f t="shared" si="1151"/>
        <v>0</v>
      </c>
      <c r="U1800" s="118">
        <f t="shared" si="1151"/>
        <v>0</v>
      </c>
      <c r="V1800" s="118">
        <f t="shared" si="1151"/>
        <v>0</v>
      </c>
      <c r="W1800" s="118">
        <f t="shared" si="1151"/>
        <v>0</v>
      </c>
      <c r="X1800" s="118">
        <f t="shared" si="1151"/>
        <v>0</v>
      </c>
    </row>
    <row r="1801" spans="2:24" hidden="1">
      <c r="B1801" s="116" t="str">
        <f t="shared" si="1137"/>
        <v/>
      </c>
      <c r="C1801" s="116" t="str">
        <f t="shared" si="1137"/>
        <v/>
      </c>
      <c r="D1801" s="116" t="str">
        <f t="shared" si="1137"/>
        <v/>
      </c>
      <c r="E1801" s="116" t="str">
        <f t="shared" si="1137"/>
        <v/>
      </c>
      <c r="F1801" s="116"/>
      <c r="G1801" s="116"/>
      <c r="H1801" s="116"/>
      <c r="I1801" s="116"/>
      <c r="J1801" s="116"/>
      <c r="K1801" s="118">
        <f t="shared" ref="K1801:X1801" si="1152">IF(AND($D1801="tak",OR($E1801="nie dotyczy",$E1801="badania przemysłowe"),LataProjekcji&lt;=Koniec_Projekt),K470,0)</f>
        <v>0</v>
      </c>
      <c r="L1801" s="118">
        <f t="shared" si="1152"/>
        <v>0</v>
      </c>
      <c r="M1801" s="118">
        <f t="shared" si="1152"/>
        <v>0</v>
      </c>
      <c r="N1801" s="118">
        <f t="shared" si="1152"/>
        <v>0</v>
      </c>
      <c r="O1801" s="118">
        <f t="shared" si="1152"/>
        <v>0</v>
      </c>
      <c r="P1801" s="118">
        <f t="shared" si="1152"/>
        <v>0</v>
      </c>
      <c r="Q1801" s="118">
        <f t="shared" si="1152"/>
        <v>0</v>
      </c>
      <c r="R1801" s="118">
        <f t="shared" si="1152"/>
        <v>0</v>
      </c>
      <c r="S1801" s="118">
        <f t="shared" si="1152"/>
        <v>0</v>
      </c>
      <c r="T1801" s="118">
        <f t="shared" si="1152"/>
        <v>0</v>
      </c>
      <c r="U1801" s="118">
        <f t="shared" si="1152"/>
        <v>0</v>
      </c>
      <c r="V1801" s="118">
        <f t="shared" si="1152"/>
        <v>0</v>
      </c>
      <c r="W1801" s="118">
        <f t="shared" si="1152"/>
        <v>0</v>
      </c>
      <c r="X1801" s="118">
        <f t="shared" si="1152"/>
        <v>0</v>
      </c>
    </row>
    <row r="1802" spans="2:24" hidden="1">
      <c r="B1802" s="116" t="str">
        <f t="shared" si="1137"/>
        <v/>
      </c>
      <c r="C1802" s="116" t="str">
        <f t="shared" si="1137"/>
        <v/>
      </c>
      <c r="D1802" s="116" t="str">
        <f t="shared" si="1137"/>
        <v/>
      </c>
      <c r="E1802" s="116" t="str">
        <f t="shared" si="1137"/>
        <v/>
      </c>
      <c r="F1802" s="116"/>
      <c r="G1802" s="116"/>
      <c r="H1802" s="116"/>
      <c r="I1802" s="116"/>
      <c r="J1802" s="116"/>
      <c r="K1802" s="118">
        <f t="shared" ref="K1802:X1802" si="1153">IF(AND($D1802="tak",OR($E1802="nie dotyczy",$E1802="badania przemysłowe"),LataProjekcji&lt;=Koniec_Projekt),K471,0)</f>
        <v>0</v>
      </c>
      <c r="L1802" s="118">
        <f t="shared" si="1153"/>
        <v>0</v>
      </c>
      <c r="M1802" s="118">
        <f t="shared" si="1153"/>
        <v>0</v>
      </c>
      <c r="N1802" s="118">
        <f t="shared" si="1153"/>
        <v>0</v>
      </c>
      <c r="O1802" s="118">
        <f t="shared" si="1153"/>
        <v>0</v>
      </c>
      <c r="P1802" s="118">
        <f t="shared" si="1153"/>
        <v>0</v>
      </c>
      <c r="Q1802" s="118">
        <f t="shared" si="1153"/>
        <v>0</v>
      </c>
      <c r="R1802" s="118">
        <f t="shared" si="1153"/>
        <v>0</v>
      </c>
      <c r="S1802" s="118">
        <f t="shared" si="1153"/>
        <v>0</v>
      </c>
      <c r="T1802" s="118">
        <f t="shared" si="1153"/>
        <v>0</v>
      </c>
      <c r="U1802" s="118">
        <f t="shared" si="1153"/>
        <v>0</v>
      </c>
      <c r="V1802" s="118">
        <f t="shared" si="1153"/>
        <v>0</v>
      </c>
      <c r="W1802" s="118">
        <f t="shared" si="1153"/>
        <v>0</v>
      </c>
      <c r="X1802" s="118">
        <f t="shared" si="1153"/>
        <v>0</v>
      </c>
    </row>
    <row r="1803" spans="2:24" hidden="1">
      <c r="B1803" s="116" t="str">
        <f t="shared" si="1137"/>
        <v/>
      </c>
      <c r="C1803" s="116" t="str">
        <f t="shared" si="1137"/>
        <v/>
      </c>
      <c r="D1803" s="116" t="str">
        <f t="shared" si="1137"/>
        <v/>
      </c>
      <c r="E1803" s="116" t="str">
        <f t="shared" si="1137"/>
        <v/>
      </c>
      <c r="F1803" s="116"/>
      <c r="G1803" s="116"/>
      <c r="H1803" s="116"/>
      <c r="I1803" s="116"/>
      <c r="J1803" s="116"/>
      <c r="K1803" s="118">
        <f t="shared" ref="K1803:X1803" si="1154">IF(AND($D1803="tak",OR($E1803="nie dotyczy",$E1803="badania przemysłowe"),LataProjekcji&lt;=Koniec_Projekt),K472,0)</f>
        <v>0</v>
      </c>
      <c r="L1803" s="118">
        <f t="shared" si="1154"/>
        <v>0</v>
      </c>
      <c r="M1803" s="118">
        <f t="shared" si="1154"/>
        <v>0</v>
      </c>
      <c r="N1803" s="118">
        <f t="shared" si="1154"/>
        <v>0</v>
      </c>
      <c r="O1803" s="118">
        <f t="shared" si="1154"/>
        <v>0</v>
      </c>
      <c r="P1803" s="118">
        <f t="shared" si="1154"/>
        <v>0</v>
      </c>
      <c r="Q1803" s="118">
        <f t="shared" si="1154"/>
        <v>0</v>
      </c>
      <c r="R1803" s="118">
        <f t="shared" si="1154"/>
        <v>0</v>
      </c>
      <c r="S1803" s="118">
        <f t="shared" si="1154"/>
        <v>0</v>
      </c>
      <c r="T1803" s="118">
        <f t="shared" si="1154"/>
        <v>0</v>
      </c>
      <c r="U1803" s="118">
        <f t="shared" si="1154"/>
        <v>0</v>
      </c>
      <c r="V1803" s="118">
        <f t="shared" si="1154"/>
        <v>0</v>
      </c>
      <c r="W1803" s="118">
        <f t="shared" si="1154"/>
        <v>0</v>
      </c>
      <c r="X1803" s="118">
        <f t="shared" si="1154"/>
        <v>0</v>
      </c>
    </row>
    <row r="1804" spans="2:24" hidden="1">
      <c r="B1804" s="116" t="str">
        <f t="shared" si="1137"/>
        <v/>
      </c>
      <c r="C1804" s="116" t="str">
        <f t="shared" si="1137"/>
        <v/>
      </c>
      <c r="D1804" s="116" t="str">
        <f t="shared" si="1137"/>
        <v/>
      </c>
      <c r="E1804" s="116" t="str">
        <f t="shared" si="1137"/>
        <v/>
      </c>
      <c r="F1804" s="116"/>
      <c r="G1804" s="116"/>
      <c r="H1804" s="116"/>
      <c r="I1804" s="116"/>
      <c r="J1804" s="116"/>
      <c r="K1804" s="118">
        <f t="shared" ref="K1804:X1804" si="1155">IF(AND($D1804="tak",OR($E1804="nie dotyczy",$E1804="badania przemysłowe"),LataProjekcji&lt;=Koniec_Projekt),K473,0)</f>
        <v>0</v>
      </c>
      <c r="L1804" s="118">
        <f t="shared" si="1155"/>
        <v>0</v>
      </c>
      <c r="M1804" s="118">
        <f t="shared" si="1155"/>
        <v>0</v>
      </c>
      <c r="N1804" s="118">
        <f t="shared" si="1155"/>
        <v>0</v>
      </c>
      <c r="O1804" s="118">
        <f t="shared" si="1155"/>
        <v>0</v>
      </c>
      <c r="P1804" s="118">
        <f t="shared" si="1155"/>
        <v>0</v>
      </c>
      <c r="Q1804" s="118">
        <f t="shared" si="1155"/>
        <v>0</v>
      </c>
      <c r="R1804" s="118">
        <f t="shared" si="1155"/>
        <v>0</v>
      </c>
      <c r="S1804" s="118">
        <f t="shared" si="1155"/>
        <v>0</v>
      </c>
      <c r="T1804" s="118">
        <f t="shared" si="1155"/>
        <v>0</v>
      </c>
      <c r="U1804" s="118">
        <f t="shared" si="1155"/>
        <v>0</v>
      </c>
      <c r="V1804" s="118">
        <f t="shared" si="1155"/>
        <v>0</v>
      </c>
      <c r="W1804" s="118">
        <f t="shared" si="1155"/>
        <v>0</v>
      </c>
      <c r="X1804" s="118">
        <f t="shared" si="1155"/>
        <v>0</v>
      </c>
    </row>
    <row r="1805" spans="2:24" hidden="1">
      <c r="B1805" s="116" t="str">
        <f t="shared" si="1137"/>
        <v/>
      </c>
      <c r="C1805" s="116" t="str">
        <f t="shared" si="1137"/>
        <v/>
      </c>
      <c r="D1805" s="116" t="str">
        <f t="shared" si="1137"/>
        <v/>
      </c>
      <c r="E1805" s="116" t="str">
        <f t="shared" si="1137"/>
        <v/>
      </c>
      <c r="F1805" s="116"/>
      <c r="G1805" s="116"/>
      <c r="H1805" s="116"/>
      <c r="I1805" s="116"/>
      <c r="J1805" s="116"/>
      <c r="K1805" s="118">
        <f t="shared" ref="K1805:X1805" si="1156">IF(AND($D1805="tak",OR($E1805="nie dotyczy",$E1805="badania przemysłowe"),LataProjekcji&lt;=Koniec_Projekt),K474,0)</f>
        <v>0</v>
      </c>
      <c r="L1805" s="118">
        <f t="shared" si="1156"/>
        <v>0</v>
      </c>
      <c r="M1805" s="118">
        <f t="shared" si="1156"/>
        <v>0</v>
      </c>
      <c r="N1805" s="118">
        <f t="shared" si="1156"/>
        <v>0</v>
      </c>
      <c r="O1805" s="118">
        <f t="shared" si="1156"/>
        <v>0</v>
      </c>
      <c r="P1805" s="118">
        <f t="shared" si="1156"/>
        <v>0</v>
      </c>
      <c r="Q1805" s="118">
        <f t="shared" si="1156"/>
        <v>0</v>
      </c>
      <c r="R1805" s="118">
        <f t="shared" si="1156"/>
        <v>0</v>
      </c>
      <c r="S1805" s="118">
        <f t="shared" si="1156"/>
        <v>0</v>
      </c>
      <c r="T1805" s="118">
        <f t="shared" si="1156"/>
        <v>0</v>
      </c>
      <c r="U1805" s="118">
        <f t="shared" si="1156"/>
        <v>0</v>
      </c>
      <c r="V1805" s="118">
        <f t="shared" si="1156"/>
        <v>0</v>
      </c>
      <c r="W1805" s="118">
        <f t="shared" si="1156"/>
        <v>0</v>
      </c>
      <c r="X1805" s="118">
        <f t="shared" si="1156"/>
        <v>0</v>
      </c>
    </row>
    <row r="1806" spans="2:24" hidden="1">
      <c r="B1806" s="116" t="str">
        <f t="shared" si="1137"/>
        <v/>
      </c>
      <c r="C1806" s="116" t="str">
        <f t="shared" si="1137"/>
        <v/>
      </c>
      <c r="D1806" s="116" t="str">
        <f t="shared" si="1137"/>
        <v/>
      </c>
      <c r="E1806" s="116" t="str">
        <f t="shared" si="1137"/>
        <v/>
      </c>
      <c r="F1806" s="116"/>
      <c r="G1806" s="116"/>
      <c r="H1806" s="116"/>
      <c r="I1806" s="116"/>
      <c r="J1806" s="116"/>
      <c r="K1806" s="118">
        <f t="shared" ref="K1806:X1806" si="1157">IF(AND($D1806="tak",OR($E1806="nie dotyczy",$E1806="badania przemysłowe"),LataProjekcji&lt;=Koniec_Projekt),K475,0)</f>
        <v>0</v>
      </c>
      <c r="L1806" s="118">
        <f t="shared" si="1157"/>
        <v>0</v>
      </c>
      <c r="M1806" s="118">
        <f t="shared" si="1157"/>
        <v>0</v>
      </c>
      <c r="N1806" s="118">
        <f t="shared" si="1157"/>
        <v>0</v>
      </c>
      <c r="O1806" s="118">
        <f t="shared" si="1157"/>
        <v>0</v>
      </c>
      <c r="P1806" s="118">
        <f t="shared" si="1157"/>
        <v>0</v>
      </c>
      <c r="Q1806" s="118">
        <f t="shared" si="1157"/>
        <v>0</v>
      </c>
      <c r="R1806" s="118">
        <f t="shared" si="1157"/>
        <v>0</v>
      </c>
      <c r="S1806" s="118">
        <f t="shared" si="1157"/>
        <v>0</v>
      </c>
      <c r="T1806" s="118">
        <f t="shared" si="1157"/>
        <v>0</v>
      </c>
      <c r="U1806" s="118">
        <f t="shared" si="1157"/>
        <v>0</v>
      </c>
      <c r="V1806" s="118">
        <f t="shared" si="1157"/>
        <v>0</v>
      </c>
      <c r="W1806" s="118">
        <f t="shared" si="1157"/>
        <v>0</v>
      </c>
      <c r="X1806" s="118">
        <f t="shared" si="1157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58">ROUND(SUM(K1767:K1806),0)</f>
        <v>0</v>
      </c>
      <c r="L1807" s="119">
        <f t="shared" si="1158"/>
        <v>0</v>
      </c>
      <c r="M1807" s="119">
        <f t="shared" si="1158"/>
        <v>0</v>
      </c>
      <c r="N1807" s="119">
        <f t="shared" si="1158"/>
        <v>0</v>
      </c>
      <c r="O1807" s="119">
        <f t="shared" si="1158"/>
        <v>0</v>
      </c>
      <c r="P1807" s="119">
        <f t="shared" si="1158"/>
        <v>0</v>
      </c>
      <c r="Q1807" s="119">
        <f t="shared" si="1158"/>
        <v>0</v>
      </c>
      <c r="R1807" s="119">
        <f t="shared" si="1158"/>
        <v>0</v>
      </c>
      <c r="S1807" s="119">
        <f t="shared" si="1158"/>
        <v>0</v>
      </c>
      <c r="T1807" s="119">
        <f t="shared" si="1158"/>
        <v>0</v>
      </c>
      <c r="U1807" s="119">
        <f t="shared" si="1158"/>
        <v>0</v>
      </c>
      <c r="V1807" s="119">
        <f t="shared" si="1158"/>
        <v>0</v>
      </c>
      <c r="W1807" s="119">
        <f t="shared" si="1158"/>
        <v>0</v>
      </c>
      <c r="X1807" s="119">
        <f t="shared" si="1158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59">IF(ISBLANK(B1571),"",B1571)</f>
        <v/>
      </c>
      <c r="C1811" s="116" t="str">
        <f t="shared" si="1159"/>
        <v/>
      </c>
      <c r="D1811" s="116" t="str">
        <f t="shared" si="1159"/>
        <v/>
      </c>
      <c r="E1811" s="116" t="str">
        <f t="shared" si="1159"/>
        <v/>
      </c>
      <c r="F1811" s="116"/>
      <c r="G1811" s="116"/>
      <c r="H1811" s="116"/>
      <c r="I1811" s="116"/>
      <c r="J1811" s="116"/>
      <c r="K1811" s="118">
        <f t="shared" ref="K1811:X1811" si="1160">IF(AND($D1811="tak",OR($E1811="nie dotyczy",$E1811="badania przemysłowe"),LataProjekcji&lt;=Koniec_Projekt),K521,0)</f>
        <v>0</v>
      </c>
      <c r="L1811" s="118">
        <f t="shared" si="1160"/>
        <v>0</v>
      </c>
      <c r="M1811" s="118">
        <f t="shared" si="1160"/>
        <v>0</v>
      </c>
      <c r="N1811" s="118">
        <f t="shared" si="1160"/>
        <v>0</v>
      </c>
      <c r="O1811" s="118">
        <f t="shared" si="1160"/>
        <v>0</v>
      </c>
      <c r="P1811" s="118">
        <f t="shared" si="1160"/>
        <v>0</v>
      </c>
      <c r="Q1811" s="118">
        <f t="shared" si="1160"/>
        <v>0</v>
      </c>
      <c r="R1811" s="118">
        <f t="shared" si="1160"/>
        <v>0</v>
      </c>
      <c r="S1811" s="118">
        <f t="shared" si="1160"/>
        <v>0</v>
      </c>
      <c r="T1811" s="118">
        <f t="shared" si="1160"/>
        <v>0</v>
      </c>
      <c r="U1811" s="118">
        <f t="shared" si="1160"/>
        <v>0</v>
      </c>
      <c r="V1811" s="118">
        <f t="shared" si="1160"/>
        <v>0</v>
      </c>
      <c r="W1811" s="118">
        <f t="shared" si="1160"/>
        <v>0</v>
      </c>
      <c r="X1811" s="118">
        <f t="shared" si="1160"/>
        <v>0</v>
      </c>
    </row>
    <row r="1812" spans="2:24" hidden="1">
      <c r="B1812" s="116" t="str">
        <f t="shared" si="1159"/>
        <v/>
      </c>
      <c r="C1812" s="116" t="str">
        <f t="shared" si="1159"/>
        <v/>
      </c>
      <c r="D1812" s="116" t="str">
        <f t="shared" si="1159"/>
        <v/>
      </c>
      <c r="E1812" s="116" t="str">
        <f t="shared" si="1159"/>
        <v/>
      </c>
      <c r="F1812" s="116"/>
      <c r="G1812" s="116"/>
      <c r="H1812" s="116"/>
      <c r="I1812" s="116"/>
      <c r="J1812" s="116"/>
      <c r="K1812" s="118">
        <f t="shared" ref="K1812:X1812" si="1161">IF(AND($D1812="tak",OR($E1812="nie dotyczy",$E1812="badania przemysłowe"),LataProjekcji&lt;=Koniec_Projekt),K522,0)</f>
        <v>0</v>
      </c>
      <c r="L1812" s="118">
        <f t="shared" si="1161"/>
        <v>0</v>
      </c>
      <c r="M1812" s="118">
        <f t="shared" si="1161"/>
        <v>0</v>
      </c>
      <c r="N1812" s="118">
        <f t="shared" si="1161"/>
        <v>0</v>
      </c>
      <c r="O1812" s="118">
        <f t="shared" si="1161"/>
        <v>0</v>
      </c>
      <c r="P1812" s="118">
        <f t="shared" si="1161"/>
        <v>0</v>
      </c>
      <c r="Q1812" s="118">
        <f t="shared" si="1161"/>
        <v>0</v>
      </c>
      <c r="R1812" s="118">
        <f t="shared" si="1161"/>
        <v>0</v>
      </c>
      <c r="S1812" s="118">
        <f t="shared" si="1161"/>
        <v>0</v>
      </c>
      <c r="T1812" s="118">
        <f t="shared" si="1161"/>
        <v>0</v>
      </c>
      <c r="U1812" s="118">
        <f t="shared" si="1161"/>
        <v>0</v>
      </c>
      <c r="V1812" s="118">
        <f t="shared" si="1161"/>
        <v>0</v>
      </c>
      <c r="W1812" s="118">
        <f t="shared" si="1161"/>
        <v>0</v>
      </c>
      <c r="X1812" s="118">
        <f t="shared" si="1161"/>
        <v>0</v>
      </c>
    </row>
    <row r="1813" spans="2:24" hidden="1">
      <c r="B1813" s="116" t="str">
        <f t="shared" si="1159"/>
        <v/>
      </c>
      <c r="C1813" s="116" t="str">
        <f t="shared" si="1159"/>
        <v/>
      </c>
      <c r="D1813" s="116" t="str">
        <f t="shared" si="1159"/>
        <v/>
      </c>
      <c r="E1813" s="116" t="str">
        <f t="shared" si="1159"/>
        <v/>
      </c>
      <c r="F1813" s="116"/>
      <c r="G1813" s="116"/>
      <c r="H1813" s="116"/>
      <c r="I1813" s="116"/>
      <c r="J1813" s="116"/>
      <c r="K1813" s="118">
        <f t="shared" ref="K1813:X1813" si="1162">IF(AND($D1813="tak",OR($E1813="nie dotyczy",$E1813="badania przemysłowe"),LataProjekcji&lt;=Koniec_Projekt),K523,0)</f>
        <v>0</v>
      </c>
      <c r="L1813" s="118">
        <f t="shared" si="1162"/>
        <v>0</v>
      </c>
      <c r="M1813" s="118">
        <f t="shared" si="1162"/>
        <v>0</v>
      </c>
      <c r="N1813" s="118">
        <f t="shared" si="1162"/>
        <v>0</v>
      </c>
      <c r="O1813" s="118">
        <f t="shared" si="1162"/>
        <v>0</v>
      </c>
      <c r="P1813" s="118">
        <f t="shared" si="1162"/>
        <v>0</v>
      </c>
      <c r="Q1813" s="118">
        <f t="shared" si="1162"/>
        <v>0</v>
      </c>
      <c r="R1813" s="118">
        <f t="shared" si="1162"/>
        <v>0</v>
      </c>
      <c r="S1813" s="118">
        <f t="shared" si="1162"/>
        <v>0</v>
      </c>
      <c r="T1813" s="118">
        <f t="shared" si="1162"/>
        <v>0</v>
      </c>
      <c r="U1813" s="118">
        <f t="shared" si="1162"/>
        <v>0</v>
      </c>
      <c r="V1813" s="118">
        <f t="shared" si="1162"/>
        <v>0</v>
      </c>
      <c r="W1813" s="118">
        <f t="shared" si="1162"/>
        <v>0</v>
      </c>
      <c r="X1813" s="118">
        <f t="shared" si="1162"/>
        <v>0</v>
      </c>
    </row>
    <row r="1814" spans="2:24" hidden="1">
      <c r="B1814" s="116" t="str">
        <f t="shared" si="1159"/>
        <v/>
      </c>
      <c r="C1814" s="116" t="str">
        <f t="shared" si="1159"/>
        <v/>
      </c>
      <c r="D1814" s="116" t="str">
        <f t="shared" si="1159"/>
        <v/>
      </c>
      <c r="E1814" s="116" t="str">
        <f t="shared" si="1159"/>
        <v/>
      </c>
      <c r="F1814" s="116"/>
      <c r="G1814" s="116"/>
      <c r="H1814" s="116"/>
      <c r="I1814" s="116"/>
      <c r="J1814" s="116"/>
      <c r="K1814" s="118">
        <f t="shared" ref="K1814:X1814" si="1163">IF(AND($D1814="tak",OR($E1814="nie dotyczy",$E1814="badania przemysłowe"),LataProjekcji&lt;=Koniec_Projekt),K524,0)</f>
        <v>0</v>
      </c>
      <c r="L1814" s="118">
        <f t="shared" si="1163"/>
        <v>0</v>
      </c>
      <c r="M1814" s="118">
        <f t="shared" si="1163"/>
        <v>0</v>
      </c>
      <c r="N1814" s="118">
        <f t="shared" si="1163"/>
        <v>0</v>
      </c>
      <c r="O1814" s="118">
        <f t="shared" si="1163"/>
        <v>0</v>
      </c>
      <c r="P1814" s="118">
        <f t="shared" si="1163"/>
        <v>0</v>
      </c>
      <c r="Q1814" s="118">
        <f t="shared" si="1163"/>
        <v>0</v>
      </c>
      <c r="R1814" s="118">
        <f t="shared" si="1163"/>
        <v>0</v>
      </c>
      <c r="S1814" s="118">
        <f t="shared" si="1163"/>
        <v>0</v>
      </c>
      <c r="T1814" s="118">
        <f t="shared" si="1163"/>
        <v>0</v>
      </c>
      <c r="U1814" s="118">
        <f t="shared" si="1163"/>
        <v>0</v>
      </c>
      <c r="V1814" s="118">
        <f t="shared" si="1163"/>
        <v>0</v>
      </c>
      <c r="W1814" s="118">
        <f t="shared" si="1163"/>
        <v>0</v>
      </c>
      <c r="X1814" s="118">
        <f t="shared" si="1163"/>
        <v>0</v>
      </c>
    </row>
    <row r="1815" spans="2:24" hidden="1">
      <c r="B1815" s="116" t="str">
        <f t="shared" si="1159"/>
        <v/>
      </c>
      <c r="C1815" s="116" t="str">
        <f t="shared" si="1159"/>
        <v/>
      </c>
      <c r="D1815" s="116" t="str">
        <f t="shared" si="1159"/>
        <v/>
      </c>
      <c r="E1815" s="116" t="str">
        <f t="shared" si="1159"/>
        <v/>
      </c>
      <c r="F1815" s="116"/>
      <c r="G1815" s="116"/>
      <c r="H1815" s="116"/>
      <c r="I1815" s="116"/>
      <c r="J1815" s="116"/>
      <c r="K1815" s="118">
        <f t="shared" ref="K1815:X1815" si="1164">IF(AND($D1815="tak",OR($E1815="nie dotyczy",$E1815="badania przemysłowe"),LataProjekcji&lt;=Koniec_Projekt),K525,0)</f>
        <v>0</v>
      </c>
      <c r="L1815" s="118">
        <f t="shared" si="1164"/>
        <v>0</v>
      </c>
      <c r="M1815" s="118">
        <f t="shared" si="1164"/>
        <v>0</v>
      </c>
      <c r="N1815" s="118">
        <f t="shared" si="1164"/>
        <v>0</v>
      </c>
      <c r="O1815" s="118">
        <f t="shared" si="1164"/>
        <v>0</v>
      </c>
      <c r="P1815" s="118">
        <f t="shared" si="1164"/>
        <v>0</v>
      </c>
      <c r="Q1815" s="118">
        <f t="shared" si="1164"/>
        <v>0</v>
      </c>
      <c r="R1815" s="118">
        <f t="shared" si="1164"/>
        <v>0</v>
      </c>
      <c r="S1815" s="118">
        <f t="shared" si="1164"/>
        <v>0</v>
      </c>
      <c r="T1815" s="118">
        <f t="shared" si="1164"/>
        <v>0</v>
      </c>
      <c r="U1815" s="118">
        <f t="shared" si="1164"/>
        <v>0</v>
      </c>
      <c r="V1815" s="118">
        <f t="shared" si="1164"/>
        <v>0</v>
      </c>
      <c r="W1815" s="118">
        <f t="shared" si="1164"/>
        <v>0</v>
      </c>
      <c r="X1815" s="118">
        <f t="shared" si="1164"/>
        <v>0</v>
      </c>
    </row>
    <row r="1816" spans="2:24" hidden="1">
      <c r="B1816" s="116" t="str">
        <f t="shared" si="1159"/>
        <v/>
      </c>
      <c r="C1816" s="116" t="str">
        <f t="shared" si="1159"/>
        <v/>
      </c>
      <c r="D1816" s="116" t="str">
        <f t="shared" si="1159"/>
        <v/>
      </c>
      <c r="E1816" s="116" t="str">
        <f t="shared" si="1159"/>
        <v/>
      </c>
      <c r="F1816" s="116"/>
      <c r="G1816" s="116"/>
      <c r="H1816" s="116"/>
      <c r="I1816" s="116"/>
      <c r="J1816" s="116"/>
      <c r="K1816" s="118">
        <f t="shared" ref="K1816:X1816" si="1165">IF(AND($D1816="tak",OR($E1816="nie dotyczy",$E1816="badania przemysłowe"),LataProjekcji&lt;=Koniec_Projekt),K526,0)</f>
        <v>0</v>
      </c>
      <c r="L1816" s="118">
        <f t="shared" si="1165"/>
        <v>0</v>
      </c>
      <c r="M1816" s="118">
        <f t="shared" si="1165"/>
        <v>0</v>
      </c>
      <c r="N1816" s="118">
        <f t="shared" si="1165"/>
        <v>0</v>
      </c>
      <c r="O1816" s="118">
        <f t="shared" si="1165"/>
        <v>0</v>
      </c>
      <c r="P1816" s="118">
        <f t="shared" si="1165"/>
        <v>0</v>
      </c>
      <c r="Q1816" s="118">
        <f t="shared" si="1165"/>
        <v>0</v>
      </c>
      <c r="R1816" s="118">
        <f t="shared" si="1165"/>
        <v>0</v>
      </c>
      <c r="S1816" s="118">
        <f t="shared" si="1165"/>
        <v>0</v>
      </c>
      <c r="T1816" s="118">
        <f t="shared" si="1165"/>
        <v>0</v>
      </c>
      <c r="U1816" s="118">
        <f t="shared" si="1165"/>
        <v>0</v>
      </c>
      <c r="V1816" s="118">
        <f t="shared" si="1165"/>
        <v>0</v>
      </c>
      <c r="W1816" s="118">
        <f t="shared" si="1165"/>
        <v>0</v>
      </c>
      <c r="X1816" s="118">
        <f t="shared" si="1165"/>
        <v>0</v>
      </c>
    </row>
    <row r="1817" spans="2:24" hidden="1">
      <c r="B1817" s="116" t="str">
        <f t="shared" si="1159"/>
        <v/>
      </c>
      <c r="C1817" s="116" t="str">
        <f t="shared" si="1159"/>
        <v/>
      </c>
      <c r="D1817" s="116" t="str">
        <f t="shared" si="1159"/>
        <v/>
      </c>
      <c r="E1817" s="116" t="str">
        <f t="shared" si="1159"/>
        <v/>
      </c>
      <c r="F1817" s="116"/>
      <c r="G1817" s="116"/>
      <c r="H1817" s="116"/>
      <c r="I1817" s="116"/>
      <c r="J1817" s="116"/>
      <c r="K1817" s="118">
        <f t="shared" ref="K1817:X1817" si="1166">IF(AND($D1817="tak",OR($E1817="nie dotyczy",$E1817="badania przemysłowe"),LataProjekcji&lt;=Koniec_Projekt),K527,0)</f>
        <v>0</v>
      </c>
      <c r="L1817" s="118">
        <f t="shared" si="1166"/>
        <v>0</v>
      </c>
      <c r="M1817" s="118">
        <f t="shared" si="1166"/>
        <v>0</v>
      </c>
      <c r="N1817" s="118">
        <f t="shared" si="1166"/>
        <v>0</v>
      </c>
      <c r="O1817" s="118">
        <f t="shared" si="1166"/>
        <v>0</v>
      </c>
      <c r="P1817" s="118">
        <f t="shared" si="1166"/>
        <v>0</v>
      </c>
      <c r="Q1817" s="118">
        <f t="shared" si="1166"/>
        <v>0</v>
      </c>
      <c r="R1817" s="118">
        <f t="shared" si="1166"/>
        <v>0</v>
      </c>
      <c r="S1817" s="118">
        <f t="shared" si="1166"/>
        <v>0</v>
      </c>
      <c r="T1817" s="118">
        <f t="shared" si="1166"/>
        <v>0</v>
      </c>
      <c r="U1817" s="118">
        <f t="shared" si="1166"/>
        <v>0</v>
      </c>
      <c r="V1817" s="118">
        <f t="shared" si="1166"/>
        <v>0</v>
      </c>
      <c r="W1817" s="118">
        <f t="shared" si="1166"/>
        <v>0</v>
      </c>
      <c r="X1817" s="118">
        <f t="shared" si="1166"/>
        <v>0</v>
      </c>
    </row>
    <row r="1818" spans="2:24" hidden="1">
      <c r="B1818" s="116" t="str">
        <f t="shared" si="1159"/>
        <v/>
      </c>
      <c r="C1818" s="116" t="str">
        <f t="shared" si="1159"/>
        <v/>
      </c>
      <c r="D1818" s="116" t="str">
        <f t="shared" si="1159"/>
        <v/>
      </c>
      <c r="E1818" s="116" t="str">
        <f t="shared" si="1159"/>
        <v/>
      </c>
      <c r="F1818" s="116"/>
      <c r="G1818" s="116"/>
      <c r="H1818" s="116"/>
      <c r="I1818" s="116"/>
      <c r="J1818" s="116"/>
      <c r="K1818" s="118">
        <f t="shared" ref="K1818:X1818" si="1167">IF(AND($D1818="tak",OR($E1818="nie dotyczy",$E1818="badania przemysłowe"),LataProjekcji&lt;=Koniec_Projekt),K528,0)</f>
        <v>0</v>
      </c>
      <c r="L1818" s="118">
        <f t="shared" si="1167"/>
        <v>0</v>
      </c>
      <c r="M1818" s="118">
        <f t="shared" si="1167"/>
        <v>0</v>
      </c>
      <c r="N1818" s="118">
        <f t="shared" si="1167"/>
        <v>0</v>
      </c>
      <c r="O1818" s="118">
        <f t="shared" si="1167"/>
        <v>0</v>
      </c>
      <c r="P1818" s="118">
        <f t="shared" si="1167"/>
        <v>0</v>
      </c>
      <c r="Q1818" s="118">
        <f t="shared" si="1167"/>
        <v>0</v>
      </c>
      <c r="R1818" s="118">
        <f t="shared" si="1167"/>
        <v>0</v>
      </c>
      <c r="S1818" s="118">
        <f t="shared" si="1167"/>
        <v>0</v>
      </c>
      <c r="T1818" s="118">
        <f t="shared" si="1167"/>
        <v>0</v>
      </c>
      <c r="U1818" s="118">
        <f t="shared" si="1167"/>
        <v>0</v>
      </c>
      <c r="V1818" s="118">
        <f t="shared" si="1167"/>
        <v>0</v>
      </c>
      <c r="W1818" s="118">
        <f t="shared" si="1167"/>
        <v>0</v>
      </c>
      <c r="X1818" s="118">
        <f t="shared" si="1167"/>
        <v>0</v>
      </c>
    </row>
    <row r="1819" spans="2:24" hidden="1">
      <c r="B1819" s="116" t="str">
        <f t="shared" si="1159"/>
        <v/>
      </c>
      <c r="C1819" s="116" t="str">
        <f t="shared" si="1159"/>
        <v/>
      </c>
      <c r="D1819" s="116" t="str">
        <f t="shared" si="1159"/>
        <v/>
      </c>
      <c r="E1819" s="116" t="str">
        <f t="shared" si="1159"/>
        <v/>
      </c>
      <c r="F1819" s="116"/>
      <c r="G1819" s="116"/>
      <c r="H1819" s="116"/>
      <c r="I1819" s="116"/>
      <c r="J1819" s="116"/>
      <c r="K1819" s="118">
        <f t="shared" ref="K1819:X1819" si="1168">IF(AND($D1819="tak",OR($E1819="nie dotyczy",$E1819="badania przemysłowe"),LataProjekcji&lt;=Koniec_Projekt),K529,0)</f>
        <v>0</v>
      </c>
      <c r="L1819" s="118">
        <f t="shared" si="1168"/>
        <v>0</v>
      </c>
      <c r="M1819" s="118">
        <f t="shared" si="1168"/>
        <v>0</v>
      </c>
      <c r="N1819" s="118">
        <f t="shared" si="1168"/>
        <v>0</v>
      </c>
      <c r="O1819" s="118">
        <f t="shared" si="1168"/>
        <v>0</v>
      </c>
      <c r="P1819" s="118">
        <f t="shared" si="1168"/>
        <v>0</v>
      </c>
      <c r="Q1819" s="118">
        <f t="shared" si="1168"/>
        <v>0</v>
      </c>
      <c r="R1819" s="118">
        <f t="shared" si="1168"/>
        <v>0</v>
      </c>
      <c r="S1819" s="118">
        <f t="shared" si="1168"/>
        <v>0</v>
      </c>
      <c r="T1819" s="118">
        <f t="shared" si="1168"/>
        <v>0</v>
      </c>
      <c r="U1819" s="118">
        <f t="shared" si="1168"/>
        <v>0</v>
      </c>
      <c r="V1819" s="118">
        <f t="shared" si="1168"/>
        <v>0</v>
      </c>
      <c r="W1819" s="118">
        <f t="shared" si="1168"/>
        <v>0</v>
      </c>
      <c r="X1819" s="118">
        <f t="shared" si="1168"/>
        <v>0</v>
      </c>
    </row>
    <row r="1820" spans="2:24" hidden="1">
      <c r="B1820" s="116" t="str">
        <f t="shared" si="1159"/>
        <v/>
      </c>
      <c r="C1820" s="116" t="str">
        <f t="shared" si="1159"/>
        <v/>
      </c>
      <c r="D1820" s="116" t="str">
        <f t="shared" si="1159"/>
        <v/>
      </c>
      <c r="E1820" s="116" t="str">
        <f t="shared" si="1159"/>
        <v/>
      </c>
      <c r="F1820" s="116"/>
      <c r="G1820" s="116"/>
      <c r="H1820" s="116"/>
      <c r="I1820" s="116"/>
      <c r="J1820" s="116"/>
      <c r="K1820" s="118">
        <f t="shared" ref="K1820:X1820" si="1169">IF(AND($D1820="tak",OR($E1820="nie dotyczy",$E1820="badania przemysłowe"),LataProjekcji&lt;=Koniec_Projekt),K530,0)</f>
        <v>0</v>
      </c>
      <c r="L1820" s="118">
        <f t="shared" si="1169"/>
        <v>0</v>
      </c>
      <c r="M1820" s="118">
        <f t="shared" si="1169"/>
        <v>0</v>
      </c>
      <c r="N1820" s="118">
        <f t="shared" si="1169"/>
        <v>0</v>
      </c>
      <c r="O1820" s="118">
        <f t="shared" si="1169"/>
        <v>0</v>
      </c>
      <c r="P1820" s="118">
        <f t="shared" si="1169"/>
        <v>0</v>
      </c>
      <c r="Q1820" s="118">
        <f t="shared" si="1169"/>
        <v>0</v>
      </c>
      <c r="R1820" s="118">
        <f t="shared" si="1169"/>
        <v>0</v>
      </c>
      <c r="S1820" s="118">
        <f t="shared" si="1169"/>
        <v>0</v>
      </c>
      <c r="T1820" s="118">
        <f t="shared" si="1169"/>
        <v>0</v>
      </c>
      <c r="U1820" s="118">
        <f t="shared" si="1169"/>
        <v>0</v>
      </c>
      <c r="V1820" s="118">
        <f t="shared" si="1169"/>
        <v>0</v>
      </c>
      <c r="W1820" s="118">
        <f t="shared" si="1169"/>
        <v>0</v>
      </c>
      <c r="X1820" s="118">
        <f t="shared" si="1169"/>
        <v>0</v>
      </c>
    </row>
    <row r="1821" spans="2:24" hidden="1">
      <c r="B1821" s="116" t="str">
        <f t="shared" si="1159"/>
        <v/>
      </c>
      <c r="C1821" s="116" t="str">
        <f t="shared" si="1159"/>
        <v/>
      </c>
      <c r="D1821" s="116" t="str">
        <f t="shared" si="1159"/>
        <v/>
      </c>
      <c r="E1821" s="116" t="str">
        <f t="shared" si="1159"/>
        <v/>
      </c>
      <c r="F1821" s="116"/>
      <c r="G1821" s="116"/>
      <c r="H1821" s="116"/>
      <c r="I1821" s="116"/>
      <c r="J1821" s="116"/>
      <c r="K1821" s="118">
        <f t="shared" ref="K1821:X1821" si="1170">IF(AND($D1821="tak",OR($E1821="nie dotyczy",$E1821="badania przemysłowe"),LataProjekcji&lt;=Koniec_Projekt),K531,0)</f>
        <v>0</v>
      </c>
      <c r="L1821" s="118">
        <f t="shared" si="1170"/>
        <v>0</v>
      </c>
      <c r="M1821" s="118">
        <f t="shared" si="1170"/>
        <v>0</v>
      </c>
      <c r="N1821" s="118">
        <f t="shared" si="1170"/>
        <v>0</v>
      </c>
      <c r="O1821" s="118">
        <f t="shared" si="1170"/>
        <v>0</v>
      </c>
      <c r="P1821" s="118">
        <f t="shared" si="1170"/>
        <v>0</v>
      </c>
      <c r="Q1821" s="118">
        <f t="shared" si="1170"/>
        <v>0</v>
      </c>
      <c r="R1821" s="118">
        <f t="shared" si="1170"/>
        <v>0</v>
      </c>
      <c r="S1821" s="118">
        <f t="shared" si="1170"/>
        <v>0</v>
      </c>
      <c r="T1821" s="118">
        <f t="shared" si="1170"/>
        <v>0</v>
      </c>
      <c r="U1821" s="118">
        <f t="shared" si="1170"/>
        <v>0</v>
      </c>
      <c r="V1821" s="118">
        <f t="shared" si="1170"/>
        <v>0</v>
      </c>
      <c r="W1821" s="118">
        <f t="shared" si="1170"/>
        <v>0</v>
      </c>
      <c r="X1821" s="118">
        <f t="shared" si="1170"/>
        <v>0</v>
      </c>
    </row>
    <row r="1822" spans="2:24" hidden="1">
      <c r="B1822" s="116" t="str">
        <f t="shared" si="1159"/>
        <v/>
      </c>
      <c r="C1822" s="116" t="str">
        <f t="shared" si="1159"/>
        <v/>
      </c>
      <c r="D1822" s="116" t="str">
        <f t="shared" si="1159"/>
        <v/>
      </c>
      <c r="E1822" s="116" t="str">
        <f t="shared" si="1159"/>
        <v/>
      </c>
      <c r="F1822" s="116"/>
      <c r="G1822" s="116"/>
      <c r="H1822" s="116"/>
      <c r="I1822" s="116"/>
      <c r="J1822" s="116"/>
      <c r="K1822" s="118">
        <f t="shared" ref="K1822:X1822" si="1171">IF(AND($D1822="tak",OR($E1822="nie dotyczy",$E1822="badania przemysłowe"),LataProjekcji&lt;=Koniec_Projekt),K532,0)</f>
        <v>0</v>
      </c>
      <c r="L1822" s="118">
        <f t="shared" si="1171"/>
        <v>0</v>
      </c>
      <c r="M1822" s="118">
        <f t="shared" si="1171"/>
        <v>0</v>
      </c>
      <c r="N1822" s="118">
        <f t="shared" si="1171"/>
        <v>0</v>
      </c>
      <c r="O1822" s="118">
        <f t="shared" si="1171"/>
        <v>0</v>
      </c>
      <c r="P1822" s="118">
        <f t="shared" si="1171"/>
        <v>0</v>
      </c>
      <c r="Q1822" s="118">
        <f t="shared" si="1171"/>
        <v>0</v>
      </c>
      <c r="R1822" s="118">
        <f t="shared" si="1171"/>
        <v>0</v>
      </c>
      <c r="S1822" s="118">
        <f t="shared" si="1171"/>
        <v>0</v>
      </c>
      <c r="T1822" s="118">
        <f t="shared" si="1171"/>
        <v>0</v>
      </c>
      <c r="U1822" s="118">
        <f t="shared" si="1171"/>
        <v>0</v>
      </c>
      <c r="V1822" s="118">
        <f t="shared" si="1171"/>
        <v>0</v>
      </c>
      <c r="W1822" s="118">
        <f t="shared" si="1171"/>
        <v>0</v>
      </c>
      <c r="X1822" s="118">
        <f t="shared" si="1171"/>
        <v>0</v>
      </c>
    </row>
    <row r="1823" spans="2:24" hidden="1">
      <c r="B1823" s="116" t="str">
        <f t="shared" si="1159"/>
        <v/>
      </c>
      <c r="C1823" s="116" t="str">
        <f t="shared" si="1159"/>
        <v/>
      </c>
      <c r="D1823" s="116" t="str">
        <f t="shared" si="1159"/>
        <v/>
      </c>
      <c r="E1823" s="116" t="str">
        <f t="shared" si="1159"/>
        <v/>
      </c>
      <c r="F1823" s="116"/>
      <c r="G1823" s="116"/>
      <c r="H1823" s="116"/>
      <c r="I1823" s="116"/>
      <c r="J1823" s="116"/>
      <c r="K1823" s="118">
        <f t="shared" ref="K1823:X1823" si="1172">IF(AND($D1823="tak",OR($E1823="nie dotyczy",$E1823="badania przemysłowe"),LataProjekcji&lt;=Koniec_Projekt),K533,0)</f>
        <v>0</v>
      </c>
      <c r="L1823" s="118">
        <f t="shared" si="1172"/>
        <v>0</v>
      </c>
      <c r="M1823" s="118">
        <f t="shared" si="1172"/>
        <v>0</v>
      </c>
      <c r="N1823" s="118">
        <f t="shared" si="1172"/>
        <v>0</v>
      </c>
      <c r="O1823" s="118">
        <f t="shared" si="1172"/>
        <v>0</v>
      </c>
      <c r="P1823" s="118">
        <f t="shared" si="1172"/>
        <v>0</v>
      </c>
      <c r="Q1823" s="118">
        <f t="shared" si="1172"/>
        <v>0</v>
      </c>
      <c r="R1823" s="118">
        <f t="shared" si="1172"/>
        <v>0</v>
      </c>
      <c r="S1823" s="118">
        <f t="shared" si="1172"/>
        <v>0</v>
      </c>
      <c r="T1823" s="118">
        <f t="shared" si="1172"/>
        <v>0</v>
      </c>
      <c r="U1823" s="118">
        <f t="shared" si="1172"/>
        <v>0</v>
      </c>
      <c r="V1823" s="118">
        <f t="shared" si="1172"/>
        <v>0</v>
      </c>
      <c r="W1823" s="118">
        <f t="shared" si="1172"/>
        <v>0</v>
      </c>
      <c r="X1823" s="118">
        <f t="shared" si="1172"/>
        <v>0</v>
      </c>
    </row>
    <row r="1824" spans="2:24" hidden="1">
      <c r="B1824" s="116" t="str">
        <f t="shared" si="1159"/>
        <v/>
      </c>
      <c r="C1824" s="116" t="str">
        <f t="shared" si="1159"/>
        <v/>
      </c>
      <c r="D1824" s="116" t="str">
        <f t="shared" si="1159"/>
        <v/>
      </c>
      <c r="E1824" s="116" t="str">
        <f t="shared" si="1159"/>
        <v/>
      </c>
      <c r="F1824" s="116"/>
      <c r="G1824" s="116"/>
      <c r="H1824" s="116"/>
      <c r="I1824" s="116"/>
      <c r="J1824" s="116"/>
      <c r="K1824" s="118">
        <f t="shared" ref="K1824:X1824" si="1173">IF(AND($D1824="tak",OR($E1824="nie dotyczy",$E1824="badania przemysłowe"),LataProjekcji&lt;=Koniec_Projekt),K534,0)</f>
        <v>0</v>
      </c>
      <c r="L1824" s="118">
        <f t="shared" si="1173"/>
        <v>0</v>
      </c>
      <c r="M1824" s="118">
        <f t="shared" si="1173"/>
        <v>0</v>
      </c>
      <c r="N1824" s="118">
        <f t="shared" si="1173"/>
        <v>0</v>
      </c>
      <c r="O1824" s="118">
        <f t="shared" si="1173"/>
        <v>0</v>
      </c>
      <c r="P1824" s="118">
        <f t="shared" si="1173"/>
        <v>0</v>
      </c>
      <c r="Q1824" s="118">
        <f t="shared" si="1173"/>
        <v>0</v>
      </c>
      <c r="R1824" s="118">
        <f t="shared" si="1173"/>
        <v>0</v>
      </c>
      <c r="S1824" s="118">
        <f t="shared" si="1173"/>
        <v>0</v>
      </c>
      <c r="T1824" s="118">
        <f t="shared" si="1173"/>
        <v>0</v>
      </c>
      <c r="U1824" s="118">
        <f t="shared" si="1173"/>
        <v>0</v>
      </c>
      <c r="V1824" s="118">
        <f t="shared" si="1173"/>
        <v>0</v>
      </c>
      <c r="W1824" s="118">
        <f t="shared" si="1173"/>
        <v>0</v>
      </c>
      <c r="X1824" s="118">
        <f t="shared" si="1173"/>
        <v>0</v>
      </c>
    </row>
    <row r="1825" spans="2:24" hidden="1">
      <c r="B1825" s="116" t="str">
        <f t="shared" si="1159"/>
        <v/>
      </c>
      <c r="C1825" s="116" t="str">
        <f t="shared" si="1159"/>
        <v/>
      </c>
      <c r="D1825" s="116" t="str">
        <f t="shared" si="1159"/>
        <v/>
      </c>
      <c r="E1825" s="116" t="str">
        <f t="shared" si="1159"/>
        <v/>
      </c>
      <c r="F1825" s="116"/>
      <c r="G1825" s="116"/>
      <c r="H1825" s="116"/>
      <c r="I1825" s="116"/>
      <c r="J1825" s="116"/>
      <c r="K1825" s="118">
        <f t="shared" ref="K1825:X1825" si="1174">IF(AND($D1825="tak",OR($E1825="nie dotyczy",$E1825="badania przemysłowe"),LataProjekcji&lt;=Koniec_Projekt),K535,0)</f>
        <v>0</v>
      </c>
      <c r="L1825" s="118">
        <f t="shared" si="1174"/>
        <v>0</v>
      </c>
      <c r="M1825" s="118">
        <f t="shared" si="1174"/>
        <v>0</v>
      </c>
      <c r="N1825" s="118">
        <f t="shared" si="1174"/>
        <v>0</v>
      </c>
      <c r="O1825" s="118">
        <f t="shared" si="1174"/>
        <v>0</v>
      </c>
      <c r="P1825" s="118">
        <f t="shared" si="1174"/>
        <v>0</v>
      </c>
      <c r="Q1825" s="118">
        <f t="shared" si="1174"/>
        <v>0</v>
      </c>
      <c r="R1825" s="118">
        <f t="shared" si="1174"/>
        <v>0</v>
      </c>
      <c r="S1825" s="118">
        <f t="shared" si="1174"/>
        <v>0</v>
      </c>
      <c r="T1825" s="118">
        <f t="shared" si="1174"/>
        <v>0</v>
      </c>
      <c r="U1825" s="118">
        <f t="shared" si="1174"/>
        <v>0</v>
      </c>
      <c r="V1825" s="118">
        <f t="shared" si="1174"/>
        <v>0</v>
      </c>
      <c r="W1825" s="118">
        <f t="shared" si="1174"/>
        <v>0</v>
      </c>
      <c r="X1825" s="118">
        <f t="shared" si="1174"/>
        <v>0</v>
      </c>
    </row>
    <row r="1826" spans="2:24" hidden="1">
      <c r="B1826" s="116" t="str">
        <f t="shared" si="1159"/>
        <v/>
      </c>
      <c r="C1826" s="116" t="str">
        <f t="shared" si="1159"/>
        <v/>
      </c>
      <c r="D1826" s="116" t="str">
        <f t="shared" si="1159"/>
        <v/>
      </c>
      <c r="E1826" s="116" t="str">
        <f t="shared" si="1159"/>
        <v/>
      </c>
      <c r="F1826" s="116"/>
      <c r="G1826" s="116"/>
      <c r="H1826" s="116"/>
      <c r="I1826" s="116"/>
      <c r="J1826" s="116"/>
      <c r="K1826" s="118">
        <f t="shared" ref="K1826:X1826" si="1175">IF(AND($D1826="tak",OR($E1826="nie dotyczy",$E1826="badania przemysłowe"),LataProjekcji&lt;=Koniec_Projekt),K536,0)</f>
        <v>0</v>
      </c>
      <c r="L1826" s="118">
        <f t="shared" si="1175"/>
        <v>0</v>
      </c>
      <c r="M1826" s="118">
        <f t="shared" si="1175"/>
        <v>0</v>
      </c>
      <c r="N1826" s="118">
        <f t="shared" si="1175"/>
        <v>0</v>
      </c>
      <c r="O1826" s="118">
        <f t="shared" si="1175"/>
        <v>0</v>
      </c>
      <c r="P1826" s="118">
        <f t="shared" si="1175"/>
        <v>0</v>
      </c>
      <c r="Q1826" s="118">
        <f t="shared" si="1175"/>
        <v>0</v>
      </c>
      <c r="R1826" s="118">
        <f t="shared" si="1175"/>
        <v>0</v>
      </c>
      <c r="S1826" s="118">
        <f t="shared" si="1175"/>
        <v>0</v>
      </c>
      <c r="T1826" s="118">
        <f t="shared" si="1175"/>
        <v>0</v>
      </c>
      <c r="U1826" s="118">
        <f t="shared" si="1175"/>
        <v>0</v>
      </c>
      <c r="V1826" s="118">
        <f t="shared" si="1175"/>
        <v>0</v>
      </c>
      <c r="W1826" s="118">
        <f t="shared" si="1175"/>
        <v>0</v>
      </c>
      <c r="X1826" s="118">
        <f t="shared" si="1175"/>
        <v>0</v>
      </c>
    </row>
    <row r="1827" spans="2:24" hidden="1">
      <c r="B1827" s="116" t="str">
        <f t="shared" si="1159"/>
        <v/>
      </c>
      <c r="C1827" s="116" t="str">
        <f t="shared" si="1159"/>
        <v/>
      </c>
      <c r="D1827" s="116" t="str">
        <f t="shared" si="1159"/>
        <v/>
      </c>
      <c r="E1827" s="116" t="str">
        <f t="shared" si="1159"/>
        <v/>
      </c>
      <c r="F1827" s="116"/>
      <c r="G1827" s="116"/>
      <c r="H1827" s="116"/>
      <c r="I1827" s="116"/>
      <c r="J1827" s="116"/>
      <c r="K1827" s="118">
        <f t="shared" ref="K1827:X1827" si="1176">IF(AND($D1827="tak",OR($E1827="nie dotyczy",$E1827="badania przemysłowe"),LataProjekcji&lt;=Koniec_Projekt),K537,0)</f>
        <v>0</v>
      </c>
      <c r="L1827" s="118">
        <f t="shared" si="1176"/>
        <v>0</v>
      </c>
      <c r="M1827" s="118">
        <f t="shared" si="1176"/>
        <v>0</v>
      </c>
      <c r="N1827" s="118">
        <f t="shared" si="1176"/>
        <v>0</v>
      </c>
      <c r="O1827" s="118">
        <f t="shared" si="1176"/>
        <v>0</v>
      </c>
      <c r="P1827" s="118">
        <f t="shared" si="1176"/>
        <v>0</v>
      </c>
      <c r="Q1827" s="118">
        <f t="shared" si="1176"/>
        <v>0</v>
      </c>
      <c r="R1827" s="118">
        <f t="shared" si="1176"/>
        <v>0</v>
      </c>
      <c r="S1827" s="118">
        <f t="shared" si="1176"/>
        <v>0</v>
      </c>
      <c r="T1827" s="118">
        <f t="shared" si="1176"/>
        <v>0</v>
      </c>
      <c r="U1827" s="118">
        <f t="shared" si="1176"/>
        <v>0</v>
      </c>
      <c r="V1827" s="118">
        <f t="shared" si="1176"/>
        <v>0</v>
      </c>
      <c r="W1827" s="118">
        <f t="shared" si="1176"/>
        <v>0</v>
      </c>
      <c r="X1827" s="118">
        <f t="shared" si="1176"/>
        <v>0</v>
      </c>
    </row>
    <row r="1828" spans="2:24" hidden="1">
      <c r="B1828" s="116" t="str">
        <f t="shared" si="1159"/>
        <v/>
      </c>
      <c r="C1828" s="116" t="str">
        <f t="shared" si="1159"/>
        <v/>
      </c>
      <c r="D1828" s="116" t="str">
        <f t="shared" si="1159"/>
        <v/>
      </c>
      <c r="E1828" s="116" t="str">
        <f t="shared" si="1159"/>
        <v/>
      </c>
      <c r="F1828" s="116"/>
      <c r="G1828" s="116"/>
      <c r="H1828" s="116"/>
      <c r="I1828" s="116"/>
      <c r="J1828" s="116"/>
      <c r="K1828" s="118">
        <f t="shared" ref="K1828:X1828" si="1177">IF(AND($D1828="tak",OR($E1828="nie dotyczy",$E1828="badania przemysłowe"),LataProjekcji&lt;=Koniec_Projekt),K538,0)</f>
        <v>0</v>
      </c>
      <c r="L1828" s="118">
        <f t="shared" si="1177"/>
        <v>0</v>
      </c>
      <c r="M1828" s="118">
        <f t="shared" si="1177"/>
        <v>0</v>
      </c>
      <c r="N1828" s="118">
        <f t="shared" si="1177"/>
        <v>0</v>
      </c>
      <c r="O1828" s="118">
        <f t="shared" si="1177"/>
        <v>0</v>
      </c>
      <c r="P1828" s="118">
        <f t="shared" si="1177"/>
        <v>0</v>
      </c>
      <c r="Q1828" s="118">
        <f t="shared" si="1177"/>
        <v>0</v>
      </c>
      <c r="R1828" s="118">
        <f t="shared" si="1177"/>
        <v>0</v>
      </c>
      <c r="S1828" s="118">
        <f t="shared" si="1177"/>
        <v>0</v>
      </c>
      <c r="T1828" s="118">
        <f t="shared" si="1177"/>
        <v>0</v>
      </c>
      <c r="U1828" s="118">
        <f t="shared" si="1177"/>
        <v>0</v>
      </c>
      <c r="V1828" s="118">
        <f t="shared" si="1177"/>
        <v>0</v>
      </c>
      <c r="W1828" s="118">
        <f t="shared" si="1177"/>
        <v>0</v>
      </c>
      <c r="X1828" s="118">
        <f t="shared" si="1177"/>
        <v>0</v>
      </c>
    </row>
    <row r="1829" spans="2:24" hidden="1">
      <c r="B1829" s="116" t="str">
        <f t="shared" si="1159"/>
        <v/>
      </c>
      <c r="C1829" s="116" t="str">
        <f t="shared" si="1159"/>
        <v/>
      </c>
      <c r="D1829" s="116" t="str">
        <f t="shared" si="1159"/>
        <v/>
      </c>
      <c r="E1829" s="116" t="str">
        <f t="shared" si="1159"/>
        <v/>
      </c>
      <c r="F1829" s="116"/>
      <c r="G1829" s="116"/>
      <c r="H1829" s="116"/>
      <c r="I1829" s="116"/>
      <c r="J1829" s="116"/>
      <c r="K1829" s="118">
        <f t="shared" ref="K1829:X1829" si="1178">IF(AND($D1829="tak",OR($E1829="nie dotyczy",$E1829="badania przemysłowe"),LataProjekcji&lt;=Koniec_Projekt),K539,0)</f>
        <v>0</v>
      </c>
      <c r="L1829" s="118">
        <f t="shared" si="1178"/>
        <v>0</v>
      </c>
      <c r="M1829" s="118">
        <f t="shared" si="1178"/>
        <v>0</v>
      </c>
      <c r="N1829" s="118">
        <f t="shared" si="1178"/>
        <v>0</v>
      </c>
      <c r="O1829" s="118">
        <f t="shared" si="1178"/>
        <v>0</v>
      </c>
      <c r="P1829" s="118">
        <f t="shared" si="1178"/>
        <v>0</v>
      </c>
      <c r="Q1829" s="118">
        <f t="shared" si="1178"/>
        <v>0</v>
      </c>
      <c r="R1829" s="118">
        <f t="shared" si="1178"/>
        <v>0</v>
      </c>
      <c r="S1829" s="118">
        <f t="shared" si="1178"/>
        <v>0</v>
      </c>
      <c r="T1829" s="118">
        <f t="shared" si="1178"/>
        <v>0</v>
      </c>
      <c r="U1829" s="118">
        <f t="shared" si="1178"/>
        <v>0</v>
      </c>
      <c r="V1829" s="118">
        <f t="shared" si="1178"/>
        <v>0</v>
      </c>
      <c r="W1829" s="118">
        <f t="shared" si="1178"/>
        <v>0</v>
      </c>
      <c r="X1829" s="118">
        <f t="shared" si="1178"/>
        <v>0</v>
      </c>
    </row>
    <row r="1830" spans="2:24" hidden="1">
      <c r="B1830" s="116" t="str">
        <f t="shared" si="1159"/>
        <v/>
      </c>
      <c r="C1830" s="116" t="str">
        <f t="shared" si="1159"/>
        <v/>
      </c>
      <c r="D1830" s="116" t="str">
        <f t="shared" si="1159"/>
        <v/>
      </c>
      <c r="E1830" s="116" t="str">
        <f t="shared" si="1159"/>
        <v/>
      </c>
      <c r="F1830" s="116"/>
      <c r="G1830" s="116"/>
      <c r="H1830" s="116"/>
      <c r="I1830" s="116"/>
      <c r="J1830" s="116"/>
      <c r="K1830" s="118">
        <f t="shared" ref="K1830:X1830" si="1179">IF(AND($D1830="tak",OR($E1830="nie dotyczy",$E1830="badania przemysłowe"),LataProjekcji&lt;=Koniec_Projekt),K540,0)</f>
        <v>0</v>
      </c>
      <c r="L1830" s="118">
        <f t="shared" si="1179"/>
        <v>0</v>
      </c>
      <c r="M1830" s="118">
        <f t="shared" si="1179"/>
        <v>0</v>
      </c>
      <c r="N1830" s="118">
        <f t="shared" si="1179"/>
        <v>0</v>
      </c>
      <c r="O1830" s="118">
        <f t="shared" si="1179"/>
        <v>0</v>
      </c>
      <c r="P1830" s="118">
        <f t="shared" si="1179"/>
        <v>0</v>
      </c>
      <c r="Q1830" s="118">
        <f t="shared" si="1179"/>
        <v>0</v>
      </c>
      <c r="R1830" s="118">
        <f t="shared" si="1179"/>
        <v>0</v>
      </c>
      <c r="S1830" s="118">
        <f t="shared" si="1179"/>
        <v>0</v>
      </c>
      <c r="T1830" s="118">
        <f t="shared" si="1179"/>
        <v>0</v>
      </c>
      <c r="U1830" s="118">
        <f t="shared" si="1179"/>
        <v>0</v>
      </c>
      <c r="V1830" s="118">
        <f t="shared" si="1179"/>
        <v>0</v>
      </c>
      <c r="W1830" s="118">
        <f t="shared" si="1179"/>
        <v>0</v>
      </c>
      <c r="X1830" s="118">
        <f t="shared" si="1179"/>
        <v>0</v>
      </c>
    </row>
    <row r="1831" spans="2:24" hidden="1">
      <c r="B1831" s="116" t="str">
        <f t="shared" si="1159"/>
        <v/>
      </c>
      <c r="C1831" s="116" t="str">
        <f t="shared" si="1159"/>
        <v/>
      </c>
      <c r="D1831" s="116" t="str">
        <f t="shared" si="1159"/>
        <v/>
      </c>
      <c r="E1831" s="116" t="str">
        <f t="shared" si="1159"/>
        <v/>
      </c>
      <c r="F1831" s="116"/>
      <c r="G1831" s="116"/>
      <c r="H1831" s="116"/>
      <c r="I1831" s="116"/>
      <c r="J1831" s="116"/>
      <c r="K1831" s="118">
        <f t="shared" ref="K1831:X1831" si="1180">IF(AND($D1831="tak",OR($E1831="nie dotyczy",$E1831="badania przemysłowe"),LataProjekcji&lt;=Koniec_Projekt),K541,0)</f>
        <v>0</v>
      </c>
      <c r="L1831" s="118">
        <f t="shared" si="1180"/>
        <v>0</v>
      </c>
      <c r="M1831" s="118">
        <f t="shared" si="1180"/>
        <v>0</v>
      </c>
      <c r="N1831" s="118">
        <f t="shared" si="1180"/>
        <v>0</v>
      </c>
      <c r="O1831" s="118">
        <f t="shared" si="1180"/>
        <v>0</v>
      </c>
      <c r="P1831" s="118">
        <f t="shared" si="1180"/>
        <v>0</v>
      </c>
      <c r="Q1831" s="118">
        <f t="shared" si="1180"/>
        <v>0</v>
      </c>
      <c r="R1831" s="118">
        <f t="shared" si="1180"/>
        <v>0</v>
      </c>
      <c r="S1831" s="118">
        <f t="shared" si="1180"/>
        <v>0</v>
      </c>
      <c r="T1831" s="118">
        <f t="shared" si="1180"/>
        <v>0</v>
      </c>
      <c r="U1831" s="118">
        <f t="shared" si="1180"/>
        <v>0</v>
      </c>
      <c r="V1831" s="118">
        <f t="shared" si="1180"/>
        <v>0</v>
      </c>
      <c r="W1831" s="118">
        <f t="shared" si="1180"/>
        <v>0</v>
      </c>
      <c r="X1831" s="118">
        <f t="shared" si="1180"/>
        <v>0</v>
      </c>
    </row>
    <row r="1832" spans="2:24" hidden="1">
      <c r="B1832" s="116" t="str">
        <f t="shared" si="1159"/>
        <v/>
      </c>
      <c r="C1832" s="116" t="str">
        <f t="shared" si="1159"/>
        <v/>
      </c>
      <c r="D1832" s="116" t="str">
        <f t="shared" si="1159"/>
        <v/>
      </c>
      <c r="E1832" s="116" t="str">
        <f t="shared" si="1159"/>
        <v/>
      </c>
      <c r="F1832" s="116"/>
      <c r="G1832" s="116"/>
      <c r="H1832" s="116"/>
      <c r="I1832" s="116"/>
      <c r="J1832" s="116"/>
      <c r="K1832" s="118">
        <f t="shared" ref="K1832:X1832" si="1181">IF(AND($D1832="tak",OR($E1832="nie dotyczy",$E1832="badania przemysłowe"),LataProjekcji&lt;=Koniec_Projekt),K542,0)</f>
        <v>0</v>
      </c>
      <c r="L1832" s="118">
        <f t="shared" si="1181"/>
        <v>0</v>
      </c>
      <c r="M1832" s="118">
        <f t="shared" si="1181"/>
        <v>0</v>
      </c>
      <c r="N1832" s="118">
        <f t="shared" si="1181"/>
        <v>0</v>
      </c>
      <c r="O1832" s="118">
        <f t="shared" si="1181"/>
        <v>0</v>
      </c>
      <c r="P1832" s="118">
        <f t="shared" si="1181"/>
        <v>0</v>
      </c>
      <c r="Q1832" s="118">
        <f t="shared" si="1181"/>
        <v>0</v>
      </c>
      <c r="R1832" s="118">
        <f t="shared" si="1181"/>
        <v>0</v>
      </c>
      <c r="S1832" s="118">
        <f t="shared" si="1181"/>
        <v>0</v>
      </c>
      <c r="T1832" s="118">
        <f t="shared" si="1181"/>
        <v>0</v>
      </c>
      <c r="U1832" s="118">
        <f t="shared" si="1181"/>
        <v>0</v>
      </c>
      <c r="V1832" s="118">
        <f t="shared" si="1181"/>
        <v>0</v>
      </c>
      <c r="W1832" s="118">
        <f t="shared" si="1181"/>
        <v>0</v>
      </c>
      <c r="X1832" s="118">
        <f t="shared" si="1181"/>
        <v>0</v>
      </c>
    </row>
    <row r="1833" spans="2:24" hidden="1">
      <c r="B1833" s="116" t="str">
        <f t="shared" si="1159"/>
        <v/>
      </c>
      <c r="C1833" s="116" t="str">
        <f t="shared" si="1159"/>
        <v/>
      </c>
      <c r="D1833" s="116" t="str">
        <f t="shared" si="1159"/>
        <v/>
      </c>
      <c r="E1833" s="116" t="str">
        <f t="shared" si="1159"/>
        <v/>
      </c>
      <c r="F1833" s="116"/>
      <c r="G1833" s="116"/>
      <c r="H1833" s="116"/>
      <c r="I1833" s="116"/>
      <c r="J1833" s="116"/>
      <c r="K1833" s="118">
        <f t="shared" ref="K1833:X1833" si="1182">IF(AND($D1833="tak",OR($E1833="nie dotyczy",$E1833="badania przemysłowe"),LataProjekcji&lt;=Koniec_Projekt),K543,0)</f>
        <v>0</v>
      </c>
      <c r="L1833" s="118">
        <f t="shared" si="1182"/>
        <v>0</v>
      </c>
      <c r="M1833" s="118">
        <f t="shared" si="1182"/>
        <v>0</v>
      </c>
      <c r="N1833" s="118">
        <f t="shared" si="1182"/>
        <v>0</v>
      </c>
      <c r="O1833" s="118">
        <f t="shared" si="1182"/>
        <v>0</v>
      </c>
      <c r="P1833" s="118">
        <f t="shared" si="1182"/>
        <v>0</v>
      </c>
      <c r="Q1833" s="118">
        <f t="shared" si="1182"/>
        <v>0</v>
      </c>
      <c r="R1833" s="118">
        <f t="shared" si="1182"/>
        <v>0</v>
      </c>
      <c r="S1833" s="118">
        <f t="shared" si="1182"/>
        <v>0</v>
      </c>
      <c r="T1833" s="118">
        <f t="shared" si="1182"/>
        <v>0</v>
      </c>
      <c r="U1833" s="118">
        <f t="shared" si="1182"/>
        <v>0</v>
      </c>
      <c r="V1833" s="118">
        <f t="shared" si="1182"/>
        <v>0</v>
      </c>
      <c r="W1833" s="118">
        <f t="shared" si="1182"/>
        <v>0</v>
      </c>
      <c r="X1833" s="118">
        <f t="shared" si="1182"/>
        <v>0</v>
      </c>
    </row>
    <row r="1834" spans="2:24" hidden="1">
      <c r="B1834" s="116" t="str">
        <f t="shared" si="1159"/>
        <v/>
      </c>
      <c r="C1834" s="116" t="str">
        <f t="shared" si="1159"/>
        <v/>
      </c>
      <c r="D1834" s="116" t="str">
        <f t="shared" si="1159"/>
        <v/>
      </c>
      <c r="E1834" s="116" t="str">
        <f t="shared" si="1159"/>
        <v/>
      </c>
      <c r="F1834" s="116"/>
      <c r="G1834" s="116"/>
      <c r="H1834" s="116"/>
      <c r="I1834" s="116"/>
      <c r="J1834" s="116"/>
      <c r="K1834" s="118">
        <f t="shared" ref="K1834:X1834" si="1183">IF(AND($D1834="tak",OR($E1834="nie dotyczy",$E1834="badania przemysłowe"),LataProjekcji&lt;=Koniec_Projekt),K544,0)</f>
        <v>0</v>
      </c>
      <c r="L1834" s="118">
        <f t="shared" si="1183"/>
        <v>0</v>
      </c>
      <c r="M1834" s="118">
        <f t="shared" si="1183"/>
        <v>0</v>
      </c>
      <c r="N1834" s="118">
        <f t="shared" si="1183"/>
        <v>0</v>
      </c>
      <c r="O1834" s="118">
        <f t="shared" si="1183"/>
        <v>0</v>
      </c>
      <c r="P1834" s="118">
        <f t="shared" si="1183"/>
        <v>0</v>
      </c>
      <c r="Q1834" s="118">
        <f t="shared" si="1183"/>
        <v>0</v>
      </c>
      <c r="R1834" s="118">
        <f t="shared" si="1183"/>
        <v>0</v>
      </c>
      <c r="S1834" s="118">
        <f t="shared" si="1183"/>
        <v>0</v>
      </c>
      <c r="T1834" s="118">
        <f t="shared" si="1183"/>
        <v>0</v>
      </c>
      <c r="U1834" s="118">
        <f t="shared" si="1183"/>
        <v>0</v>
      </c>
      <c r="V1834" s="118">
        <f t="shared" si="1183"/>
        <v>0</v>
      </c>
      <c r="W1834" s="118">
        <f t="shared" si="1183"/>
        <v>0</v>
      </c>
      <c r="X1834" s="118">
        <f t="shared" si="1183"/>
        <v>0</v>
      </c>
    </row>
    <row r="1835" spans="2:24" hidden="1">
      <c r="B1835" s="116" t="str">
        <f t="shared" si="1159"/>
        <v/>
      </c>
      <c r="C1835" s="116" t="str">
        <f t="shared" si="1159"/>
        <v/>
      </c>
      <c r="D1835" s="116" t="str">
        <f t="shared" si="1159"/>
        <v/>
      </c>
      <c r="E1835" s="116" t="str">
        <f t="shared" si="1159"/>
        <v/>
      </c>
      <c r="F1835" s="116"/>
      <c r="G1835" s="116"/>
      <c r="H1835" s="116"/>
      <c r="I1835" s="116"/>
      <c r="J1835" s="116"/>
      <c r="K1835" s="118">
        <f t="shared" ref="K1835:X1835" si="1184">IF(AND($D1835="tak",OR($E1835="nie dotyczy",$E1835="badania przemysłowe"),LataProjekcji&lt;=Koniec_Projekt),K545,0)</f>
        <v>0</v>
      </c>
      <c r="L1835" s="118">
        <f t="shared" si="1184"/>
        <v>0</v>
      </c>
      <c r="M1835" s="118">
        <f t="shared" si="1184"/>
        <v>0</v>
      </c>
      <c r="N1835" s="118">
        <f t="shared" si="1184"/>
        <v>0</v>
      </c>
      <c r="O1835" s="118">
        <f t="shared" si="1184"/>
        <v>0</v>
      </c>
      <c r="P1835" s="118">
        <f t="shared" si="1184"/>
        <v>0</v>
      </c>
      <c r="Q1835" s="118">
        <f t="shared" si="1184"/>
        <v>0</v>
      </c>
      <c r="R1835" s="118">
        <f t="shared" si="1184"/>
        <v>0</v>
      </c>
      <c r="S1835" s="118">
        <f t="shared" si="1184"/>
        <v>0</v>
      </c>
      <c r="T1835" s="118">
        <f t="shared" si="1184"/>
        <v>0</v>
      </c>
      <c r="U1835" s="118">
        <f t="shared" si="1184"/>
        <v>0</v>
      </c>
      <c r="V1835" s="118">
        <f t="shared" si="1184"/>
        <v>0</v>
      </c>
      <c r="W1835" s="118">
        <f t="shared" si="1184"/>
        <v>0</v>
      </c>
      <c r="X1835" s="118">
        <f t="shared" si="1184"/>
        <v>0</v>
      </c>
    </row>
    <row r="1836" spans="2:24" hidden="1">
      <c r="B1836" s="116" t="str">
        <f t="shared" si="1159"/>
        <v/>
      </c>
      <c r="C1836" s="116" t="str">
        <f t="shared" si="1159"/>
        <v/>
      </c>
      <c r="D1836" s="116" t="str">
        <f t="shared" si="1159"/>
        <v/>
      </c>
      <c r="E1836" s="116" t="str">
        <f t="shared" si="1159"/>
        <v/>
      </c>
      <c r="F1836" s="116"/>
      <c r="G1836" s="116"/>
      <c r="H1836" s="116"/>
      <c r="I1836" s="116"/>
      <c r="J1836" s="116"/>
      <c r="K1836" s="118">
        <f t="shared" ref="K1836:X1836" si="1185">IF(AND($D1836="tak",OR($E1836="nie dotyczy",$E1836="badania przemysłowe"),LataProjekcji&lt;=Koniec_Projekt),K546,0)</f>
        <v>0</v>
      </c>
      <c r="L1836" s="118">
        <f t="shared" si="1185"/>
        <v>0</v>
      </c>
      <c r="M1836" s="118">
        <f t="shared" si="1185"/>
        <v>0</v>
      </c>
      <c r="N1836" s="118">
        <f t="shared" si="1185"/>
        <v>0</v>
      </c>
      <c r="O1836" s="118">
        <f t="shared" si="1185"/>
        <v>0</v>
      </c>
      <c r="P1836" s="118">
        <f t="shared" si="1185"/>
        <v>0</v>
      </c>
      <c r="Q1836" s="118">
        <f t="shared" si="1185"/>
        <v>0</v>
      </c>
      <c r="R1836" s="118">
        <f t="shared" si="1185"/>
        <v>0</v>
      </c>
      <c r="S1836" s="118">
        <f t="shared" si="1185"/>
        <v>0</v>
      </c>
      <c r="T1836" s="118">
        <f t="shared" si="1185"/>
        <v>0</v>
      </c>
      <c r="U1836" s="118">
        <f t="shared" si="1185"/>
        <v>0</v>
      </c>
      <c r="V1836" s="118">
        <f t="shared" si="1185"/>
        <v>0</v>
      </c>
      <c r="W1836" s="118">
        <f t="shared" si="1185"/>
        <v>0</v>
      </c>
      <c r="X1836" s="118">
        <f t="shared" si="1185"/>
        <v>0</v>
      </c>
    </row>
    <row r="1837" spans="2:24" hidden="1">
      <c r="B1837" s="116" t="str">
        <f t="shared" si="1159"/>
        <v/>
      </c>
      <c r="C1837" s="116" t="str">
        <f t="shared" si="1159"/>
        <v/>
      </c>
      <c r="D1837" s="116" t="str">
        <f t="shared" si="1159"/>
        <v/>
      </c>
      <c r="E1837" s="116" t="str">
        <f t="shared" si="1159"/>
        <v/>
      </c>
      <c r="F1837" s="116"/>
      <c r="G1837" s="116"/>
      <c r="H1837" s="116"/>
      <c r="I1837" s="116"/>
      <c r="J1837" s="116"/>
      <c r="K1837" s="118">
        <f t="shared" ref="K1837:X1837" si="1186">IF(AND($D1837="tak",OR($E1837="nie dotyczy",$E1837="badania przemysłowe"),LataProjekcji&lt;=Koniec_Projekt),K547,0)</f>
        <v>0</v>
      </c>
      <c r="L1837" s="118">
        <f t="shared" si="1186"/>
        <v>0</v>
      </c>
      <c r="M1837" s="118">
        <f t="shared" si="1186"/>
        <v>0</v>
      </c>
      <c r="N1837" s="118">
        <f t="shared" si="1186"/>
        <v>0</v>
      </c>
      <c r="O1837" s="118">
        <f t="shared" si="1186"/>
        <v>0</v>
      </c>
      <c r="P1837" s="118">
        <f t="shared" si="1186"/>
        <v>0</v>
      </c>
      <c r="Q1837" s="118">
        <f t="shared" si="1186"/>
        <v>0</v>
      </c>
      <c r="R1837" s="118">
        <f t="shared" si="1186"/>
        <v>0</v>
      </c>
      <c r="S1837" s="118">
        <f t="shared" si="1186"/>
        <v>0</v>
      </c>
      <c r="T1837" s="118">
        <f t="shared" si="1186"/>
        <v>0</v>
      </c>
      <c r="U1837" s="118">
        <f t="shared" si="1186"/>
        <v>0</v>
      </c>
      <c r="V1837" s="118">
        <f t="shared" si="1186"/>
        <v>0</v>
      </c>
      <c r="W1837" s="118">
        <f t="shared" si="1186"/>
        <v>0</v>
      </c>
      <c r="X1837" s="118">
        <f t="shared" si="1186"/>
        <v>0</v>
      </c>
    </row>
    <row r="1838" spans="2:24" hidden="1">
      <c r="B1838" s="116" t="str">
        <f t="shared" si="1159"/>
        <v/>
      </c>
      <c r="C1838" s="116" t="str">
        <f t="shared" si="1159"/>
        <v/>
      </c>
      <c r="D1838" s="116" t="str">
        <f t="shared" si="1159"/>
        <v/>
      </c>
      <c r="E1838" s="116" t="str">
        <f t="shared" si="1159"/>
        <v/>
      </c>
      <c r="F1838" s="116"/>
      <c r="G1838" s="116"/>
      <c r="H1838" s="116"/>
      <c r="I1838" s="116"/>
      <c r="J1838" s="116"/>
      <c r="K1838" s="118">
        <f t="shared" ref="K1838:X1838" si="1187">IF(AND($D1838="tak",OR($E1838="nie dotyczy",$E1838="badania przemysłowe"),LataProjekcji&lt;=Koniec_Projekt),K548,0)</f>
        <v>0</v>
      </c>
      <c r="L1838" s="118">
        <f t="shared" si="1187"/>
        <v>0</v>
      </c>
      <c r="M1838" s="118">
        <f t="shared" si="1187"/>
        <v>0</v>
      </c>
      <c r="N1838" s="118">
        <f t="shared" si="1187"/>
        <v>0</v>
      </c>
      <c r="O1838" s="118">
        <f t="shared" si="1187"/>
        <v>0</v>
      </c>
      <c r="P1838" s="118">
        <f t="shared" si="1187"/>
        <v>0</v>
      </c>
      <c r="Q1838" s="118">
        <f t="shared" si="1187"/>
        <v>0</v>
      </c>
      <c r="R1838" s="118">
        <f t="shared" si="1187"/>
        <v>0</v>
      </c>
      <c r="S1838" s="118">
        <f t="shared" si="1187"/>
        <v>0</v>
      </c>
      <c r="T1838" s="118">
        <f t="shared" si="1187"/>
        <v>0</v>
      </c>
      <c r="U1838" s="118">
        <f t="shared" si="1187"/>
        <v>0</v>
      </c>
      <c r="V1838" s="118">
        <f t="shared" si="1187"/>
        <v>0</v>
      </c>
      <c r="W1838" s="118">
        <f t="shared" si="1187"/>
        <v>0</v>
      </c>
      <c r="X1838" s="118">
        <f t="shared" si="1187"/>
        <v>0</v>
      </c>
    </row>
    <row r="1839" spans="2:24" hidden="1">
      <c r="B1839" s="116" t="str">
        <f t="shared" si="1159"/>
        <v/>
      </c>
      <c r="C1839" s="116" t="str">
        <f t="shared" si="1159"/>
        <v/>
      </c>
      <c r="D1839" s="116" t="str">
        <f t="shared" si="1159"/>
        <v/>
      </c>
      <c r="E1839" s="116" t="str">
        <f t="shared" si="1159"/>
        <v/>
      </c>
      <c r="F1839" s="116"/>
      <c r="G1839" s="116"/>
      <c r="H1839" s="116"/>
      <c r="I1839" s="116"/>
      <c r="J1839" s="116"/>
      <c r="K1839" s="118">
        <f t="shared" ref="K1839:X1839" si="1188">IF(AND($D1839="tak",OR($E1839="nie dotyczy",$E1839="badania przemysłowe"),LataProjekcji&lt;=Koniec_Projekt),K549,0)</f>
        <v>0</v>
      </c>
      <c r="L1839" s="118">
        <f t="shared" si="1188"/>
        <v>0</v>
      </c>
      <c r="M1839" s="118">
        <f t="shared" si="1188"/>
        <v>0</v>
      </c>
      <c r="N1839" s="118">
        <f t="shared" si="1188"/>
        <v>0</v>
      </c>
      <c r="O1839" s="118">
        <f t="shared" si="1188"/>
        <v>0</v>
      </c>
      <c r="P1839" s="118">
        <f t="shared" si="1188"/>
        <v>0</v>
      </c>
      <c r="Q1839" s="118">
        <f t="shared" si="1188"/>
        <v>0</v>
      </c>
      <c r="R1839" s="118">
        <f t="shared" si="1188"/>
        <v>0</v>
      </c>
      <c r="S1839" s="118">
        <f t="shared" si="1188"/>
        <v>0</v>
      </c>
      <c r="T1839" s="118">
        <f t="shared" si="1188"/>
        <v>0</v>
      </c>
      <c r="U1839" s="118">
        <f t="shared" si="1188"/>
        <v>0</v>
      </c>
      <c r="V1839" s="118">
        <f t="shared" si="1188"/>
        <v>0</v>
      </c>
      <c r="W1839" s="118">
        <f t="shared" si="1188"/>
        <v>0</v>
      </c>
      <c r="X1839" s="118">
        <f t="shared" si="1188"/>
        <v>0</v>
      </c>
    </row>
    <row r="1840" spans="2:24" hidden="1">
      <c r="B1840" s="116" t="str">
        <f t="shared" si="1159"/>
        <v/>
      </c>
      <c r="C1840" s="116" t="str">
        <f t="shared" si="1159"/>
        <v/>
      </c>
      <c r="D1840" s="116" t="str">
        <f t="shared" si="1159"/>
        <v/>
      </c>
      <c r="E1840" s="116" t="str">
        <f t="shared" si="1159"/>
        <v/>
      </c>
      <c r="F1840" s="116"/>
      <c r="G1840" s="116"/>
      <c r="H1840" s="116"/>
      <c r="I1840" s="116"/>
      <c r="J1840" s="116"/>
      <c r="K1840" s="118">
        <f t="shared" ref="K1840:X1840" si="1189">IF(AND($D1840="tak",OR($E1840="nie dotyczy",$E1840="badania przemysłowe"),LataProjekcji&lt;=Koniec_Projekt),K550,0)</f>
        <v>0</v>
      </c>
      <c r="L1840" s="118">
        <f t="shared" si="1189"/>
        <v>0</v>
      </c>
      <c r="M1840" s="118">
        <f t="shared" si="1189"/>
        <v>0</v>
      </c>
      <c r="N1840" s="118">
        <f t="shared" si="1189"/>
        <v>0</v>
      </c>
      <c r="O1840" s="118">
        <f t="shared" si="1189"/>
        <v>0</v>
      </c>
      <c r="P1840" s="118">
        <f t="shared" si="1189"/>
        <v>0</v>
      </c>
      <c r="Q1840" s="118">
        <f t="shared" si="1189"/>
        <v>0</v>
      </c>
      <c r="R1840" s="118">
        <f t="shared" si="1189"/>
        <v>0</v>
      </c>
      <c r="S1840" s="118">
        <f t="shared" si="1189"/>
        <v>0</v>
      </c>
      <c r="T1840" s="118">
        <f t="shared" si="1189"/>
        <v>0</v>
      </c>
      <c r="U1840" s="118">
        <f t="shared" si="1189"/>
        <v>0</v>
      </c>
      <c r="V1840" s="118">
        <f t="shared" si="1189"/>
        <v>0</v>
      </c>
      <c r="W1840" s="118">
        <f t="shared" si="1189"/>
        <v>0</v>
      </c>
      <c r="X1840" s="118">
        <f t="shared" si="1189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0">ROUND(SUM(K1811:K1840),0)</f>
        <v>0</v>
      </c>
      <c r="L1841" s="119">
        <f t="shared" si="1190"/>
        <v>0</v>
      </c>
      <c r="M1841" s="119">
        <f t="shared" si="1190"/>
        <v>0</v>
      </c>
      <c r="N1841" s="119">
        <f t="shared" si="1190"/>
        <v>0</v>
      </c>
      <c r="O1841" s="119">
        <f t="shared" si="1190"/>
        <v>0</v>
      </c>
      <c r="P1841" s="119">
        <f t="shared" si="1190"/>
        <v>0</v>
      </c>
      <c r="Q1841" s="119">
        <f t="shared" si="1190"/>
        <v>0</v>
      </c>
      <c r="R1841" s="119">
        <f t="shared" si="1190"/>
        <v>0</v>
      </c>
      <c r="S1841" s="119">
        <f t="shared" si="1190"/>
        <v>0</v>
      </c>
      <c r="T1841" s="119">
        <f t="shared" si="1190"/>
        <v>0</v>
      </c>
      <c r="U1841" s="119">
        <f t="shared" si="1190"/>
        <v>0</v>
      </c>
      <c r="V1841" s="119">
        <f t="shared" si="1190"/>
        <v>0</v>
      </c>
      <c r="W1841" s="119">
        <f t="shared" si="1190"/>
        <v>0</v>
      </c>
      <c r="X1841" s="119">
        <f t="shared" si="1190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1">ROUND(SUM(L1845:L1849),0)</f>
        <v>0</v>
      </c>
      <c r="M1850" s="119">
        <f t="shared" si="1191"/>
        <v>0</v>
      </c>
      <c r="N1850" s="119">
        <f t="shared" si="1191"/>
        <v>0</v>
      </c>
      <c r="O1850" s="119">
        <f t="shared" si="1191"/>
        <v>0</v>
      </c>
      <c r="P1850" s="119">
        <f t="shared" si="1191"/>
        <v>0</v>
      </c>
      <c r="Q1850" s="119">
        <f t="shared" si="1191"/>
        <v>0</v>
      </c>
      <c r="R1850" s="119">
        <f t="shared" si="1191"/>
        <v>0</v>
      </c>
      <c r="S1850" s="119">
        <f t="shared" si="1191"/>
        <v>0</v>
      </c>
      <c r="T1850" s="119">
        <f t="shared" si="1191"/>
        <v>0</v>
      </c>
      <c r="U1850" s="119">
        <f t="shared" si="1191"/>
        <v>0</v>
      </c>
      <c r="V1850" s="119">
        <f t="shared" si="1191"/>
        <v>0</v>
      </c>
      <c r="W1850" s="119">
        <f t="shared" si="1191"/>
        <v>0</v>
      </c>
      <c r="X1850" s="119">
        <f t="shared" si="1191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2">IF(ISBLANK(B1614),"",B1614)</f>
        <v/>
      </c>
      <c r="C1854" s="116" t="str">
        <f t="shared" si="1192"/>
        <v/>
      </c>
      <c r="D1854" s="116" t="str">
        <f t="shared" si="1192"/>
        <v/>
      </c>
      <c r="E1854" s="116" t="str">
        <f t="shared" si="1192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2"/>
        <v/>
      </c>
      <c r="C1855" s="116" t="str">
        <f t="shared" si="1192"/>
        <v/>
      </c>
      <c r="D1855" s="116" t="str">
        <f t="shared" si="1192"/>
        <v/>
      </c>
      <c r="E1855" s="116" t="str">
        <f t="shared" si="1192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2"/>
        <v/>
      </c>
      <c r="C1856" s="116" t="str">
        <f t="shared" si="1192"/>
        <v/>
      </c>
      <c r="D1856" s="116" t="str">
        <f t="shared" si="1192"/>
        <v/>
      </c>
      <c r="E1856" s="116" t="str">
        <f t="shared" si="1192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2"/>
        <v/>
      </c>
      <c r="C1857" s="116" t="str">
        <f t="shared" si="1192"/>
        <v/>
      </c>
      <c r="D1857" s="116" t="str">
        <f t="shared" si="1192"/>
        <v/>
      </c>
      <c r="E1857" s="116" t="str">
        <f t="shared" si="1192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2"/>
        <v/>
      </c>
      <c r="C1858" s="116" t="str">
        <f t="shared" si="1192"/>
        <v/>
      </c>
      <c r="D1858" s="116" t="str">
        <f t="shared" si="1192"/>
        <v/>
      </c>
      <c r="E1858" s="116" t="str">
        <f t="shared" si="1192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3">ROUND(SUM(L1854:L1858),0)</f>
        <v>0</v>
      </c>
      <c r="M1859" s="119">
        <f t="shared" si="1193"/>
        <v>0</v>
      </c>
      <c r="N1859" s="119">
        <f t="shared" si="1193"/>
        <v>0</v>
      </c>
      <c r="O1859" s="119">
        <f t="shared" si="1193"/>
        <v>0</v>
      </c>
      <c r="P1859" s="119">
        <f t="shared" si="1193"/>
        <v>0</v>
      </c>
      <c r="Q1859" s="119">
        <f t="shared" si="1193"/>
        <v>0</v>
      </c>
      <c r="R1859" s="119">
        <f t="shared" si="1193"/>
        <v>0</v>
      </c>
      <c r="S1859" s="119">
        <f t="shared" si="1193"/>
        <v>0</v>
      </c>
      <c r="T1859" s="119">
        <f t="shared" si="1193"/>
        <v>0</v>
      </c>
      <c r="U1859" s="119">
        <f t="shared" si="1193"/>
        <v>0</v>
      </c>
      <c r="V1859" s="119">
        <f t="shared" si="1193"/>
        <v>0</v>
      </c>
      <c r="W1859" s="119">
        <f t="shared" si="1193"/>
        <v>0</v>
      </c>
      <c r="X1859" s="119">
        <f t="shared" si="1193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4">IF(ISBLANK(B1623),"",B1623)</f>
        <v>Koszty z tytułu oprocentowania kredytów i pożyczek</v>
      </c>
      <c r="C1863" s="116" t="str">
        <f t="shared" si="1194"/>
        <v/>
      </c>
      <c r="D1863" s="116" t="str">
        <f t="shared" si="1194"/>
        <v/>
      </c>
      <c r="E1863" s="116" t="str">
        <f t="shared" si="1194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4"/>
        <v/>
      </c>
      <c r="C1864" s="116" t="str">
        <f t="shared" si="1194"/>
        <v/>
      </c>
      <c r="D1864" s="116" t="str">
        <f t="shared" si="1194"/>
        <v/>
      </c>
      <c r="E1864" s="116" t="str">
        <f t="shared" si="1194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4"/>
        <v/>
      </c>
      <c r="C1865" s="116" t="str">
        <f t="shared" si="1194"/>
        <v/>
      </c>
      <c r="D1865" s="116" t="str">
        <f t="shared" si="1194"/>
        <v/>
      </c>
      <c r="E1865" s="116" t="str">
        <f t="shared" si="1194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4"/>
        <v/>
      </c>
      <c r="C1866" s="116" t="str">
        <f t="shared" si="1194"/>
        <v/>
      </c>
      <c r="D1866" s="116" t="str">
        <f t="shared" si="1194"/>
        <v/>
      </c>
      <c r="E1866" s="116" t="str">
        <f t="shared" si="1194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4"/>
        <v/>
      </c>
      <c r="C1867" s="116" t="str">
        <f t="shared" si="1194"/>
        <v/>
      </c>
      <c r="D1867" s="116" t="str">
        <f t="shared" si="1194"/>
        <v/>
      </c>
      <c r="E1867" s="116" t="str">
        <f t="shared" si="1194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5">ROUND(SUM(L1863:L1867),0)</f>
        <v>0</v>
      </c>
      <c r="M1868" s="119">
        <f t="shared" si="1195"/>
        <v>0</v>
      </c>
      <c r="N1868" s="119">
        <f t="shared" si="1195"/>
        <v>0</v>
      </c>
      <c r="O1868" s="119">
        <f t="shared" si="1195"/>
        <v>0</v>
      </c>
      <c r="P1868" s="119">
        <f t="shared" si="1195"/>
        <v>0</v>
      </c>
      <c r="Q1868" s="119">
        <f t="shared" si="1195"/>
        <v>0</v>
      </c>
      <c r="R1868" s="119">
        <f t="shared" si="1195"/>
        <v>0</v>
      </c>
      <c r="S1868" s="119">
        <f t="shared" si="1195"/>
        <v>0</v>
      </c>
      <c r="T1868" s="119">
        <f t="shared" si="1195"/>
        <v>0</v>
      </c>
      <c r="U1868" s="119">
        <f t="shared" si="1195"/>
        <v>0</v>
      </c>
      <c r="V1868" s="119">
        <f t="shared" si="1195"/>
        <v>0</v>
      </c>
      <c r="W1868" s="119">
        <f t="shared" si="1195"/>
        <v>0</v>
      </c>
      <c r="X1868" s="119">
        <f t="shared" si="1195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196">IF(LataProjekcji&lt;=Koniec_Projekt,ROUND(K1684,0),0)</f>
        <v>0</v>
      </c>
      <c r="L1872" s="120">
        <f t="shared" si="1196"/>
        <v>0</v>
      </c>
      <c r="M1872" s="120">
        <f t="shared" si="1196"/>
        <v>0</v>
      </c>
      <c r="N1872" s="120">
        <f t="shared" si="1196"/>
        <v>0</v>
      </c>
      <c r="O1872" s="120">
        <f t="shared" si="1196"/>
        <v>0</v>
      </c>
      <c r="P1872" s="120">
        <f t="shared" si="1196"/>
        <v>0</v>
      </c>
      <c r="Q1872" s="120">
        <f t="shared" si="1196"/>
        <v>0</v>
      </c>
      <c r="R1872" s="120">
        <f t="shared" si="1196"/>
        <v>0</v>
      </c>
      <c r="S1872" s="120">
        <f t="shared" si="1196"/>
        <v>0</v>
      </c>
      <c r="T1872" s="120">
        <f t="shared" si="1196"/>
        <v>0</v>
      </c>
      <c r="U1872" s="120">
        <f t="shared" si="1196"/>
        <v>0</v>
      </c>
      <c r="V1872" s="120">
        <f t="shared" si="1196"/>
        <v>0</v>
      </c>
      <c r="W1872" s="120">
        <f t="shared" si="1196"/>
        <v>0</v>
      </c>
      <c r="X1872" s="120">
        <f t="shared" si="1196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197">IF(LataProjekcji&lt;=Koniec_Projekt,ROUND(K1708,0),0)</f>
        <v>0</v>
      </c>
      <c r="L1873" s="120">
        <f t="shared" si="1197"/>
        <v>0</v>
      </c>
      <c r="M1873" s="120">
        <f t="shared" si="1197"/>
        <v>0</v>
      </c>
      <c r="N1873" s="120">
        <f t="shared" si="1197"/>
        <v>0</v>
      </c>
      <c r="O1873" s="120">
        <f t="shared" si="1197"/>
        <v>0</v>
      </c>
      <c r="P1873" s="120">
        <f t="shared" si="1197"/>
        <v>0</v>
      </c>
      <c r="Q1873" s="120">
        <f t="shared" si="1197"/>
        <v>0</v>
      </c>
      <c r="R1873" s="120">
        <f t="shared" si="1197"/>
        <v>0</v>
      </c>
      <c r="S1873" s="120">
        <f t="shared" si="1197"/>
        <v>0</v>
      </c>
      <c r="T1873" s="120">
        <f t="shared" si="1197"/>
        <v>0</v>
      </c>
      <c r="U1873" s="120">
        <f t="shared" si="1197"/>
        <v>0</v>
      </c>
      <c r="V1873" s="120">
        <f t="shared" si="1197"/>
        <v>0</v>
      </c>
      <c r="W1873" s="120">
        <f t="shared" si="1197"/>
        <v>0</v>
      </c>
      <c r="X1873" s="120">
        <f t="shared" si="1197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198">IF(LataProjekcji&lt;=Koniec_Projekt,ROUND(K1717,0),0)</f>
        <v>0</v>
      </c>
      <c r="L1874" s="120">
        <f t="shared" si="1198"/>
        <v>0</v>
      </c>
      <c r="M1874" s="120">
        <f t="shared" si="1198"/>
        <v>0</v>
      </c>
      <c r="N1874" s="120">
        <f t="shared" si="1198"/>
        <v>0</v>
      </c>
      <c r="O1874" s="120">
        <f t="shared" si="1198"/>
        <v>0</v>
      </c>
      <c r="P1874" s="120">
        <f t="shared" si="1198"/>
        <v>0</v>
      </c>
      <c r="Q1874" s="120">
        <f t="shared" si="1198"/>
        <v>0</v>
      </c>
      <c r="R1874" s="120">
        <f t="shared" si="1198"/>
        <v>0</v>
      </c>
      <c r="S1874" s="120">
        <f t="shared" si="1198"/>
        <v>0</v>
      </c>
      <c r="T1874" s="120">
        <f t="shared" si="1198"/>
        <v>0</v>
      </c>
      <c r="U1874" s="120">
        <f t="shared" si="1198"/>
        <v>0</v>
      </c>
      <c r="V1874" s="120">
        <f t="shared" si="1198"/>
        <v>0</v>
      </c>
      <c r="W1874" s="120">
        <f t="shared" si="1198"/>
        <v>0</v>
      </c>
      <c r="X1874" s="120">
        <f t="shared" si="1198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199">IF(LataProjekcji&lt;=Koniec_Projekt,ROUND(K1762,0),0)</f>
        <v>0</v>
      </c>
      <c r="L1875" s="120">
        <f t="shared" si="1199"/>
        <v>0</v>
      </c>
      <c r="M1875" s="120">
        <f t="shared" si="1199"/>
        <v>0</v>
      </c>
      <c r="N1875" s="120">
        <f t="shared" si="1199"/>
        <v>0</v>
      </c>
      <c r="O1875" s="120">
        <f t="shared" si="1199"/>
        <v>0</v>
      </c>
      <c r="P1875" s="120">
        <f t="shared" si="1199"/>
        <v>0</v>
      </c>
      <c r="Q1875" s="120">
        <f t="shared" si="1199"/>
        <v>0</v>
      </c>
      <c r="R1875" s="120">
        <f t="shared" si="1199"/>
        <v>0</v>
      </c>
      <c r="S1875" s="120">
        <f t="shared" si="1199"/>
        <v>0</v>
      </c>
      <c r="T1875" s="120">
        <f t="shared" si="1199"/>
        <v>0</v>
      </c>
      <c r="U1875" s="120">
        <f t="shared" si="1199"/>
        <v>0</v>
      </c>
      <c r="V1875" s="120">
        <f t="shared" si="1199"/>
        <v>0</v>
      </c>
      <c r="W1875" s="120">
        <f t="shared" si="1199"/>
        <v>0</v>
      </c>
      <c r="X1875" s="120">
        <f t="shared" si="1199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0">IF(LataProjekcji&lt;=Koniec_Projekt,ROUND(K1807,0),0)</f>
        <v>0</v>
      </c>
      <c r="L1876" s="120">
        <f t="shared" si="1200"/>
        <v>0</v>
      </c>
      <c r="M1876" s="120">
        <f t="shared" si="1200"/>
        <v>0</v>
      </c>
      <c r="N1876" s="120">
        <f t="shared" si="1200"/>
        <v>0</v>
      </c>
      <c r="O1876" s="120">
        <f t="shared" si="1200"/>
        <v>0</v>
      </c>
      <c r="P1876" s="120">
        <f t="shared" si="1200"/>
        <v>0</v>
      </c>
      <c r="Q1876" s="120">
        <f t="shared" si="1200"/>
        <v>0</v>
      </c>
      <c r="R1876" s="120">
        <f t="shared" si="1200"/>
        <v>0</v>
      </c>
      <c r="S1876" s="120">
        <f t="shared" si="1200"/>
        <v>0</v>
      </c>
      <c r="T1876" s="120">
        <f t="shared" si="1200"/>
        <v>0</v>
      </c>
      <c r="U1876" s="120">
        <f t="shared" si="1200"/>
        <v>0</v>
      </c>
      <c r="V1876" s="120">
        <f t="shared" si="1200"/>
        <v>0</v>
      </c>
      <c r="W1876" s="120">
        <f t="shared" si="1200"/>
        <v>0</v>
      </c>
      <c r="X1876" s="120">
        <f t="shared" si="1200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1">IF(LataProjekcji&lt;=Koniec_Projekt,ROUND(K1841,0),0)</f>
        <v>0</v>
      </c>
      <c r="L1877" s="120">
        <f t="shared" si="1201"/>
        <v>0</v>
      </c>
      <c r="M1877" s="120">
        <f t="shared" si="1201"/>
        <v>0</v>
      </c>
      <c r="N1877" s="120">
        <f t="shared" si="1201"/>
        <v>0</v>
      </c>
      <c r="O1877" s="120">
        <f t="shared" si="1201"/>
        <v>0</v>
      </c>
      <c r="P1877" s="120">
        <f t="shared" si="1201"/>
        <v>0</v>
      </c>
      <c r="Q1877" s="120">
        <f t="shared" si="1201"/>
        <v>0</v>
      </c>
      <c r="R1877" s="120">
        <f t="shared" si="1201"/>
        <v>0</v>
      </c>
      <c r="S1877" s="120">
        <f t="shared" si="1201"/>
        <v>0</v>
      </c>
      <c r="T1877" s="120">
        <f t="shared" si="1201"/>
        <v>0</v>
      </c>
      <c r="U1877" s="120">
        <f t="shared" si="1201"/>
        <v>0</v>
      </c>
      <c r="V1877" s="120">
        <f t="shared" si="1201"/>
        <v>0</v>
      </c>
      <c r="W1877" s="120">
        <f t="shared" si="1201"/>
        <v>0</v>
      </c>
      <c r="X1877" s="120">
        <f t="shared" si="1201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2">IF(LataProjekcji&lt;=Koniec_Projekt,K1850,0)</f>
        <v>0</v>
      </c>
      <c r="L1878" s="120">
        <f t="shared" si="1202"/>
        <v>0</v>
      </c>
      <c r="M1878" s="120">
        <f t="shared" si="1202"/>
        <v>0</v>
      </c>
      <c r="N1878" s="120">
        <f t="shared" si="1202"/>
        <v>0</v>
      </c>
      <c r="O1878" s="120">
        <f t="shared" si="1202"/>
        <v>0</v>
      </c>
      <c r="P1878" s="120">
        <f t="shared" si="1202"/>
        <v>0</v>
      </c>
      <c r="Q1878" s="120">
        <f t="shared" si="1202"/>
        <v>0</v>
      </c>
      <c r="R1878" s="120">
        <f t="shared" si="1202"/>
        <v>0</v>
      </c>
      <c r="S1878" s="120">
        <f t="shared" si="1202"/>
        <v>0</v>
      </c>
      <c r="T1878" s="120">
        <f t="shared" si="1202"/>
        <v>0</v>
      </c>
      <c r="U1878" s="120">
        <f t="shared" si="1202"/>
        <v>0</v>
      </c>
      <c r="V1878" s="120">
        <f t="shared" si="1202"/>
        <v>0</v>
      </c>
      <c r="W1878" s="120">
        <f t="shared" si="1202"/>
        <v>0</v>
      </c>
      <c r="X1878" s="120">
        <f t="shared" si="1202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3">IF(LataProjekcji&lt;=Koniec_Projekt,ROUND(K1859,0),0)</f>
        <v>0</v>
      </c>
      <c r="L1879" s="120">
        <f t="shared" si="1203"/>
        <v>0</v>
      </c>
      <c r="M1879" s="120">
        <f t="shared" si="1203"/>
        <v>0</v>
      </c>
      <c r="N1879" s="120">
        <f t="shared" si="1203"/>
        <v>0</v>
      </c>
      <c r="O1879" s="120">
        <f t="shared" si="1203"/>
        <v>0</v>
      </c>
      <c r="P1879" s="120">
        <f t="shared" si="1203"/>
        <v>0</v>
      </c>
      <c r="Q1879" s="120">
        <f t="shared" si="1203"/>
        <v>0</v>
      </c>
      <c r="R1879" s="120">
        <f t="shared" si="1203"/>
        <v>0</v>
      </c>
      <c r="S1879" s="120">
        <f t="shared" si="1203"/>
        <v>0</v>
      </c>
      <c r="T1879" s="120">
        <f t="shared" si="1203"/>
        <v>0</v>
      </c>
      <c r="U1879" s="120">
        <f t="shared" si="1203"/>
        <v>0</v>
      </c>
      <c r="V1879" s="120">
        <f t="shared" si="1203"/>
        <v>0</v>
      </c>
      <c r="W1879" s="120">
        <f t="shared" si="1203"/>
        <v>0</v>
      </c>
      <c r="X1879" s="120">
        <f t="shared" si="1203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4">IF(LataProjekcji&lt;=Koniec_Projekt,ROUND(K1868,0),0)</f>
        <v>0</v>
      </c>
      <c r="L1880" s="120">
        <f t="shared" si="1204"/>
        <v>0</v>
      </c>
      <c r="M1880" s="120">
        <f t="shared" si="1204"/>
        <v>0</v>
      </c>
      <c r="N1880" s="120">
        <f t="shared" si="1204"/>
        <v>0</v>
      </c>
      <c r="O1880" s="120">
        <f t="shared" si="1204"/>
        <v>0</v>
      </c>
      <c r="P1880" s="120">
        <f t="shared" si="1204"/>
        <v>0</v>
      </c>
      <c r="Q1880" s="120">
        <f t="shared" si="1204"/>
        <v>0</v>
      </c>
      <c r="R1880" s="120">
        <f t="shared" si="1204"/>
        <v>0</v>
      </c>
      <c r="S1880" s="120">
        <f t="shared" si="1204"/>
        <v>0</v>
      </c>
      <c r="T1880" s="120">
        <f t="shared" si="1204"/>
        <v>0</v>
      </c>
      <c r="U1880" s="120">
        <f t="shared" si="1204"/>
        <v>0</v>
      </c>
      <c r="V1880" s="120">
        <f t="shared" si="1204"/>
        <v>0</v>
      </c>
      <c r="W1880" s="120">
        <f t="shared" si="1204"/>
        <v>0</v>
      </c>
      <c r="X1880" s="120">
        <f t="shared" si="1204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5">ROUND(SUM(K1872:K1880),0)</f>
        <v>0</v>
      </c>
      <c r="L1881" s="123">
        <f t="shared" si="1205"/>
        <v>0</v>
      </c>
      <c r="M1881" s="123">
        <f t="shared" si="1205"/>
        <v>0</v>
      </c>
      <c r="N1881" s="123">
        <f t="shared" si="1205"/>
        <v>0</v>
      </c>
      <c r="O1881" s="123">
        <f t="shared" si="1205"/>
        <v>0</v>
      </c>
      <c r="P1881" s="123">
        <f t="shared" si="1205"/>
        <v>0</v>
      </c>
      <c r="Q1881" s="123">
        <f t="shared" si="1205"/>
        <v>0</v>
      </c>
      <c r="R1881" s="123">
        <f t="shared" si="1205"/>
        <v>0</v>
      </c>
      <c r="S1881" s="123">
        <f t="shared" si="1205"/>
        <v>0</v>
      </c>
      <c r="T1881" s="123">
        <f t="shared" si="1205"/>
        <v>0</v>
      </c>
      <c r="U1881" s="123">
        <f t="shared" si="1205"/>
        <v>0</v>
      </c>
      <c r="V1881" s="123">
        <f t="shared" si="1205"/>
        <v>0</v>
      </c>
      <c r="W1881" s="123">
        <f t="shared" si="1205"/>
        <v>0</v>
      </c>
      <c r="X1881" s="123">
        <f t="shared" si="1205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06">LataProjekcji</f>
        <v>Uzupełnij dane</v>
      </c>
      <c r="L1884" s="113" t="str">
        <f t="shared" si="1206"/>
        <v/>
      </c>
      <c r="M1884" s="113" t="str">
        <f t="shared" si="1206"/>
        <v/>
      </c>
      <c r="N1884" s="113" t="str">
        <f t="shared" si="1206"/>
        <v/>
      </c>
      <c r="O1884" s="113" t="str">
        <f t="shared" si="1206"/>
        <v/>
      </c>
      <c r="P1884" s="113" t="str">
        <f t="shared" si="1206"/>
        <v/>
      </c>
      <c r="Q1884" s="113" t="str">
        <f t="shared" si="1206"/>
        <v/>
      </c>
      <c r="R1884" s="113" t="str">
        <f t="shared" si="1206"/>
        <v/>
      </c>
      <c r="S1884" s="113" t="str">
        <f t="shared" si="1206"/>
        <v/>
      </c>
      <c r="T1884" s="113" t="str">
        <f t="shared" si="1206"/>
        <v/>
      </c>
      <c r="U1884" s="113" t="str">
        <f t="shared" si="1206"/>
        <v/>
      </c>
      <c r="V1884" s="113" t="str">
        <f t="shared" si="1206"/>
        <v/>
      </c>
      <c r="W1884" s="113" t="str">
        <f t="shared" si="1206"/>
        <v/>
      </c>
      <c r="X1884" s="113" t="str">
        <f t="shared" si="1206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07">ROUND(K1886+L1881,0)</f>
        <v>0</v>
      </c>
      <c r="M1886" s="123">
        <f t="shared" si="1207"/>
        <v>0</v>
      </c>
      <c r="N1886" s="123">
        <f t="shared" si="1207"/>
        <v>0</v>
      </c>
      <c r="O1886" s="123">
        <f t="shared" si="1207"/>
        <v>0</v>
      </c>
      <c r="P1886" s="123">
        <f t="shared" si="1207"/>
        <v>0</v>
      </c>
      <c r="Q1886" s="123">
        <f t="shared" si="1207"/>
        <v>0</v>
      </c>
      <c r="R1886" s="123">
        <f t="shared" si="1207"/>
        <v>0</v>
      </c>
      <c r="S1886" s="123">
        <f t="shared" si="1207"/>
        <v>0</v>
      </c>
      <c r="T1886" s="123">
        <f t="shared" si="1207"/>
        <v>0</v>
      </c>
      <c r="U1886" s="123">
        <f t="shared" si="1207"/>
        <v>0</v>
      </c>
      <c r="V1886" s="123">
        <f t="shared" si="1207"/>
        <v>0</v>
      </c>
      <c r="W1886" s="123">
        <f t="shared" si="1207"/>
        <v>0</v>
      </c>
      <c r="X1886" s="123">
        <f t="shared" si="1207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08">IF(LataProjekcji&lt;=Koniec_Projekt,K1881,0)</f>
        <v>0</v>
      </c>
      <c r="L1891" s="123">
        <f t="shared" si="1208"/>
        <v>0</v>
      </c>
      <c r="M1891" s="123">
        <f t="shared" si="1208"/>
        <v>0</v>
      </c>
      <c r="N1891" s="123">
        <f t="shared" si="1208"/>
        <v>0</v>
      </c>
      <c r="O1891" s="123">
        <f t="shared" si="1208"/>
        <v>0</v>
      </c>
      <c r="P1891" s="123">
        <f t="shared" si="1208"/>
        <v>0</v>
      </c>
      <c r="Q1891" s="123">
        <f t="shared" si="1208"/>
        <v>0</v>
      </c>
      <c r="R1891" s="123">
        <f t="shared" si="1208"/>
        <v>0</v>
      </c>
      <c r="S1891" s="123">
        <f t="shared" si="1208"/>
        <v>0</v>
      </c>
      <c r="T1891" s="123">
        <f t="shared" si="1208"/>
        <v>0</v>
      </c>
      <c r="U1891" s="123">
        <f t="shared" si="1208"/>
        <v>0</v>
      </c>
      <c r="V1891" s="123">
        <f t="shared" si="1208"/>
        <v>0</v>
      </c>
      <c r="W1891" s="123">
        <f t="shared" si="1208"/>
        <v>0</v>
      </c>
      <c r="X1891" s="123">
        <f t="shared" si="1208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09">K1910+K1924+K1938</f>
        <v>0</v>
      </c>
      <c r="L1896" s="160">
        <f t="shared" si="1209"/>
        <v>0</v>
      </c>
      <c r="M1896" s="160">
        <f t="shared" si="1209"/>
        <v>0</v>
      </c>
      <c r="N1896" s="160">
        <f t="shared" si="1209"/>
        <v>0</v>
      </c>
      <c r="O1896" s="160">
        <f t="shared" si="1209"/>
        <v>0</v>
      </c>
      <c r="P1896" s="160">
        <f t="shared" si="1209"/>
        <v>0</v>
      </c>
      <c r="Q1896" s="160">
        <f t="shared" si="1209"/>
        <v>0</v>
      </c>
      <c r="R1896" s="160">
        <f t="shared" si="1209"/>
        <v>0</v>
      </c>
      <c r="S1896" s="160">
        <f t="shared" si="1209"/>
        <v>0</v>
      </c>
      <c r="T1896" s="160">
        <f t="shared" si="1209"/>
        <v>0</v>
      </c>
      <c r="U1896" s="160">
        <f t="shared" si="1209"/>
        <v>0</v>
      </c>
      <c r="V1896" s="160">
        <f t="shared" si="1209"/>
        <v>0</v>
      </c>
      <c r="W1896" s="160">
        <f t="shared" si="1209"/>
        <v>0</v>
      </c>
      <c r="X1896" s="160">
        <f t="shared" si="1209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0">K1911+K1925+K1939</f>
        <v>0</v>
      </c>
      <c r="L1897" s="160">
        <f t="shared" ref="L1897:L1902" si="1211">L1911+L1925+L1939</f>
        <v>0</v>
      </c>
      <c r="M1897" s="160">
        <f t="shared" si="1210"/>
        <v>0</v>
      </c>
      <c r="N1897" s="160">
        <f t="shared" ref="N1897:X1897" si="1212">N1911+N1925+N1939</f>
        <v>0</v>
      </c>
      <c r="O1897" s="160">
        <f t="shared" si="1212"/>
        <v>0</v>
      </c>
      <c r="P1897" s="160">
        <f t="shared" si="1212"/>
        <v>0</v>
      </c>
      <c r="Q1897" s="160">
        <f t="shared" si="1212"/>
        <v>0</v>
      </c>
      <c r="R1897" s="160">
        <f t="shared" si="1212"/>
        <v>0</v>
      </c>
      <c r="S1897" s="160">
        <f t="shared" si="1212"/>
        <v>0</v>
      </c>
      <c r="T1897" s="160">
        <f t="shared" si="1212"/>
        <v>0</v>
      </c>
      <c r="U1897" s="160">
        <f t="shared" si="1212"/>
        <v>0</v>
      </c>
      <c r="V1897" s="160">
        <f t="shared" si="1212"/>
        <v>0</v>
      </c>
      <c r="W1897" s="160">
        <f t="shared" si="1212"/>
        <v>0</v>
      </c>
      <c r="X1897" s="160">
        <f t="shared" si="1212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0"/>
        <v>0</v>
      </c>
      <c r="L1898" s="160">
        <f t="shared" si="1211"/>
        <v>0</v>
      </c>
      <c r="M1898" s="160">
        <f t="shared" si="1210"/>
        <v>0</v>
      </c>
      <c r="N1898" s="160">
        <f t="shared" ref="N1898:X1898" si="1213">N1912+N1926+N1940</f>
        <v>0</v>
      </c>
      <c r="O1898" s="160">
        <f t="shared" si="1213"/>
        <v>0</v>
      </c>
      <c r="P1898" s="160">
        <f t="shared" si="1213"/>
        <v>0</v>
      </c>
      <c r="Q1898" s="160">
        <f t="shared" si="1213"/>
        <v>0</v>
      </c>
      <c r="R1898" s="160">
        <f t="shared" si="1213"/>
        <v>0</v>
      </c>
      <c r="S1898" s="160">
        <f t="shared" si="1213"/>
        <v>0</v>
      </c>
      <c r="T1898" s="160">
        <f t="shared" si="1213"/>
        <v>0</v>
      </c>
      <c r="U1898" s="160">
        <f t="shared" si="1213"/>
        <v>0</v>
      </c>
      <c r="V1898" s="160">
        <f t="shared" si="1213"/>
        <v>0</v>
      </c>
      <c r="W1898" s="160">
        <f t="shared" si="1213"/>
        <v>0</v>
      </c>
      <c r="X1898" s="160">
        <f t="shared" si="1213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0"/>
        <v>0</v>
      </c>
      <c r="L1899" s="160">
        <f t="shared" si="1211"/>
        <v>0</v>
      </c>
      <c r="M1899" s="160">
        <f t="shared" si="1210"/>
        <v>0</v>
      </c>
      <c r="N1899" s="160">
        <f t="shared" ref="N1899:X1899" si="1214">N1913+N1927+N1941</f>
        <v>0</v>
      </c>
      <c r="O1899" s="160">
        <f t="shared" si="1214"/>
        <v>0</v>
      </c>
      <c r="P1899" s="160">
        <f t="shared" si="1214"/>
        <v>0</v>
      </c>
      <c r="Q1899" s="160">
        <f t="shared" si="1214"/>
        <v>0</v>
      </c>
      <c r="R1899" s="160">
        <f t="shared" si="1214"/>
        <v>0</v>
      </c>
      <c r="S1899" s="160">
        <f t="shared" si="1214"/>
        <v>0</v>
      </c>
      <c r="T1899" s="160">
        <f t="shared" si="1214"/>
        <v>0</v>
      </c>
      <c r="U1899" s="160">
        <f t="shared" si="1214"/>
        <v>0</v>
      </c>
      <c r="V1899" s="160">
        <f t="shared" si="1214"/>
        <v>0</v>
      </c>
      <c r="W1899" s="160">
        <f t="shared" si="1214"/>
        <v>0</v>
      </c>
      <c r="X1899" s="160">
        <f t="shared" si="1214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0"/>
        <v>0</v>
      </c>
      <c r="L1900" s="160">
        <f t="shared" si="1211"/>
        <v>0</v>
      </c>
      <c r="M1900" s="160">
        <f t="shared" si="1210"/>
        <v>0</v>
      </c>
      <c r="N1900" s="160">
        <f t="shared" ref="N1900:X1900" si="1215">N1914+N1928+N1942</f>
        <v>0</v>
      </c>
      <c r="O1900" s="160">
        <f t="shared" si="1215"/>
        <v>0</v>
      </c>
      <c r="P1900" s="160">
        <f t="shared" si="1215"/>
        <v>0</v>
      </c>
      <c r="Q1900" s="160">
        <f t="shared" si="1215"/>
        <v>0</v>
      </c>
      <c r="R1900" s="160">
        <f t="shared" si="1215"/>
        <v>0</v>
      </c>
      <c r="S1900" s="160">
        <f t="shared" si="1215"/>
        <v>0</v>
      </c>
      <c r="T1900" s="160">
        <f t="shared" si="1215"/>
        <v>0</v>
      </c>
      <c r="U1900" s="160">
        <f t="shared" si="1215"/>
        <v>0</v>
      </c>
      <c r="V1900" s="160">
        <f t="shared" si="1215"/>
        <v>0</v>
      </c>
      <c r="W1900" s="160">
        <f t="shared" si="1215"/>
        <v>0</v>
      </c>
      <c r="X1900" s="160">
        <f t="shared" si="1215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0"/>
        <v>0</v>
      </c>
      <c r="L1901" s="160">
        <f t="shared" si="1211"/>
        <v>0</v>
      </c>
      <c r="M1901" s="160">
        <f t="shared" si="1210"/>
        <v>0</v>
      </c>
      <c r="N1901" s="160">
        <f t="shared" ref="N1901:X1901" si="1216">N1915+N1929+N1943</f>
        <v>0</v>
      </c>
      <c r="O1901" s="160">
        <f t="shared" si="1216"/>
        <v>0</v>
      </c>
      <c r="P1901" s="160">
        <f t="shared" si="1216"/>
        <v>0</v>
      </c>
      <c r="Q1901" s="160">
        <f t="shared" si="1216"/>
        <v>0</v>
      </c>
      <c r="R1901" s="160">
        <f t="shared" si="1216"/>
        <v>0</v>
      </c>
      <c r="S1901" s="160">
        <f t="shared" si="1216"/>
        <v>0</v>
      </c>
      <c r="T1901" s="160">
        <f t="shared" si="1216"/>
        <v>0</v>
      </c>
      <c r="U1901" s="160">
        <f t="shared" si="1216"/>
        <v>0</v>
      </c>
      <c r="V1901" s="160">
        <f t="shared" si="1216"/>
        <v>0</v>
      </c>
      <c r="W1901" s="160">
        <f t="shared" si="1216"/>
        <v>0</v>
      </c>
      <c r="X1901" s="160">
        <f t="shared" si="1216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0"/>
        <v>0</v>
      </c>
      <c r="L1902" s="160">
        <f t="shared" si="1211"/>
        <v>0</v>
      </c>
      <c r="M1902" s="160">
        <f t="shared" si="1210"/>
        <v>0</v>
      </c>
      <c r="N1902" s="160">
        <f t="shared" ref="N1902:X1902" si="1217">N1916+N1930+N1944</f>
        <v>0</v>
      </c>
      <c r="O1902" s="160">
        <f t="shared" si="1217"/>
        <v>0</v>
      </c>
      <c r="P1902" s="160">
        <f t="shared" si="1217"/>
        <v>0</v>
      </c>
      <c r="Q1902" s="160">
        <f t="shared" si="1217"/>
        <v>0</v>
      </c>
      <c r="R1902" s="160">
        <f t="shared" si="1217"/>
        <v>0</v>
      </c>
      <c r="S1902" s="160">
        <f t="shared" si="1217"/>
        <v>0</v>
      </c>
      <c r="T1902" s="160">
        <f t="shared" si="1217"/>
        <v>0</v>
      </c>
      <c r="U1902" s="160">
        <f t="shared" si="1217"/>
        <v>0</v>
      </c>
      <c r="V1902" s="160">
        <f t="shared" si="1217"/>
        <v>0</v>
      </c>
      <c r="W1902" s="160">
        <f t="shared" si="1217"/>
        <v>0</v>
      </c>
      <c r="X1902" s="160">
        <f t="shared" si="1217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18">SUM(K1896:K1902)</f>
        <v>0</v>
      </c>
      <c r="L1903" s="162">
        <f t="shared" si="1218"/>
        <v>0</v>
      </c>
      <c r="M1903" s="162">
        <f t="shared" si="1218"/>
        <v>0</v>
      </c>
      <c r="N1903" s="162">
        <f t="shared" si="1218"/>
        <v>0</v>
      </c>
      <c r="O1903" s="162">
        <f t="shared" si="1218"/>
        <v>0</v>
      </c>
      <c r="P1903" s="162">
        <f t="shared" si="1218"/>
        <v>0</v>
      </c>
      <c r="Q1903" s="162">
        <f t="shared" si="1218"/>
        <v>0</v>
      </c>
      <c r="R1903" s="162">
        <f t="shared" si="1218"/>
        <v>0</v>
      </c>
      <c r="S1903" s="162">
        <f t="shared" si="1218"/>
        <v>0</v>
      </c>
      <c r="T1903" s="162">
        <f t="shared" si="1218"/>
        <v>0</v>
      </c>
      <c r="U1903" s="162">
        <f t="shared" si="1218"/>
        <v>0</v>
      </c>
      <c r="V1903" s="162">
        <f t="shared" si="1218"/>
        <v>0</v>
      </c>
      <c r="W1903" s="162">
        <f t="shared" si="1218"/>
        <v>0</v>
      </c>
      <c r="X1903" s="162">
        <f t="shared" si="1218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0"/>
        <v>0</v>
      </c>
      <c r="L1904" s="156">
        <f>L1918+L1932+L1946</f>
        <v>0</v>
      </c>
      <c r="M1904" s="156">
        <f t="shared" si="1210"/>
        <v>0</v>
      </c>
      <c r="N1904" s="156">
        <f t="shared" ref="N1904:X1904" si="1219">N1918+N1932+N1946</f>
        <v>0</v>
      </c>
      <c r="O1904" s="156">
        <f t="shared" si="1219"/>
        <v>0</v>
      </c>
      <c r="P1904" s="156">
        <f t="shared" si="1219"/>
        <v>0</v>
      </c>
      <c r="Q1904" s="156">
        <f t="shared" si="1219"/>
        <v>0</v>
      </c>
      <c r="R1904" s="156">
        <f t="shared" si="1219"/>
        <v>0</v>
      </c>
      <c r="S1904" s="156">
        <f t="shared" si="1219"/>
        <v>0</v>
      </c>
      <c r="T1904" s="156">
        <f t="shared" si="1219"/>
        <v>0</v>
      </c>
      <c r="U1904" s="156">
        <f t="shared" si="1219"/>
        <v>0</v>
      </c>
      <c r="V1904" s="156">
        <f t="shared" si="1219"/>
        <v>0</v>
      </c>
      <c r="W1904" s="156">
        <f t="shared" si="1219"/>
        <v>0</v>
      </c>
      <c r="X1904" s="156">
        <f t="shared" si="1219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0"/>
        <v>0</v>
      </c>
      <c r="L1905" s="156">
        <f>L1919+L1933+L1947</f>
        <v>0</v>
      </c>
      <c r="M1905" s="156">
        <f t="shared" si="1210"/>
        <v>0</v>
      </c>
      <c r="N1905" s="156">
        <f t="shared" ref="N1905:X1905" si="1220">N1919+N1933+N1947</f>
        <v>0</v>
      </c>
      <c r="O1905" s="156">
        <f t="shared" si="1220"/>
        <v>0</v>
      </c>
      <c r="P1905" s="156">
        <f t="shared" si="1220"/>
        <v>0</v>
      </c>
      <c r="Q1905" s="156">
        <f t="shared" si="1220"/>
        <v>0</v>
      </c>
      <c r="R1905" s="156">
        <f t="shared" si="1220"/>
        <v>0</v>
      </c>
      <c r="S1905" s="156">
        <f t="shared" si="1220"/>
        <v>0</v>
      </c>
      <c r="T1905" s="156">
        <f t="shared" si="1220"/>
        <v>0</v>
      </c>
      <c r="U1905" s="156">
        <f t="shared" si="1220"/>
        <v>0</v>
      </c>
      <c r="V1905" s="156">
        <f t="shared" si="1220"/>
        <v>0</v>
      </c>
      <c r="W1905" s="156">
        <f t="shared" si="1220"/>
        <v>0</v>
      </c>
      <c r="X1905" s="156">
        <f t="shared" si="1220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1">K1903+SUM(K1904:K1905)</f>
        <v>0</v>
      </c>
      <c r="L1906" s="158">
        <f t="shared" si="1221"/>
        <v>0</v>
      </c>
      <c r="M1906" s="158">
        <f t="shared" si="1221"/>
        <v>0</v>
      </c>
      <c r="N1906" s="158">
        <f t="shared" si="1221"/>
        <v>0</v>
      </c>
      <c r="O1906" s="158">
        <f t="shared" si="1221"/>
        <v>0</v>
      </c>
      <c r="P1906" s="158">
        <f t="shared" si="1221"/>
        <v>0</v>
      </c>
      <c r="Q1906" s="158">
        <f t="shared" si="1221"/>
        <v>0</v>
      </c>
      <c r="R1906" s="158">
        <f t="shared" si="1221"/>
        <v>0</v>
      </c>
      <c r="S1906" s="158">
        <f t="shared" si="1221"/>
        <v>0</v>
      </c>
      <c r="T1906" s="158">
        <f t="shared" si="1221"/>
        <v>0</v>
      </c>
      <c r="U1906" s="158">
        <f t="shared" si="1221"/>
        <v>0</v>
      </c>
      <c r="V1906" s="158">
        <f t="shared" si="1221"/>
        <v>0</v>
      </c>
      <c r="W1906" s="158">
        <f t="shared" si="1221"/>
        <v>0</v>
      </c>
      <c r="X1906" s="158">
        <f t="shared" si="1221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2">K1872</f>
        <v>0</v>
      </c>
      <c r="L1910" s="160">
        <f t="shared" ref="L1910:X1910" si="1223">L1872</f>
        <v>0</v>
      </c>
      <c r="M1910" s="160">
        <f t="shared" si="1223"/>
        <v>0</v>
      </c>
      <c r="N1910" s="160">
        <f t="shared" si="1223"/>
        <v>0</v>
      </c>
      <c r="O1910" s="160">
        <f t="shared" si="1223"/>
        <v>0</v>
      </c>
      <c r="P1910" s="160">
        <f t="shared" si="1223"/>
        <v>0</v>
      </c>
      <c r="Q1910" s="160">
        <f t="shared" si="1223"/>
        <v>0</v>
      </c>
      <c r="R1910" s="160">
        <f t="shared" si="1223"/>
        <v>0</v>
      </c>
      <c r="S1910" s="160">
        <f t="shared" si="1223"/>
        <v>0</v>
      </c>
      <c r="T1910" s="160">
        <f t="shared" si="1223"/>
        <v>0</v>
      </c>
      <c r="U1910" s="160">
        <f t="shared" si="1223"/>
        <v>0</v>
      </c>
      <c r="V1910" s="160">
        <f t="shared" si="1223"/>
        <v>0</v>
      </c>
      <c r="W1910" s="160">
        <f t="shared" si="1223"/>
        <v>0</v>
      </c>
      <c r="X1910" s="160">
        <f t="shared" si="1223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2"/>
        <v>0</v>
      </c>
      <c r="L1911" s="160">
        <f t="shared" ref="L1911:X1911" si="1224">L1873</f>
        <v>0</v>
      </c>
      <c r="M1911" s="160">
        <f t="shared" si="1224"/>
        <v>0</v>
      </c>
      <c r="N1911" s="160">
        <f t="shared" si="1224"/>
        <v>0</v>
      </c>
      <c r="O1911" s="160">
        <f t="shared" si="1224"/>
        <v>0</v>
      </c>
      <c r="P1911" s="160">
        <f t="shared" si="1224"/>
        <v>0</v>
      </c>
      <c r="Q1911" s="160">
        <f t="shared" si="1224"/>
        <v>0</v>
      </c>
      <c r="R1911" s="160">
        <f t="shared" si="1224"/>
        <v>0</v>
      </c>
      <c r="S1911" s="160">
        <f t="shared" si="1224"/>
        <v>0</v>
      </c>
      <c r="T1911" s="160">
        <f t="shared" si="1224"/>
        <v>0</v>
      </c>
      <c r="U1911" s="160">
        <f t="shared" si="1224"/>
        <v>0</v>
      </c>
      <c r="V1911" s="160">
        <f t="shared" si="1224"/>
        <v>0</v>
      </c>
      <c r="W1911" s="160">
        <f t="shared" si="1224"/>
        <v>0</v>
      </c>
      <c r="X1911" s="160">
        <f t="shared" si="1224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2"/>
        <v>0</v>
      </c>
      <c r="L1912" s="160">
        <f t="shared" ref="L1912:X1912" si="1225">L1874</f>
        <v>0</v>
      </c>
      <c r="M1912" s="160">
        <f t="shared" si="1225"/>
        <v>0</v>
      </c>
      <c r="N1912" s="160">
        <f t="shared" si="1225"/>
        <v>0</v>
      </c>
      <c r="O1912" s="160">
        <f t="shared" si="1225"/>
        <v>0</v>
      </c>
      <c r="P1912" s="160">
        <f t="shared" si="1225"/>
        <v>0</v>
      </c>
      <c r="Q1912" s="160">
        <f t="shared" si="1225"/>
        <v>0</v>
      </c>
      <c r="R1912" s="160">
        <f t="shared" si="1225"/>
        <v>0</v>
      </c>
      <c r="S1912" s="160">
        <f t="shared" si="1225"/>
        <v>0</v>
      </c>
      <c r="T1912" s="160">
        <f t="shared" si="1225"/>
        <v>0</v>
      </c>
      <c r="U1912" s="160">
        <f t="shared" si="1225"/>
        <v>0</v>
      </c>
      <c r="V1912" s="160">
        <f t="shared" si="1225"/>
        <v>0</v>
      </c>
      <c r="W1912" s="160">
        <f t="shared" si="1225"/>
        <v>0</v>
      </c>
      <c r="X1912" s="160">
        <f t="shared" si="1225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2"/>
        <v>0</v>
      </c>
      <c r="L1913" s="160">
        <f t="shared" ref="L1913:X1913" si="1226">L1875</f>
        <v>0</v>
      </c>
      <c r="M1913" s="160">
        <f t="shared" si="1226"/>
        <v>0</v>
      </c>
      <c r="N1913" s="160">
        <f t="shared" si="1226"/>
        <v>0</v>
      </c>
      <c r="O1913" s="160">
        <f t="shared" si="1226"/>
        <v>0</v>
      </c>
      <c r="P1913" s="160">
        <f t="shared" si="1226"/>
        <v>0</v>
      </c>
      <c r="Q1913" s="160">
        <f t="shared" si="1226"/>
        <v>0</v>
      </c>
      <c r="R1913" s="160">
        <f t="shared" si="1226"/>
        <v>0</v>
      </c>
      <c r="S1913" s="160">
        <f t="shared" si="1226"/>
        <v>0</v>
      </c>
      <c r="T1913" s="160">
        <f t="shared" si="1226"/>
        <v>0</v>
      </c>
      <c r="U1913" s="160">
        <f t="shared" si="1226"/>
        <v>0</v>
      </c>
      <c r="V1913" s="160">
        <f t="shared" si="1226"/>
        <v>0</v>
      </c>
      <c r="W1913" s="160">
        <f t="shared" si="1226"/>
        <v>0</v>
      </c>
      <c r="X1913" s="160">
        <f t="shared" si="1226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2"/>
        <v>0</v>
      </c>
      <c r="L1914" s="160">
        <f t="shared" ref="L1914:X1914" si="1227">L1876</f>
        <v>0</v>
      </c>
      <c r="M1914" s="160">
        <f t="shared" si="1227"/>
        <v>0</v>
      </c>
      <c r="N1914" s="160">
        <f t="shared" si="1227"/>
        <v>0</v>
      </c>
      <c r="O1914" s="160">
        <f t="shared" si="1227"/>
        <v>0</v>
      </c>
      <c r="P1914" s="160">
        <f t="shared" si="1227"/>
        <v>0</v>
      </c>
      <c r="Q1914" s="160">
        <f t="shared" si="1227"/>
        <v>0</v>
      </c>
      <c r="R1914" s="160">
        <f t="shared" si="1227"/>
        <v>0</v>
      </c>
      <c r="S1914" s="160">
        <f t="shared" si="1227"/>
        <v>0</v>
      </c>
      <c r="T1914" s="160">
        <f t="shared" si="1227"/>
        <v>0</v>
      </c>
      <c r="U1914" s="160">
        <f t="shared" si="1227"/>
        <v>0</v>
      </c>
      <c r="V1914" s="160">
        <f t="shared" si="1227"/>
        <v>0</v>
      </c>
      <c r="W1914" s="160">
        <f t="shared" si="1227"/>
        <v>0</v>
      </c>
      <c r="X1914" s="160">
        <f t="shared" si="1227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2"/>
        <v>0</v>
      </c>
      <c r="L1915" s="160">
        <f t="shared" ref="L1915:X1915" si="1228">L1877</f>
        <v>0</v>
      </c>
      <c r="M1915" s="160">
        <f t="shared" si="1228"/>
        <v>0</v>
      </c>
      <c r="N1915" s="160">
        <f t="shared" si="1228"/>
        <v>0</v>
      </c>
      <c r="O1915" s="160">
        <f t="shared" si="1228"/>
        <v>0</v>
      </c>
      <c r="P1915" s="160">
        <f t="shared" si="1228"/>
        <v>0</v>
      </c>
      <c r="Q1915" s="160">
        <f t="shared" si="1228"/>
        <v>0</v>
      </c>
      <c r="R1915" s="160">
        <f t="shared" si="1228"/>
        <v>0</v>
      </c>
      <c r="S1915" s="160">
        <f t="shared" si="1228"/>
        <v>0</v>
      </c>
      <c r="T1915" s="160">
        <f t="shared" si="1228"/>
        <v>0</v>
      </c>
      <c r="U1915" s="160">
        <f t="shared" si="1228"/>
        <v>0</v>
      </c>
      <c r="V1915" s="160">
        <f t="shared" si="1228"/>
        <v>0</v>
      </c>
      <c r="W1915" s="160">
        <f t="shared" si="1228"/>
        <v>0</v>
      </c>
      <c r="X1915" s="160">
        <f t="shared" si="1228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2"/>
        <v>0</v>
      </c>
      <c r="L1916" s="160">
        <f t="shared" ref="L1916:X1916" si="1229">L1878</f>
        <v>0</v>
      </c>
      <c r="M1916" s="160">
        <f t="shared" si="1229"/>
        <v>0</v>
      </c>
      <c r="N1916" s="160">
        <f t="shared" si="1229"/>
        <v>0</v>
      </c>
      <c r="O1916" s="160">
        <f t="shared" si="1229"/>
        <v>0</v>
      </c>
      <c r="P1916" s="160">
        <f t="shared" si="1229"/>
        <v>0</v>
      </c>
      <c r="Q1916" s="160">
        <f t="shared" si="1229"/>
        <v>0</v>
      </c>
      <c r="R1916" s="160">
        <f t="shared" si="1229"/>
        <v>0</v>
      </c>
      <c r="S1916" s="160">
        <f t="shared" si="1229"/>
        <v>0</v>
      </c>
      <c r="T1916" s="160">
        <f t="shared" si="1229"/>
        <v>0</v>
      </c>
      <c r="U1916" s="160">
        <f t="shared" si="1229"/>
        <v>0</v>
      </c>
      <c r="V1916" s="160">
        <f t="shared" si="1229"/>
        <v>0</v>
      </c>
      <c r="W1916" s="160">
        <f t="shared" si="1229"/>
        <v>0</v>
      </c>
      <c r="X1916" s="160">
        <f t="shared" si="1229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0">SUM(K1910:K1916)</f>
        <v>0</v>
      </c>
      <c r="L1917" s="162">
        <f t="shared" si="1230"/>
        <v>0</v>
      </c>
      <c r="M1917" s="162">
        <f t="shared" si="1230"/>
        <v>0</v>
      </c>
      <c r="N1917" s="162">
        <f t="shared" si="1230"/>
        <v>0</v>
      </c>
      <c r="O1917" s="162">
        <f t="shared" si="1230"/>
        <v>0</v>
      </c>
      <c r="P1917" s="162">
        <f t="shared" si="1230"/>
        <v>0</v>
      </c>
      <c r="Q1917" s="162">
        <f t="shared" si="1230"/>
        <v>0</v>
      </c>
      <c r="R1917" s="162">
        <f t="shared" si="1230"/>
        <v>0</v>
      </c>
      <c r="S1917" s="162">
        <f t="shared" si="1230"/>
        <v>0</v>
      </c>
      <c r="T1917" s="162">
        <f t="shared" si="1230"/>
        <v>0</v>
      </c>
      <c r="U1917" s="162">
        <f t="shared" si="1230"/>
        <v>0</v>
      </c>
      <c r="V1917" s="162">
        <f t="shared" si="1230"/>
        <v>0</v>
      </c>
      <c r="W1917" s="162">
        <f t="shared" si="1230"/>
        <v>0</v>
      </c>
      <c r="X1917" s="162">
        <f t="shared" si="1230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1">K1879</f>
        <v>0</v>
      </c>
      <c r="L1918" s="156">
        <f t="shared" si="1231"/>
        <v>0</v>
      </c>
      <c r="M1918" s="156">
        <f t="shared" si="1231"/>
        <v>0</v>
      </c>
      <c r="N1918" s="156">
        <f t="shared" si="1231"/>
        <v>0</v>
      </c>
      <c r="O1918" s="156">
        <f t="shared" si="1231"/>
        <v>0</v>
      </c>
      <c r="P1918" s="156">
        <f t="shared" si="1231"/>
        <v>0</v>
      </c>
      <c r="Q1918" s="156">
        <f t="shared" si="1231"/>
        <v>0</v>
      </c>
      <c r="R1918" s="156">
        <f t="shared" si="1231"/>
        <v>0</v>
      </c>
      <c r="S1918" s="156">
        <f t="shared" si="1231"/>
        <v>0</v>
      </c>
      <c r="T1918" s="156">
        <f t="shared" si="1231"/>
        <v>0</v>
      </c>
      <c r="U1918" s="156">
        <f t="shared" si="1231"/>
        <v>0</v>
      </c>
      <c r="V1918" s="156">
        <f t="shared" si="1231"/>
        <v>0</v>
      </c>
      <c r="W1918" s="156">
        <f t="shared" si="1231"/>
        <v>0</v>
      </c>
      <c r="X1918" s="156">
        <f t="shared" si="1231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2">K1880</f>
        <v>0</v>
      </c>
      <c r="L1919" s="156">
        <f t="shared" si="1232"/>
        <v>0</v>
      </c>
      <c r="M1919" s="156">
        <f t="shared" si="1232"/>
        <v>0</v>
      </c>
      <c r="N1919" s="156">
        <f t="shared" si="1232"/>
        <v>0</v>
      </c>
      <c r="O1919" s="156">
        <f t="shared" si="1232"/>
        <v>0</v>
      </c>
      <c r="P1919" s="156">
        <f t="shared" si="1232"/>
        <v>0</v>
      </c>
      <c r="Q1919" s="156">
        <f t="shared" si="1232"/>
        <v>0</v>
      </c>
      <c r="R1919" s="156">
        <f t="shared" si="1232"/>
        <v>0</v>
      </c>
      <c r="S1919" s="156">
        <f t="shared" si="1232"/>
        <v>0</v>
      </c>
      <c r="T1919" s="156">
        <f t="shared" si="1232"/>
        <v>0</v>
      </c>
      <c r="U1919" s="156">
        <f t="shared" si="1232"/>
        <v>0</v>
      </c>
      <c r="V1919" s="156">
        <f t="shared" si="1232"/>
        <v>0</v>
      </c>
      <c r="W1919" s="156">
        <f t="shared" si="1232"/>
        <v>0</v>
      </c>
      <c r="X1919" s="156">
        <f t="shared" si="1232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3">K1917+SUM(K1918:K1919)</f>
        <v>0</v>
      </c>
      <c r="L1920" s="158">
        <f t="shared" si="1233"/>
        <v>0</v>
      </c>
      <c r="M1920" s="158">
        <f t="shared" si="1233"/>
        <v>0</v>
      </c>
      <c r="N1920" s="158">
        <f t="shared" si="1233"/>
        <v>0</v>
      </c>
      <c r="O1920" s="158">
        <f t="shared" si="1233"/>
        <v>0</v>
      </c>
      <c r="P1920" s="158">
        <f t="shared" si="1233"/>
        <v>0</v>
      </c>
      <c r="Q1920" s="158">
        <f t="shared" si="1233"/>
        <v>0</v>
      </c>
      <c r="R1920" s="158">
        <f t="shared" si="1233"/>
        <v>0</v>
      </c>
      <c r="S1920" s="158">
        <f t="shared" si="1233"/>
        <v>0</v>
      </c>
      <c r="T1920" s="158">
        <f t="shared" si="1233"/>
        <v>0</v>
      </c>
      <c r="U1920" s="158">
        <f t="shared" si="1233"/>
        <v>0</v>
      </c>
      <c r="V1920" s="158">
        <f t="shared" si="1233"/>
        <v>0</v>
      </c>
      <c r="W1920" s="158">
        <f t="shared" si="1233"/>
        <v>0</v>
      </c>
      <c r="X1920" s="158">
        <f t="shared" si="1233"/>
        <v>0</v>
      </c>
    </row>
    <row r="1923" spans="2:24" hidden="1">
      <c r="B1923" s="7" t="s">
        <v>679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4">K909</f>
        <v>0</v>
      </c>
      <c r="L1924" s="160">
        <f t="shared" si="1234"/>
        <v>0</v>
      </c>
      <c r="M1924" s="160">
        <f t="shared" si="1234"/>
        <v>0</v>
      </c>
      <c r="N1924" s="160">
        <f t="shared" si="1234"/>
        <v>0</v>
      </c>
      <c r="O1924" s="160">
        <f t="shared" si="1234"/>
        <v>0</v>
      </c>
      <c r="P1924" s="160">
        <f t="shared" si="1234"/>
        <v>0</v>
      </c>
      <c r="Q1924" s="160">
        <f t="shared" si="1234"/>
        <v>0</v>
      </c>
      <c r="R1924" s="160">
        <f t="shared" si="1234"/>
        <v>0</v>
      </c>
      <c r="S1924" s="160">
        <f t="shared" si="1234"/>
        <v>0</v>
      </c>
      <c r="T1924" s="160">
        <f t="shared" si="1234"/>
        <v>0</v>
      </c>
      <c r="U1924" s="160">
        <f t="shared" si="1234"/>
        <v>0</v>
      </c>
      <c r="V1924" s="160">
        <f t="shared" si="1234"/>
        <v>0</v>
      </c>
      <c r="W1924" s="160">
        <f t="shared" si="1234"/>
        <v>0</v>
      </c>
      <c r="X1924" s="160">
        <f t="shared" si="1234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5">K910</f>
        <v>0</v>
      </c>
      <c r="L1925" s="160">
        <f t="shared" si="1235"/>
        <v>0</v>
      </c>
      <c r="M1925" s="160">
        <f t="shared" si="1235"/>
        <v>0</v>
      </c>
      <c r="N1925" s="160">
        <f t="shared" si="1235"/>
        <v>0</v>
      </c>
      <c r="O1925" s="160">
        <f t="shared" si="1235"/>
        <v>0</v>
      </c>
      <c r="P1925" s="160">
        <f t="shared" si="1235"/>
        <v>0</v>
      </c>
      <c r="Q1925" s="160">
        <f t="shared" si="1235"/>
        <v>0</v>
      </c>
      <c r="R1925" s="160">
        <f t="shared" si="1235"/>
        <v>0</v>
      </c>
      <c r="S1925" s="160">
        <f t="shared" si="1235"/>
        <v>0</v>
      </c>
      <c r="T1925" s="160">
        <f t="shared" si="1235"/>
        <v>0</v>
      </c>
      <c r="U1925" s="160">
        <f t="shared" si="1235"/>
        <v>0</v>
      </c>
      <c r="V1925" s="160">
        <f t="shared" si="1235"/>
        <v>0</v>
      </c>
      <c r="W1925" s="160">
        <f t="shared" si="1235"/>
        <v>0</v>
      </c>
      <c r="X1925" s="160">
        <f t="shared" si="1235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36">K911</f>
        <v>0</v>
      </c>
      <c r="L1926" s="160">
        <f t="shared" si="1236"/>
        <v>0</v>
      </c>
      <c r="M1926" s="160">
        <f t="shared" si="1236"/>
        <v>0</v>
      </c>
      <c r="N1926" s="160">
        <f t="shared" si="1236"/>
        <v>0</v>
      </c>
      <c r="O1926" s="160">
        <f t="shared" si="1236"/>
        <v>0</v>
      </c>
      <c r="P1926" s="160">
        <f t="shared" si="1236"/>
        <v>0</v>
      </c>
      <c r="Q1926" s="160">
        <f t="shared" si="1236"/>
        <v>0</v>
      </c>
      <c r="R1926" s="160">
        <f t="shared" si="1236"/>
        <v>0</v>
      </c>
      <c r="S1926" s="160">
        <f t="shared" si="1236"/>
        <v>0</v>
      </c>
      <c r="T1926" s="160">
        <f t="shared" si="1236"/>
        <v>0</v>
      </c>
      <c r="U1926" s="160">
        <f t="shared" si="1236"/>
        <v>0</v>
      </c>
      <c r="V1926" s="160">
        <f t="shared" si="1236"/>
        <v>0</v>
      </c>
      <c r="W1926" s="160">
        <f t="shared" si="1236"/>
        <v>0</v>
      </c>
      <c r="X1926" s="160">
        <f t="shared" si="1236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37">K912</f>
        <v>0</v>
      </c>
      <c r="L1927" s="160">
        <f t="shared" si="1237"/>
        <v>0</v>
      </c>
      <c r="M1927" s="160">
        <f t="shared" si="1237"/>
        <v>0</v>
      </c>
      <c r="N1927" s="160">
        <f t="shared" si="1237"/>
        <v>0</v>
      </c>
      <c r="O1927" s="160">
        <f t="shared" si="1237"/>
        <v>0</v>
      </c>
      <c r="P1927" s="160">
        <f t="shared" si="1237"/>
        <v>0</v>
      </c>
      <c r="Q1927" s="160">
        <f t="shared" si="1237"/>
        <v>0</v>
      </c>
      <c r="R1927" s="160">
        <f t="shared" si="1237"/>
        <v>0</v>
      </c>
      <c r="S1927" s="160">
        <f t="shared" si="1237"/>
        <v>0</v>
      </c>
      <c r="T1927" s="160">
        <f t="shared" si="1237"/>
        <v>0</v>
      </c>
      <c r="U1927" s="160">
        <f t="shared" si="1237"/>
        <v>0</v>
      </c>
      <c r="V1927" s="160">
        <f t="shared" si="1237"/>
        <v>0</v>
      </c>
      <c r="W1927" s="160">
        <f t="shared" si="1237"/>
        <v>0</v>
      </c>
      <c r="X1927" s="160">
        <f t="shared" si="1237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38">K913</f>
        <v>0</v>
      </c>
      <c r="L1928" s="160">
        <f t="shared" si="1238"/>
        <v>0</v>
      </c>
      <c r="M1928" s="160">
        <f t="shared" si="1238"/>
        <v>0</v>
      </c>
      <c r="N1928" s="160">
        <f t="shared" si="1238"/>
        <v>0</v>
      </c>
      <c r="O1928" s="160">
        <f t="shared" si="1238"/>
        <v>0</v>
      </c>
      <c r="P1928" s="160">
        <f t="shared" si="1238"/>
        <v>0</v>
      </c>
      <c r="Q1928" s="160">
        <f t="shared" si="1238"/>
        <v>0</v>
      </c>
      <c r="R1928" s="160">
        <f t="shared" si="1238"/>
        <v>0</v>
      </c>
      <c r="S1928" s="160">
        <f t="shared" si="1238"/>
        <v>0</v>
      </c>
      <c r="T1928" s="160">
        <f t="shared" si="1238"/>
        <v>0</v>
      </c>
      <c r="U1928" s="160">
        <f t="shared" si="1238"/>
        <v>0</v>
      </c>
      <c r="V1928" s="160">
        <f t="shared" si="1238"/>
        <v>0</v>
      </c>
      <c r="W1928" s="160">
        <f t="shared" si="1238"/>
        <v>0</v>
      </c>
      <c r="X1928" s="160">
        <f t="shared" si="1238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39">K914</f>
        <v>0</v>
      </c>
      <c r="L1929" s="160">
        <f t="shared" si="1239"/>
        <v>0</v>
      </c>
      <c r="M1929" s="160">
        <f t="shared" si="1239"/>
        <v>0</v>
      </c>
      <c r="N1929" s="160">
        <f t="shared" si="1239"/>
        <v>0</v>
      </c>
      <c r="O1929" s="160">
        <f t="shared" si="1239"/>
        <v>0</v>
      </c>
      <c r="P1929" s="160">
        <f t="shared" si="1239"/>
        <v>0</v>
      </c>
      <c r="Q1929" s="160">
        <f t="shared" si="1239"/>
        <v>0</v>
      </c>
      <c r="R1929" s="160">
        <f t="shared" si="1239"/>
        <v>0</v>
      </c>
      <c r="S1929" s="160">
        <f t="shared" si="1239"/>
        <v>0</v>
      </c>
      <c r="T1929" s="160">
        <f t="shared" si="1239"/>
        <v>0</v>
      </c>
      <c r="U1929" s="160">
        <f t="shared" si="1239"/>
        <v>0</v>
      </c>
      <c r="V1929" s="160">
        <f t="shared" si="1239"/>
        <v>0</v>
      </c>
      <c r="W1929" s="160">
        <f t="shared" si="1239"/>
        <v>0</v>
      </c>
      <c r="X1929" s="160">
        <f t="shared" si="1239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0">K915</f>
        <v>0</v>
      </c>
      <c r="L1930" s="160">
        <f t="shared" si="1240"/>
        <v>0</v>
      </c>
      <c r="M1930" s="160">
        <f t="shared" si="1240"/>
        <v>0</v>
      </c>
      <c r="N1930" s="160">
        <f t="shared" si="1240"/>
        <v>0</v>
      </c>
      <c r="O1930" s="160">
        <f t="shared" si="1240"/>
        <v>0</v>
      </c>
      <c r="P1930" s="160">
        <f t="shared" si="1240"/>
        <v>0</v>
      </c>
      <c r="Q1930" s="160">
        <f t="shared" si="1240"/>
        <v>0</v>
      </c>
      <c r="R1930" s="160">
        <f t="shared" si="1240"/>
        <v>0</v>
      </c>
      <c r="S1930" s="160">
        <f t="shared" si="1240"/>
        <v>0</v>
      </c>
      <c r="T1930" s="160">
        <f t="shared" si="1240"/>
        <v>0</v>
      </c>
      <c r="U1930" s="160">
        <f t="shared" si="1240"/>
        <v>0</v>
      </c>
      <c r="V1930" s="160">
        <f t="shared" si="1240"/>
        <v>0</v>
      </c>
      <c r="W1930" s="160">
        <f t="shared" si="1240"/>
        <v>0</v>
      </c>
      <c r="X1930" s="160">
        <f t="shared" si="1240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1">SUM(K1924:K1930)</f>
        <v>0</v>
      </c>
      <c r="L1931" s="162">
        <f t="shared" si="1241"/>
        <v>0</v>
      </c>
      <c r="M1931" s="162">
        <f t="shared" si="1241"/>
        <v>0</v>
      </c>
      <c r="N1931" s="162">
        <f t="shared" si="1241"/>
        <v>0</v>
      </c>
      <c r="O1931" s="162">
        <f t="shared" si="1241"/>
        <v>0</v>
      </c>
      <c r="P1931" s="162">
        <f t="shared" si="1241"/>
        <v>0</v>
      </c>
      <c r="Q1931" s="162">
        <f t="shared" si="1241"/>
        <v>0</v>
      </c>
      <c r="R1931" s="162">
        <f t="shared" si="1241"/>
        <v>0</v>
      </c>
      <c r="S1931" s="162">
        <f t="shared" si="1241"/>
        <v>0</v>
      </c>
      <c r="T1931" s="162">
        <f t="shared" si="1241"/>
        <v>0</v>
      </c>
      <c r="U1931" s="162">
        <f t="shared" si="1241"/>
        <v>0</v>
      </c>
      <c r="V1931" s="162">
        <f t="shared" si="1241"/>
        <v>0</v>
      </c>
      <c r="W1931" s="162">
        <f t="shared" si="1241"/>
        <v>0</v>
      </c>
      <c r="X1931" s="162">
        <f t="shared" si="1241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2">K916</f>
        <v>0</v>
      </c>
      <c r="L1932" s="156">
        <f t="shared" si="1242"/>
        <v>0</v>
      </c>
      <c r="M1932" s="156">
        <f t="shared" si="1242"/>
        <v>0</v>
      </c>
      <c r="N1932" s="156">
        <f t="shared" si="1242"/>
        <v>0</v>
      </c>
      <c r="O1932" s="156">
        <f t="shared" si="1242"/>
        <v>0</v>
      </c>
      <c r="P1932" s="156">
        <f t="shared" si="1242"/>
        <v>0</v>
      </c>
      <c r="Q1932" s="156">
        <f t="shared" si="1242"/>
        <v>0</v>
      </c>
      <c r="R1932" s="156">
        <f t="shared" si="1242"/>
        <v>0</v>
      </c>
      <c r="S1932" s="156">
        <f t="shared" si="1242"/>
        <v>0</v>
      </c>
      <c r="T1932" s="156">
        <f t="shared" si="1242"/>
        <v>0</v>
      </c>
      <c r="U1932" s="156">
        <f t="shared" si="1242"/>
        <v>0</v>
      </c>
      <c r="V1932" s="156">
        <f t="shared" si="1242"/>
        <v>0</v>
      </c>
      <c r="W1932" s="156">
        <f t="shared" si="1242"/>
        <v>0</v>
      </c>
      <c r="X1932" s="156">
        <f t="shared" si="1242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3">K917</f>
        <v>0</v>
      </c>
      <c r="L1933" s="156">
        <f t="shared" si="1243"/>
        <v>0</v>
      </c>
      <c r="M1933" s="156">
        <f t="shared" si="1243"/>
        <v>0</v>
      </c>
      <c r="N1933" s="156">
        <f t="shared" si="1243"/>
        <v>0</v>
      </c>
      <c r="O1933" s="156">
        <f t="shared" si="1243"/>
        <v>0</v>
      </c>
      <c r="P1933" s="156">
        <f t="shared" si="1243"/>
        <v>0</v>
      </c>
      <c r="Q1933" s="156">
        <f t="shared" si="1243"/>
        <v>0</v>
      </c>
      <c r="R1933" s="156">
        <f t="shared" si="1243"/>
        <v>0</v>
      </c>
      <c r="S1933" s="156">
        <f t="shared" si="1243"/>
        <v>0</v>
      </c>
      <c r="T1933" s="156">
        <f t="shared" si="1243"/>
        <v>0</v>
      </c>
      <c r="U1933" s="156">
        <f t="shared" si="1243"/>
        <v>0</v>
      </c>
      <c r="V1933" s="156">
        <f t="shared" si="1243"/>
        <v>0</v>
      </c>
      <c r="W1933" s="156">
        <f t="shared" si="1243"/>
        <v>0</v>
      </c>
      <c r="X1933" s="156">
        <f t="shared" si="1243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4">K1931+SUM(K1932:K1933)</f>
        <v>0</v>
      </c>
      <c r="L1934" s="158">
        <f t="shared" si="1244"/>
        <v>0</v>
      </c>
      <c r="M1934" s="158">
        <f t="shared" si="1244"/>
        <v>0</v>
      </c>
      <c r="N1934" s="158">
        <f t="shared" si="1244"/>
        <v>0</v>
      </c>
      <c r="O1934" s="158">
        <f t="shared" si="1244"/>
        <v>0</v>
      </c>
      <c r="P1934" s="158">
        <f t="shared" si="1244"/>
        <v>0</v>
      </c>
      <c r="Q1934" s="158">
        <f t="shared" si="1244"/>
        <v>0</v>
      </c>
      <c r="R1934" s="158">
        <f t="shared" si="1244"/>
        <v>0</v>
      </c>
      <c r="S1934" s="158">
        <f t="shared" si="1244"/>
        <v>0</v>
      </c>
      <c r="T1934" s="158">
        <f t="shared" si="1244"/>
        <v>0</v>
      </c>
      <c r="U1934" s="158">
        <f t="shared" si="1244"/>
        <v>0</v>
      </c>
      <c r="V1934" s="158">
        <f t="shared" si="1244"/>
        <v>0</v>
      </c>
      <c r="W1934" s="158">
        <f t="shared" si="1244"/>
        <v>0</v>
      </c>
      <c r="X1934" s="158">
        <f t="shared" si="1244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5">K605-K1910-K1924</f>
        <v>0</v>
      </c>
      <c r="L1938" s="160">
        <f t="shared" si="1245"/>
        <v>0</v>
      </c>
      <c r="M1938" s="160">
        <f t="shared" si="1245"/>
        <v>0</v>
      </c>
      <c r="N1938" s="160">
        <f t="shared" si="1245"/>
        <v>0</v>
      </c>
      <c r="O1938" s="160">
        <f t="shared" si="1245"/>
        <v>0</v>
      </c>
      <c r="P1938" s="160">
        <f t="shared" si="1245"/>
        <v>0</v>
      </c>
      <c r="Q1938" s="160">
        <f t="shared" si="1245"/>
        <v>0</v>
      </c>
      <c r="R1938" s="160">
        <f t="shared" si="1245"/>
        <v>0</v>
      </c>
      <c r="S1938" s="160">
        <f t="shared" si="1245"/>
        <v>0</v>
      </c>
      <c r="T1938" s="160">
        <f t="shared" si="1245"/>
        <v>0</v>
      </c>
      <c r="U1938" s="160">
        <f t="shared" si="1245"/>
        <v>0</v>
      </c>
      <c r="V1938" s="160">
        <f t="shared" si="1245"/>
        <v>0</v>
      </c>
      <c r="W1938" s="160">
        <f t="shared" si="1245"/>
        <v>0</v>
      </c>
      <c r="X1938" s="160">
        <f t="shared" si="1245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46">K606-K1911-K1925</f>
        <v>0</v>
      </c>
      <c r="L1939" s="160">
        <f t="shared" si="1246"/>
        <v>0</v>
      </c>
      <c r="M1939" s="160">
        <f t="shared" si="1246"/>
        <v>0</v>
      </c>
      <c r="N1939" s="160">
        <f t="shared" si="1246"/>
        <v>0</v>
      </c>
      <c r="O1939" s="160">
        <f t="shared" si="1246"/>
        <v>0</v>
      </c>
      <c r="P1939" s="160">
        <f t="shared" si="1246"/>
        <v>0</v>
      </c>
      <c r="Q1939" s="160">
        <f t="shared" si="1246"/>
        <v>0</v>
      </c>
      <c r="R1939" s="160">
        <f t="shared" si="1246"/>
        <v>0</v>
      </c>
      <c r="S1939" s="160">
        <f t="shared" si="1246"/>
        <v>0</v>
      </c>
      <c r="T1939" s="160">
        <f t="shared" si="1246"/>
        <v>0</v>
      </c>
      <c r="U1939" s="160">
        <f t="shared" si="1246"/>
        <v>0</v>
      </c>
      <c r="V1939" s="160">
        <f t="shared" si="1246"/>
        <v>0</v>
      </c>
      <c r="W1939" s="160">
        <f t="shared" si="1246"/>
        <v>0</v>
      </c>
      <c r="X1939" s="160">
        <f t="shared" si="1246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47">K607-K1912-K1926</f>
        <v>0</v>
      </c>
      <c r="L1940" s="160">
        <f t="shared" si="1247"/>
        <v>0</v>
      </c>
      <c r="M1940" s="160">
        <f t="shared" si="1247"/>
        <v>0</v>
      </c>
      <c r="N1940" s="160">
        <f t="shared" si="1247"/>
        <v>0</v>
      </c>
      <c r="O1940" s="160">
        <f t="shared" si="1247"/>
        <v>0</v>
      </c>
      <c r="P1940" s="160">
        <f t="shared" si="1247"/>
        <v>0</v>
      </c>
      <c r="Q1940" s="160">
        <f t="shared" si="1247"/>
        <v>0</v>
      </c>
      <c r="R1940" s="160">
        <f t="shared" si="1247"/>
        <v>0</v>
      </c>
      <c r="S1940" s="160">
        <f t="shared" si="1247"/>
        <v>0</v>
      </c>
      <c r="T1940" s="160">
        <f t="shared" si="1247"/>
        <v>0</v>
      </c>
      <c r="U1940" s="160">
        <f t="shared" si="1247"/>
        <v>0</v>
      </c>
      <c r="V1940" s="160">
        <f t="shared" si="1247"/>
        <v>0</v>
      </c>
      <c r="W1940" s="160">
        <f t="shared" si="1247"/>
        <v>0</v>
      </c>
      <c r="X1940" s="160">
        <f t="shared" si="1247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48">K608-K1913-K1927</f>
        <v>0</v>
      </c>
      <c r="L1941" s="160">
        <f t="shared" si="1248"/>
        <v>0</v>
      </c>
      <c r="M1941" s="160">
        <f t="shared" si="1248"/>
        <v>0</v>
      </c>
      <c r="N1941" s="160">
        <f t="shared" si="1248"/>
        <v>0</v>
      </c>
      <c r="O1941" s="160">
        <f t="shared" si="1248"/>
        <v>0</v>
      </c>
      <c r="P1941" s="160">
        <f t="shared" si="1248"/>
        <v>0</v>
      </c>
      <c r="Q1941" s="160">
        <f t="shared" si="1248"/>
        <v>0</v>
      </c>
      <c r="R1941" s="160">
        <f t="shared" si="1248"/>
        <v>0</v>
      </c>
      <c r="S1941" s="160">
        <f t="shared" si="1248"/>
        <v>0</v>
      </c>
      <c r="T1941" s="160">
        <f t="shared" si="1248"/>
        <v>0</v>
      </c>
      <c r="U1941" s="160">
        <f t="shared" si="1248"/>
        <v>0</v>
      </c>
      <c r="V1941" s="160">
        <f t="shared" si="1248"/>
        <v>0</v>
      </c>
      <c r="W1941" s="160">
        <f t="shared" si="1248"/>
        <v>0</v>
      </c>
      <c r="X1941" s="160">
        <f t="shared" si="1248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49">K609-K1914-K1928</f>
        <v>0</v>
      </c>
      <c r="L1942" s="160">
        <f t="shared" si="1249"/>
        <v>0</v>
      </c>
      <c r="M1942" s="160">
        <f t="shared" si="1249"/>
        <v>0</v>
      </c>
      <c r="N1942" s="160">
        <f t="shared" si="1249"/>
        <v>0</v>
      </c>
      <c r="O1942" s="160">
        <f t="shared" si="1249"/>
        <v>0</v>
      </c>
      <c r="P1942" s="160">
        <f t="shared" si="1249"/>
        <v>0</v>
      </c>
      <c r="Q1942" s="160">
        <f t="shared" si="1249"/>
        <v>0</v>
      </c>
      <c r="R1942" s="160">
        <f t="shared" si="1249"/>
        <v>0</v>
      </c>
      <c r="S1942" s="160">
        <f t="shared" si="1249"/>
        <v>0</v>
      </c>
      <c r="T1942" s="160">
        <f t="shared" si="1249"/>
        <v>0</v>
      </c>
      <c r="U1942" s="160">
        <f t="shared" si="1249"/>
        <v>0</v>
      </c>
      <c r="V1942" s="160">
        <f t="shared" si="1249"/>
        <v>0</v>
      </c>
      <c r="W1942" s="160">
        <f t="shared" si="1249"/>
        <v>0</v>
      </c>
      <c r="X1942" s="160">
        <f t="shared" si="1249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0">K610-K1915-K1929</f>
        <v>0</v>
      </c>
      <c r="L1943" s="160">
        <f t="shared" si="1250"/>
        <v>0</v>
      </c>
      <c r="M1943" s="160">
        <f t="shared" si="1250"/>
        <v>0</v>
      </c>
      <c r="N1943" s="160">
        <f t="shared" si="1250"/>
        <v>0</v>
      </c>
      <c r="O1943" s="160">
        <f t="shared" si="1250"/>
        <v>0</v>
      </c>
      <c r="P1943" s="160">
        <f t="shared" si="1250"/>
        <v>0</v>
      </c>
      <c r="Q1943" s="160">
        <f t="shared" si="1250"/>
        <v>0</v>
      </c>
      <c r="R1943" s="160">
        <f t="shared" si="1250"/>
        <v>0</v>
      </c>
      <c r="S1943" s="160">
        <f t="shared" si="1250"/>
        <v>0</v>
      </c>
      <c r="T1943" s="160">
        <f t="shared" si="1250"/>
        <v>0</v>
      </c>
      <c r="U1943" s="160">
        <f t="shared" si="1250"/>
        <v>0</v>
      </c>
      <c r="V1943" s="160">
        <f t="shared" si="1250"/>
        <v>0</v>
      </c>
      <c r="W1943" s="160">
        <f t="shared" si="1250"/>
        <v>0</v>
      </c>
      <c r="X1943" s="160">
        <f t="shared" si="1250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1">K611-K1916-K1930</f>
        <v>0</v>
      </c>
      <c r="L1944" s="160">
        <f t="shared" si="1251"/>
        <v>0</v>
      </c>
      <c r="M1944" s="160">
        <f t="shared" si="1251"/>
        <v>0</v>
      </c>
      <c r="N1944" s="160">
        <f t="shared" si="1251"/>
        <v>0</v>
      </c>
      <c r="O1944" s="160">
        <f t="shared" si="1251"/>
        <v>0</v>
      </c>
      <c r="P1944" s="160">
        <f t="shared" si="1251"/>
        <v>0</v>
      </c>
      <c r="Q1944" s="160">
        <f t="shared" si="1251"/>
        <v>0</v>
      </c>
      <c r="R1944" s="160">
        <f t="shared" si="1251"/>
        <v>0</v>
      </c>
      <c r="S1944" s="160">
        <f t="shared" si="1251"/>
        <v>0</v>
      </c>
      <c r="T1944" s="160">
        <f t="shared" si="1251"/>
        <v>0</v>
      </c>
      <c r="U1944" s="160">
        <f t="shared" si="1251"/>
        <v>0</v>
      </c>
      <c r="V1944" s="160">
        <f t="shared" si="1251"/>
        <v>0</v>
      </c>
      <c r="W1944" s="160">
        <f t="shared" si="1251"/>
        <v>0</v>
      </c>
      <c r="X1944" s="160">
        <f t="shared" si="1251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2">SUM(N1938:N1944)</f>
        <v>0</v>
      </c>
      <c r="O1945" s="162">
        <f t="shared" si="1252"/>
        <v>0</v>
      </c>
      <c r="P1945" s="162">
        <f t="shared" si="1252"/>
        <v>0</v>
      </c>
      <c r="Q1945" s="162">
        <f t="shared" si="1252"/>
        <v>0</v>
      </c>
      <c r="R1945" s="162">
        <f t="shared" si="1252"/>
        <v>0</v>
      </c>
      <c r="S1945" s="162">
        <f t="shared" si="1252"/>
        <v>0</v>
      </c>
      <c r="T1945" s="162">
        <f t="shared" si="1252"/>
        <v>0</v>
      </c>
      <c r="U1945" s="162">
        <f t="shared" si="1252"/>
        <v>0</v>
      </c>
      <c r="V1945" s="162">
        <f t="shared" si="1252"/>
        <v>0</v>
      </c>
      <c r="W1945" s="162">
        <f t="shared" si="1252"/>
        <v>0</v>
      </c>
      <c r="X1945" s="162">
        <f t="shared" si="1252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3">K613-K1918-K1932</f>
        <v>0</v>
      </c>
      <c r="L1946" s="156">
        <f t="shared" si="1253"/>
        <v>0</v>
      </c>
      <c r="M1946" s="156">
        <f t="shared" si="1253"/>
        <v>0</v>
      </c>
      <c r="N1946" s="156">
        <f t="shared" si="1253"/>
        <v>0</v>
      </c>
      <c r="O1946" s="156">
        <f t="shared" si="1253"/>
        <v>0</v>
      </c>
      <c r="P1946" s="156">
        <f t="shared" si="1253"/>
        <v>0</v>
      </c>
      <c r="Q1946" s="156">
        <f t="shared" si="1253"/>
        <v>0</v>
      </c>
      <c r="R1946" s="156">
        <f t="shared" si="1253"/>
        <v>0</v>
      </c>
      <c r="S1946" s="156">
        <f t="shared" si="1253"/>
        <v>0</v>
      </c>
      <c r="T1946" s="156">
        <f t="shared" si="1253"/>
        <v>0</v>
      </c>
      <c r="U1946" s="156">
        <f t="shared" si="1253"/>
        <v>0</v>
      </c>
      <c r="V1946" s="156">
        <f t="shared" si="1253"/>
        <v>0</v>
      </c>
      <c r="W1946" s="156">
        <f t="shared" si="1253"/>
        <v>0</v>
      </c>
      <c r="X1946" s="156">
        <f t="shared" si="1253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4">K614-K1919-K1933</f>
        <v>0</v>
      </c>
      <c r="L1947" s="156">
        <f t="shared" si="1254"/>
        <v>0</v>
      </c>
      <c r="M1947" s="156">
        <f t="shared" si="1254"/>
        <v>0</v>
      </c>
      <c r="N1947" s="156">
        <f t="shared" si="1254"/>
        <v>0</v>
      </c>
      <c r="O1947" s="156">
        <f t="shared" si="1254"/>
        <v>0</v>
      </c>
      <c r="P1947" s="156">
        <f t="shared" si="1254"/>
        <v>0</v>
      </c>
      <c r="Q1947" s="156">
        <f t="shared" si="1254"/>
        <v>0</v>
      </c>
      <c r="R1947" s="156">
        <f t="shared" si="1254"/>
        <v>0</v>
      </c>
      <c r="S1947" s="156">
        <f t="shared" si="1254"/>
        <v>0</v>
      </c>
      <c r="T1947" s="156">
        <f t="shared" si="1254"/>
        <v>0</v>
      </c>
      <c r="U1947" s="156">
        <f t="shared" si="1254"/>
        <v>0</v>
      </c>
      <c r="V1947" s="156">
        <f t="shared" si="1254"/>
        <v>0</v>
      </c>
      <c r="W1947" s="156">
        <f t="shared" si="1254"/>
        <v>0</v>
      </c>
      <c r="X1947" s="156">
        <f t="shared" si="1254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5">L1945+SUM(L1946:L1947)</f>
        <v>0</v>
      </c>
      <c r="M1948" s="158">
        <f t="shared" si="1255"/>
        <v>0</v>
      </c>
      <c r="N1948" s="158">
        <f t="shared" si="1255"/>
        <v>0</v>
      </c>
      <c r="O1948" s="158">
        <f t="shared" si="1255"/>
        <v>0</v>
      </c>
      <c r="P1948" s="158">
        <f t="shared" si="1255"/>
        <v>0</v>
      </c>
      <c r="Q1948" s="158">
        <f t="shared" si="1255"/>
        <v>0</v>
      </c>
      <c r="R1948" s="158">
        <f t="shared" si="1255"/>
        <v>0</v>
      </c>
      <c r="S1948" s="158">
        <f t="shared" si="1255"/>
        <v>0</v>
      </c>
      <c r="T1948" s="158">
        <f t="shared" si="1255"/>
        <v>0</v>
      </c>
      <c r="U1948" s="158">
        <f t="shared" si="1255"/>
        <v>0</v>
      </c>
      <c r="V1948" s="158">
        <f t="shared" si="1255"/>
        <v>0</v>
      </c>
      <c r="W1948" s="158">
        <f t="shared" si="1255"/>
        <v>0</v>
      </c>
      <c r="X1948" s="158">
        <f t="shared" si="1255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UHTsduMDeEgw2qLhM82sEpCgc0++sv/vpcjMbQ8ByRLzxjYR44MCDsQ0xLmlBS5BJ4yf8JMkGfI2lwY5Smzk+w==" saltValue="9Y8q3R5k4Xa8/U93L3KHQQ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7" type="noConversion"/>
  <conditionalFormatting sqref="K139:X158">
    <cfRule type="expression" dxfId="384" priority="5">
      <formula>$D139="nie"</formula>
    </cfRule>
    <cfRule type="expression" dxfId="383" priority="47">
      <formula>AND($D139="tak",K$114&gt;=Poczatek,K$114&lt;=Koniec_Projekt)</formula>
    </cfRule>
    <cfRule type="expression" dxfId="382" priority="48">
      <formula>AND($D139="",ISBLANK(K139)=FALSE)</formula>
    </cfRule>
  </conditionalFormatting>
  <conditionalFormatting sqref="K184:X203">
    <cfRule type="expression" dxfId="381" priority="4">
      <formula>$D184="nie"</formula>
    </cfRule>
    <cfRule type="expression" dxfId="380" priority="45">
      <formula>AND($D184="tak",K$114&gt;=Poczatek,K$114&lt;=Koniec_Projekt)</formula>
    </cfRule>
    <cfRule type="expression" dxfId="379" priority="46">
      <formula>AND($D184="",ISBLANK(K184)=FALSE)</formula>
    </cfRule>
  </conditionalFormatting>
  <conditionalFormatting sqref="K214:X218">
    <cfRule type="expression" dxfId="378" priority="3">
      <formula>$D214="nie"</formula>
    </cfRule>
    <cfRule type="expression" dxfId="377" priority="43">
      <formula>AND($D214="tak",K$114&gt;=Poczatek,K$114&lt;=Koniec_Projekt)</formula>
    </cfRule>
    <cfRule type="expression" dxfId="376" priority="44">
      <formula>AND($D214="",ISBLANK(K214)=FALSE)</formula>
    </cfRule>
  </conditionalFormatting>
  <conditionalFormatting sqref="K349:X388">
    <cfRule type="expression" dxfId="375" priority="2">
      <formula>OR($D349="nie")</formula>
    </cfRule>
    <cfRule type="expression" dxfId="374" priority="41">
      <formula>AND($D349="tak",K$114&gt;=Poczatek,K$114&lt;=Koniec_Projekt)</formula>
    </cfRule>
    <cfRule type="expression" dxfId="373" priority="42">
      <formula>AND($D349="",ISBLANK(K349)=FALSE)</formula>
    </cfRule>
  </conditionalFormatting>
  <conditionalFormatting sqref="K553:X582">
    <cfRule type="expression" dxfId="372" priority="1">
      <formula>$D553="nie"</formula>
    </cfRule>
    <cfRule type="expression" dxfId="371" priority="39">
      <formula>AND($D553="tak",K$114&gt;=Poczatek,K$114&lt;=Koniec_Projekt)</formula>
    </cfRule>
    <cfRule type="expression" dxfId="370" priority="40">
      <formula>AND($D553="",ISBLANK(K553)=FALSE)</formula>
    </cfRule>
  </conditionalFormatting>
  <conditionalFormatting sqref="B139:E158">
    <cfRule type="expression" dxfId="369" priority="36">
      <formula>$D117="nie"</formula>
    </cfRule>
  </conditionalFormatting>
  <conditionalFormatting sqref="B184:E203">
    <cfRule type="expression" dxfId="368" priority="35">
      <formula>$D162="nie"</formula>
    </cfRule>
  </conditionalFormatting>
  <conditionalFormatting sqref="B214:E218">
    <cfRule type="expression" dxfId="367" priority="34">
      <formula>$D207="nie"</formula>
    </cfRule>
  </conditionalFormatting>
  <conditionalFormatting sqref="B349:E388">
    <cfRule type="expression" dxfId="366" priority="33">
      <formula>$D223="nie"</formula>
    </cfRule>
  </conditionalFormatting>
  <conditionalFormatting sqref="B478:E517">
    <cfRule type="expression" dxfId="365" priority="32">
      <formula>$D223="nie"</formula>
    </cfRule>
  </conditionalFormatting>
  <conditionalFormatting sqref="B553:E582">
    <cfRule type="expression" dxfId="364" priority="31">
      <formula>$D521="nie"</formula>
    </cfRule>
  </conditionalFormatting>
  <conditionalFormatting sqref="K15:X19 K24:X28 K33:X37 K43:X47 K49:X53 K74:X78 K83:X87 K93:X96">
    <cfRule type="expression" dxfId="363" priority="12">
      <formula>AND(K$12&gt;Koniec_Projekt,K$12&lt;=Koniec)</formula>
    </cfRule>
    <cfRule type="expression" dxfId="362" priority="13">
      <formula>(K$12&lt;=Koniec_Projekt)</formula>
    </cfRule>
  </conditionalFormatting>
  <conditionalFormatting sqref="K162:X181 K207:X211 K265:X304 K307:X346 K586:X590 K596:X599 K521:X550 K117:X136 K223:X262">
    <cfRule type="expression" dxfId="361" priority="10">
      <formula>AND(K$12&gt;Koniec_Projekt,K$12&lt;=Koniec)</formula>
    </cfRule>
    <cfRule type="expression" dxfId="360" priority="11">
      <formula>AND(K$12&gt;=Poczatek,K$12&lt;=Koniec_Projekt)</formula>
    </cfRule>
  </conditionalFormatting>
  <conditionalFormatting sqref="E162:E181 E207:E211 E521:E550 E586:E590 E596:E599 E117:E136 E223:E262">
    <cfRule type="expression" dxfId="359" priority="9">
      <formula>test_kosztyBR</formula>
    </cfRule>
  </conditionalFormatting>
  <conditionalFormatting sqref="C162:C181 C207:C211 C521:C550 C586:C590 C595:C599 C117:C136 C223:C262">
    <cfRule type="expression" dxfId="358" priority="7">
      <formula>Kontrola_modulow_koszty_operacyjne</formula>
    </cfRule>
  </conditionalFormatting>
  <conditionalFormatting sqref="K55:X59 K65:X69 K391:X430 K436:X475 K478:X517">
    <cfRule type="cellIs" dxfId="357" priority="6" operator="equal">
      <formula>0</formula>
    </cfRule>
  </conditionalFormatting>
  <dataValidations count="6">
    <dataValidation type="list" allowBlank="1" showInputMessage="1" showErrorMessage="1" sqref="C117:C136 C162:C181 C207:C211 C596:C599 C521:C550 C586:C590 C223:C262" xr:uid="{2B693B6A-753F-482C-A543-3F840835BC5C}">
      <formula1>Lista_Modulow_Menu</formula1>
    </dataValidation>
    <dataValidation type="list" allowBlank="1" showInputMessage="1" showErrorMessage="1" sqref="D586:D590 D521:D550 D162:D181 D207:D211 D117:D136 D596:D599 D223:D262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117:E136 E521:E550 E586:E590 E223:E262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165100</xdr:colOff>
                    <xdr:row>3</xdr:row>
                    <xdr:rowOff>101600</xdr:rowOff>
                  </from>
                  <to>
                    <xdr:col>12</xdr:col>
                    <xdr:colOff>641350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2302"/>
  <sheetViews>
    <sheetView showGridLines="0" zoomScaleNormal="100" workbookViewId="0"/>
  </sheetViews>
  <sheetFormatPr defaultColWidth="0" defaultRowHeight="12" zeroHeight="1"/>
  <cols>
    <col min="1" max="1" width="2.88671875" style="325" customWidth="1"/>
    <col min="2" max="2" width="49.109375" style="1" customWidth="1"/>
    <col min="3" max="3" width="18.88671875" style="1" bestFit="1" customWidth="1"/>
    <col min="4" max="5" width="12.88671875" style="1" customWidth="1"/>
    <col min="6" max="7" width="13.6640625" style="1" customWidth="1"/>
    <col min="8" max="8" width="13.88671875" style="1" customWidth="1"/>
    <col min="9" max="9" width="14.88671875" style="1" customWidth="1"/>
    <col min="10" max="10" width="14.33203125" style="1" customWidth="1"/>
    <col min="11" max="24" width="12.88671875" style="1" customWidth="1"/>
    <col min="25" max="25" width="2.88671875" style="1" customWidth="1"/>
    <col min="26" max="27" width="9.33203125" style="1" hidden="1" customWidth="1"/>
    <col min="28" max="38" width="0" style="1" hidden="1" customWidth="1"/>
    <col min="39" max="16384" width="9.3320312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743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744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743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744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743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744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ROUND(E2298,0)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743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744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ROUND(E2299,0)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743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744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ROUND(E2300,0)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743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744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ROUND(E2301,0)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743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744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ROUND(E2302,0)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743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744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730</v>
      </c>
      <c r="C95" s="423" t="s">
        <v>709</v>
      </c>
      <c r="D95" s="423" t="s">
        <v>406</v>
      </c>
      <c r="E95" s="423" t="s">
        <v>706</v>
      </c>
      <c r="F95" s="423" t="s">
        <v>758</v>
      </c>
      <c r="G95" s="233"/>
      <c r="H95" s="233"/>
      <c r="I95" s="233"/>
      <c r="J95" s="424" t="s">
        <v>423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9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9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9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9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9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9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9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9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9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9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9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9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9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9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9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9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9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9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9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9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9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9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9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9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9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9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9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9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9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9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9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9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9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9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9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9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9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9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9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9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718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719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720</v>
      </c>
      <c r="C143" s="19"/>
      <c r="D143" s="19"/>
      <c r="E143" s="19"/>
      <c r="F143" s="19"/>
      <c r="G143" s="19"/>
      <c r="H143" s="19"/>
      <c r="I143" s="19"/>
      <c r="J143" s="18">
        <f>ROUND('Sprawozdania finansowe'!F18,0)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722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724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725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3.9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745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720</v>
      </c>
      <c r="C149" s="19"/>
      <c r="D149" s="19"/>
      <c r="E149" s="19"/>
      <c r="F149" s="19"/>
      <c r="G149" s="19"/>
      <c r="H149" s="19"/>
      <c r="I149" s="19"/>
      <c r="J149" s="18">
        <f>ROUND('Sprawozdania finansowe'!F26+'Sprawozdania finansowe'!F27,0)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721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723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715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716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30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t="shared" ca="1" si="67"/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726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710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711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712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713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714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2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717</v>
      </c>
      <c r="C174" s="533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30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1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726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2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1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714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2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5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1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781</v>
      </c>
      <c r="H194" s="229" t="s">
        <v>408</v>
      </c>
      <c r="I194" s="229" t="s">
        <v>409</v>
      </c>
      <c r="J194" s="229" t="s">
        <v>423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dotacji'!E28</f>
        <v>0</v>
      </c>
      <c r="I195" s="102">
        <f>IF(AND(F195="tak",G195="tak"),SUM(K1123:X1123),IF(AND(F195="tak",G195="nie",ISNUMBER(H195)),'Rozliczenie dotacji'!F28,0))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dotacji'!F30,0))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dotacji'!F31,0))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dotacji'!F32,0))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dotacji'!F33,0))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dotacji'!F34,0))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dotacji'!F35,0))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dotacji'!F36,0))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dotacji'!F37,0))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dotacji'!F38,0))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dotacji'!F39,0))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dotacji'!F40,0))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dotacji'!F41,0))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dotacji'!F42,0))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dotacji'!F43,0))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dotacji'!F44,0))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dotacji'!F45,0))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dotacji'!F46,0))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dotacji'!F47,0))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dotacji'!F48,0))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dotacji'!F49,0))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424</v>
      </c>
      <c r="C222" s="391"/>
      <c r="D222" s="189"/>
      <c r="E222" s="190"/>
      <c r="F222" s="190"/>
      <c r="G222" s="190"/>
      <c r="H222" s="190"/>
      <c r="I222" s="190"/>
      <c r="J222" s="190"/>
      <c r="K222" s="568"/>
      <c r="L222" s="569"/>
      <c r="M222" s="569"/>
      <c r="N222" s="569"/>
      <c r="O222" s="569"/>
      <c r="P222" s="569"/>
      <c r="Q222" s="569"/>
      <c r="R222" s="569"/>
      <c r="S222" s="569"/>
      <c r="T222" s="569"/>
      <c r="U222" s="569"/>
      <c r="V222" s="569"/>
      <c r="W222" s="569"/>
      <c r="X222" s="569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681</v>
      </c>
      <c r="C244" s="391"/>
      <c r="D244" s="189"/>
      <c r="E244" s="190"/>
      <c r="F244" s="190"/>
      <c r="G244" s="190"/>
      <c r="H244" s="190"/>
      <c r="I244" s="190"/>
      <c r="J244" s="190"/>
      <c r="K244" s="568"/>
      <c r="L244" s="569"/>
      <c r="M244" s="569"/>
      <c r="N244" s="569"/>
      <c r="O244" s="569"/>
      <c r="P244" s="569"/>
      <c r="Q244" s="569"/>
      <c r="R244" s="569"/>
      <c r="S244" s="569"/>
      <c r="T244" s="569"/>
      <c r="U244" s="569"/>
      <c r="V244" s="569"/>
      <c r="W244" s="569"/>
      <c r="X244" s="569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1">
      <c r="B268" s="227" t="s">
        <v>388</v>
      </c>
      <c r="C268" s="228" t="s">
        <v>296</v>
      </c>
      <c r="D268" s="229" t="s">
        <v>406</v>
      </c>
      <c r="E268" s="229" t="s">
        <v>421</v>
      </c>
      <c r="F268" s="229" t="s">
        <v>336</v>
      </c>
      <c r="G268" s="229" t="s">
        <v>781</v>
      </c>
      <c r="H268" s="229" t="s">
        <v>408</v>
      </c>
      <c r="I268" s="229" t="s">
        <v>409</v>
      </c>
      <c r="J268" s="229" t="s">
        <v>423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dotacji'!F58,0))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dotacji'!F59,0))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dotacji'!F60,0))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dotacji'!F61,0))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dotacji'!F62,0))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dotacji'!F63,0))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dotacji'!F64,0))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dotacji'!F65,0))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dotacji'!F66,0))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dotacji'!F67,0))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dotacji'!F68,0))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dotacji'!F69,0))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dotacji'!F70,0))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dotacji'!F71,0))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dotacji'!F72,0))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424</v>
      </c>
      <c r="C289" s="391"/>
      <c r="D289" s="189"/>
      <c r="E289" s="190"/>
      <c r="F289" s="190"/>
      <c r="G289" s="190"/>
      <c r="H289" s="190"/>
      <c r="I289" s="190"/>
      <c r="J289" s="190"/>
      <c r="K289" s="568"/>
      <c r="L289" s="569"/>
      <c r="M289" s="569"/>
      <c r="N289" s="569"/>
      <c r="O289" s="569"/>
      <c r="P289" s="569"/>
      <c r="Q289" s="569"/>
      <c r="R289" s="569"/>
      <c r="S289" s="569"/>
      <c r="T289" s="569"/>
      <c r="U289" s="569"/>
      <c r="V289" s="569"/>
      <c r="W289" s="569"/>
      <c r="X289" s="569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681</v>
      </c>
      <c r="C306" s="391"/>
      <c r="D306" s="189"/>
      <c r="E306" s="190"/>
      <c r="F306" s="190"/>
      <c r="G306" s="190"/>
      <c r="H306" s="190"/>
      <c r="I306" s="190"/>
      <c r="J306" s="190"/>
      <c r="K306" s="568"/>
      <c r="L306" s="569"/>
      <c r="M306" s="569"/>
      <c r="N306" s="569"/>
      <c r="O306" s="569"/>
      <c r="P306" s="569"/>
      <c r="Q306" s="569"/>
      <c r="R306" s="569"/>
      <c r="S306" s="569"/>
      <c r="T306" s="569"/>
      <c r="U306" s="569"/>
      <c r="V306" s="569"/>
      <c r="W306" s="569"/>
      <c r="X306" s="569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1">
      <c r="B325" s="227" t="s">
        <v>389</v>
      </c>
      <c r="C325" s="228" t="s">
        <v>296</v>
      </c>
      <c r="D325" s="229" t="s">
        <v>406</v>
      </c>
      <c r="E325" s="229" t="s">
        <v>421</v>
      </c>
      <c r="F325" s="229" t="s">
        <v>336</v>
      </c>
      <c r="G325" s="229" t="s">
        <v>781</v>
      </c>
      <c r="H325" s="229" t="s">
        <v>408</v>
      </c>
      <c r="I325" s="229" t="s">
        <v>409</v>
      </c>
      <c r="J325" s="229" t="s">
        <v>423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dotacji'!F81,0))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dotacji'!F82,0))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dotacji'!F83,0))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dotacji'!F84,0))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dotacji'!F85,0))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424</v>
      </c>
      <c r="C336" s="391"/>
      <c r="D336" s="189"/>
      <c r="E336" s="190"/>
      <c r="F336" s="190"/>
      <c r="G336" s="190"/>
      <c r="H336" s="190"/>
      <c r="I336" s="190"/>
      <c r="J336" s="190"/>
      <c r="K336" s="568"/>
      <c r="L336" s="569"/>
      <c r="M336" s="569"/>
      <c r="N336" s="569"/>
      <c r="O336" s="569"/>
      <c r="P336" s="569"/>
      <c r="Q336" s="569"/>
      <c r="R336" s="569"/>
      <c r="S336" s="569"/>
      <c r="T336" s="569"/>
      <c r="U336" s="569"/>
      <c r="V336" s="569"/>
      <c r="W336" s="569"/>
      <c r="X336" s="569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681</v>
      </c>
      <c r="C343" s="391"/>
      <c r="D343" s="189"/>
      <c r="E343" s="190"/>
      <c r="F343" s="190"/>
      <c r="G343" s="190"/>
      <c r="H343" s="190"/>
      <c r="I343" s="190"/>
      <c r="J343" s="190"/>
      <c r="K343" s="568"/>
      <c r="L343" s="569"/>
      <c r="M343" s="569"/>
      <c r="N343" s="569"/>
      <c r="O343" s="569"/>
      <c r="P343" s="569"/>
      <c r="Q343" s="569"/>
      <c r="R343" s="569"/>
      <c r="S343" s="569"/>
      <c r="T343" s="569"/>
      <c r="U343" s="569"/>
      <c r="V343" s="569"/>
      <c r="W343" s="569"/>
      <c r="X343" s="569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">
      <c r="B352" s="227" t="s">
        <v>390</v>
      </c>
      <c r="C352" s="228" t="s">
        <v>296</v>
      </c>
      <c r="D352" s="229" t="s">
        <v>406</v>
      </c>
      <c r="E352" s="229" t="s">
        <v>421</v>
      </c>
      <c r="F352" s="229" t="s">
        <v>336</v>
      </c>
      <c r="G352" s="229" t="s">
        <v>781</v>
      </c>
      <c r="H352" s="229" t="s">
        <v>408</v>
      </c>
      <c r="I352" s="229" t="s">
        <v>409</v>
      </c>
      <c r="J352" s="229" t="s">
        <v>423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dotacji'!F94,0))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dotacji'!F95,0))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dotacji'!F96,0))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dotacji'!F97,0))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dotacji'!F98,0))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dotacji'!F99,0))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dotacji'!F100,0))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dotacji'!F101,0))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dotacji'!F102,0))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dotacji'!F103,0))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dotacji'!F104,0))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dotacji'!F105,0))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dotacji'!F106,0))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dotacji'!F107,0))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dotacji'!F108,0))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424</v>
      </c>
      <c r="C373" s="391"/>
      <c r="D373" s="189"/>
      <c r="E373" s="190"/>
      <c r="F373" s="190"/>
      <c r="G373" s="190"/>
      <c r="H373" s="190"/>
      <c r="I373" s="190"/>
      <c r="J373" s="190"/>
      <c r="K373" s="568"/>
      <c r="L373" s="569"/>
      <c r="M373" s="569"/>
      <c r="N373" s="569"/>
      <c r="O373" s="569"/>
      <c r="P373" s="569"/>
      <c r="Q373" s="569"/>
      <c r="R373" s="569"/>
      <c r="S373" s="569"/>
      <c r="T373" s="569"/>
      <c r="U373" s="569"/>
      <c r="V373" s="569"/>
      <c r="W373" s="569"/>
      <c r="X373" s="569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681</v>
      </c>
      <c r="C390" s="391"/>
      <c r="D390" s="189"/>
      <c r="E390" s="190"/>
      <c r="F390" s="190"/>
      <c r="G390" s="190"/>
      <c r="H390" s="190"/>
      <c r="I390" s="190"/>
      <c r="J390" s="190"/>
      <c r="K390" s="568"/>
      <c r="L390" s="569"/>
      <c r="M390" s="569"/>
      <c r="N390" s="569"/>
      <c r="O390" s="569"/>
      <c r="P390" s="569"/>
      <c r="Q390" s="569"/>
      <c r="R390" s="569"/>
      <c r="S390" s="569"/>
      <c r="T390" s="569"/>
      <c r="U390" s="569"/>
      <c r="V390" s="569"/>
      <c r="W390" s="569"/>
      <c r="X390" s="569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2">
      <c r="B408" s="227" t="s">
        <v>428</v>
      </c>
      <c r="C408" s="228" t="s">
        <v>296</v>
      </c>
      <c r="D408" s="229" t="s">
        <v>429</v>
      </c>
      <c r="E408" s="229" t="s">
        <v>430</v>
      </c>
      <c r="F408" s="229" t="s">
        <v>336</v>
      </c>
      <c r="G408" s="229" t="s">
        <v>781</v>
      </c>
      <c r="H408" s="229" t="s">
        <v>408</v>
      </c>
      <c r="I408" s="229" t="s">
        <v>431</v>
      </c>
      <c r="J408" s="229" t="s">
        <v>423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1">
      <c r="B417" s="227" t="s">
        <v>391</v>
      </c>
      <c r="C417" s="228" t="s">
        <v>296</v>
      </c>
      <c r="D417" s="229" t="s">
        <v>406</v>
      </c>
      <c r="E417" s="229" t="s">
        <v>421</v>
      </c>
      <c r="F417" s="229" t="s">
        <v>336</v>
      </c>
      <c r="G417" s="229" t="s">
        <v>781</v>
      </c>
      <c r="H417" s="229" t="s">
        <v>408</v>
      </c>
      <c r="I417" s="229" t="s">
        <v>409</v>
      </c>
      <c r="J417" s="229" t="s">
        <v>423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dotacji'!F117,0))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dotacji'!F118,0))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dotacji'!F119,0))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dotacji'!F120,0))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dotacji'!F121,0))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dotacji'!F122,0))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dotacji'!F123,0))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dotacji'!F124,0))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dotacji'!F125,0))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dotacji'!F126,0))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dotacji'!F127,0))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dotacji'!F128,0))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dotacji'!F129,0))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dotacji'!F130,0))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dotacji'!F131,0))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dotacji'!F132,0))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dotacji'!F133,0))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dotacji'!F134,0))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dotacji'!F135,0))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dotacji'!F136,0))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dotacji'!F137,0))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dotacji'!F138,0))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dotacji'!F139,0))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dotacji'!F140,0))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dotacji'!F141,0))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dotacji'!F142,0))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dotacji'!F143,0))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dotacji'!F144,0))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dotacji'!F145,0))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dotacji'!F146,0))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dotacji'!F147,0))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dotacji'!F148,0))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dotacji'!F149,0))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dotacji'!F150,0))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dotacji'!F151,0))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dotacji'!F152,0))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dotacji'!F153,0))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dotacji'!F154,0))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dotacji'!F155,0))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dotacji'!F156,0))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dotacji'!F157,0))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dotacji'!F158,0))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dotacji'!F159,0))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dotacji'!F160,0))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dotacji'!F161,0))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424</v>
      </c>
      <c r="C468" s="391"/>
      <c r="D468" s="189"/>
      <c r="E468" s="190"/>
      <c r="F468" s="190"/>
      <c r="G468" s="190"/>
      <c r="H468" s="190"/>
      <c r="I468" s="190"/>
      <c r="J468" s="190"/>
      <c r="K468" s="568"/>
      <c r="L468" s="569"/>
      <c r="M468" s="569"/>
      <c r="N468" s="569"/>
      <c r="O468" s="569"/>
      <c r="P468" s="569"/>
      <c r="Q468" s="569"/>
      <c r="R468" s="569"/>
      <c r="S468" s="569"/>
      <c r="T468" s="569"/>
      <c r="U468" s="569"/>
      <c r="V468" s="569"/>
      <c r="W468" s="569"/>
      <c r="X468" s="569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681</v>
      </c>
      <c r="C515" s="391"/>
      <c r="D515" s="189"/>
      <c r="E515" s="190"/>
      <c r="F515" s="190"/>
      <c r="G515" s="190"/>
      <c r="H515" s="190"/>
      <c r="I515" s="190"/>
      <c r="J515" s="190"/>
      <c r="K515" s="568"/>
      <c r="L515" s="569"/>
      <c r="M515" s="569"/>
      <c r="N515" s="569"/>
      <c r="O515" s="569"/>
      <c r="P515" s="569"/>
      <c r="Q515" s="569"/>
      <c r="R515" s="569"/>
      <c r="S515" s="569"/>
      <c r="T515" s="569"/>
      <c r="U515" s="569"/>
      <c r="V515" s="569"/>
      <c r="W515" s="569"/>
      <c r="X515" s="569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1.5">
      <c r="B564" s="227" t="s">
        <v>434</v>
      </c>
      <c r="C564" s="228" t="s">
        <v>296</v>
      </c>
      <c r="D564" s="229" t="s">
        <v>757</v>
      </c>
      <c r="E564" s="229" t="s">
        <v>756</v>
      </c>
      <c r="F564" s="229" t="s">
        <v>336</v>
      </c>
      <c r="G564" s="229" t="s">
        <v>781</v>
      </c>
      <c r="H564" s="229" t="s">
        <v>408</v>
      </c>
      <c r="I564" s="229" t="s">
        <v>431</v>
      </c>
      <c r="J564" s="229" t="s">
        <v>423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1">
      <c r="B573" s="227" t="s">
        <v>392</v>
      </c>
      <c r="C573" s="228" t="s">
        <v>296</v>
      </c>
      <c r="D573" s="229" t="s">
        <v>406</v>
      </c>
      <c r="E573" s="229" t="s">
        <v>421</v>
      </c>
      <c r="F573" s="229" t="s">
        <v>336</v>
      </c>
      <c r="G573" s="229" t="s">
        <v>781</v>
      </c>
      <c r="H573" s="229" t="s">
        <v>408</v>
      </c>
      <c r="I573" s="229" t="s">
        <v>409</v>
      </c>
      <c r="J573" s="229" t="s">
        <v>423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dotacji'!F170,0))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dotacji'!F171,0))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dotacji'!F172,0))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dotacji'!F173,0))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dotacji'!F174,0))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dotacji'!F175,0))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dotacji'!F176,0))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dotacji'!F177,0))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dotacji'!F178,0))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dotacji'!F179,0))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424</v>
      </c>
      <c r="C589" s="391"/>
      <c r="D589" s="189"/>
      <c r="E589" s="190"/>
      <c r="F589" s="190"/>
      <c r="G589" s="190"/>
      <c r="H589" s="190"/>
      <c r="I589" s="190"/>
      <c r="J589" s="190"/>
      <c r="K589" s="568"/>
      <c r="L589" s="569"/>
      <c r="M589" s="569"/>
      <c r="N589" s="569"/>
      <c r="O589" s="569"/>
      <c r="P589" s="569"/>
      <c r="Q589" s="569"/>
      <c r="R589" s="569"/>
      <c r="S589" s="569"/>
      <c r="T589" s="569"/>
      <c r="U589" s="569"/>
      <c r="V589" s="569"/>
      <c r="W589" s="569"/>
      <c r="X589" s="569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681</v>
      </c>
      <c r="C601" s="391"/>
      <c r="D601" s="189"/>
      <c r="E601" s="190"/>
      <c r="F601" s="190"/>
      <c r="G601" s="190"/>
      <c r="H601" s="190"/>
      <c r="I601" s="190"/>
      <c r="J601" s="190"/>
      <c r="K601" s="568"/>
      <c r="L601" s="569"/>
      <c r="M601" s="569"/>
      <c r="N601" s="569"/>
      <c r="O601" s="569"/>
      <c r="P601" s="569"/>
      <c r="Q601" s="569"/>
      <c r="R601" s="569"/>
      <c r="S601" s="569"/>
      <c r="T601" s="569"/>
      <c r="U601" s="569"/>
      <c r="V601" s="569"/>
      <c r="W601" s="569"/>
      <c r="X601" s="569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">
      <c r="B615" s="227" t="s">
        <v>393</v>
      </c>
      <c r="C615" s="228" t="s">
        <v>296</v>
      </c>
      <c r="D615" s="228" t="s">
        <v>406</v>
      </c>
      <c r="E615" s="229" t="s">
        <v>421</v>
      </c>
      <c r="F615" s="229" t="s">
        <v>336</v>
      </c>
      <c r="G615" s="229" t="s">
        <v>781</v>
      </c>
      <c r="H615" s="229" t="s">
        <v>408</v>
      </c>
      <c r="I615" s="229" t="s">
        <v>409</v>
      </c>
      <c r="J615" s="229" t="s">
        <v>423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dotacji'!F188,0))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dotacji'!F189,0))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dotacji'!F190,0))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dotacji'!F191,0))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dotacji'!F192,0))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dotacji'!F193,0))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dotacji'!F194,0))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dotacji'!F195,0))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dotacji'!F196,0))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dotacji'!F197,0))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424</v>
      </c>
      <c r="C631" s="391"/>
      <c r="D631" s="189"/>
      <c r="E631" s="190"/>
      <c r="F631" s="190"/>
      <c r="G631" s="190"/>
      <c r="H631" s="190"/>
      <c r="I631" s="190"/>
      <c r="J631" s="190"/>
      <c r="K631" s="568"/>
      <c r="L631" s="569"/>
      <c r="M631" s="569"/>
      <c r="N631" s="569"/>
      <c r="O631" s="569"/>
      <c r="P631" s="569"/>
      <c r="Q631" s="569"/>
      <c r="R631" s="569"/>
      <c r="S631" s="569"/>
      <c r="T631" s="569"/>
      <c r="U631" s="569"/>
      <c r="V631" s="569"/>
      <c r="W631" s="569"/>
      <c r="X631" s="569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681</v>
      </c>
      <c r="C643" s="391"/>
      <c r="D643" s="189"/>
      <c r="E643" s="190"/>
      <c r="F643" s="190"/>
      <c r="G643" s="190"/>
      <c r="H643" s="190"/>
      <c r="I643" s="190"/>
      <c r="J643" s="190"/>
      <c r="K643" s="568"/>
      <c r="L643" s="569"/>
      <c r="M643" s="569"/>
      <c r="N643" s="569"/>
      <c r="O643" s="569"/>
      <c r="P643" s="569"/>
      <c r="Q643" s="569"/>
      <c r="R643" s="569"/>
      <c r="S643" s="569"/>
      <c r="T643" s="569"/>
      <c r="U643" s="569"/>
      <c r="V643" s="569"/>
      <c r="W643" s="569"/>
      <c r="X643" s="569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31.5">
      <c r="B657" s="227" t="s">
        <v>680</v>
      </c>
      <c r="C657" s="228" t="s">
        <v>296</v>
      </c>
      <c r="D657" s="335" t="s">
        <v>682</v>
      </c>
      <c r="E657" s="336"/>
      <c r="F657" s="229" t="s">
        <v>336</v>
      </c>
      <c r="G657" s="229" t="s">
        <v>781</v>
      </c>
      <c r="H657" s="336" t="s">
        <v>685</v>
      </c>
      <c r="I657" s="336"/>
      <c r="J657" s="229" t="s">
        <v>423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683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684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424</v>
      </c>
      <c r="C701" s="391"/>
      <c r="D701" s="189"/>
      <c r="E701" s="190"/>
      <c r="F701" s="190"/>
      <c r="G701" s="190"/>
      <c r="H701" s="190"/>
      <c r="I701" s="190"/>
      <c r="J701" s="190"/>
      <c r="K701" s="568"/>
      <c r="L701" s="569"/>
      <c r="M701" s="569"/>
      <c r="N701" s="569"/>
      <c r="O701" s="569"/>
      <c r="P701" s="569"/>
      <c r="Q701" s="569"/>
      <c r="R701" s="569"/>
      <c r="S701" s="569"/>
      <c r="T701" s="569"/>
      <c r="U701" s="569"/>
      <c r="V701" s="569"/>
      <c r="W701" s="569"/>
      <c r="X701" s="569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681</v>
      </c>
      <c r="C743" s="391"/>
      <c r="D743" s="189"/>
      <c r="E743" s="190"/>
      <c r="F743" s="190"/>
      <c r="G743" s="190"/>
      <c r="H743" s="190"/>
      <c r="I743" s="190"/>
      <c r="J743" s="190"/>
      <c r="K743" s="568"/>
      <c r="L743" s="569"/>
      <c r="M743" s="569"/>
      <c r="N743" s="569"/>
      <c r="O743" s="569"/>
      <c r="P743" s="569"/>
      <c r="Q743" s="569"/>
      <c r="R743" s="569"/>
      <c r="S743" s="569"/>
      <c r="T743" s="569"/>
      <c r="U743" s="569"/>
      <c r="V743" s="569"/>
      <c r="W743" s="569"/>
      <c r="X743" s="569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435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436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435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437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438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439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5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5" hidden="1" thickBot="1">
      <c r="A870" s="326"/>
      <c r="B870" s="459" t="s">
        <v>755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411</v>
      </c>
      <c r="G871" s="48"/>
      <c r="H871" s="50" t="s">
        <v>412</v>
      </c>
      <c r="I871" s="21" t="s">
        <v>413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425</v>
      </c>
      <c r="C872" s="164"/>
      <c r="D872" s="164">
        <f ca="1">YEAR(OFFSET($E$96,D871,0))</f>
        <v>1900</v>
      </c>
      <c r="E872" s="164">
        <f ca="1">MONTH(OFFSET($E$96,D871,0))</f>
        <v>1</v>
      </c>
      <c r="F872" s="21">
        <f ca="1">12-$E872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426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415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416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425</v>
      </c>
      <c r="C878" s="164"/>
      <c r="D878" s="164">
        <f ca="1">YEAR(OFFSET($E$96,D877,0))</f>
        <v>1900</v>
      </c>
      <c r="E878" s="164">
        <f ca="1">MONTH(OFFSET($E$96,D877,0))</f>
        <v>1</v>
      </c>
      <c r="F878" s="21">
        <f ca="1">12-$E878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415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416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425</v>
      </c>
      <c r="C884" s="164"/>
      <c r="D884" s="164">
        <f ca="1">YEAR(OFFSET($E$96,D883,0))</f>
        <v>1900</v>
      </c>
      <c r="E884" s="164">
        <f ca="1">MONTH(OFFSET($E$96,D883,0))</f>
        <v>1</v>
      </c>
      <c r="F884" s="21">
        <f ca="1">12-$E884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415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416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425</v>
      </c>
      <c r="C890" s="164"/>
      <c r="D890" s="164">
        <f ca="1">YEAR(OFFSET($E$96,D889,0))</f>
        <v>1900</v>
      </c>
      <c r="E890" s="164">
        <f ca="1">MONTH(OFFSET($E$96,D889,0))</f>
        <v>1</v>
      </c>
      <c r="F890" s="21">
        <f ca="1">12-$E890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415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416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425</v>
      </c>
      <c r="C896" s="164"/>
      <c r="D896" s="164">
        <f ca="1">YEAR(OFFSET($E$96,D895,0))</f>
        <v>1900</v>
      </c>
      <c r="E896" s="164">
        <f ca="1">MONTH(OFFSET($E$96,D895,0))</f>
        <v>1</v>
      </c>
      <c r="F896" s="21">
        <f ca="1">12-$E896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415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416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425</v>
      </c>
      <c r="C902" s="164"/>
      <c r="D902" s="164">
        <f ca="1">YEAR(OFFSET($E$96,D901,0))</f>
        <v>1900</v>
      </c>
      <c r="E902" s="164">
        <f ca="1">MONTH(OFFSET($E$96,D901,0))</f>
        <v>1</v>
      </c>
      <c r="F902" s="21">
        <f ca="1">12-$E902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415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416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425</v>
      </c>
      <c r="C908" s="164"/>
      <c r="D908" s="164">
        <f ca="1">YEAR(OFFSET($E$96,D907,0))</f>
        <v>1900</v>
      </c>
      <c r="E908" s="164">
        <f ca="1">MONTH(OFFSET($E$96,D907,0))</f>
        <v>1</v>
      </c>
      <c r="F908" s="21">
        <f ca="1">12-$E908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415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416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425</v>
      </c>
      <c r="C914" s="164"/>
      <c r="D914" s="164">
        <f ca="1">YEAR(OFFSET($E$96,D913,0))</f>
        <v>1900</v>
      </c>
      <c r="E914" s="164">
        <f ca="1">MONTH(OFFSET($E$96,D913,0))</f>
        <v>1</v>
      </c>
      <c r="F914" s="21">
        <f ca="1">12-$E914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415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416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425</v>
      </c>
      <c r="C920" s="164"/>
      <c r="D920" s="164">
        <f ca="1">YEAR(OFFSET($E$96,D919,0))</f>
        <v>1900</v>
      </c>
      <c r="E920" s="164">
        <f ca="1">MONTH(OFFSET($E$96,D919,0))</f>
        <v>1</v>
      </c>
      <c r="F920" s="21">
        <f ca="1">12-$E920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415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416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425</v>
      </c>
      <c r="C926" s="164"/>
      <c r="D926" s="164">
        <f ca="1">YEAR(OFFSET($E$96,D925,0))</f>
        <v>1900</v>
      </c>
      <c r="E926" s="164">
        <f ca="1">MONTH(OFFSET($E$96,D925,0))</f>
        <v>1</v>
      </c>
      <c r="F926" s="21">
        <f ca="1">12-$E926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415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416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425</v>
      </c>
      <c r="C932" s="164"/>
      <c r="D932" s="164">
        <f ca="1">YEAR(OFFSET($E$96,D931,0))</f>
        <v>1900</v>
      </c>
      <c r="E932" s="164">
        <f ca="1">MONTH(OFFSET($E$96,D931,0))</f>
        <v>1</v>
      </c>
      <c r="F932" s="21">
        <f ca="1">12-$E932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415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416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425</v>
      </c>
      <c r="C938" s="164"/>
      <c r="D938" s="164">
        <f ca="1">YEAR(OFFSET($E$96,D937,0))</f>
        <v>1900</v>
      </c>
      <c r="E938" s="164">
        <f ca="1">MONTH(OFFSET($E$96,D937,0))</f>
        <v>1</v>
      </c>
      <c r="F938" s="21">
        <f ca="1">12-$E938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415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416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425</v>
      </c>
      <c r="C944" s="164"/>
      <c r="D944" s="164">
        <f ca="1">YEAR(OFFSET($E$96,D943,0))</f>
        <v>1900</v>
      </c>
      <c r="E944" s="164">
        <f ca="1">MONTH(OFFSET($E$96,D943,0))</f>
        <v>1</v>
      </c>
      <c r="F944" s="21">
        <f ca="1">12-$E944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415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416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425</v>
      </c>
      <c r="C950" s="164"/>
      <c r="D950" s="164">
        <f ca="1">YEAR(OFFSET($E$96,D949,0))</f>
        <v>1900</v>
      </c>
      <c r="E950" s="164">
        <f ca="1">MONTH(OFFSET($E$96,D949,0))</f>
        <v>1</v>
      </c>
      <c r="F950" s="21">
        <f ca="1">12-$E950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415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416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425</v>
      </c>
      <c r="C956" s="164"/>
      <c r="D956" s="164">
        <f ca="1">YEAR(OFFSET($E$96,D955,0))</f>
        <v>1900</v>
      </c>
      <c r="E956" s="164">
        <f ca="1">MONTH(OFFSET($E$96,D955,0))</f>
        <v>1</v>
      </c>
      <c r="F956" s="21">
        <f ca="1">12-$E956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415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416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425</v>
      </c>
      <c r="C962" s="164"/>
      <c r="D962" s="164">
        <f ca="1">YEAR(OFFSET($E$96,D961,0))</f>
        <v>1900</v>
      </c>
      <c r="E962" s="164">
        <f ca="1">MONTH(OFFSET($E$96,D961,0))</f>
        <v>1</v>
      </c>
      <c r="F962" s="21">
        <f ca="1">12-$E962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415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416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425</v>
      </c>
      <c r="C968" s="164"/>
      <c r="D968" s="164">
        <f ca="1">YEAR(OFFSET($E$96,D967,0))</f>
        <v>1900</v>
      </c>
      <c r="E968" s="164">
        <f ca="1">MONTH(OFFSET($E$96,D967,0))</f>
        <v>1</v>
      </c>
      <c r="F968" s="21">
        <f ca="1">12-$E968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415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416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425</v>
      </c>
      <c r="C974" s="164"/>
      <c r="D974" s="164">
        <f ca="1">YEAR(OFFSET($E$96,D973,0))</f>
        <v>1900</v>
      </c>
      <c r="E974" s="164">
        <f ca="1">MONTH(OFFSET($E$96,D973,0))</f>
        <v>1</v>
      </c>
      <c r="F974" s="21">
        <f ca="1">12-$E974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415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416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425</v>
      </c>
      <c r="C980" s="164"/>
      <c r="D980" s="164">
        <f ca="1">YEAR(OFFSET($E$96,D979,0))</f>
        <v>1900</v>
      </c>
      <c r="E980" s="164">
        <f ca="1">MONTH(OFFSET($E$96,D979,0))</f>
        <v>1</v>
      </c>
      <c r="F980" s="21">
        <f ca="1">12-$E980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415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416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425</v>
      </c>
      <c r="C986" s="164"/>
      <c r="D986" s="164">
        <f ca="1">YEAR(OFFSET($E$96,D985,0))</f>
        <v>1900</v>
      </c>
      <c r="E986" s="164">
        <f ca="1">MONTH(OFFSET($E$96,D985,0))</f>
        <v>1</v>
      </c>
      <c r="F986" s="21">
        <f ca="1">12-$E986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415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416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425</v>
      </c>
      <c r="C992" s="164"/>
      <c r="D992" s="164">
        <f ca="1">YEAR(OFFSET($E$96,D991,0))</f>
        <v>1900</v>
      </c>
      <c r="E992" s="164">
        <f ca="1">MONTH(OFFSET($E$96,D991,0))</f>
        <v>1</v>
      </c>
      <c r="F992" s="21">
        <f ca="1">12-$E992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415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416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425</v>
      </c>
      <c r="C998" s="164"/>
      <c r="D998" s="164">
        <f ca="1">YEAR(OFFSET($E$96,D997,0))</f>
        <v>1900</v>
      </c>
      <c r="E998" s="164">
        <f ca="1">MONTH(OFFSET($E$96,D997,0))</f>
        <v>1</v>
      </c>
      <c r="F998" s="21">
        <f ca="1">12-$E998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415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416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425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21">
        <f ca="1">12-$E1004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415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416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425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21">
        <f ca="1">12-$E1010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415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416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425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21">
        <f ca="1">12-$E1016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415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416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425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21">
        <f ca="1">12-$E1022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415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416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425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21">
        <f ca="1">12-$E1028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415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416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425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21">
        <f ca="1">12-$E1034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415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416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425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21">
        <f ca="1">12-$E1040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415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416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425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21">
        <f ca="1">12-$E1046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415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416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425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21">
        <f ca="1">12-$E1052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415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416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425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21">
        <f ca="1">12-$E1058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415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416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425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21">
        <f ca="1">12-$E1064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415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416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425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21">
        <f ca="1">12-$E1070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415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416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425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21">
        <f ca="1">12-$E1076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415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416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425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21">
        <f ca="1">12-$E1082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415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416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425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21">
        <f ca="1">12-$E1088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415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416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425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21">
        <f ca="1">12-$E1094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415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416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425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21">
        <f ca="1">12-$E1100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415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416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425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21">
        <f ca="1">12-$E1106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415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416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5" hidden="1" thickBot="1">
      <c r="A1116" s="326"/>
      <c r="B1116" s="459" t="s">
        <v>754</v>
      </c>
    </row>
    <row r="1117" spans="1:24" ht="12.5" hidden="1" thickBot="1">
      <c r="A1117" s="326"/>
      <c r="B1117" s="20" t="s">
        <v>410</v>
      </c>
      <c r="C1117" s="20"/>
      <c r="D1117" s="249">
        <v>0</v>
      </c>
      <c r="E1117" s="21"/>
      <c r="F1117" s="21" t="s">
        <v>411</v>
      </c>
      <c r="G1117" s="48"/>
      <c r="H1117" s="50" t="s">
        <v>412</v>
      </c>
      <c r="I1117" s="21" t="s">
        <v>413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414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21">
        <f ca="1">12-$E1118</f>
        <v>12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415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416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t="shared" ca="1" si="975"/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 t="s">
        <v>417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414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21">
        <f ca="1">12-$E1125</f>
        <v>12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415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416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 t="s">
        <v>418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414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21">
        <f ca="1">12-$E1132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415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416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427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 t="s">
        <v>419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414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21">
        <f ca="1">12-$E1139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415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416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427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 t="s">
        <v>418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414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21">
        <f ca="1">12-$E1146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415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416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427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 t="s">
        <v>419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414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21">
        <f ca="1">12-$E1153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415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416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427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 t="s">
        <v>418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414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21">
        <f ca="1">12-$E1160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415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416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427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 t="s">
        <v>419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414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21">
        <f ca="1">12-$E1167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415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416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427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 t="s">
        <v>418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414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21">
        <f ca="1">12-$E1174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415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416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427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 t="s">
        <v>419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414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21">
        <f ca="1">12-$E1181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415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416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427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 t="s">
        <v>418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414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21">
        <f ca="1">12-$E1188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415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416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427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 t="s">
        <v>419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414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21">
        <f ca="1">12-$E1195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415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416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427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 t="s">
        <v>418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414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21">
        <f ca="1">12-$E1202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415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416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427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 t="s">
        <v>419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414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21">
        <f ca="1">12-$E1209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415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416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427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 t="s">
        <v>418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414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21">
        <f ca="1">12-$E1216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415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416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427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 t="s">
        <v>419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414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21">
        <f ca="1">12-$E1223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415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416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427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 t="s">
        <v>418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414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21">
        <f ca="1">12-$E1230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415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416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427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 t="s">
        <v>419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414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21">
        <f ca="1">12-$E1237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415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416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427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 t="s">
        <v>418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414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21">
        <f ca="1">12-$E1244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415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416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427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 t="s">
        <v>419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414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21">
        <f ca="1">12-$E1251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415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416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427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 t="s">
        <v>418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414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21">
        <f ca="1">12-$E1258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415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416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427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 t="s">
        <v>420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414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21">
        <f ca="1">12-$E1265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415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416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427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5" hidden="1" thickBot="1">
      <c r="A1276" s="326"/>
      <c r="B1276" s="459" t="s">
        <v>753</v>
      </c>
    </row>
    <row r="1277" spans="1:24" ht="12.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411</v>
      </c>
      <c r="G1277" s="48"/>
      <c r="H1277" s="50" t="s">
        <v>412</v>
      </c>
      <c r="I1277" s="21" t="s">
        <v>413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425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21">
        <f ca="1">12-$E1278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246">
        <f ca="1">IF(E1279&gt;10,ROUND(($D1280/12)*$F1278,0),$D1279)</f>
        <v>0</v>
      </c>
      <c r="G1279" s="21" t="s">
        <v>426</v>
      </c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415</v>
      </c>
      <c r="C1280" s="21"/>
      <c r="D1280" s="246">
        <f ca="1">IF(ISBLANK(OFFSET($E$269,D1277,0)),0,IF(E1279&gt;10,ROUND(D1279*am_wnip,0),IF(D1279&lt;0,0,D1279)))</f>
        <v>0</v>
      </c>
      <c r="E1280" s="21"/>
      <c r="F1280" s="21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idden="1">
      <c r="A1281" s="326"/>
      <c r="B1281" s="21" t="s">
        <v>416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idden="1">
      <c r="A1282" s="326"/>
      <c r="B1282" s="21" t="s">
        <v>406</v>
      </c>
      <c r="C1282" s="21"/>
      <c r="D1282" s="22"/>
      <c r="E1282" s="21"/>
      <c r="F1282" s="21"/>
      <c r="G1282" s="21"/>
      <c r="H1282" s="21"/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427</v>
      </c>
      <c r="K1283" s="400">
        <f t="shared" ref="K1283:X1283" ca="1" si="1244">IF(AND(OFFSET($F$269,$D1277,0)="tak",OFFSET($G$269,$D1277,0)="tak",OFFSET($J$269,$D1277,0)="ok",LataProjekcji&lt;=Koniec_Projekt),ROUND(K1280*OFFSET($K$290,$H1283,(COLUMN()-11)),0),0)</f>
        <v>0</v>
      </c>
      <c r="L1283" s="400">
        <f t="shared" ca="1" si="1244"/>
        <v>0</v>
      </c>
      <c r="M1283" s="400">
        <f t="shared" ca="1" si="1244"/>
        <v>0</v>
      </c>
      <c r="N1283" s="400">
        <f t="shared" ca="1" si="1244"/>
        <v>0</v>
      </c>
      <c r="O1283" s="400">
        <f t="shared" ca="1" si="1244"/>
        <v>0</v>
      </c>
      <c r="P1283" s="400">
        <f t="shared" ca="1" si="1244"/>
        <v>0</v>
      </c>
      <c r="Q1283" s="400">
        <f t="shared" ca="1" si="1244"/>
        <v>0</v>
      </c>
      <c r="R1283" s="400">
        <f t="shared" ca="1" si="1244"/>
        <v>0</v>
      </c>
      <c r="S1283" s="400">
        <f t="shared" ca="1" si="1244"/>
        <v>0</v>
      </c>
      <c r="T1283" s="400">
        <f t="shared" ca="1" si="1244"/>
        <v>0</v>
      </c>
      <c r="U1283" s="400">
        <f t="shared" ca="1" si="1244"/>
        <v>0</v>
      </c>
      <c r="V1283" s="400">
        <f t="shared" ca="1" si="1244"/>
        <v>0</v>
      </c>
      <c r="W1283" s="400">
        <f t="shared" ca="1" si="1244"/>
        <v>0</v>
      </c>
      <c r="X1283" s="400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425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21">
        <f ca="1">12-$E1285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415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idden="1">
      <c r="A1288" s="326"/>
      <c r="B1288" s="21" t="s">
        <v>416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idden="1">
      <c r="A1289" s="326"/>
      <c r="B1289" s="21" t="s">
        <v>406</v>
      </c>
      <c r="C1289" s="21"/>
      <c r="D1289" s="22"/>
      <c r="E1289" s="21"/>
      <c r="F1289" s="21"/>
      <c r="G1289" s="21"/>
      <c r="H1289" s="21"/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427</v>
      </c>
      <c r="K1290" s="400">
        <f t="shared" ref="K1290:X1290" ca="1" si="1247">IF(AND(OFFSET($F$269,$D1284,0)="tak",OFFSET($G$269,$D1284,0)="tak",OFFSET($J$269,$D1284,0)="ok",LataProjekcji&lt;=Koniec_Projekt),ROUND(K1287*OFFSET($K$290,$H1290,(COLUMN()-11)),0),0)</f>
        <v>0</v>
      </c>
      <c r="L1290" s="400">
        <f t="shared" ca="1" si="1247"/>
        <v>0</v>
      </c>
      <c r="M1290" s="400">
        <f t="shared" ca="1" si="1247"/>
        <v>0</v>
      </c>
      <c r="N1290" s="400">
        <f t="shared" ca="1" si="1247"/>
        <v>0</v>
      </c>
      <c r="O1290" s="400">
        <f t="shared" ca="1" si="1247"/>
        <v>0</v>
      </c>
      <c r="P1290" s="400">
        <f t="shared" ca="1" si="1247"/>
        <v>0</v>
      </c>
      <c r="Q1290" s="400">
        <f t="shared" ca="1" si="1247"/>
        <v>0</v>
      </c>
      <c r="R1290" s="400">
        <f t="shared" ca="1" si="1247"/>
        <v>0</v>
      </c>
      <c r="S1290" s="400">
        <f t="shared" ca="1" si="1247"/>
        <v>0</v>
      </c>
      <c r="T1290" s="400">
        <f t="shared" ca="1" si="1247"/>
        <v>0</v>
      </c>
      <c r="U1290" s="400">
        <f t="shared" ca="1" si="1247"/>
        <v>0</v>
      </c>
      <c r="V1290" s="400">
        <f t="shared" ca="1" si="1247"/>
        <v>0</v>
      </c>
      <c r="W1290" s="400">
        <f t="shared" ca="1" si="1247"/>
        <v>0</v>
      </c>
      <c r="X1290" s="400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425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21">
        <f ca="1">12-$E1292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415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idden="1">
      <c r="A1295" s="326"/>
      <c r="B1295" s="21" t="s">
        <v>416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idden="1">
      <c r="A1296" s="326"/>
      <c r="B1296" s="21" t="s">
        <v>406</v>
      </c>
      <c r="C1296" s="21"/>
      <c r="D1296" s="22"/>
      <c r="E1296" s="21"/>
      <c r="F1296" s="21"/>
      <c r="G1296" s="21"/>
      <c r="H1296" s="21"/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427</v>
      </c>
      <c r="K1297" s="400">
        <f t="shared" ref="K1297:X1297" ca="1" si="1250">IF(AND(OFFSET($F$269,$D1291,0)="tak",OFFSET($G$269,$D1291,0)="tak",OFFSET($J$269,$D1291,0)="ok",LataProjekcji&lt;=Koniec_Projekt),ROUND(K1294*OFFSET($K$290,$H1297,(COLUMN()-11)),0),0)</f>
        <v>0</v>
      </c>
      <c r="L1297" s="400">
        <f t="shared" ca="1" si="1250"/>
        <v>0</v>
      </c>
      <c r="M1297" s="400">
        <f t="shared" ca="1" si="1250"/>
        <v>0</v>
      </c>
      <c r="N1297" s="400">
        <f t="shared" ca="1" si="1250"/>
        <v>0</v>
      </c>
      <c r="O1297" s="400">
        <f t="shared" ca="1" si="1250"/>
        <v>0</v>
      </c>
      <c r="P1297" s="400">
        <f t="shared" ca="1" si="1250"/>
        <v>0</v>
      </c>
      <c r="Q1297" s="400">
        <f t="shared" ca="1" si="1250"/>
        <v>0</v>
      </c>
      <c r="R1297" s="400">
        <f t="shared" ca="1" si="1250"/>
        <v>0</v>
      </c>
      <c r="S1297" s="400">
        <f t="shared" ca="1" si="1250"/>
        <v>0</v>
      </c>
      <c r="T1297" s="400">
        <f t="shared" ca="1" si="1250"/>
        <v>0</v>
      </c>
      <c r="U1297" s="400">
        <f t="shared" ca="1" si="1250"/>
        <v>0</v>
      </c>
      <c r="V1297" s="400">
        <f t="shared" ca="1" si="1250"/>
        <v>0</v>
      </c>
      <c r="W1297" s="400">
        <f t="shared" ca="1" si="1250"/>
        <v>0</v>
      </c>
      <c r="X1297" s="400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425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21">
        <f ca="1">12-$E1299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415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idden="1">
      <c r="A1302" s="326"/>
      <c r="B1302" s="21" t="s">
        <v>416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idden="1">
      <c r="A1303" s="326"/>
      <c r="B1303" s="21" t="s">
        <v>406</v>
      </c>
      <c r="C1303" s="21"/>
      <c r="D1303" s="22"/>
      <c r="E1303" s="21"/>
      <c r="F1303" s="21"/>
      <c r="G1303" s="21"/>
      <c r="H1303" s="21"/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427</v>
      </c>
      <c r="K1304" s="400">
        <f t="shared" ref="K1304:X1304" ca="1" si="1253">IF(AND(OFFSET($F$269,$D1298,0)="tak",OFFSET($G$269,$D1298,0)="tak",OFFSET($J$269,$D1298,0)="ok",LataProjekcji&lt;=Koniec_Projekt),ROUND(K1301*OFFSET($K$290,$H1304,(COLUMN()-11)),0),0)</f>
        <v>0</v>
      </c>
      <c r="L1304" s="400">
        <f t="shared" ca="1" si="1253"/>
        <v>0</v>
      </c>
      <c r="M1304" s="400">
        <f t="shared" ca="1" si="1253"/>
        <v>0</v>
      </c>
      <c r="N1304" s="400">
        <f t="shared" ca="1" si="1253"/>
        <v>0</v>
      </c>
      <c r="O1304" s="400">
        <f t="shared" ca="1" si="1253"/>
        <v>0</v>
      </c>
      <c r="P1304" s="400">
        <f t="shared" ca="1" si="1253"/>
        <v>0</v>
      </c>
      <c r="Q1304" s="400">
        <f t="shared" ca="1" si="1253"/>
        <v>0</v>
      </c>
      <c r="R1304" s="400">
        <f t="shared" ca="1" si="1253"/>
        <v>0</v>
      </c>
      <c r="S1304" s="400">
        <f t="shared" ca="1" si="1253"/>
        <v>0</v>
      </c>
      <c r="T1304" s="400">
        <f t="shared" ca="1" si="1253"/>
        <v>0</v>
      </c>
      <c r="U1304" s="400">
        <f t="shared" ca="1" si="1253"/>
        <v>0</v>
      </c>
      <c r="V1304" s="400">
        <f t="shared" ca="1" si="1253"/>
        <v>0</v>
      </c>
      <c r="W1304" s="400">
        <f t="shared" ca="1" si="1253"/>
        <v>0</v>
      </c>
      <c r="X1304" s="400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425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21">
        <f ca="1">12-$E1306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415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idden="1">
      <c r="A1309" s="326"/>
      <c r="B1309" s="21" t="s">
        <v>416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idden="1">
      <c r="A1310" s="326"/>
      <c r="B1310" s="21" t="s">
        <v>406</v>
      </c>
      <c r="C1310" s="21"/>
      <c r="D1310" s="22"/>
      <c r="E1310" s="21"/>
      <c r="F1310" s="21"/>
      <c r="G1310" s="21"/>
      <c r="H1310" s="21"/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427</v>
      </c>
      <c r="K1311" s="400">
        <f t="shared" ref="K1311:X1311" ca="1" si="1256">IF(AND(OFFSET($F$269,$D1305,0)="tak",OFFSET($G$269,$D1305,0)="tak",OFFSET($J$269,$D1305,0)="ok",LataProjekcji&lt;=Koniec_Projekt),ROUND(K1308*OFFSET($K$290,$H1311,(COLUMN()-11)),0),0)</f>
        <v>0</v>
      </c>
      <c r="L1311" s="400">
        <f t="shared" ca="1" si="1256"/>
        <v>0</v>
      </c>
      <c r="M1311" s="400">
        <f t="shared" ca="1" si="1256"/>
        <v>0</v>
      </c>
      <c r="N1311" s="400">
        <f t="shared" ca="1" si="1256"/>
        <v>0</v>
      </c>
      <c r="O1311" s="400">
        <f t="shared" ca="1" si="1256"/>
        <v>0</v>
      </c>
      <c r="P1311" s="400">
        <f t="shared" ca="1" si="1256"/>
        <v>0</v>
      </c>
      <c r="Q1311" s="400">
        <f t="shared" ca="1" si="1256"/>
        <v>0</v>
      </c>
      <c r="R1311" s="400">
        <f t="shared" ca="1" si="1256"/>
        <v>0</v>
      </c>
      <c r="S1311" s="400">
        <f t="shared" ca="1" si="1256"/>
        <v>0</v>
      </c>
      <c r="T1311" s="400">
        <f t="shared" ca="1" si="1256"/>
        <v>0</v>
      </c>
      <c r="U1311" s="400">
        <f t="shared" ca="1" si="1256"/>
        <v>0</v>
      </c>
      <c r="V1311" s="400">
        <f t="shared" ca="1" si="1256"/>
        <v>0</v>
      </c>
      <c r="W1311" s="400">
        <f t="shared" ca="1" si="1256"/>
        <v>0</v>
      </c>
      <c r="X1311" s="400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425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21">
        <f ca="1">12-$E1313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415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idden="1">
      <c r="A1316" s="326"/>
      <c r="B1316" s="21" t="s">
        <v>416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idden="1">
      <c r="A1317" s="326"/>
      <c r="B1317" s="21" t="s">
        <v>406</v>
      </c>
      <c r="C1317" s="21"/>
      <c r="D1317" s="22"/>
      <c r="E1317" s="21"/>
      <c r="F1317" s="21"/>
      <c r="G1317" s="21"/>
      <c r="H1317" s="21"/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427</v>
      </c>
      <c r="K1318" s="400">
        <f t="shared" ref="K1318:X1318" ca="1" si="1259">IF(AND(OFFSET($F$269,$D1312,0)="tak",OFFSET($G$269,$D1312,0)="tak",OFFSET($J$269,$D1312,0)="ok",LataProjekcji&lt;=Koniec_Projekt),ROUND(K1315*OFFSET($K$290,$H1318,(COLUMN()-11)),0),0)</f>
        <v>0</v>
      </c>
      <c r="L1318" s="400">
        <f t="shared" ca="1" si="1259"/>
        <v>0</v>
      </c>
      <c r="M1318" s="400">
        <f t="shared" ca="1" si="1259"/>
        <v>0</v>
      </c>
      <c r="N1318" s="400">
        <f t="shared" ca="1" si="1259"/>
        <v>0</v>
      </c>
      <c r="O1318" s="400">
        <f t="shared" ca="1" si="1259"/>
        <v>0</v>
      </c>
      <c r="P1318" s="400">
        <f t="shared" ca="1" si="1259"/>
        <v>0</v>
      </c>
      <c r="Q1318" s="400">
        <f t="shared" ca="1" si="1259"/>
        <v>0</v>
      </c>
      <c r="R1318" s="400">
        <f t="shared" ca="1" si="1259"/>
        <v>0</v>
      </c>
      <c r="S1318" s="400">
        <f t="shared" ca="1" si="1259"/>
        <v>0</v>
      </c>
      <c r="T1318" s="400">
        <f t="shared" ca="1" si="1259"/>
        <v>0</v>
      </c>
      <c r="U1318" s="400">
        <f t="shared" ca="1" si="1259"/>
        <v>0</v>
      </c>
      <c r="V1318" s="400">
        <f t="shared" ca="1" si="1259"/>
        <v>0</v>
      </c>
      <c r="W1318" s="400">
        <f t="shared" ca="1" si="1259"/>
        <v>0</v>
      </c>
      <c r="X1318" s="400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425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21">
        <f ca="1">12-$E1320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415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idden="1">
      <c r="A1323" s="326"/>
      <c r="B1323" s="21" t="s">
        <v>416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idden="1">
      <c r="A1324" s="326"/>
      <c r="B1324" s="21" t="s">
        <v>406</v>
      </c>
      <c r="C1324" s="21"/>
      <c r="D1324" s="22"/>
      <c r="E1324" s="21"/>
      <c r="F1324" s="21"/>
      <c r="G1324" s="21"/>
      <c r="H1324" s="21"/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427</v>
      </c>
      <c r="K1325" s="400">
        <f t="shared" ref="K1325:X1325" ca="1" si="1262">IF(AND(OFFSET($F$269,$D1319,0)="tak",OFFSET($G$269,$D1319,0)="tak",OFFSET($J$269,$D1319,0)="ok",LataProjekcji&lt;=Koniec_Projekt),ROUND(K1322*OFFSET($K$290,$H1325,(COLUMN()-11)),0),0)</f>
        <v>0</v>
      </c>
      <c r="L1325" s="400">
        <f t="shared" ca="1" si="1262"/>
        <v>0</v>
      </c>
      <c r="M1325" s="400">
        <f t="shared" ca="1" si="1262"/>
        <v>0</v>
      </c>
      <c r="N1325" s="400">
        <f t="shared" ca="1" si="1262"/>
        <v>0</v>
      </c>
      <c r="O1325" s="400">
        <f t="shared" ca="1" si="1262"/>
        <v>0</v>
      </c>
      <c r="P1325" s="400">
        <f t="shared" ca="1" si="1262"/>
        <v>0</v>
      </c>
      <c r="Q1325" s="400">
        <f t="shared" ca="1" si="1262"/>
        <v>0</v>
      </c>
      <c r="R1325" s="400">
        <f t="shared" ca="1" si="1262"/>
        <v>0</v>
      </c>
      <c r="S1325" s="400">
        <f t="shared" ca="1" si="1262"/>
        <v>0</v>
      </c>
      <c r="T1325" s="400">
        <f t="shared" ca="1" si="1262"/>
        <v>0</v>
      </c>
      <c r="U1325" s="400">
        <f t="shared" ca="1" si="1262"/>
        <v>0</v>
      </c>
      <c r="V1325" s="400">
        <f t="shared" ca="1" si="1262"/>
        <v>0</v>
      </c>
      <c r="W1325" s="400">
        <f t="shared" ca="1" si="1262"/>
        <v>0</v>
      </c>
      <c r="X1325" s="400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425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21">
        <f ca="1">12-$E1327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415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idden="1">
      <c r="A1330" s="326"/>
      <c r="B1330" s="21" t="s">
        <v>416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idden="1">
      <c r="A1331" s="326"/>
      <c r="B1331" s="21" t="s">
        <v>406</v>
      </c>
      <c r="C1331" s="21"/>
      <c r="D1331" s="22"/>
      <c r="E1331" s="21"/>
      <c r="F1331" s="21"/>
      <c r="G1331" s="21"/>
      <c r="H1331" s="21"/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427</v>
      </c>
      <c r="K1332" s="400">
        <f t="shared" ref="K1332:X1332" ca="1" si="1265">IF(AND(OFFSET($F$269,$D1326,0)="tak",OFFSET($G$269,$D1326,0)="tak",OFFSET($J$269,$D1326,0)="ok",LataProjekcji&lt;=Koniec_Projekt),ROUND(K1329*OFFSET($K$290,$H1332,(COLUMN()-11)),0),0)</f>
        <v>0</v>
      </c>
      <c r="L1332" s="400">
        <f t="shared" ca="1" si="1265"/>
        <v>0</v>
      </c>
      <c r="M1332" s="400">
        <f t="shared" ca="1" si="1265"/>
        <v>0</v>
      </c>
      <c r="N1332" s="400">
        <f t="shared" ca="1" si="1265"/>
        <v>0</v>
      </c>
      <c r="O1332" s="400">
        <f t="shared" ca="1" si="1265"/>
        <v>0</v>
      </c>
      <c r="P1332" s="400">
        <f t="shared" ca="1" si="1265"/>
        <v>0</v>
      </c>
      <c r="Q1332" s="400">
        <f t="shared" ca="1" si="1265"/>
        <v>0</v>
      </c>
      <c r="R1332" s="400">
        <f t="shared" ca="1" si="1265"/>
        <v>0</v>
      </c>
      <c r="S1332" s="400">
        <f t="shared" ca="1" si="1265"/>
        <v>0</v>
      </c>
      <c r="T1332" s="400">
        <f t="shared" ca="1" si="1265"/>
        <v>0</v>
      </c>
      <c r="U1332" s="400">
        <f t="shared" ca="1" si="1265"/>
        <v>0</v>
      </c>
      <c r="V1332" s="400">
        <f t="shared" ca="1" si="1265"/>
        <v>0</v>
      </c>
      <c r="W1332" s="400">
        <f t="shared" ca="1" si="1265"/>
        <v>0</v>
      </c>
      <c r="X1332" s="400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425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21">
        <f ca="1">12-$E1334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415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idden="1">
      <c r="A1337" s="326"/>
      <c r="B1337" s="21" t="s">
        <v>416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idden="1">
      <c r="A1338" s="326"/>
      <c r="B1338" s="21" t="s">
        <v>406</v>
      </c>
      <c r="C1338" s="21"/>
      <c r="D1338" s="22"/>
      <c r="E1338" s="21"/>
      <c r="F1338" s="21"/>
      <c r="G1338" s="21"/>
      <c r="H1338" s="21"/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427</v>
      </c>
      <c r="K1339" s="400">
        <f t="shared" ref="K1339:X1339" ca="1" si="1268">IF(AND(OFFSET($F$269,$D1333,0)="tak",OFFSET($G$269,$D1333,0)="tak",OFFSET($J$269,$D1333,0)="ok",LataProjekcji&lt;=Koniec_Projekt),ROUND(K1336*OFFSET($K$290,$H1339,(COLUMN()-11)),0),0)</f>
        <v>0</v>
      </c>
      <c r="L1339" s="400">
        <f t="shared" ca="1" si="1268"/>
        <v>0</v>
      </c>
      <c r="M1339" s="400">
        <f t="shared" ca="1" si="1268"/>
        <v>0</v>
      </c>
      <c r="N1339" s="400">
        <f t="shared" ca="1" si="1268"/>
        <v>0</v>
      </c>
      <c r="O1339" s="400">
        <f t="shared" ca="1" si="1268"/>
        <v>0</v>
      </c>
      <c r="P1339" s="400">
        <f t="shared" ca="1" si="1268"/>
        <v>0</v>
      </c>
      <c r="Q1339" s="400">
        <f t="shared" ca="1" si="1268"/>
        <v>0</v>
      </c>
      <c r="R1339" s="400">
        <f t="shared" ca="1" si="1268"/>
        <v>0</v>
      </c>
      <c r="S1339" s="400">
        <f t="shared" ca="1" si="1268"/>
        <v>0</v>
      </c>
      <c r="T1339" s="400">
        <f t="shared" ca="1" si="1268"/>
        <v>0</v>
      </c>
      <c r="U1339" s="400">
        <f t="shared" ca="1" si="1268"/>
        <v>0</v>
      </c>
      <c r="V1339" s="400">
        <f t="shared" ca="1" si="1268"/>
        <v>0</v>
      </c>
      <c r="W1339" s="400">
        <f t="shared" ca="1" si="1268"/>
        <v>0</v>
      </c>
      <c r="X1339" s="400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425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21">
        <f ca="1">12-$E1341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415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idden="1">
      <c r="A1344" s="326"/>
      <c r="B1344" s="21" t="s">
        <v>416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idden="1">
      <c r="A1345" s="326"/>
      <c r="B1345" s="21" t="s">
        <v>406</v>
      </c>
      <c r="C1345" s="21"/>
      <c r="D1345" s="22"/>
      <c r="E1345" s="21"/>
      <c r="F1345" s="21"/>
      <c r="G1345" s="21"/>
      <c r="H1345" s="21"/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427</v>
      </c>
      <c r="K1346" s="400">
        <f t="shared" ref="K1346:X1346" ca="1" si="1271">IF(AND(OFFSET($F$269,$D1340,0)="tak",OFFSET($G$269,$D1340,0)="tak",OFFSET($J$269,$D1340,0)="ok",LataProjekcji&lt;=Koniec_Projekt),ROUND(K1343*OFFSET($K$290,$H1346,(COLUMN()-11)),0),0)</f>
        <v>0</v>
      </c>
      <c r="L1346" s="400">
        <f t="shared" ca="1" si="1271"/>
        <v>0</v>
      </c>
      <c r="M1346" s="400">
        <f t="shared" ca="1" si="1271"/>
        <v>0</v>
      </c>
      <c r="N1346" s="400">
        <f t="shared" ca="1" si="1271"/>
        <v>0</v>
      </c>
      <c r="O1346" s="400">
        <f t="shared" ca="1" si="1271"/>
        <v>0</v>
      </c>
      <c r="P1346" s="400">
        <f t="shared" ca="1" si="1271"/>
        <v>0</v>
      </c>
      <c r="Q1346" s="400">
        <f t="shared" ca="1" si="1271"/>
        <v>0</v>
      </c>
      <c r="R1346" s="400">
        <f t="shared" ca="1" si="1271"/>
        <v>0</v>
      </c>
      <c r="S1346" s="400">
        <f t="shared" ca="1" si="1271"/>
        <v>0</v>
      </c>
      <c r="T1346" s="400">
        <f t="shared" ca="1" si="1271"/>
        <v>0</v>
      </c>
      <c r="U1346" s="400">
        <f t="shared" ca="1" si="1271"/>
        <v>0</v>
      </c>
      <c r="V1346" s="400">
        <f t="shared" ca="1" si="1271"/>
        <v>0</v>
      </c>
      <c r="W1346" s="400">
        <f t="shared" ca="1" si="1271"/>
        <v>0</v>
      </c>
      <c r="X1346" s="400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425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21">
        <f ca="1">12-$E1348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415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idden="1">
      <c r="A1351" s="326"/>
      <c r="B1351" s="21" t="s">
        <v>416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idden="1">
      <c r="A1352" s="326"/>
      <c r="B1352" s="21" t="s">
        <v>406</v>
      </c>
      <c r="C1352" s="21"/>
      <c r="D1352" s="22"/>
      <c r="E1352" s="21"/>
      <c r="F1352" s="21"/>
      <c r="G1352" s="21"/>
      <c r="H1352" s="21"/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427</v>
      </c>
      <c r="K1353" s="400">
        <f t="shared" ref="K1353:X1353" ca="1" si="1274">IF(AND(OFFSET($F$269,$D1347,0)="tak",OFFSET($G$269,$D1347,0)="tak",OFFSET($J$269,$D1347,0)="ok",LataProjekcji&lt;=Koniec_Projekt),ROUND(K1350*OFFSET($K$290,$H1353,(COLUMN()-11)),0),0)</f>
        <v>0</v>
      </c>
      <c r="L1353" s="400">
        <f t="shared" ca="1" si="1274"/>
        <v>0</v>
      </c>
      <c r="M1353" s="400">
        <f t="shared" ca="1" si="1274"/>
        <v>0</v>
      </c>
      <c r="N1353" s="400">
        <f t="shared" ca="1" si="1274"/>
        <v>0</v>
      </c>
      <c r="O1353" s="400">
        <f t="shared" ca="1" si="1274"/>
        <v>0</v>
      </c>
      <c r="P1353" s="400">
        <f t="shared" ca="1" si="1274"/>
        <v>0</v>
      </c>
      <c r="Q1353" s="400">
        <f t="shared" ca="1" si="1274"/>
        <v>0</v>
      </c>
      <c r="R1353" s="400">
        <f t="shared" ca="1" si="1274"/>
        <v>0</v>
      </c>
      <c r="S1353" s="400">
        <f t="shared" ca="1" si="1274"/>
        <v>0</v>
      </c>
      <c r="T1353" s="400">
        <f t="shared" ca="1" si="1274"/>
        <v>0</v>
      </c>
      <c r="U1353" s="400">
        <f t="shared" ca="1" si="1274"/>
        <v>0</v>
      </c>
      <c r="V1353" s="400">
        <f t="shared" ca="1" si="1274"/>
        <v>0</v>
      </c>
      <c r="W1353" s="400">
        <f t="shared" ca="1" si="1274"/>
        <v>0</v>
      </c>
      <c r="X1353" s="400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425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21">
        <f ca="1">12-$E1355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415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idden="1">
      <c r="A1358" s="326"/>
      <c r="B1358" s="21" t="s">
        <v>416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idden="1">
      <c r="A1359" s="326"/>
      <c r="B1359" s="21" t="s">
        <v>406</v>
      </c>
      <c r="C1359" s="21"/>
      <c r="D1359" s="22"/>
      <c r="E1359" s="21"/>
      <c r="F1359" s="21"/>
      <c r="G1359" s="21"/>
      <c r="H1359" s="21"/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427</v>
      </c>
      <c r="K1360" s="400">
        <f t="shared" ref="K1360:X1360" ca="1" si="1277">IF(AND(OFFSET($F$269,$D1354,0)="tak",OFFSET($G$269,$D1354,0)="tak",OFFSET($J$269,$D1354,0)="ok",LataProjekcji&lt;=Koniec_Projekt),ROUND(K1357*OFFSET($K$290,$H1360,(COLUMN()-11)),0),0)</f>
        <v>0</v>
      </c>
      <c r="L1360" s="400">
        <f t="shared" ca="1" si="1277"/>
        <v>0</v>
      </c>
      <c r="M1360" s="400">
        <f t="shared" ca="1" si="1277"/>
        <v>0</v>
      </c>
      <c r="N1360" s="400">
        <f t="shared" ca="1" si="1277"/>
        <v>0</v>
      </c>
      <c r="O1360" s="400">
        <f t="shared" ca="1" si="1277"/>
        <v>0</v>
      </c>
      <c r="P1360" s="400">
        <f t="shared" ca="1" si="1277"/>
        <v>0</v>
      </c>
      <c r="Q1360" s="400">
        <f t="shared" ca="1" si="1277"/>
        <v>0</v>
      </c>
      <c r="R1360" s="400">
        <f t="shared" ca="1" si="1277"/>
        <v>0</v>
      </c>
      <c r="S1360" s="400">
        <f t="shared" ca="1" si="1277"/>
        <v>0</v>
      </c>
      <c r="T1360" s="400">
        <f t="shared" ca="1" si="1277"/>
        <v>0</v>
      </c>
      <c r="U1360" s="400">
        <f t="shared" ca="1" si="1277"/>
        <v>0</v>
      </c>
      <c r="V1360" s="400">
        <f t="shared" ca="1" si="1277"/>
        <v>0</v>
      </c>
      <c r="W1360" s="400">
        <f t="shared" ca="1" si="1277"/>
        <v>0</v>
      </c>
      <c r="X1360" s="400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425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21">
        <f ca="1">12-$E1362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415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idden="1">
      <c r="A1365" s="326"/>
      <c r="B1365" s="21" t="s">
        <v>416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idden="1">
      <c r="A1366" s="326"/>
      <c r="B1366" s="21" t="s">
        <v>406</v>
      </c>
      <c r="C1366" s="21"/>
      <c r="D1366" s="22"/>
      <c r="E1366" s="21"/>
      <c r="F1366" s="21"/>
      <c r="G1366" s="21"/>
      <c r="H1366" s="21"/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427</v>
      </c>
      <c r="K1367" s="400">
        <f t="shared" ref="K1367:X1367" ca="1" si="1280">IF(AND(OFFSET($F$269,$D1361,0)="tak",OFFSET($G$269,$D1361,0)="tak",OFFSET($J$269,$D1361,0)="ok",LataProjekcji&lt;=Koniec_Projekt),ROUND(K1364*OFFSET($K$290,$H1367,(COLUMN()-11)),0),0)</f>
        <v>0</v>
      </c>
      <c r="L1367" s="400">
        <f t="shared" ca="1" si="1280"/>
        <v>0</v>
      </c>
      <c r="M1367" s="400">
        <f t="shared" ca="1" si="1280"/>
        <v>0</v>
      </c>
      <c r="N1367" s="400">
        <f t="shared" ca="1" si="1280"/>
        <v>0</v>
      </c>
      <c r="O1367" s="400">
        <f t="shared" ca="1" si="1280"/>
        <v>0</v>
      </c>
      <c r="P1367" s="400">
        <f t="shared" ca="1" si="1280"/>
        <v>0</v>
      </c>
      <c r="Q1367" s="400">
        <f t="shared" ca="1" si="1280"/>
        <v>0</v>
      </c>
      <c r="R1367" s="400">
        <f t="shared" ca="1" si="1280"/>
        <v>0</v>
      </c>
      <c r="S1367" s="400">
        <f t="shared" ca="1" si="1280"/>
        <v>0</v>
      </c>
      <c r="T1367" s="400">
        <f t="shared" ca="1" si="1280"/>
        <v>0</v>
      </c>
      <c r="U1367" s="400">
        <f t="shared" ca="1" si="1280"/>
        <v>0</v>
      </c>
      <c r="V1367" s="400">
        <f t="shared" ca="1" si="1280"/>
        <v>0</v>
      </c>
      <c r="W1367" s="400">
        <f t="shared" ca="1" si="1280"/>
        <v>0</v>
      </c>
      <c r="X1367" s="400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425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21">
        <f ca="1">12-$E1369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415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idden="1">
      <c r="A1372" s="326"/>
      <c r="B1372" s="21" t="s">
        <v>416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idden="1">
      <c r="A1373" s="326"/>
      <c r="B1373" s="21" t="s">
        <v>406</v>
      </c>
      <c r="C1373" s="21"/>
      <c r="D1373" s="22"/>
      <c r="E1373" s="21"/>
      <c r="F1373" s="21"/>
      <c r="G1373" s="21"/>
      <c r="H1373" s="21"/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427</v>
      </c>
      <c r="K1374" s="400">
        <f t="shared" ref="K1374:X1374" ca="1" si="1283">IF(AND(OFFSET($F$269,$D1368,0)="tak",OFFSET($G$269,$D1368,0)="tak",OFFSET($J$269,$D1368,0)="ok",LataProjekcji&lt;=Koniec_Projekt),ROUND(K1371*OFFSET($K$290,$H1374,(COLUMN()-11)),0),0)</f>
        <v>0</v>
      </c>
      <c r="L1374" s="400">
        <f t="shared" ca="1" si="1283"/>
        <v>0</v>
      </c>
      <c r="M1374" s="400">
        <f t="shared" ca="1" si="1283"/>
        <v>0</v>
      </c>
      <c r="N1374" s="400">
        <f t="shared" ca="1" si="1283"/>
        <v>0</v>
      </c>
      <c r="O1374" s="400">
        <f t="shared" ca="1" si="1283"/>
        <v>0</v>
      </c>
      <c r="P1374" s="400">
        <f t="shared" ca="1" si="1283"/>
        <v>0</v>
      </c>
      <c r="Q1374" s="400">
        <f t="shared" ca="1" si="1283"/>
        <v>0</v>
      </c>
      <c r="R1374" s="400">
        <f t="shared" ca="1" si="1283"/>
        <v>0</v>
      </c>
      <c r="S1374" s="400">
        <f t="shared" ca="1" si="1283"/>
        <v>0</v>
      </c>
      <c r="T1374" s="400">
        <f t="shared" ca="1" si="1283"/>
        <v>0</v>
      </c>
      <c r="U1374" s="400">
        <f t="shared" ca="1" si="1283"/>
        <v>0</v>
      </c>
      <c r="V1374" s="400">
        <f t="shared" ca="1" si="1283"/>
        <v>0</v>
      </c>
      <c r="W1374" s="400">
        <f t="shared" ca="1" si="1283"/>
        <v>0</v>
      </c>
      <c r="X1374" s="400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425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21">
        <f ca="1">12-$E1376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415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idden="1">
      <c r="A1379" s="326"/>
      <c r="B1379" s="21" t="s">
        <v>416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idden="1">
      <c r="A1380" s="326"/>
      <c r="B1380" s="21" t="s">
        <v>406</v>
      </c>
      <c r="C1380" s="21"/>
      <c r="D1380" s="22"/>
      <c r="E1380" s="21"/>
      <c r="F1380" s="21"/>
      <c r="G1380" s="21"/>
      <c r="H1380" s="21"/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427</v>
      </c>
      <c r="K1381" s="400">
        <f t="shared" ref="K1381:X1381" ca="1" si="1286">IF(AND(OFFSET($F$269,$D1375,0)="tak",OFFSET($G$269,$D1375,0)="tak",OFFSET($J$269,$D1375,0)="ok",LataProjekcji&lt;=Koniec_Projekt),ROUND(K1378*OFFSET($K$290,$H1381,(COLUMN()-11)),0),0)</f>
        <v>0</v>
      </c>
      <c r="L1381" s="400">
        <f t="shared" ca="1" si="1286"/>
        <v>0</v>
      </c>
      <c r="M1381" s="400">
        <f t="shared" ca="1" si="1286"/>
        <v>0</v>
      </c>
      <c r="N1381" s="400">
        <f t="shared" ca="1" si="1286"/>
        <v>0</v>
      </c>
      <c r="O1381" s="400">
        <f t="shared" ca="1" si="1286"/>
        <v>0</v>
      </c>
      <c r="P1381" s="400">
        <f t="shared" ca="1" si="1286"/>
        <v>0</v>
      </c>
      <c r="Q1381" s="400">
        <f t="shared" ca="1" si="1286"/>
        <v>0</v>
      </c>
      <c r="R1381" s="400">
        <f t="shared" ca="1" si="1286"/>
        <v>0</v>
      </c>
      <c r="S1381" s="400">
        <f t="shared" ca="1" si="1286"/>
        <v>0</v>
      </c>
      <c r="T1381" s="400">
        <f t="shared" ca="1" si="1286"/>
        <v>0</v>
      </c>
      <c r="U1381" s="400">
        <f t="shared" ca="1" si="1286"/>
        <v>0</v>
      </c>
      <c r="V1381" s="400">
        <f t="shared" ca="1" si="1286"/>
        <v>0</v>
      </c>
      <c r="W1381" s="400">
        <f t="shared" ca="1" si="1286"/>
        <v>0</v>
      </c>
      <c r="X1381" s="400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5" hidden="1" thickBot="1">
      <c r="A1387" s="326"/>
      <c r="B1387" s="459" t="s">
        <v>752</v>
      </c>
      <c r="K1387" s="1">
        <f>COLUMN()</f>
        <v>11</v>
      </c>
    </row>
    <row r="1388" spans="1:24" ht="12.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411</v>
      </c>
      <c r="G1388" s="48"/>
      <c r="H1388" s="50" t="s">
        <v>412</v>
      </c>
      <c r="I1388" s="21" t="s">
        <v>413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414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21">
        <f ca="1">12-$E1389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426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415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idden="1">
      <c r="A1392" s="326"/>
      <c r="B1392" s="21" t="s">
        <v>416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idden="1">
      <c r="A1393" s="326"/>
      <c r="B1393" s="21" t="s">
        <v>406</v>
      </c>
      <c r="C1393" s="21"/>
      <c r="D1393" s="22"/>
      <c r="E1393" s="21"/>
      <c r="F1393" s="21"/>
      <c r="G1393" s="21"/>
      <c r="H1393" s="21"/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427</v>
      </c>
      <c r="K1394" s="400">
        <f t="shared" ref="K1394:X1394" ca="1" si="1289">IF(AND(OFFSET($F$269,$D1388,0)="tak",OFFSET($G$269,$D1388,0)="tak",OFFSET($J$269,$D1388,0)="ok",LataProjekcji&lt;=Koniec_Projekt),ROUND(K1391*OFFSET($K$337,$H1394,(COLUMN()-11)),0),0)</f>
        <v>0</v>
      </c>
      <c r="L1394" s="400">
        <f t="shared" ca="1" si="1289"/>
        <v>0</v>
      </c>
      <c r="M1394" s="400">
        <f t="shared" ca="1" si="1289"/>
        <v>0</v>
      </c>
      <c r="N1394" s="400">
        <f t="shared" ca="1" si="1289"/>
        <v>0</v>
      </c>
      <c r="O1394" s="400">
        <f t="shared" ca="1" si="1289"/>
        <v>0</v>
      </c>
      <c r="P1394" s="400">
        <f t="shared" ca="1" si="1289"/>
        <v>0</v>
      </c>
      <c r="Q1394" s="400">
        <f t="shared" ca="1" si="1289"/>
        <v>0</v>
      </c>
      <c r="R1394" s="400">
        <f t="shared" ca="1" si="1289"/>
        <v>0</v>
      </c>
      <c r="S1394" s="400">
        <f t="shared" ca="1" si="1289"/>
        <v>0</v>
      </c>
      <c r="T1394" s="400">
        <f t="shared" ca="1" si="1289"/>
        <v>0</v>
      </c>
      <c r="U1394" s="400">
        <f t="shared" ca="1" si="1289"/>
        <v>0</v>
      </c>
      <c r="V1394" s="400">
        <f t="shared" ca="1" si="1289"/>
        <v>0</v>
      </c>
      <c r="W1394" s="400">
        <f t="shared" ca="1" si="1289"/>
        <v>0</v>
      </c>
      <c r="X1394" s="400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414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21">
        <f ca="1">12-$E1396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415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idden="1">
      <c r="A1399" s="326"/>
      <c r="B1399" s="21" t="s">
        <v>416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idden="1">
      <c r="A1400" s="326"/>
      <c r="B1400" s="21" t="s">
        <v>406</v>
      </c>
      <c r="C1400" s="21"/>
      <c r="D1400" s="22"/>
      <c r="E1400" s="21"/>
      <c r="F1400" s="21"/>
      <c r="G1400" s="21"/>
      <c r="H1400" s="21"/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427</v>
      </c>
      <c r="K1401" s="400">
        <f t="shared" ref="K1401:X1401" ca="1" si="1292">IF(AND(OFFSET($F$269,$D1395,0)="tak",OFFSET($G$269,$D1395,0)="tak",OFFSET($J$269,$D1395,0)="ok",LataProjekcji&lt;=Koniec_Projekt),ROUND(K1398*OFFSET($K$337,$H1401,(COLUMN()-11)),0),0)</f>
        <v>0</v>
      </c>
      <c r="L1401" s="400">
        <f t="shared" ca="1" si="1292"/>
        <v>0</v>
      </c>
      <c r="M1401" s="400">
        <f t="shared" ca="1" si="1292"/>
        <v>0</v>
      </c>
      <c r="N1401" s="400">
        <f t="shared" ca="1" si="1292"/>
        <v>0</v>
      </c>
      <c r="O1401" s="400">
        <f t="shared" ca="1" si="1292"/>
        <v>0</v>
      </c>
      <c r="P1401" s="400">
        <f t="shared" ca="1" si="1292"/>
        <v>0</v>
      </c>
      <c r="Q1401" s="400">
        <f t="shared" ca="1" si="1292"/>
        <v>0</v>
      </c>
      <c r="R1401" s="400">
        <f t="shared" ca="1" si="1292"/>
        <v>0</v>
      </c>
      <c r="S1401" s="400">
        <f t="shared" ca="1" si="1292"/>
        <v>0</v>
      </c>
      <c r="T1401" s="400">
        <f t="shared" ca="1" si="1292"/>
        <v>0</v>
      </c>
      <c r="U1401" s="400">
        <f t="shared" ca="1" si="1292"/>
        <v>0</v>
      </c>
      <c r="V1401" s="400">
        <f t="shared" ca="1" si="1292"/>
        <v>0</v>
      </c>
      <c r="W1401" s="400">
        <f t="shared" ca="1" si="1292"/>
        <v>0</v>
      </c>
      <c r="X1401" s="400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414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21">
        <f ca="1">12-$E1403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415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idden="1">
      <c r="A1406" s="326"/>
      <c r="B1406" s="21" t="s">
        <v>416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idden="1">
      <c r="A1407" s="326"/>
      <c r="B1407" s="21" t="s">
        <v>406</v>
      </c>
      <c r="C1407" s="21"/>
      <c r="D1407" s="22"/>
      <c r="E1407" s="21"/>
      <c r="F1407" s="21"/>
      <c r="G1407" s="21"/>
      <c r="H1407" s="21"/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427</v>
      </c>
      <c r="K1408" s="400">
        <f t="shared" ref="K1408:X1408" ca="1" si="1295">IF(AND(OFFSET($F$269,$D1402,0)="tak",OFFSET($G$269,$D1402,0)="tak",OFFSET($J$269,$D1402,0)="ok",LataProjekcji&lt;=Koniec_Projekt),ROUND(K1405*OFFSET($K$337,$H1408,(COLUMN()-11)),0),0)</f>
        <v>0</v>
      </c>
      <c r="L1408" s="400">
        <f t="shared" ca="1" si="1295"/>
        <v>0</v>
      </c>
      <c r="M1408" s="400">
        <f t="shared" ca="1" si="1295"/>
        <v>0</v>
      </c>
      <c r="N1408" s="400">
        <f t="shared" ca="1" si="1295"/>
        <v>0</v>
      </c>
      <c r="O1408" s="400">
        <f t="shared" ca="1" si="1295"/>
        <v>0</v>
      </c>
      <c r="P1408" s="400">
        <f t="shared" ca="1" si="1295"/>
        <v>0</v>
      </c>
      <c r="Q1408" s="400">
        <f t="shared" ca="1" si="1295"/>
        <v>0</v>
      </c>
      <c r="R1408" s="400">
        <f t="shared" ca="1" si="1295"/>
        <v>0</v>
      </c>
      <c r="S1408" s="400">
        <f t="shared" ca="1" si="1295"/>
        <v>0</v>
      </c>
      <c r="T1408" s="400">
        <f t="shared" ca="1" si="1295"/>
        <v>0</v>
      </c>
      <c r="U1408" s="400">
        <f t="shared" ca="1" si="1295"/>
        <v>0</v>
      </c>
      <c r="V1408" s="400">
        <f t="shared" ca="1" si="1295"/>
        <v>0</v>
      </c>
      <c r="W1408" s="400">
        <f t="shared" ca="1" si="1295"/>
        <v>0</v>
      </c>
      <c r="X1408" s="400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414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21">
        <f ca="1">12-$E1410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415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idden="1">
      <c r="A1413" s="326"/>
      <c r="B1413" s="21" t="s">
        <v>416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idden="1">
      <c r="A1414" s="326"/>
      <c r="B1414" s="21" t="s">
        <v>406</v>
      </c>
      <c r="C1414" s="21"/>
      <c r="D1414" s="22"/>
      <c r="E1414" s="21"/>
      <c r="F1414" s="21"/>
      <c r="G1414" s="21"/>
      <c r="H1414" s="21"/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427</v>
      </c>
      <c r="K1415" s="400">
        <f t="shared" ref="K1415:X1415" ca="1" si="1298">IF(AND(OFFSET($F$269,$D1409,0)="tak",OFFSET($G$269,$D1409,0)="tak",OFFSET($J$269,$D1409,0)="ok",LataProjekcji&lt;=Koniec_Projekt),ROUND(K1412*OFFSET($K$337,$H1415,(COLUMN()-11)),0),0)</f>
        <v>0</v>
      </c>
      <c r="L1415" s="400">
        <f t="shared" ca="1" si="1298"/>
        <v>0</v>
      </c>
      <c r="M1415" s="400">
        <f t="shared" ca="1" si="1298"/>
        <v>0</v>
      </c>
      <c r="N1415" s="400">
        <f t="shared" ca="1" si="1298"/>
        <v>0</v>
      </c>
      <c r="O1415" s="400">
        <f t="shared" ca="1" si="1298"/>
        <v>0</v>
      </c>
      <c r="P1415" s="400">
        <f t="shared" ca="1" si="1298"/>
        <v>0</v>
      </c>
      <c r="Q1415" s="400">
        <f t="shared" ca="1" si="1298"/>
        <v>0</v>
      </c>
      <c r="R1415" s="400">
        <f t="shared" ca="1" si="1298"/>
        <v>0</v>
      </c>
      <c r="S1415" s="400">
        <f t="shared" ca="1" si="1298"/>
        <v>0</v>
      </c>
      <c r="T1415" s="400">
        <f t="shared" ca="1" si="1298"/>
        <v>0</v>
      </c>
      <c r="U1415" s="400">
        <f t="shared" ca="1" si="1298"/>
        <v>0</v>
      </c>
      <c r="V1415" s="400">
        <f t="shared" ca="1" si="1298"/>
        <v>0</v>
      </c>
      <c r="W1415" s="400">
        <f t="shared" ca="1" si="1298"/>
        <v>0</v>
      </c>
      <c r="X1415" s="400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414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21">
        <f ca="1">12-$E1417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415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idden="1">
      <c r="A1420" s="326"/>
      <c r="B1420" s="21" t="s">
        <v>416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idden="1">
      <c r="A1421" s="326"/>
      <c r="B1421" s="21" t="s">
        <v>406</v>
      </c>
      <c r="C1421" s="21"/>
      <c r="D1421" s="22"/>
      <c r="E1421" s="21"/>
      <c r="F1421" s="21"/>
      <c r="G1421" s="21"/>
      <c r="H1421" s="21"/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427</v>
      </c>
      <c r="K1422" s="400">
        <f t="shared" ref="K1422:X1422" ca="1" si="1301">IF(AND(OFFSET($F$269,$D1416,0)="tak",OFFSET($G$269,$D1416,0)="tak",OFFSET($J$269,$D1416,0)="ok",LataProjekcji&lt;=Koniec_Projekt),ROUND(K1419*OFFSET($K$337,$H1422,(COLUMN()-11)),0),0)</f>
        <v>0</v>
      </c>
      <c r="L1422" s="400">
        <f t="shared" ca="1" si="1301"/>
        <v>0</v>
      </c>
      <c r="M1422" s="400">
        <f t="shared" ca="1" si="1301"/>
        <v>0</v>
      </c>
      <c r="N1422" s="400">
        <f t="shared" ca="1" si="1301"/>
        <v>0</v>
      </c>
      <c r="O1422" s="400">
        <f t="shared" ca="1" si="1301"/>
        <v>0</v>
      </c>
      <c r="P1422" s="400">
        <f t="shared" ca="1" si="1301"/>
        <v>0</v>
      </c>
      <c r="Q1422" s="400">
        <f t="shared" ca="1" si="1301"/>
        <v>0</v>
      </c>
      <c r="R1422" s="400">
        <f t="shared" ca="1" si="1301"/>
        <v>0</v>
      </c>
      <c r="S1422" s="400">
        <f t="shared" ca="1" si="1301"/>
        <v>0</v>
      </c>
      <c r="T1422" s="400">
        <f t="shared" ca="1" si="1301"/>
        <v>0</v>
      </c>
      <c r="U1422" s="400">
        <f t="shared" ca="1" si="1301"/>
        <v>0</v>
      </c>
      <c r="V1422" s="400">
        <f t="shared" ca="1" si="1301"/>
        <v>0</v>
      </c>
      <c r="W1422" s="400">
        <f t="shared" ca="1" si="1301"/>
        <v>0</v>
      </c>
      <c r="X1422" s="400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5" hidden="1" thickBot="1">
      <c r="A1427" s="326"/>
      <c r="B1427" s="459" t="s">
        <v>751</v>
      </c>
    </row>
    <row r="1428" spans="1:24" ht="12.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411</v>
      </c>
      <c r="G1428" s="48"/>
      <c r="H1428" s="50" t="s">
        <v>412</v>
      </c>
      <c r="I1428" s="21" t="s">
        <v>413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414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21">
        <f ca="1">12-$E1429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426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415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idden="1">
      <c r="A1432" s="326"/>
      <c r="B1432" s="21" t="s">
        <v>416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idden="1">
      <c r="A1433" s="326"/>
      <c r="B1433" s="21" t="s">
        <v>406</v>
      </c>
      <c r="C1433" s="21"/>
      <c r="D1433" s="22"/>
      <c r="E1433" s="21"/>
      <c r="F1433" s="21"/>
      <c r="G1433" s="21"/>
      <c r="H1433" s="21"/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427</v>
      </c>
      <c r="K1434" s="400">
        <f t="shared" ref="K1434:X1434" ca="1" si="1304">IF(AND(OFFSET($F$269,$D1428,0)="tak",OFFSET($G$269,$D1428,0)="tak",OFFSET($J$269,$D1428,0)="ok",LataProjekcji&lt;=Koniec_Projekt),ROUND(K1431*OFFSET($K$374,$H1434,(COLUMN()-11)),0),0)</f>
        <v>0</v>
      </c>
      <c r="L1434" s="400">
        <f t="shared" ca="1" si="1304"/>
        <v>0</v>
      </c>
      <c r="M1434" s="400">
        <f t="shared" ca="1" si="1304"/>
        <v>0</v>
      </c>
      <c r="N1434" s="400">
        <f t="shared" ca="1" si="1304"/>
        <v>0</v>
      </c>
      <c r="O1434" s="400">
        <f t="shared" ca="1" si="1304"/>
        <v>0</v>
      </c>
      <c r="P1434" s="400">
        <f t="shared" ca="1" si="1304"/>
        <v>0</v>
      </c>
      <c r="Q1434" s="400">
        <f t="shared" ca="1" si="1304"/>
        <v>0</v>
      </c>
      <c r="R1434" s="400">
        <f t="shared" ca="1" si="1304"/>
        <v>0</v>
      </c>
      <c r="S1434" s="400">
        <f t="shared" ca="1" si="1304"/>
        <v>0</v>
      </c>
      <c r="T1434" s="400">
        <f t="shared" ca="1" si="1304"/>
        <v>0</v>
      </c>
      <c r="U1434" s="400">
        <f t="shared" ca="1" si="1304"/>
        <v>0</v>
      </c>
      <c r="V1434" s="400">
        <f t="shared" ca="1" si="1304"/>
        <v>0</v>
      </c>
      <c r="W1434" s="400">
        <f t="shared" ca="1" si="1304"/>
        <v>0</v>
      </c>
      <c r="X1434" s="400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414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21">
        <f ca="1">12-$E1436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415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idden="1">
      <c r="A1439" s="326"/>
      <c r="B1439" s="21" t="s">
        <v>416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idden="1">
      <c r="A1440" s="326"/>
      <c r="B1440" s="21" t="s">
        <v>406</v>
      </c>
      <c r="C1440" s="21"/>
      <c r="D1440" s="22"/>
      <c r="E1440" s="21"/>
      <c r="F1440" s="21"/>
      <c r="G1440" s="21"/>
      <c r="H1440" s="21"/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427</v>
      </c>
      <c r="K1441" s="400">
        <f t="shared" ref="K1441:X1441" ca="1" si="1307">IF(AND(OFFSET($F$269,$D1435,0)="tak",OFFSET($G$269,$D1435,0)="tak",OFFSET($J$269,$D1435,0)="ok",LataProjekcji&lt;=Koniec_Projekt),ROUND(K1438*OFFSET($K$374,$H1441,(COLUMN()-11)),0),0)</f>
        <v>0</v>
      </c>
      <c r="L1441" s="400">
        <f t="shared" ca="1" si="1307"/>
        <v>0</v>
      </c>
      <c r="M1441" s="400">
        <f t="shared" ca="1" si="1307"/>
        <v>0</v>
      </c>
      <c r="N1441" s="400">
        <f t="shared" ca="1" si="1307"/>
        <v>0</v>
      </c>
      <c r="O1441" s="400">
        <f t="shared" ca="1" si="1307"/>
        <v>0</v>
      </c>
      <c r="P1441" s="400">
        <f t="shared" ca="1" si="1307"/>
        <v>0</v>
      </c>
      <c r="Q1441" s="400">
        <f t="shared" ca="1" si="1307"/>
        <v>0</v>
      </c>
      <c r="R1441" s="400">
        <f t="shared" ca="1" si="1307"/>
        <v>0</v>
      </c>
      <c r="S1441" s="400">
        <f t="shared" ca="1" si="1307"/>
        <v>0</v>
      </c>
      <c r="T1441" s="400">
        <f t="shared" ca="1" si="1307"/>
        <v>0</v>
      </c>
      <c r="U1441" s="400">
        <f t="shared" ca="1" si="1307"/>
        <v>0</v>
      </c>
      <c r="V1441" s="400">
        <f t="shared" ca="1" si="1307"/>
        <v>0</v>
      </c>
      <c r="W1441" s="400">
        <f t="shared" ca="1" si="1307"/>
        <v>0</v>
      </c>
      <c r="X1441" s="400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414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21">
        <f ca="1">12-$E1443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415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idden="1">
      <c r="A1446" s="326"/>
      <c r="B1446" s="21" t="s">
        <v>416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idden="1">
      <c r="A1447" s="326"/>
      <c r="B1447" s="21" t="s">
        <v>406</v>
      </c>
      <c r="C1447" s="21"/>
      <c r="D1447" s="22"/>
      <c r="E1447" s="21"/>
      <c r="F1447" s="21"/>
      <c r="G1447" s="21"/>
      <c r="H1447" s="21"/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427</v>
      </c>
      <c r="K1448" s="400">
        <f t="shared" ref="K1448:X1448" ca="1" si="1310">IF(AND(OFFSET($F$269,$D1442,0)="tak",OFFSET($G$269,$D1442,0)="tak",OFFSET($J$269,$D1442,0)="ok",LataProjekcji&lt;=Koniec_Projekt),ROUND(K1445*OFFSET($K$374,$H1448,(COLUMN()-11)),0),0)</f>
        <v>0</v>
      </c>
      <c r="L1448" s="400">
        <f t="shared" ca="1" si="1310"/>
        <v>0</v>
      </c>
      <c r="M1448" s="400">
        <f t="shared" ca="1" si="1310"/>
        <v>0</v>
      </c>
      <c r="N1448" s="400">
        <f t="shared" ca="1" si="1310"/>
        <v>0</v>
      </c>
      <c r="O1448" s="400">
        <f t="shared" ca="1" si="1310"/>
        <v>0</v>
      </c>
      <c r="P1448" s="400">
        <f t="shared" ca="1" si="1310"/>
        <v>0</v>
      </c>
      <c r="Q1448" s="400">
        <f t="shared" ca="1" si="1310"/>
        <v>0</v>
      </c>
      <c r="R1448" s="400">
        <f t="shared" ca="1" si="1310"/>
        <v>0</v>
      </c>
      <c r="S1448" s="400">
        <f t="shared" ca="1" si="1310"/>
        <v>0</v>
      </c>
      <c r="T1448" s="400">
        <f t="shared" ca="1" si="1310"/>
        <v>0</v>
      </c>
      <c r="U1448" s="400">
        <f t="shared" ca="1" si="1310"/>
        <v>0</v>
      </c>
      <c r="V1448" s="400">
        <f t="shared" ca="1" si="1310"/>
        <v>0</v>
      </c>
      <c r="W1448" s="400">
        <f t="shared" ca="1" si="1310"/>
        <v>0</v>
      </c>
      <c r="X1448" s="400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414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21">
        <f ca="1">12-$E1450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415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idden="1">
      <c r="A1453" s="326"/>
      <c r="B1453" s="21" t="s">
        <v>416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idden="1">
      <c r="A1454" s="326"/>
      <c r="B1454" s="21" t="s">
        <v>406</v>
      </c>
      <c r="C1454" s="21"/>
      <c r="D1454" s="22"/>
      <c r="E1454" s="21"/>
      <c r="F1454" s="21"/>
      <c r="G1454" s="21"/>
      <c r="H1454" s="21"/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427</v>
      </c>
      <c r="K1455" s="400">
        <f t="shared" ref="K1455:X1455" ca="1" si="1313">IF(AND(OFFSET($F$269,$D1449,0)="tak",OFFSET($G$269,$D1449,0)="tak",OFFSET($J$269,$D1449,0)="ok",LataProjekcji&lt;=Koniec_Projekt),ROUND(K1452*OFFSET($K$374,$H1455,(COLUMN()-11)),0),0)</f>
        <v>0</v>
      </c>
      <c r="L1455" s="400">
        <f t="shared" ca="1" si="1313"/>
        <v>0</v>
      </c>
      <c r="M1455" s="400">
        <f t="shared" ca="1" si="1313"/>
        <v>0</v>
      </c>
      <c r="N1455" s="400">
        <f t="shared" ca="1" si="1313"/>
        <v>0</v>
      </c>
      <c r="O1455" s="400">
        <f t="shared" ca="1" si="1313"/>
        <v>0</v>
      </c>
      <c r="P1455" s="400">
        <f t="shared" ca="1" si="1313"/>
        <v>0</v>
      </c>
      <c r="Q1455" s="400">
        <f t="shared" ca="1" si="1313"/>
        <v>0</v>
      </c>
      <c r="R1455" s="400">
        <f t="shared" ca="1" si="1313"/>
        <v>0</v>
      </c>
      <c r="S1455" s="400">
        <f t="shared" ca="1" si="1313"/>
        <v>0</v>
      </c>
      <c r="T1455" s="400">
        <f t="shared" ca="1" si="1313"/>
        <v>0</v>
      </c>
      <c r="U1455" s="400">
        <f t="shared" ca="1" si="1313"/>
        <v>0</v>
      </c>
      <c r="V1455" s="400">
        <f t="shared" ca="1" si="1313"/>
        <v>0</v>
      </c>
      <c r="W1455" s="400">
        <f t="shared" ca="1" si="1313"/>
        <v>0</v>
      </c>
      <c r="X1455" s="400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414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21">
        <f ca="1">12-$E1457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415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idden="1">
      <c r="A1460" s="326"/>
      <c r="B1460" s="21" t="s">
        <v>416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idden="1">
      <c r="A1461" s="326"/>
      <c r="B1461" s="21" t="s">
        <v>406</v>
      </c>
      <c r="C1461" s="21"/>
      <c r="D1461" s="22"/>
      <c r="E1461" s="21"/>
      <c r="F1461" s="21"/>
      <c r="G1461" s="21"/>
      <c r="H1461" s="21"/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427</v>
      </c>
      <c r="K1462" s="400">
        <f t="shared" ref="K1462:X1462" ca="1" si="1316">IF(AND(OFFSET($F$269,$D1456,0)="tak",OFFSET($G$269,$D1456,0)="tak",OFFSET($J$269,$D1456,0)="ok",LataProjekcji&lt;=Koniec_Projekt),ROUND(K1459*OFFSET($K$374,$H1462,(COLUMN()-11)),0),0)</f>
        <v>0</v>
      </c>
      <c r="L1462" s="400">
        <f t="shared" ca="1" si="1316"/>
        <v>0</v>
      </c>
      <c r="M1462" s="400">
        <f t="shared" ca="1" si="1316"/>
        <v>0</v>
      </c>
      <c r="N1462" s="400">
        <f t="shared" ca="1" si="1316"/>
        <v>0</v>
      </c>
      <c r="O1462" s="400">
        <f t="shared" ca="1" si="1316"/>
        <v>0</v>
      </c>
      <c r="P1462" s="400">
        <f t="shared" ca="1" si="1316"/>
        <v>0</v>
      </c>
      <c r="Q1462" s="400">
        <f t="shared" ca="1" si="1316"/>
        <v>0</v>
      </c>
      <c r="R1462" s="400">
        <f t="shared" ca="1" si="1316"/>
        <v>0</v>
      </c>
      <c r="S1462" s="400">
        <f t="shared" ca="1" si="1316"/>
        <v>0</v>
      </c>
      <c r="T1462" s="400">
        <f t="shared" ca="1" si="1316"/>
        <v>0</v>
      </c>
      <c r="U1462" s="400">
        <f t="shared" ca="1" si="1316"/>
        <v>0</v>
      </c>
      <c r="V1462" s="400">
        <f t="shared" ca="1" si="1316"/>
        <v>0</v>
      </c>
      <c r="W1462" s="400">
        <f t="shared" ca="1" si="1316"/>
        <v>0</v>
      </c>
      <c r="X1462" s="400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414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21">
        <f ca="1">12-$E1464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415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idden="1">
      <c r="A1467" s="326"/>
      <c r="B1467" s="21" t="s">
        <v>416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idden="1">
      <c r="A1468" s="326"/>
      <c r="B1468" s="21" t="s">
        <v>406</v>
      </c>
      <c r="C1468" s="21"/>
      <c r="D1468" s="22"/>
      <c r="E1468" s="21"/>
      <c r="F1468" s="21"/>
      <c r="G1468" s="21"/>
      <c r="H1468" s="21"/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427</v>
      </c>
      <c r="K1469" s="400">
        <f t="shared" ref="K1469:X1469" ca="1" si="1319">IF(AND(OFFSET($F$269,$D1463,0)="tak",OFFSET($G$269,$D1463,0)="tak",OFFSET($J$269,$D1463,0)="ok",LataProjekcji&lt;=Koniec_Projekt),ROUND(K1466*OFFSET($K$374,$H1469,(COLUMN()-11)),0),0)</f>
        <v>0</v>
      </c>
      <c r="L1469" s="400">
        <f t="shared" ca="1" si="1319"/>
        <v>0</v>
      </c>
      <c r="M1469" s="400">
        <f t="shared" ca="1" si="1319"/>
        <v>0</v>
      </c>
      <c r="N1469" s="400">
        <f t="shared" ca="1" si="1319"/>
        <v>0</v>
      </c>
      <c r="O1469" s="400">
        <f t="shared" ca="1" si="1319"/>
        <v>0</v>
      </c>
      <c r="P1469" s="400">
        <f t="shared" ca="1" si="1319"/>
        <v>0</v>
      </c>
      <c r="Q1469" s="400">
        <f t="shared" ca="1" si="1319"/>
        <v>0</v>
      </c>
      <c r="R1469" s="400">
        <f t="shared" ca="1" si="1319"/>
        <v>0</v>
      </c>
      <c r="S1469" s="400">
        <f t="shared" ca="1" si="1319"/>
        <v>0</v>
      </c>
      <c r="T1469" s="400">
        <f t="shared" ca="1" si="1319"/>
        <v>0</v>
      </c>
      <c r="U1469" s="400">
        <f t="shared" ca="1" si="1319"/>
        <v>0</v>
      </c>
      <c r="V1469" s="400">
        <f t="shared" ca="1" si="1319"/>
        <v>0</v>
      </c>
      <c r="W1469" s="400">
        <f t="shared" ca="1" si="1319"/>
        <v>0</v>
      </c>
      <c r="X1469" s="400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414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21">
        <f ca="1">12-$E1471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415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idden="1">
      <c r="A1474" s="326"/>
      <c r="B1474" s="21" t="s">
        <v>416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idden="1">
      <c r="A1475" s="326"/>
      <c r="B1475" s="21" t="s">
        <v>406</v>
      </c>
      <c r="C1475" s="21"/>
      <c r="D1475" s="22"/>
      <c r="E1475" s="21"/>
      <c r="F1475" s="21"/>
      <c r="G1475" s="21"/>
      <c r="H1475" s="21"/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427</v>
      </c>
      <c r="K1476" s="400">
        <f t="shared" ref="K1476:X1476" ca="1" si="1322">IF(AND(OFFSET($F$269,$D1470,0)="tak",OFFSET($G$269,$D1470,0)="tak",OFFSET($J$269,$D1470,0)="ok",LataProjekcji&lt;=Koniec_Projekt),ROUND(K1473*OFFSET($K$374,$H1476,(COLUMN()-11)),0),0)</f>
        <v>0</v>
      </c>
      <c r="L1476" s="400">
        <f t="shared" ca="1" si="1322"/>
        <v>0</v>
      </c>
      <c r="M1476" s="400">
        <f t="shared" ca="1" si="1322"/>
        <v>0</v>
      </c>
      <c r="N1476" s="400">
        <f t="shared" ca="1" si="1322"/>
        <v>0</v>
      </c>
      <c r="O1476" s="400">
        <f t="shared" ca="1" si="1322"/>
        <v>0</v>
      </c>
      <c r="P1476" s="400">
        <f t="shared" ca="1" si="1322"/>
        <v>0</v>
      </c>
      <c r="Q1476" s="400">
        <f t="shared" ca="1" si="1322"/>
        <v>0</v>
      </c>
      <c r="R1476" s="400">
        <f t="shared" ca="1" si="1322"/>
        <v>0</v>
      </c>
      <c r="S1476" s="400">
        <f t="shared" ca="1" si="1322"/>
        <v>0</v>
      </c>
      <c r="T1476" s="400">
        <f t="shared" ca="1" si="1322"/>
        <v>0</v>
      </c>
      <c r="U1476" s="400">
        <f t="shared" ca="1" si="1322"/>
        <v>0</v>
      </c>
      <c r="V1476" s="400">
        <f t="shared" ca="1" si="1322"/>
        <v>0</v>
      </c>
      <c r="W1476" s="400">
        <f t="shared" ca="1" si="1322"/>
        <v>0</v>
      </c>
      <c r="X1476" s="400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414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21">
        <f ca="1">12-$E1478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415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idden="1">
      <c r="A1481" s="326"/>
      <c r="B1481" s="21" t="s">
        <v>416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idden="1">
      <c r="A1482" s="326"/>
      <c r="B1482" s="21" t="s">
        <v>406</v>
      </c>
      <c r="C1482" s="21"/>
      <c r="D1482" s="22"/>
      <c r="E1482" s="21"/>
      <c r="F1482" s="21"/>
      <c r="G1482" s="21"/>
      <c r="H1482" s="21"/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427</v>
      </c>
      <c r="K1483" s="400">
        <f t="shared" ref="K1483:X1483" ca="1" si="1325">IF(AND(OFFSET($F$269,$D1477,0)="tak",OFFSET($G$269,$D1477,0)="tak",OFFSET($J$269,$D1477,0)="ok",LataProjekcji&lt;=Koniec_Projekt),ROUND(K1480*OFFSET($K$374,$H1483,(COLUMN()-11)),0),0)</f>
        <v>0</v>
      </c>
      <c r="L1483" s="400">
        <f t="shared" ca="1" si="1325"/>
        <v>0</v>
      </c>
      <c r="M1483" s="400">
        <f t="shared" ca="1" si="1325"/>
        <v>0</v>
      </c>
      <c r="N1483" s="400">
        <f t="shared" ca="1" si="1325"/>
        <v>0</v>
      </c>
      <c r="O1483" s="400">
        <f t="shared" ca="1" si="1325"/>
        <v>0</v>
      </c>
      <c r="P1483" s="400">
        <f t="shared" ca="1" si="1325"/>
        <v>0</v>
      </c>
      <c r="Q1483" s="400">
        <f t="shared" ca="1" si="1325"/>
        <v>0</v>
      </c>
      <c r="R1483" s="400">
        <f t="shared" ca="1" si="1325"/>
        <v>0</v>
      </c>
      <c r="S1483" s="400">
        <f t="shared" ca="1" si="1325"/>
        <v>0</v>
      </c>
      <c r="T1483" s="400">
        <f t="shared" ca="1" si="1325"/>
        <v>0</v>
      </c>
      <c r="U1483" s="400">
        <f t="shared" ca="1" si="1325"/>
        <v>0</v>
      </c>
      <c r="V1483" s="400">
        <f t="shared" ca="1" si="1325"/>
        <v>0</v>
      </c>
      <c r="W1483" s="400">
        <f t="shared" ca="1" si="1325"/>
        <v>0</v>
      </c>
      <c r="X1483" s="400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414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21">
        <f ca="1">12-$E1485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415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idden="1">
      <c r="A1488" s="326"/>
      <c r="B1488" s="21" t="s">
        <v>416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idden="1">
      <c r="A1489" s="326"/>
      <c r="B1489" s="21" t="s">
        <v>406</v>
      </c>
      <c r="C1489" s="21"/>
      <c r="D1489" s="22"/>
      <c r="E1489" s="21"/>
      <c r="F1489" s="21"/>
      <c r="G1489" s="21"/>
      <c r="H1489" s="21"/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427</v>
      </c>
      <c r="K1490" s="400">
        <f t="shared" ref="K1490:X1490" ca="1" si="1328">IF(AND(OFFSET($F$269,$D1484,0)="tak",OFFSET($G$269,$D1484,0)="tak",OFFSET($J$269,$D1484,0)="ok",LataProjekcji&lt;=Koniec_Projekt),ROUND(K1487*OFFSET($K$374,$H1490,(COLUMN()-11)),0),0)</f>
        <v>0</v>
      </c>
      <c r="L1490" s="400">
        <f t="shared" ca="1" si="1328"/>
        <v>0</v>
      </c>
      <c r="M1490" s="400">
        <f t="shared" ca="1" si="1328"/>
        <v>0</v>
      </c>
      <c r="N1490" s="400">
        <f t="shared" ca="1" si="1328"/>
        <v>0</v>
      </c>
      <c r="O1490" s="400">
        <f t="shared" ca="1" si="1328"/>
        <v>0</v>
      </c>
      <c r="P1490" s="400">
        <f t="shared" ca="1" si="1328"/>
        <v>0</v>
      </c>
      <c r="Q1490" s="400">
        <f t="shared" ca="1" si="1328"/>
        <v>0</v>
      </c>
      <c r="R1490" s="400">
        <f t="shared" ca="1" si="1328"/>
        <v>0</v>
      </c>
      <c r="S1490" s="400">
        <f t="shared" ca="1" si="1328"/>
        <v>0</v>
      </c>
      <c r="T1490" s="400">
        <f t="shared" ca="1" si="1328"/>
        <v>0</v>
      </c>
      <c r="U1490" s="400">
        <f t="shared" ca="1" si="1328"/>
        <v>0</v>
      </c>
      <c r="V1490" s="400">
        <f t="shared" ca="1" si="1328"/>
        <v>0</v>
      </c>
      <c r="W1490" s="400">
        <f t="shared" ca="1" si="1328"/>
        <v>0</v>
      </c>
      <c r="X1490" s="400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414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21">
        <f ca="1">12-$E1492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415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idden="1">
      <c r="A1495" s="326"/>
      <c r="B1495" s="21" t="s">
        <v>416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idden="1">
      <c r="A1496" s="326"/>
      <c r="B1496" s="21" t="s">
        <v>406</v>
      </c>
      <c r="C1496" s="21"/>
      <c r="D1496" s="22"/>
      <c r="E1496" s="21"/>
      <c r="F1496" s="21"/>
      <c r="G1496" s="21"/>
      <c r="H1496" s="21"/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427</v>
      </c>
      <c r="K1497" s="400">
        <f t="shared" ref="K1497:X1497" ca="1" si="1331">IF(AND(OFFSET($F$269,$D1491,0)="tak",OFFSET($G$269,$D1491,0)="tak",OFFSET($J$269,$D1491,0)="ok",LataProjekcji&lt;=Koniec_Projekt),ROUND(K1494*OFFSET($K$374,$H1497,(COLUMN()-11)),0),0)</f>
        <v>0</v>
      </c>
      <c r="L1497" s="400">
        <f t="shared" ca="1" si="1331"/>
        <v>0</v>
      </c>
      <c r="M1497" s="400">
        <f t="shared" ca="1" si="1331"/>
        <v>0</v>
      </c>
      <c r="N1497" s="400">
        <f t="shared" ca="1" si="1331"/>
        <v>0</v>
      </c>
      <c r="O1497" s="400">
        <f t="shared" ca="1" si="1331"/>
        <v>0</v>
      </c>
      <c r="P1497" s="400">
        <f t="shared" ca="1" si="1331"/>
        <v>0</v>
      </c>
      <c r="Q1497" s="400">
        <f t="shared" ca="1" si="1331"/>
        <v>0</v>
      </c>
      <c r="R1497" s="400">
        <f t="shared" ca="1" si="1331"/>
        <v>0</v>
      </c>
      <c r="S1497" s="400">
        <f t="shared" ca="1" si="1331"/>
        <v>0</v>
      </c>
      <c r="T1497" s="400">
        <f t="shared" ca="1" si="1331"/>
        <v>0</v>
      </c>
      <c r="U1497" s="400">
        <f t="shared" ca="1" si="1331"/>
        <v>0</v>
      </c>
      <c r="V1497" s="400">
        <f t="shared" ca="1" si="1331"/>
        <v>0</v>
      </c>
      <c r="W1497" s="400">
        <f t="shared" ca="1" si="1331"/>
        <v>0</v>
      </c>
      <c r="X1497" s="400">
        <f t="shared" ca="1" si="1331"/>
        <v>0</v>
      </c>
    </row>
    <row r="1498" spans="1:24" hidden="1">
      <c r="A1498" s="326"/>
      <c r="B1498" s="375" t="s">
        <v>432</v>
      </c>
      <c r="C1498" s="375"/>
    </row>
    <row r="1499" spans="1:24" ht="21" hidden="1">
      <c r="A1499" s="326"/>
      <c r="B1499" s="7" t="s">
        <v>433</v>
      </c>
      <c r="C1499" s="7"/>
      <c r="D1499" s="371" t="s">
        <v>406</v>
      </c>
      <c r="E1499" s="371" t="s">
        <v>421</v>
      </c>
      <c r="F1499" s="388" t="s">
        <v>336</v>
      </c>
      <c r="G1499" s="388" t="s">
        <v>422</v>
      </c>
      <c r="J1499" s="388" t="s">
        <v>423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5" hidden="1" thickBot="1">
      <c r="A1509" s="326"/>
    </row>
    <row r="1510" spans="1:24" ht="12.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411</v>
      </c>
      <c r="G1510" s="48"/>
      <c r="H1510" s="50" t="s">
        <v>412</v>
      </c>
      <c r="I1510" s="21" t="s">
        <v>413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414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21">
        <f ca="1">12-$E1511</f>
        <v>12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426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415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idden="1">
      <c r="A1514" s="326"/>
      <c r="B1514" s="21" t="s">
        <v>416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idden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21"/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427</v>
      </c>
      <c r="K1516" s="400">
        <f t="shared" ref="K1516:X1516" ca="1" si="1340">IF(AND(OFFSET($F$269,$D1510,0)="tak",OFFSET($G$269,$D1510,0)="tak",OFFSET($J$269,$D1510,0)="ok",LataProjekcji&lt;=Koniec_Projekt),ROUND(K1513*OFFSET($K$374,$H1516,(COLUMN()-11)),0),0)</f>
        <v>0</v>
      </c>
      <c r="L1516" s="400">
        <f t="shared" ca="1" si="1340"/>
        <v>0</v>
      </c>
      <c r="M1516" s="400">
        <f t="shared" ca="1" si="1340"/>
        <v>0</v>
      </c>
      <c r="N1516" s="400">
        <f t="shared" ca="1" si="1340"/>
        <v>0</v>
      </c>
      <c r="O1516" s="400">
        <f t="shared" ca="1" si="1340"/>
        <v>0</v>
      </c>
      <c r="P1516" s="400">
        <f t="shared" ca="1" si="1340"/>
        <v>0</v>
      </c>
      <c r="Q1516" s="400">
        <f t="shared" ca="1" si="1340"/>
        <v>0</v>
      </c>
      <c r="R1516" s="400">
        <f t="shared" ca="1" si="1340"/>
        <v>0</v>
      </c>
      <c r="S1516" s="400">
        <f t="shared" ca="1" si="1340"/>
        <v>0</v>
      </c>
      <c r="T1516" s="400">
        <f t="shared" ca="1" si="1340"/>
        <v>0</v>
      </c>
      <c r="U1516" s="400">
        <f t="shared" ca="1" si="1340"/>
        <v>0</v>
      </c>
      <c r="V1516" s="400">
        <f t="shared" ca="1" si="1340"/>
        <v>0</v>
      </c>
      <c r="W1516" s="400">
        <f t="shared" ca="1" si="1340"/>
        <v>0</v>
      </c>
      <c r="X1516" s="400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414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21">
        <f ca="1">12-$E1518</f>
        <v>12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415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idden="1">
      <c r="A1521" s="326"/>
      <c r="B1521" s="21" t="s">
        <v>416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idden="1">
      <c r="A1522" s="326"/>
      <c r="B1522" s="21" t="s">
        <v>406</v>
      </c>
      <c r="C1522" s="21"/>
      <c r="D1522" s="22"/>
      <c r="E1522" s="21"/>
      <c r="F1522" s="21"/>
      <c r="G1522" s="21"/>
      <c r="H1522" s="21"/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427</v>
      </c>
      <c r="K1523" s="400">
        <f t="shared" ref="K1523:X1523" ca="1" si="1343">IF(AND(OFFSET($F$269,$D1517,0)="tak",OFFSET($G$269,$D1517,0)="tak",OFFSET($J$269,$D1517,0)="ok",LataProjekcji&lt;=Koniec_Projekt),ROUND(K1520*OFFSET($K$374,$H1523,(COLUMN()-11)),0),0)</f>
        <v>0</v>
      </c>
      <c r="L1523" s="400">
        <f t="shared" ca="1" si="1343"/>
        <v>0</v>
      </c>
      <c r="M1523" s="400">
        <f t="shared" ca="1" si="1343"/>
        <v>0</v>
      </c>
      <c r="N1523" s="400">
        <f t="shared" ca="1" si="1343"/>
        <v>0</v>
      </c>
      <c r="O1523" s="400">
        <f t="shared" ca="1" si="1343"/>
        <v>0</v>
      </c>
      <c r="P1523" s="400">
        <f t="shared" ca="1" si="1343"/>
        <v>0</v>
      </c>
      <c r="Q1523" s="400">
        <f t="shared" ca="1" si="1343"/>
        <v>0</v>
      </c>
      <c r="R1523" s="400">
        <f t="shared" ca="1" si="1343"/>
        <v>0</v>
      </c>
      <c r="S1523" s="400">
        <f t="shared" ca="1" si="1343"/>
        <v>0</v>
      </c>
      <c r="T1523" s="400">
        <f t="shared" ca="1" si="1343"/>
        <v>0</v>
      </c>
      <c r="U1523" s="400">
        <f t="shared" ca="1" si="1343"/>
        <v>0</v>
      </c>
      <c r="V1523" s="400">
        <f t="shared" ca="1" si="1343"/>
        <v>0</v>
      </c>
      <c r="W1523" s="400">
        <f t="shared" ca="1" si="1343"/>
        <v>0</v>
      </c>
      <c r="X1523" s="400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414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21">
        <f ca="1">12-$E1525</f>
        <v>12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415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idden="1">
      <c r="A1528" s="326"/>
      <c r="B1528" s="21" t="s">
        <v>416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idden="1">
      <c r="A1529" s="326"/>
      <c r="B1529" s="21" t="s">
        <v>406</v>
      </c>
      <c r="C1529" s="21"/>
      <c r="D1529" s="22"/>
      <c r="E1529" s="21"/>
      <c r="F1529" s="21"/>
      <c r="G1529" s="21"/>
      <c r="H1529" s="21"/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427</v>
      </c>
      <c r="K1530" s="400">
        <f t="shared" ref="K1530:X1530" ca="1" si="1346">IF(AND(OFFSET($F$269,$D1524,0)="tak",OFFSET($G$269,$D1524,0)="tak",OFFSET($J$269,$D1524,0)="ok",LataProjekcji&lt;=Koniec_Projekt),ROUND(K1527*OFFSET($K$374,$H1530,(COLUMN()-11)),0),0)</f>
        <v>0</v>
      </c>
      <c r="L1530" s="400">
        <f t="shared" ca="1" si="1346"/>
        <v>0</v>
      </c>
      <c r="M1530" s="400">
        <f t="shared" ca="1" si="1346"/>
        <v>0</v>
      </c>
      <c r="N1530" s="400">
        <f t="shared" ca="1" si="1346"/>
        <v>0</v>
      </c>
      <c r="O1530" s="400">
        <f t="shared" ca="1" si="1346"/>
        <v>0</v>
      </c>
      <c r="P1530" s="400">
        <f t="shared" ca="1" si="1346"/>
        <v>0</v>
      </c>
      <c r="Q1530" s="400">
        <f t="shared" ca="1" si="1346"/>
        <v>0</v>
      </c>
      <c r="R1530" s="400">
        <f t="shared" ca="1" si="1346"/>
        <v>0</v>
      </c>
      <c r="S1530" s="400">
        <f t="shared" ca="1" si="1346"/>
        <v>0</v>
      </c>
      <c r="T1530" s="400">
        <f t="shared" ca="1" si="1346"/>
        <v>0</v>
      </c>
      <c r="U1530" s="400">
        <f t="shared" ca="1" si="1346"/>
        <v>0</v>
      </c>
      <c r="V1530" s="400">
        <f t="shared" ca="1" si="1346"/>
        <v>0</v>
      </c>
      <c r="W1530" s="400">
        <f t="shared" ca="1" si="1346"/>
        <v>0</v>
      </c>
      <c r="X1530" s="400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414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21">
        <f ca="1">12-$E1532</f>
        <v>12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415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idden="1">
      <c r="A1535" s="326"/>
      <c r="B1535" s="21" t="s">
        <v>416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idden="1">
      <c r="A1536" s="326"/>
      <c r="B1536" s="21" t="s">
        <v>406</v>
      </c>
      <c r="C1536" s="21"/>
      <c r="D1536" s="22"/>
      <c r="E1536" s="21"/>
      <c r="F1536" s="21"/>
      <c r="G1536" s="21"/>
      <c r="H1536" s="21"/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427</v>
      </c>
      <c r="K1537" s="400">
        <f t="shared" ref="K1537:X1537" ca="1" si="1349">IF(AND(OFFSET($F$269,$D1531,0)="tak",OFFSET($G$269,$D1531,0)="tak",OFFSET($J$269,$D1531,0)="ok",LataProjekcji&lt;=Koniec_Projekt),ROUND(K1534*OFFSET($K$374,$H1537,(COLUMN()-11)),0),0)</f>
        <v>0</v>
      </c>
      <c r="L1537" s="400">
        <f t="shared" ca="1" si="1349"/>
        <v>0</v>
      </c>
      <c r="M1537" s="400">
        <f t="shared" ca="1" si="1349"/>
        <v>0</v>
      </c>
      <c r="N1537" s="400">
        <f t="shared" ca="1" si="1349"/>
        <v>0</v>
      </c>
      <c r="O1537" s="400">
        <f t="shared" ca="1" si="1349"/>
        <v>0</v>
      </c>
      <c r="P1537" s="400">
        <f t="shared" ca="1" si="1349"/>
        <v>0</v>
      </c>
      <c r="Q1537" s="400">
        <f t="shared" ca="1" si="1349"/>
        <v>0</v>
      </c>
      <c r="R1537" s="400">
        <f t="shared" ca="1" si="1349"/>
        <v>0</v>
      </c>
      <c r="S1537" s="400">
        <f t="shared" ca="1" si="1349"/>
        <v>0</v>
      </c>
      <c r="T1537" s="400">
        <f t="shared" ca="1" si="1349"/>
        <v>0</v>
      </c>
      <c r="U1537" s="400">
        <f t="shared" ca="1" si="1349"/>
        <v>0</v>
      </c>
      <c r="V1537" s="400">
        <f t="shared" ca="1" si="1349"/>
        <v>0</v>
      </c>
      <c r="W1537" s="400">
        <f t="shared" ca="1" si="1349"/>
        <v>0</v>
      </c>
      <c r="X1537" s="400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414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21">
        <f ca="1">12-$E1539</f>
        <v>12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415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idden="1">
      <c r="A1542" s="326"/>
      <c r="B1542" s="21" t="s">
        <v>416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idden="1">
      <c r="A1543" s="326"/>
      <c r="B1543" s="21" t="s">
        <v>406</v>
      </c>
      <c r="C1543" s="21"/>
      <c r="D1543" s="22"/>
      <c r="E1543" s="21"/>
      <c r="F1543" s="21"/>
      <c r="G1543" s="21"/>
      <c r="H1543" s="21"/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427</v>
      </c>
      <c r="K1544" s="400">
        <f t="shared" ref="K1544:X1544" ca="1" si="1352">IF(AND(OFFSET($F$269,$D1538,0)="tak",OFFSET($G$269,$D1538,0)="tak",OFFSET($J$269,$D1538,0)="ok",LataProjekcji&lt;=Koniec_Projekt),ROUND(K1541*OFFSET($K$374,$H1544,(COLUMN()-11)),0),0)</f>
        <v>0</v>
      </c>
      <c r="L1544" s="400">
        <f t="shared" ca="1" si="1352"/>
        <v>0</v>
      </c>
      <c r="M1544" s="400">
        <f t="shared" ca="1" si="1352"/>
        <v>0</v>
      </c>
      <c r="N1544" s="400">
        <f t="shared" ca="1" si="1352"/>
        <v>0</v>
      </c>
      <c r="O1544" s="400">
        <f t="shared" ca="1" si="1352"/>
        <v>0</v>
      </c>
      <c r="P1544" s="400">
        <f t="shared" ca="1" si="1352"/>
        <v>0</v>
      </c>
      <c r="Q1544" s="400">
        <f t="shared" ca="1" si="1352"/>
        <v>0</v>
      </c>
      <c r="R1544" s="400">
        <f t="shared" ca="1" si="1352"/>
        <v>0</v>
      </c>
      <c r="S1544" s="400">
        <f t="shared" ca="1" si="1352"/>
        <v>0</v>
      </c>
      <c r="T1544" s="400">
        <f t="shared" ca="1" si="1352"/>
        <v>0</v>
      </c>
      <c r="U1544" s="400">
        <f t="shared" ca="1" si="1352"/>
        <v>0</v>
      </c>
      <c r="V1544" s="400">
        <f t="shared" ca="1" si="1352"/>
        <v>0</v>
      </c>
      <c r="W1544" s="400">
        <f t="shared" ca="1" si="1352"/>
        <v>0</v>
      </c>
      <c r="X1544" s="400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5" hidden="1" thickBot="1">
      <c r="A1550" s="326"/>
      <c r="B1550" s="459" t="s">
        <v>750</v>
      </c>
    </row>
    <row r="1551" spans="1:24" ht="12.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411</v>
      </c>
      <c r="G1551" s="48"/>
      <c r="H1551" s="50" t="s">
        <v>412</v>
      </c>
      <c r="I1551" s="21" t="s">
        <v>413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414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21">
        <f ca="1">12-$E1552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426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415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idden="1">
      <c r="A1555" s="326"/>
      <c r="B1555" s="21" t="s">
        <v>416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idden="1">
      <c r="A1556" s="326"/>
      <c r="B1556" s="21" t="s">
        <v>406</v>
      </c>
      <c r="C1556" s="21"/>
      <c r="D1556" s="22"/>
      <c r="E1556" s="21"/>
      <c r="F1556" s="21"/>
      <c r="G1556" s="21"/>
      <c r="H1556" s="21"/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427</v>
      </c>
      <c r="K1557" s="400">
        <f t="shared" ref="K1557:X1557" ca="1" si="1355">IF(AND(OFFSET($F$269,$D1551,0)="tak",OFFSET($G$269,$D1551,0)="tak",OFFSET($J$269,$D1551,0)="ok",LataProjekcji&lt;=Koniec_Projekt),ROUND(K1554*OFFSET($K$469,$H1557,(COLUMN()-11)),0),0)</f>
        <v>0</v>
      </c>
      <c r="L1557" s="400">
        <f t="shared" ca="1" si="1355"/>
        <v>0</v>
      </c>
      <c r="M1557" s="400">
        <f t="shared" ca="1" si="1355"/>
        <v>0</v>
      </c>
      <c r="N1557" s="400">
        <f t="shared" ca="1" si="1355"/>
        <v>0</v>
      </c>
      <c r="O1557" s="400">
        <f t="shared" ca="1" si="1355"/>
        <v>0</v>
      </c>
      <c r="P1557" s="400">
        <f t="shared" ca="1" si="1355"/>
        <v>0</v>
      </c>
      <c r="Q1557" s="400">
        <f t="shared" ca="1" si="1355"/>
        <v>0</v>
      </c>
      <c r="R1557" s="400">
        <f t="shared" ca="1" si="1355"/>
        <v>0</v>
      </c>
      <c r="S1557" s="400">
        <f t="shared" ca="1" si="1355"/>
        <v>0</v>
      </c>
      <c r="T1557" s="400">
        <f t="shared" ca="1" si="1355"/>
        <v>0</v>
      </c>
      <c r="U1557" s="400">
        <f t="shared" ca="1" si="1355"/>
        <v>0</v>
      </c>
      <c r="V1557" s="400">
        <f t="shared" ca="1" si="1355"/>
        <v>0</v>
      </c>
      <c r="W1557" s="400">
        <f t="shared" ca="1" si="1355"/>
        <v>0</v>
      </c>
      <c r="X1557" s="400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414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21">
        <f ca="1">12-$E1559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415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idden="1">
      <c r="A1562" s="326"/>
      <c r="B1562" s="21" t="s">
        <v>416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idden="1">
      <c r="A1563" s="326"/>
      <c r="B1563" s="21" t="s">
        <v>406</v>
      </c>
      <c r="C1563" s="21"/>
      <c r="D1563" s="22"/>
      <c r="E1563" s="21"/>
      <c r="F1563" s="21"/>
      <c r="G1563" s="21"/>
      <c r="H1563" s="21"/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427</v>
      </c>
      <c r="K1564" s="400">
        <f t="shared" ref="K1564:X1564" ca="1" si="1358">IF(AND(OFFSET($F$269,$D1558,0)="tak",OFFSET($G$269,$D1558,0)="tak",OFFSET($J$269,$D1558,0)="ok",LataProjekcji&lt;=Koniec_Projekt),ROUND(K1561*OFFSET($K$469,$H1564,(COLUMN()-11)),0),0)</f>
        <v>0</v>
      </c>
      <c r="L1564" s="400">
        <f t="shared" ca="1" si="1358"/>
        <v>0</v>
      </c>
      <c r="M1564" s="400">
        <f t="shared" ca="1" si="1358"/>
        <v>0</v>
      </c>
      <c r="N1564" s="400">
        <f t="shared" ca="1" si="1358"/>
        <v>0</v>
      </c>
      <c r="O1564" s="400">
        <f t="shared" ca="1" si="1358"/>
        <v>0</v>
      </c>
      <c r="P1564" s="400">
        <f t="shared" ca="1" si="1358"/>
        <v>0</v>
      </c>
      <c r="Q1564" s="400">
        <f t="shared" ca="1" si="1358"/>
        <v>0</v>
      </c>
      <c r="R1564" s="400">
        <f t="shared" ca="1" si="1358"/>
        <v>0</v>
      </c>
      <c r="S1564" s="400">
        <f t="shared" ca="1" si="1358"/>
        <v>0</v>
      </c>
      <c r="T1564" s="400">
        <f t="shared" ca="1" si="1358"/>
        <v>0</v>
      </c>
      <c r="U1564" s="400">
        <f t="shared" ca="1" si="1358"/>
        <v>0</v>
      </c>
      <c r="V1564" s="400">
        <f t="shared" ca="1" si="1358"/>
        <v>0</v>
      </c>
      <c r="W1564" s="400">
        <f t="shared" ca="1" si="1358"/>
        <v>0</v>
      </c>
      <c r="X1564" s="400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414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21">
        <f ca="1">12-$E1566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415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idden="1">
      <c r="A1569" s="326"/>
      <c r="B1569" s="21" t="s">
        <v>416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idden="1">
      <c r="A1570" s="326"/>
      <c r="B1570" s="21" t="s">
        <v>406</v>
      </c>
      <c r="C1570" s="21"/>
      <c r="D1570" s="22"/>
      <c r="E1570" s="21"/>
      <c r="F1570" s="21"/>
      <c r="G1570" s="21"/>
      <c r="H1570" s="21"/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427</v>
      </c>
      <c r="K1571" s="400">
        <f t="shared" ref="K1571:X1571" ca="1" si="1361">IF(AND(OFFSET($F$269,$D1565,0)="tak",OFFSET($G$269,$D1565,0)="tak",OFFSET($J$269,$D1565,0)="ok",LataProjekcji&lt;=Koniec_Projekt),ROUND(K1568*OFFSET($K$469,$H1571,(COLUMN()-11)),0),0)</f>
        <v>0</v>
      </c>
      <c r="L1571" s="400">
        <f t="shared" ca="1" si="1361"/>
        <v>0</v>
      </c>
      <c r="M1571" s="400">
        <f t="shared" ca="1" si="1361"/>
        <v>0</v>
      </c>
      <c r="N1571" s="400">
        <f t="shared" ca="1" si="1361"/>
        <v>0</v>
      </c>
      <c r="O1571" s="400">
        <f t="shared" ca="1" si="1361"/>
        <v>0</v>
      </c>
      <c r="P1571" s="400">
        <f t="shared" ca="1" si="1361"/>
        <v>0</v>
      </c>
      <c r="Q1571" s="400">
        <f t="shared" ca="1" si="1361"/>
        <v>0</v>
      </c>
      <c r="R1571" s="400">
        <f t="shared" ca="1" si="1361"/>
        <v>0</v>
      </c>
      <c r="S1571" s="400">
        <f t="shared" ca="1" si="1361"/>
        <v>0</v>
      </c>
      <c r="T1571" s="400">
        <f t="shared" ca="1" si="1361"/>
        <v>0</v>
      </c>
      <c r="U1571" s="400">
        <f t="shared" ca="1" si="1361"/>
        <v>0</v>
      </c>
      <c r="V1571" s="400">
        <f t="shared" ca="1" si="1361"/>
        <v>0</v>
      </c>
      <c r="W1571" s="400">
        <f t="shared" ca="1" si="1361"/>
        <v>0</v>
      </c>
      <c r="X1571" s="400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414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21">
        <f ca="1">12-$E1573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415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idden="1">
      <c r="A1576" s="326"/>
      <c r="B1576" s="21" t="s">
        <v>416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idden="1">
      <c r="A1577" s="326"/>
      <c r="B1577" s="21" t="s">
        <v>406</v>
      </c>
      <c r="C1577" s="21"/>
      <c r="D1577" s="22"/>
      <c r="E1577" s="21"/>
      <c r="F1577" s="21"/>
      <c r="G1577" s="21"/>
      <c r="H1577" s="21"/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427</v>
      </c>
      <c r="K1578" s="400">
        <f t="shared" ref="K1578:X1578" ca="1" si="1364">IF(AND(OFFSET($F$269,$D1572,0)="tak",OFFSET($G$269,$D1572,0)="tak",OFFSET($J$269,$D1572,0)="ok",LataProjekcji&lt;=Koniec_Projekt),ROUND(K1575*OFFSET($K$469,$H1578,(COLUMN()-11)),0),0)</f>
        <v>0</v>
      </c>
      <c r="L1578" s="400">
        <f t="shared" ca="1" si="1364"/>
        <v>0</v>
      </c>
      <c r="M1578" s="400">
        <f t="shared" ca="1" si="1364"/>
        <v>0</v>
      </c>
      <c r="N1578" s="400">
        <f t="shared" ca="1" si="1364"/>
        <v>0</v>
      </c>
      <c r="O1578" s="400">
        <f t="shared" ca="1" si="1364"/>
        <v>0</v>
      </c>
      <c r="P1578" s="400">
        <f t="shared" ca="1" si="1364"/>
        <v>0</v>
      </c>
      <c r="Q1578" s="400">
        <f t="shared" ca="1" si="1364"/>
        <v>0</v>
      </c>
      <c r="R1578" s="400">
        <f t="shared" ca="1" si="1364"/>
        <v>0</v>
      </c>
      <c r="S1578" s="400">
        <f t="shared" ca="1" si="1364"/>
        <v>0</v>
      </c>
      <c r="T1578" s="400">
        <f t="shared" ca="1" si="1364"/>
        <v>0</v>
      </c>
      <c r="U1578" s="400">
        <f t="shared" ca="1" si="1364"/>
        <v>0</v>
      </c>
      <c r="V1578" s="400">
        <f t="shared" ca="1" si="1364"/>
        <v>0</v>
      </c>
      <c r="W1578" s="400">
        <f t="shared" ca="1" si="1364"/>
        <v>0</v>
      </c>
      <c r="X1578" s="400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414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21">
        <f ca="1">12-$E1580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415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idden="1">
      <c r="A1583" s="326"/>
      <c r="B1583" s="21" t="s">
        <v>416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idden="1">
      <c r="A1584" s="326"/>
      <c r="B1584" s="21" t="s">
        <v>406</v>
      </c>
      <c r="C1584" s="21"/>
      <c r="D1584" s="22"/>
      <c r="E1584" s="21"/>
      <c r="F1584" s="21"/>
      <c r="G1584" s="21"/>
      <c r="H1584" s="21"/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427</v>
      </c>
      <c r="K1585" s="400">
        <f t="shared" ref="K1585:X1585" ca="1" si="1367">IF(AND(OFFSET($F$269,$D1579,0)="tak",OFFSET($G$269,$D1579,0)="tak",OFFSET($J$269,$D1579,0)="ok",LataProjekcji&lt;=Koniec_Projekt),ROUND(K1582*OFFSET($K$469,$H1585,(COLUMN()-11)),0),0)</f>
        <v>0</v>
      </c>
      <c r="L1585" s="400">
        <f t="shared" ca="1" si="1367"/>
        <v>0</v>
      </c>
      <c r="M1585" s="400">
        <f t="shared" ca="1" si="1367"/>
        <v>0</v>
      </c>
      <c r="N1585" s="400">
        <f t="shared" ca="1" si="1367"/>
        <v>0</v>
      </c>
      <c r="O1585" s="400">
        <f t="shared" ca="1" si="1367"/>
        <v>0</v>
      </c>
      <c r="P1585" s="400">
        <f t="shared" ca="1" si="1367"/>
        <v>0</v>
      </c>
      <c r="Q1585" s="400">
        <f t="shared" ca="1" si="1367"/>
        <v>0</v>
      </c>
      <c r="R1585" s="400">
        <f t="shared" ca="1" si="1367"/>
        <v>0</v>
      </c>
      <c r="S1585" s="400">
        <f t="shared" ca="1" si="1367"/>
        <v>0</v>
      </c>
      <c r="T1585" s="400">
        <f t="shared" ca="1" si="1367"/>
        <v>0</v>
      </c>
      <c r="U1585" s="400">
        <f t="shared" ca="1" si="1367"/>
        <v>0</v>
      </c>
      <c r="V1585" s="400">
        <f t="shared" ca="1" si="1367"/>
        <v>0</v>
      </c>
      <c r="W1585" s="400">
        <f t="shared" ca="1" si="1367"/>
        <v>0</v>
      </c>
      <c r="X1585" s="400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414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21">
        <f ca="1">12-$E1587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415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idden="1">
      <c r="A1590" s="326"/>
      <c r="B1590" s="21" t="s">
        <v>416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idden="1">
      <c r="A1591" s="326"/>
      <c r="B1591" s="21" t="s">
        <v>406</v>
      </c>
      <c r="C1591" s="21"/>
      <c r="D1591" s="22"/>
      <c r="E1591" s="21"/>
      <c r="F1591" s="21"/>
      <c r="G1591" s="21"/>
      <c r="H1591" s="21"/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427</v>
      </c>
      <c r="K1592" s="400">
        <f t="shared" ref="K1592:X1592" ca="1" si="1370">IF(AND(OFFSET($F$269,$D1586,0)="tak",OFFSET($G$269,$D1586,0)="tak",OFFSET($J$269,$D1586,0)="ok",LataProjekcji&lt;=Koniec_Projekt),ROUND(K1589*OFFSET($K$469,$H1592,(COLUMN()-11)),0),0)</f>
        <v>0</v>
      </c>
      <c r="L1592" s="400">
        <f t="shared" ca="1" si="1370"/>
        <v>0</v>
      </c>
      <c r="M1592" s="400">
        <f t="shared" ca="1" si="1370"/>
        <v>0</v>
      </c>
      <c r="N1592" s="400">
        <f t="shared" ca="1" si="1370"/>
        <v>0</v>
      </c>
      <c r="O1592" s="400">
        <f t="shared" ca="1" si="1370"/>
        <v>0</v>
      </c>
      <c r="P1592" s="400">
        <f t="shared" ca="1" si="1370"/>
        <v>0</v>
      </c>
      <c r="Q1592" s="400">
        <f t="shared" ca="1" si="1370"/>
        <v>0</v>
      </c>
      <c r="R1592" s="400">
        <f t="shared" ca="1" si="1370"/>
        <v>0</v>
      </c>
      <c r="S1592" s="400">
        <f t="shared" ca="1" si="1370"/>
        <v>0</v>
      </c>
      <c r="T1592" s="400">
        <f t="shared" ca="1" si="1370"/>
        <v>0</v>
      </c>
      <c r="U1592" s="400">
        <f t="shared" ca="1" si="1370"/>
        <v>0</v>
      </c>
      <c r="V1592" s="400">
        <f t="shared" ca="1" si="1370"/>
        <v>0</v>
      </c>
      <c r="W1592" s="400">
        <f t="shared" ca="1" si="1370"/>
        <v>0</v>
      </c>
      <c r="X1592" s="400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414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21">
        <f ca="1">12-$E1594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415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idden="1">
      <c r="A1597" s="326"/>
      <c r="B1597" s="21" t="s">
        <v>416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idden="1">
      <c r="A1598" s="326"/>
      <c r="B1598" s="21" t="s">
        <v>406</v>
      </c>
      <c r="C1598" s="21"/>
      <c r="D1598" s="22"/>
      <c r="E1598" s="21"/>
      <c r="F1598" s="21"/>
      <c r="G1598" s="21"/>
      <c r="H1598" s="21"/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427</v>
      </c>
      <c r="K1599" s="400">
        <f t="shared" ref="K1599:X1599" ca="1" si="1373">IF(AND(OFFSET($F$269,$D1593,0)="tak",OFFSET($G$269,$D1593,0)="tak",OFFSET($J$269,$D1593,0)="ok",LataProjekcji&lt;=Koniec_Projekt),ROUND(K1596*OFFSET($K$469,$H1599,(COLUMN()-11)),0),0)</f>
        <v>0</v>
      </c>
      <c r="L1599" s="400">
        <f t="shared" ca="1" si="1373"/>
        <v>0</v>
      </c>
      <c r="M1599" s="400">
        <f t="shared" ca="1" si="1373"/>
        <v>0</v>
      </c>
      <c r="N1599" s="400">
        <f t="shared" ca="1" si="1373"/>
        <v>0</v>
      </c>
      <c r="O1599" s="400">
        <f t="shared" ca="1" si="1373"/>
        <v>0</v>
      </c>
      <c r="P1599" s="400">
        <f t="shared" ca="1" si="1373"/>
        <v>0</v>
      </c>
      <c r="Q1599" s="400">
        <f t="shared" ca="1" si="1373"/>
        <v>0</v>
      </c>
      <c r="R1599" s="400">
        <f t="shared" ca="1" si="1373"/>
        <v>0</v>
      </c>
      <c r="S1599" s="400">
        <f t="shared" ca="1" si="1373"/>
        <v>0</v>
      </c>
      <c r="T1599" s="400">
        <f t="shared" ca="1" si="1373"/>
        <v>0</v>
      </c>
      <c r="U1599" s="400">
        <f t="shared" ca="1" si="1373"/>
        <v>0</v>
      </c>
      <c r="V1599" s="400">
        <f t="shared" ca="1" si="1373"/>
        <v>0</v>
      </c>
      <c r="W1599" s="400">
        <f t="shared" ca="1" si="1373"/>
        <v>0</v>
      </c>
      <c r="X1599" s="400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414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21">
        <f ca="1">12-$E1601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415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idden="1">
      <c r="A1604" s="326"/>
      <c r="B1604" s="21" t="s">
        <v>416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idden="1">
      <c r="A1605" s="326"/>
      <c r="B1605" s="21" t="s">
        <v>406</v>
      </c>
      <c r="C1605" s="21"/>
      <c r="D1605" s="22"/>
      <c r="E1605" s="21"/>
      <c r="F1605" s="21"/>
      <c r="G1605" s="21"/>
      <c r="H1605" s="21"/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427</v>
      </c>
      <c r="K1606" s="400">
        <f t="shared" ref="K1606:X1606" ca="1" si="1376">IF(AND(OFFSET($F$269,$D1600,0)="tak",OFFSET($G$269,$D1600,0)="tak",OFFSET($J$269,$D1600,0)="ok",LataProjekcji&lt;=Koniec_Projekt),ROUND(K1603*OFFSET($K$469,$H1606,(COLUMN()-11)),0),0)</f>
        <v>0</v>
      </c>
      <c r="L1606" s="400">
        <f t="shared" ca="1" si="1376"/>
        <v>0</v>
      </c>
      <c r="M1606" s="400">
        <f t="shared" ca="1" si="1376"/>
        <v>0</v>
      </c>
      <c r="N1606" s="400">
        <f t="shared" ca="1" si="1376"/>
        <v>0</v>
      </c>
      <c r="O1606" s="400">
        <f t="shared" ca="1" si="1376"/>
        <v>0</v>
      </c>
      <c r="P1606" s="400">
        <f t="shared" ca="1" si="1376"/>
        <v>0</v>
      </c>
      <c r="Q1606" s="400">
        <f t="shared" ca="1" si="1376"/>
        <v>0</v>
      </c>
      <c r="R1606" s="400">
        <f t="shared" ca="1" si="1376"/>
        <v>0</v>
      </c>
      <c r="S1606" s="400">
        <f t="shared" ca="1" si="1376"/>
        <v>0</v>
      </c>
      <c r="T1606" s="400">
        <f t="shared" ca="1" si="1376"/>
        <v>0</v>
      </c>
      <c r="U1606" s="400">
        <f t="shared" ca="1" si="1376"/>
        <v>0</v>
      </c>
      <c r="V1606" s="400">
        <f t="shared" ca="1" si="1376"/>
        <v>0</v>
      </c>
      <c r="W1606" s="400">
        <f t="shared" ca="1" si="1376"/>
        <v>0</v>
      </c>
      <c r="X1606" s="400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414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21">
        <f ca="1">12-$E1608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415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idden="1">
      <c r="A1611" s="326"/>
      <c r="B1611" s="21" t="s">
        <v>416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idden="1">
      <c r="A1612" s="326"/>
      <c r="B1612" s="21" t="s">
        <v>406</v>
      </c>
      <c r="C1612" s="21"/>
      <c r="D1612" s="22"/>
      <c r="E1612" s="21"/>
      <c r="F1612" s="21"/>
      <c r="G1612" s="21"/>
      <c r="H1612" s="21"/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427</v>
      </c>
      <c r="K1613" s="400">
        <f t="shared" ref="K1613:X1613" ca="1" si="1379">IF(AND(OFFSET($F$269,$D1607,0)="tak",OFFSET($G$269,$D1607,0)="tak",OFFSET($J$269,$D1607,0)="ok",LataProjekcji&lt;=Koniec_Projekt),ROUND(K1610*OFFSET($K$469,$H1613,(COLUMN()-11)),0),0)</f>
        <v>0</v>
      </c>
      <c r="L1613" s="400">
        <f t="shared" ca="1" si="1379"/>
        <v>0</v>
      </c>
      <c r="M1613" s="400">
        <f t="shared" ca="1" si="1379"/>
        <v>0</v>
      </c>
      <c r="N1613" s="400">
        <f t="shared" ca="1" si="1379"/>
        <v>0</v>
      </c>
      <c r="O1613" s="400">
        <f t="shared" ca="1" si="1379"/>
        <v>0</v>
      </c>
      <c r="P1613" s="400">
        <f t="shared" ca="1" si="1379"/>
        <v>0</v>
      </c>
      <c r="Q1613" s="400">
        <f t="shared" ca="1" si="1379"/>
        <v>0</v>
      </c>
      <c r="R1613" s="400">
        <f t="shared" ca="1" si="1379"/>
        <v>0</v>
      </c>
      <c r="S1613" s="400">
        <f t="shared" ca="1" si="1379"/>
        <v>0</v>
      </c>
      <c r="T1613" s="400">
        <f t="shared" ca="1" si="1379"/>
        <v>0</v>
      </c>
      <c r="U1613" s="400">
        <f t="shared" ca="1" si="1379"/>
        <v>0</v>
      </c>
      <c r="V1613" s="400">
        <f t="shared" ca="1" si="1379"/>
        <v>0</v>
      </c>
      <c r="W1613" s="400">
        <f t="shared" ca="1" si="1379"/>
        <v>0</v>
      </c>
      <c r="X1613" s="400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414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21">
        <f ca="1">12-$E1615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415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idden="1">
      <c r="A1618" s="326"/>
      <c r="B1618" s="21" t="s">
        <v>416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idden="1">
      <c r="A1619" s="326"/>
      <c r="B1619" s="21" t="s">
        <v>406</v>
      </c>
      <c r="C1619" s="21"/>
      <c r="D1619" s="22"/>
      <c r="E1619" s="21"/>
      <c r="F1619" s="21"/>
      <c r="G1619" s="21"/>
      <c r="H1619" s="21"/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427</v>
      </c>
      <c r="K1620" s="400">
        <f t="shared" ref="K1620:X1620" ca="1" si="1382">IF(AND(OFFSET($F$269,$D1614,0)="tak",OFFSET($G$269,$D1614,0)="tak",OFFSET($J$269,$D1614,0)="ok",LataProjekcji&lt;=Koniec_Projekt),ROUND(K1617*OFFSET($K$469,$H1620,(COLUMN()-11)),0),0)</f>
        <v>0</v>
      </c>
      <c r="L1620" s="400">
        <f t="shared" ca="1" si="1382"/>
        <v>0</v>
      </c>
      <c r="M1620" s="400">
        <f t="shared" ca="1" si="1382"/>
        <v>0</v>
      </c>
      <c r="N1620" s="400">
        <f t="shared" ca="1" si="1382"/>
        <v>0</v>
      </c>
      <c r="O1620" s="400">
        <f t="shared" ca="1" si="1382"/>
        <v>0</v>
      </c>
      <c r="P1620" s="400">
        <f t="shared" ca="1" si="1382"/>
        <v>0</v>
      </c>
      <c r="Q1620" s="400">
        <f t="shared" ca="1" si="1382"/>
        <v>0</v>
      </c>
      <c r="R1620" s="400">
        <f t="shared" ca="1" si="1382"/>
        <v>0</v>
      </c>
      <c r="S1620" s="400">
        <f t="shared" ca="1" si="1382"/>
        <v>0</v>
      </c>
      <c r="T1620" s="400">
        <f t="shared" ca="1" si="1382"/>
        <v>0</v>
      </c>
      <c r="U1620" s="400">
        <f t="shared" ca="1" si="1382"/>
        <v>0</v>
      </c>
      <c r="V1620" s="400">
        <f t="shared" ca="1" si="1382"/>
        <v>0</v>
      </c>
      <c r="W1620" s="400">
        <f t="shared" ca="1" si="1382"/>
        <v>0</v>
      </c>
      <c r="X1620" s="400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414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21">
        <f ca="1">12-$E1622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415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idden="1">
      <c r="A1625" s="326"/>
      <c r="B1625" s="21" t="s">
        <v>416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idden="1">
      <c r="A1626" s="326"/>
      <c r="B1626" s="21" t="s">
        <v>406</v>
      </c>
      <c r="C1626" s="21"/>
      <c r="D1626" s="22"/>
      <c r="E1626" s="21"/>
      <c r="F1626" s="21"/>
      <c r="G1626" s="21"/>
      <c r="H1626" s="21"/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427</v>
      </c>
      <c r="K1627" s="400">
        <f t="shared" ref="K1627:X1627" ca="1" si="1385">IF(AND(OFFSET($F$269,$D1621,0)="tak",OFFSET($G$269,$D1621,0)="tak",OFFSET($J$269,$D1621,0)="ok",LataProjekcji&lt;=Koniec_Projekt),ROUND(K1624*OFFSET($K$469,$H1627,(COLUMN()-11)),0),0)</f>
        <v>0</v>
      </c>
      <c r="L1627" s="400">
        <f t="shared" ca="1" si="1385"/>
        <v>0</v>
      </c>
      <c r="M1627" s="400">
        <f t="shared" ca="1" si="1385"/>
        <v>0</v>
      </c>
      <c r="N1627" s="400">
        <f t="shared" ca="1" si="1385"/>
        <v>0</v>
      </c>
      <c r="O1627" s="400">
        <f t="shared" ca="1" si="1385"/>
        <v>0</v>
      </c>
      <c r="P1627" s="400">
        <f t="shared" ca="1" si="1385"/>
        <v>0</v>
      </c>
      <c r="Q1627" s="400">
        <f t="shared" ca="1" si="1385"/>
        <v>0</v>
      </c>
      <c r="R1627" s="400">
        <f t="shared" ca="1" si="1385"/>
        <v>0</v>
      </c>
      <c r="S1627" s="400">
        <f t="shared" ca="1" si="1385"/>
        <v>0</v>
      </c>
      <c r="T1627" s="400">
        <f t="shared" ca="1" si="1385"/>
        <v>0</v>
      </c>
      <c r="U1627" s="400">
        <f t="shared" ca="1" si="1385"/>
        <v>0</v>
      </c>
      <c r="V1627" s="400">
        <f t="shared" ca="1" si="1385"/>
        <v>0</v>
      </c>
      <c r="W1627" s="400">
        <f t="shared" ca="1" si="1385"/>
        <v>0</v>
      </c>
      <c r="X1627" s="400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414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21">
        <f ca="1">12-$E1629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415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idden="1">
      <c r="A1632" s="326"/>
      <c r="B1632" s="21" t="s">
        <v>416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idden="1">
      <c r="A1633" s="326"/>
      <c r="B1633" s="21" t="s">
        <v>406</v>
      </c>
      <c r="C1633" s="21"/>
      <c r="D1633" s="22"/>
      <c r="E1633" s="21"/>
      <c r="F1633" s="21"/>
      <c r="G1633" s="21"/>
      <c r="H1633" s="21"/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427</v>
      </c>
      <c r="K1634" s="400">
        <f t="shared" ref="K1634:X1634" ca="1" si="1388">IF(AND(OFFSET($F$269,$D1628,0)="tak",OFFSET($G$269,$D1628,0)="tak",OFFSET($J$269,$D1628,0)="ok",LataProjekcji&lt;=Koniec_Projekt),ROUND(K1631*OFFSET($K$469,$H1634,(COLUMN()-11)),0),0)</f>
        <v>0</v>
      </c>
      <c r="L1634" s="400">
        <f t="shared" ca="1" si="1388"/>
        <v>0</v>
      </c>
      <c r="M1634" s="400">
        <f t="shared" ca="1" si="1388"/>
        <v>0</v>
      </c>
      <c r="N1634" s="400">
        <f t="shared" ca="1" si="1388"/>
        <v>0</v>
      </c>
      <c r="O1634" s="400">
        <f t="shared" ca="1" si="1388"/>
        <v>0</v>
      </c>
      <c r="P1634" s="400">
        <f t="shared" ca="1" si="1388"/>
        <v>0</v>
      </c>
      <c r="Q1634" s="400">
        <f t="shared" ca="1" si="1388"/>
        <v>0</v>
      </c>
      <c r="R1634" s="400">
        <f t="shared" ca="1" si="1388"/>
        <v>0</v>
      </c>
      <c r="S1634" s="400">
        <f t="shared" ca="1" si="1388"/>
        <v>0</v>
      </c>
      <c r="T1634" s="400">
        <f t="shared" ca="1" si="1388"/>
        <v>0</v>
      </c>
      <c r="U1634" s="400">
        <f t="shared" ca="1" si="1388"/>
        <v>0</v>
      </c>
      <c r="V1634" s="400">
        <f t="shared" ca="1" si="1388"/>
        <v>0</v>
      </c>
      <c r="W1634" s="400">
        <f t="shared" ca="1" si="1388"/>
        <v>0</v>
      </c>
      <c r="X1634" s="400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414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21">
        <f ca="1">12-$E1636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415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idden="1">
      <c r="A1639" s="326"/>
      <c r="B1639" s="21" t="s">
        <v>416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idden="1">
      <c r="A1640" s="326"/>
      <c r="B1640" s="21" t="s">
        <v>406</v>
      </c>
      <c r="C1640" s="21"/>
      <c r="D1640" s="22"/>
      <c r="E1640" s="21"/>
      <c r="F1640" s="21"/>
      <c r="G1640" s="21"/>
      <c r="H1640" s="21"/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427</v>
      </c>
      <c r="K1641" s="400">
        <f t="shared" ref="K1641:X1641" ca="1" si="1391">IF(AND(OFFSET($F$269,$D1635,0)="tak",OFFSET($G$269,$D1635,0)="tak",OFFSET($J$269,$D1635,0)="ok",LataProjekcji&lt;=Koniec_Projekt),ROUND(K1638*OFFSET($K$469,$H1641,(COLUMN()-11)),0),0)</f>
        <v>0</v>
      </c>
      <c r="L1641" s="400">
        <f t="shared" ca="1" si="1391"/>
        <v>0</v>
      </c>
      <c r="M1641" s="400">
        <f t="shared" ca="1" si="1391"/>
        <v>0</v>
      </c>
      <c r="N1641" s="400">
        <f t="shared" ca="1" si="1391"/>
        <v>0</v>
      </c>
      <c r="O1641" s="400">
        <f t="shared" ca="1" si="1391"/>
        <v>0</v>
      </c>
      <c r="P1641" s="400">
        <f t="shared" ca="1" si="1391"/>
        <v>0</v>
      </c>
      <c r="Q1641" s="400">
        <f t="shared" ca="1" si="1391"/>
        <v>0</v>
      </c>
      <c r="R1641" s="400">
        <f t="shared" ca="1" si="1391"/>
        <v>0</v>
      </c>
      <c r="S1641" s="400">
        <f t="shared" ca="1" si="1391"/>
        <v>0</v>
      </c>
      <c r="T1641" s="400">
        <f t="shared" ca="1" si="1391"/>
        <v>0</v>
      </c>
      <c r="U1641" s="400">
        <f t="shared" ca="1" si="1391"/>
        <v>0</v>
      </c>
      <c r="V1641" s="400">
        <f t="shared" ca="1" si="1391"/>
        <v>0</v>
      </c>
      <c r="W1641" s="400">
        <f t="shared" ca="1" si="1391"/>
        <v>0</v>
      </c>
      <c r="X1641" s="400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414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21">
        <f ca="1">12-$E1643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415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idden="1">
      <c r="A1646" s="326"/>
      <c r="B1646" s="21" t="s">
        <v>416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idden="1">
      <c r="A1647" s="326"/>
      <c r="B1647" s="21" t="s">
        <v>406</v>
      </c>
      <c r="C1647" s="21"/>
      <c r="D1647" s="22"/>
      <c r="E1647" s="21"/>
      <c r="F1647" s="21"/>
      <c r="G1647" s="21"/>
      <c r="H1647" s="21"/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427</v>
      </c>
      <c r="K1648" s="400">
        <f t="shared" ref="K1648:X1648" ca="1" si="1394">IF(AND(OFFSET($F$269,$D1642,0)="tak",OFFSET($G$269,$D1642,0)="tak",OFFSET($J$269,$D1642,0)="ok",LataProjekcji&lt;=Koniec_Projekt),ROUND(K1645*OFFSET($K$469,$H1648,(COLUMN()-11)),0),0)</f>
        <v>0</v>
      </c>
      <c r="L1648" s="400">
        <f t="shared" ca="1" si="1394"/>
        <v>0</v>
      </c>
      <c r="M1648" s="400">
        <f t="shared" ca="1" si="1394"/>
        <v>0</v>
      </c>
      <c r="N1648" s="400">
        <f t="shared" ca="1" si="1394"/>
        <v>0</v>
      </c>
      <c r="O1648" s="400">
        <f t="shared" ca="1" si="1394"/>
        <v>0</v>
      </c>
      <c r="P1648" s="400">
        <f t="shared" ca="1" si="1394"/>
        <v>0</v>
      </c>
      <c r="Q1648" s="400">
        <f t="shared" ca="1" si="1394"/>
        <v>0</v>
      </c>
      <c r="R1648" s="400">
        <f t="shared" ca="1" si="1394"/>
        <v>0</v>
      </c>
      <c r="S1648" s="400">
        <f t="shared" ca="1" si="1394"/>
        <v>0</v>
      </c>
      <c r="T1648" s="400">
        <f t="shared" ca="1" si="1394"/>
        <v>0</v>
      </c>
      <c r="U1648" s="400">
        <f t="shared" ca="1" si="1394"/>
        <v>0</v>
      </c>
      <c r="V1648" s="400">
        <f t="shared" ca="1" si="1394"/>
        <v>0</v>
      </c>
      <c r="W1648" s="400">
        <f t="shared" ca="1" si="1394"/>
        <v>0</v>
      </c>
      <c r="X1648" s="400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414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21">
        <f ca="1">12-$E1650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415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idden="1">
      <c r="A1653" s="326"/>
      <c r="B1653" s="21" t="s">
        <v>416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idden="1">
      <c r="A1654" s="326"/>
      <c r="B1654" s="21" t="s">
        <v>406</v>
      </c>
      <c r="C1654" s="21"/>
      <c r="D1654" s="22"/>
      <c r="E1654" s="21"/>
      <c r="F1654" s="21"/>
      <c r="G1654" s="21"/>
      <c r="H1654" s="21"/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427</v>
      </c>
      <c r="K1655" s="400">
        <f t="shared" ref="K1655:X1655" ca="1" si="1397">IF(AND(OFFSET($F$269,$D1649,0)="tak",OFFSET($G$269,$D1649,0)="tak",OFFSET($J$269,$D1649,0)="ok",LataProjekcji&lt;=Koniec_Projekt),ROUND(K1652*OFFSET($K$469,$H1655,(COLUMN()-11)),0),0)</f>
        <v>0</v>
      </c>
      <c r="L1655" s="400">
        <f t="shared" ca="1" si="1397"/>
        <v>0</v>
      </c>
      <c r="M1655" s="400">
        <f t="shared" ca="1" si="1397"/>
        <v>0</v>
      </c>
      <c r="N1655" s="400">
        <f t="shared" ca="1" si="1397"/>
        <v>0</v>
      </c>
      <c r="O1655" s="400">
        <f t="shared" ca="1" si="1397"/>
        <v>0</v>
      </c>
      <c r="P1655" s="400">
        <f t="shared" ca="1" si="1397"/>
        <v>0</v>
      </c>
      <c r="Q1655" s="400">
        <f t="shared" ca="1" si="1397"/>
        <v>0</v>
      </c>
      <c r="R1655" s="400">
        <f t="shared" ca="1" si="1397"/>
        <v>0</v>
      </c>
      <c r="S1655" s="400">
        <f t="shared" ca="1" si="1397"/>
        <v>0</v>
      </c>
      <c r="T1655" s="400">
        <f t="shared" ca="1" si="1397"/>
        <v>0</v>
      </c>
      <c r="U1655" s="400">
        <f t="shared" ca="1" si="1397"/>
        <v>0</v>
      </c>
      <c r="V1655" s="400">
        <f t="shared" ca="1" si="1397"/>
        <v>0</v>
      </c>
      <c r="W1655" s="400">
        <f t="shared" ca="1" si="1397"/>
        <v>0</v>
      </c>
      <c r="X1655" s="400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414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21">
        <f ca="1">12-$E1657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415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idden="1">
      <c r="A1660" s="326"/>
      <c r="B1660" s="21" t="s">
        <v>416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idden="1">
      <c r="A1661" s="326"/>
      <c r="B1661" s="21" t="s">
        <v>406</v>
      </c>
      <c r="C1661" s="21"/>
      <c r="D1661" s="22"/>
      <c r="E1661" s="21"/>
      <c r="F1661" s="21"/>
      <c r="G1661" s="21"/>
      <c r="H1661" s="21"/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427</v>
      </c>
      <c r="K1662" s="400">
        <f t="shared" ref="K1662:X1662" ca="1" si="1400">IF(AND(OFFSET($F$269,$D1656,0)="tak",OFFSET($G$269,$D1656,0)="tak",OFFSET($J$269,$D1656,0)="ok",LataProjekcji&lt;=Koniec_Projekt),ROUND(K1659*OFFSET($K$469,$H1662,(COLUMN()-11)),0),0)</f>
        <v>0</v>
      </c>
      <c r="L1662" s="400">
        <f t="shared" ca="1" si="1400"/>
        <v>0</v>
      </c>
      <c r="M1662" s="400">
        <f t="shared" ca="1" si="1400"/>
        <v>0</v>
      </c>
      <c r="N1662" s="400">
        <f t="shared" ca="1" si="1400"/>
        <v>0</v>
      </c>
      <c r="O1662" s="400">
        <f t="shared" ca="1" si="1400"/>
        <v>0</v>
      </c>
      <c r="P1662" s="400">
        <f t="shared" ca="1" si="1400"/>
        <v>0</v>
      </c>
      <c r="Q1662" s="400">
        <f t="shared" ca="1" si="1400"/>
        <v>0</v>
      </c>
      <c r="R1662" s="400">
        <f t="shared" ca="1" si="1400"/>
        <v>0</v>
      </c>
      <c r="S1662" s="400">
        <f t="shared" ca="1" si="1400"/>
        <v>0</v>
      </c>
      <c r="T1662" s="400">
        <f t="shared" ca="1" si="1400"/>
        <v>0</v>
      </c>
      <c r="U1662" s="400">
        <f t="shared" ca="1" si="1400"/>
        <v>0</v>
      </c>
      <c r="V1662" s="400">
        <f t="shared" ca="1" si="1400"/>
        <v>0</v>
      </c>
      <c r="W1662" s="400">
        <f t="shared" ca="1" si="1400"/>
        <v>0</v>
      </c>
      <c r="X1662" s="400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414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21">
        <f ca="1">12-$E1664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415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idden="1">
      <c r="A1667" s="326"/>
      <c r="B1667" s="21" t="s">
        <v>416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idden="1">
      <c r="A1668" s="326"/>
      <c r="B1668" s="21" t="s">
        <v>406</v>
      </c>
      <c r="C1668" s="21"/>
      <c r="D1668" s="22"/>
      <c r="E1668" s="21"/>
      <c r="F1668" s="21"/>
      <c r="G1668" s="21"/>
      <c r="H1668" s="21"/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427</v>
      </c>
      <c r="K1669" s="400">
        <f t="shared" ref="K1669:X1669" ca="1" si="1403">IF(AND(OFFSET($F$269,$D1663,0)="tak",OFFSET($G$269,$D1663,0)="tak",OFFSET($J$269,$D1663,0)="ok",LataProjekcji&lt;=Koniec_Projekt),ROUND(K1666*OFFSET($K$469,$H1669,(COLUMN()-11)),0),0)</f>
        <v>0</v>
      </c>
      <c r="L1669" s="400">
        <f t="shared" ca="1" si="1403"/>
        <v>0</v>
      </c>
      <c r="M1669" s="400">
        <f t="shared" ca="1" si="1403"/>
        <v>0</v>
      </c>
      <c r="N1669" s="400">
        <f t="shared" ca="1" si="1403"/>
        <v>0</v>
      </c>
      <c r="O1669" s="400">
        <f t="shared" ca="1" si="1403"/>
        <v>0</v>
      </c>
      <c r="P1669" s="400">
        <f t="shared" ca="1" si="1403"/>
        <v>0</v>
      </c>
      <c r="Q1669" s="400">
        <f t="shared" ca="1" si="1403"/>
        <v>0</v>
      </c>
      <c r="R1669" s="400">
        <f t="shared" ca="1" si="1403"/>
        <v>0</v>
      </c>
      <c r="S1669" s="400">
        <f t="shared" ca="1" si="1403"/>
        <v>0</v>
      </c>
      <c r="T1669" s="400">
        <f t="shared" ca="1" si="1403"/>
        <v>0</v>
      </c>
      <c r="U1669" s="400">
        <f t="shared" ca="1" si="1403"/>
        <v>0</v>
      </c>
      <c r="V1669" s="400">
        <f t="shared" ca="1" si="1403"/>
        <v>0</v>
      </c>
      <c r="W1669" s="400">
        <f t="shared" ca="1" si="1403"/>
        <v>0</v>
      </c>
      <c r="X1669" s="400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414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21">
        <f ca="1">12-$E1671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415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idden="1">
      <c r="A1674" s="326"/>
      <c r="B1674" s="21" t="s">
        <v>416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idden="1">
      <c r="A1675" s="326"/>
      <c r="B1675" s="21" t="s">
        <v>406</v>
      </c>
      <c r="C1675" s="21"/>
      <c r="D1675" s="22"/>
      <c r="E1675" s="21"/>
      <c r="F1675" s="21"/>
      <c r="G1675" s="21"/>
      <c r="H1675" s="21"/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427</v>
      </c>
      <c r="K1676" s="400">
        <f t="shared" ref="K1676:X1676" ca="1" si="1406">IF(AND(OFFSET($F$269,$D1670,0)="tak",OFFSET($G$269,$D1670,0)="tak",OFFSET($J$269,$D1670,0)="ok",LataProjekcji&lt;=Koniec_Projekt),ROUND(K1673*OFFSET($K$469,$H1676,(COLUMN()-11)),0),0)</f>
        <v>0</v>
      </c>
      <c r="L1676" s="400">
        <f t="shared" ca="1" si="1406"/>
        <v>0</v>
      </c>
      <c r="M1676" s="400">
        <f t="shared" ca="1" si="1406"/>
        <v>0</v>
      </c>
      <c r="N1676" s="400">
        <f t="shared" ca="1" si="1406"/>
        <v>0</v>
      </c>
      <c r="O1676" s="400">
        <f t="shared" ca="1" si="1406"/>
        <v>0</v>
      </c>
      <c r="P1676" s="400">
        <f t="shared" ca="1" si="1406"/>
        <v>0</v>
      </c>
      <c r="Q1676" s="400">
        <f t="shared" ca="1" si="1406"/>
        <v>0</v>
      </c>
      <c r="R1676" s="400">
        <f t="shared" ca="1" si="1406"/>
        <v>0</v>
      </c>
      <c r="S1676" s="400">
        <f t="shared" ca="1" si="1406"/>
        <v>0</v>
      </c>
      <c r="T1676" s="400">
        <f t="shared" ca="1" si="1406"/>
        <v>0</v>
      </c>
      <c r="U1676" s="400">
        <f t="shared" ca="1" si="1406"/>
        <v>0</v>
      </c>
      <c r="V1676" s="400">
        <f t="shared" ca="1" si="1406"/>
        <v>0</v>
      </c>
      <c r="W1676" s="400">
        <f t="shared" ca="1" si="1406"/>
        <v>0</v>
      </c>
      <c r="X1676" s="400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414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21">
        <f ca="1">12-$E1678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415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idden="1">
      <c r="A1681" s="326"/>
      <c r="B1681" s="21" t="s">
        <v>416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idden="1">
      <c r="A1682" s="326"/>
      <c r="B1682" s="21" t="s">
        <v>406</v>
      </c>
      <c r="C1682" s="21"/>
      <c r="D1682" s="22"/>
      <c r="E1682" s="21"/>
      <c r="F1682" s="21"/>
      <c r="G1682" s="21"/>
      <c r="H1682" s="21"/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427</v>
      </c>
      <c r="K1683" s="400">
        <f t="shared" ref="K1683:X1683" ca="1" si="1409">IF(AND(OFFSET($F$269,$D1677,0)="tak",OFFSET($G$269,$D1677,0)="tak",OFFSET($J$269,$D1677,0)="ok",LataProjekcji&lt;=Koniec_Projekt),ROUND(K1680*OFFSET($K$469,$H1683,(COLUMN()-11)),0),0)</f>
        <v>0</v>
      </c>
      <c r="L1683" s="400">
        <f t="shared" ca="1" si="1409"/>
        <v>0</v>
      </c>
      <c r="M1683" s="400">
        <f t="shared" ca="1" si="1409"/>
        <v>0</v>
      </c>
      <c r="N1683" s="400">
        <f t="shared" ca="1" si="1409"/>
        <v>0</v>
      </c>
      <c r="O1683" s="400">
        <f t="shared" ca="1" si="1409"/>
        <v>0</v>
      </c>
      <c r="P1683" s="400">
        <f t="shared" ca="1" si="1409"/>
        <v>0</v>
      </c>
      <c r="Q1683" s="400">
        <f t="shared" ca="1" si="1409"/>
        <v>0</v>
      </c>
      <c r="R1683" s="400">
        <f t="shared" ca="1" si="1409"/>
        <v>0</v>
      </c>
      <c r="S1683" s="400">
        <f t="shared" ca="1" si="1409"/>
        <v>0</v>
      </c>
      <c r="T1683" s="400">
        <f t="shared" ca="1" si="1409"/>
        <v>0</v>
      </c>
      <c r="U1683" s="400">
        <f t="shared" ca="1" si="1409"/>
        <v>0</v>
      </c>
      <c r="V1683" s="400">
        <f t="shared" ca="1" si="1409"/>
        <v>0</v>
      </c>
      <c r="W1683" s="400">
        <f t="shared" ca="1" si="1409"/>
        <v>0</v>
      </c>
      <c r="X1683" s="400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414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21">
        <f ca="1">12-$E1685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415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idden="1">
      <c r="A1688" s="326"/>
      <c r="B1688" s="21" t="s">
        <v>416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idden="1">
      <c r="A1689" s="326"/>
      <c r="B1689" s="21" t="s">
        <v>406</v>
      </c>
      <c r="C1689" s="21"/>
      <c r="D1689" s="22"/>
      <c r="E1689" s="21"/>
      <c r="F1689" s="21"/>
      <c r="G1689" s="21"/>
      <c r="H1689" s="21"/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427</v>
      </c>
      <c r="K1690" s="400">
        <f t="shared" ref="K1690:X1690" ca="1" si="1412">IF(AND(OFFSET($F$269,$D1684,0)="tak",OFFSET($G$269,$D1684,0)="tak",OFFSET($J$269,$D1684,0)="ok",LataProjekcji&lt;=Koniec_Projekt),ROUND(K1687*OFFSET($K$469,$H1690,(COLUMN()-11)),0),0)</f>
        <v>0</v>
      </c>
      <c r="L1690" s="400">
        <f t="shared" ca="1" si="1412"/>
        <v>0</v>
      </c>
      <c r="M1690" s="400">
        <f t="shared" ca="1" si="1412"/>
        <v>0</v>
      </c>
      <c r="N1690" s="400">
        <f t="shared" ca="1" si="1412"/>
        <v>0</v>
      </c>
      <c r="O1690" s="400">
        <f t="shared" ca="1" si="1412"/>
        <v>0</v>
      </c>
      <c r="P1690" s="400">
        <f t="shared" ca="1" si="1412"/>
        <v>0</v>
      </c>
      <c r="Q1690" s="400">
        <f t="shared" ca="1" si="1412"/>
        <v>0</v>
      </c>
      <c r="R1690" s="400">
        <f t="shared" ca="1" si="1412"/>
        <v>0</v>
      </c>
      <c r="S1690" s="400">
        <f t="shared" ca="1" si="1412"/>
        <v>0</v>
      </c>
      <c r="T1690" s="400">
        <f t="shared" ca="1" si="1412"/>
        <v>0</v>
      </c>
      <c r="U1690" s="400">
        <f t="shared" ca="1" si="1412"/>
        <v>0</v>
      </c>
      <c r="V1690" s="400">
        <f t="shared" ca="1" si="1412"/>
        <v>0</v>
      </c>
      <c r="W1690" s="400">
        <f t="shared" ca="1" si="1412"/>
        <v>0</v>
      </c>
      <c r="X1690" s="400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414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21">
        <f ca="1">12-$E1692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415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idden="1">
      <c r="A1695" s="326"/>
      <c r="B1695" s="21" t="s">
        <v>416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idden="1">
      <c r="A1696" s="326"/>
      <c r="B1696" s="21" t="s">
        <v>406</v>
      </c>
      <c r="C1696" s="21"/>
      <c r="D1696" s="22"/>
      <c r="E1696" s="21"/>
      <c r="F1696" s="21"/>
      <c r="G1696" s="21"/>
      <c r="H1696" s="21"/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427</v>
      </c>
      <c r="K1697" s="400">
        <f t="shared" ref="K1697:X1697" ca="1" si="1415">IF(AND(OFFSET($F$269,$D1691,0)="tak",OFFSET($G$269,$D1691,0)="tak",OFFSET($J$269,$D1691,0)="ok",LataProjekcji&lt;=Koniec_Projekt),ROUND(K1694*OFFSET($K$469,$H1697,(COLUMN()-11)),0),0)</f>
        <v>0</v>
      </c>
      <c r="L1697" s="400">
        <f t="shared" ca="1" si="1415"/>
        <v>0</v>
      </c>
      <c r="M1697" s="400">
        <f t="shared" ca="1" si="1415"/>
        <v>0</v>
      </c>
      <c r="N1697" s="400">
        <f t="shared" ca="1" si="1415"/>
        <v>0</v>
      </c>
      <c r="O1697" s="400">
        <f t="shared" ca="1" si="1415"/>
        <v>0</v>
      </c>
      <c r="P1697" s="400">
        <f t="shared" ca="1" si="1415"/>
        <v>0</v>
      </c>
      <c r="Q1697" s="400">
        <f t="shared" ca="1" si="1415"/>
        <v>0</v>
      </c>
      <c r="R1697" s="400">
        <f t="shared" ca="1" si="1415"/>
        <v>0</v>
      </c>
      <c r="S1697" s="400">
        <f t="shared" ca="1" si="1415"/>
        <v>0</v>
      </c>
      <c r="T1697" s="400">
        <f t="shared" ca="1" si="1415"/>
        <v>0</v>
      </c>
      <c r="U1697" s="400">
        <f t="shared" ca="1" si="1415"/>
        <v>0</v>
      </c>
      <c r="V1697" s="400">
        <f t="shared" ca="1" si="1415"/>
        <v>0</v>
      </c>
      <c r="W1697" s="400">
        <f t="shared" ca="1" si="1415"/>
        <v>0</v>
      </c>
      <c r="X1697" s="400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414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21">
        <f ca="1">12-$E1699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415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idden="1">
      <c r="A1702" s="326"/>
      <c r="B1702" s="21" t="s">
        <v>416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idden="1">
      <c r="A1703" s="326"/>
      <c r="B1703" s="21" t="s">
        <v>406</v>
      </c>
      <c r="C1703" s="21"/>
      <c r="D1703" s="22"/>
      <c r="E1703" s="21"/>
      <c r="F1703" s="21"/>
      <c r="G1703" s="21"/>
      <c r="H1703" s="21"/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427</v>
      </c>
      <c r="K1704" s="400">
        <f t="shared" ref="K1704:X1704" ca="1" si="1418">IF(AND(OFFSET($F$269,$D1698,0)="tak",OFFSET($G$269,$D1698,0)="tak",OFFSET($J$269,$D1698,0)="ok",LataProjekcji&lt;=Koniec_Projekt),ROUND(K1701*OFFSET($K$469,$H1704,(COLUMN()-11)),0),0)</f>
        <v>0</v>
      </c>
      <c r="L1704" s="400">
        <f t="shared" ca="1" si="1418"/>
        <v>0</v>
      </c>
      <c r="M1704" s="400">
        <f t="shared" ca="1" si="1418"/>
        <v>0</v>
      </c>
      <c r="N1704" s="400">
        <f t="shared" ca="1" si="1418"/>
        <v>0</v>
      </c>
      <c r="O1704" s="400">
        <f t="shared" ca="1" si="1418"/>
        <v>0</v>
      </c>
      <c r="P1704" s="400">
        <f t="shared" ca="1" si="1418"/>
        <v>0</v>
      </c>
      <c r="Q1704" s="400">
        <f t="shared" ca="1" si="1418"/>
        <v>0</v>
      </c>
      <c r="R1704" s="400">
        <f t="shared" ca="1" si="1418"/>
        <v>0</v>
      </c>
      <c r="S1704" s="400">
        <f t="shared" ca="1" si="1418"/>
        <v>0</v>
      </c>
      <c r="T1704" s="400">
        <f t="shared" ca="1" si="1418"/>
        <v>0</v>
      </c>
      <c r="U1704" s="400">
        <f t="shared" ca="1" si="1418"/>
        <v>0</v>
      </c>
      <c r="V1704" s="400">
        <f t="shared" ca="1" si="1418"/>
        <v>0</v>
      </c>
      <c r="W1704" s="400">
        <f t="shared" ca="1" si="1418"/>
        <v>0</v>
      </c>
      <c r="X1704" s="400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414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21">
        <f ca="1">12-$E1706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415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idden="1">
      <c r="A1709" s="326"/>
      <c r="B1709" s="21" t="s">
        <v>416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idden="1">
      <c r="A1710" s="326"/>
      <c r="B1710" s="21" t="s">
        <v>406</v>
      </c>
      <c r="C1710" s="21"/>
      <c r="D1710" s="22"/>
      <c r="E1710" s="21"/>
      <c r="F1710" s="21"/>
      <c r="G1710" s="21"/>
      <c r="H1710" s="21"/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427</v>
      </c>
      <c r="K1711" s="400">
        <f t="shared" ref="K1711:X1711" ca="1" si="1421">IF(AND(OFFSET($F$269,$D1705,0)="tak",OFFSET($G$269,$D1705,0)="tak",OFFSET($J$269,$D1705,0)="ok",LataProjekcji&lt;=Koniec_Projekt),ROUND(K1708*OFFSET($K$469,$H1711,(COLUMN()-11)),0),0)</f>
        <v>0</v>
      </c>
      <c r="L1711" s="400">
        <f t="shared" ca="1" si="1421"/>
        <v>0</v>
      </c>
      <c r="M1711" s="400">
        <f t="shared" ca="1" si="1421"/>
        <v>0</v>
      </c>
      <c r="N1711" s="400">
        <f t="shared" ca="1" si="1421"/>
        <v>0</v>
      </c>
      <c r="O1711" s="400">
        <f t="shared" ca="1" si="1421"/>
        <v>0</v>
      </c>
      <c r="P1711" s="400">
        <f t="shared" ca="1" si="1421"/>
        <v>0</v>
      </c>
      <c r="Q1711" s="400">
        <f t="shared" ca="1" si="1421"/>
        <v>0</v>
      </c>
      <c r="R1711" s="400">
        <f t="shared" ca="1" si="1421"/>
        <v>0</v>
      </c>
      <c r="S1711" s="400">
        <f t="shared" ca="1" si="1421"/>
        <v>0</v>
      </c>
      <c r="T1711" s="400">
        <f t="shared" ca="1" si="1421"/>
        <v>0</v>
      </c>
      <c r="U1711" s="400">
        <f t="shared" ca="1" si="1421"/>
        <v>0</v>
      </c>
      <c r="V1711" s="400">
        <f t="shared" ca="1" si="1421"/>
        <v>0</v>
      </c>
      <c r="W1711" s="400">
        <f t="shared" ca="1" si="1421"/>
        <v>0</v>
      </c>
      <c r="X1711" s="400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414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21">
        <f ca="1">12-$E1713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415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idden="1">
      <c r="A1716" s="326"/>
      <c r="B1716" s="21" t="s">
        <v>416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idden="1">
      <c r="A1717" s="326"/>
      <c r="B1717" s="21" t="s">
        <v>406</v>
      </c>
      <c r="C1717" s="21"/>
      <c r="D1717" s="22"/>
      <c r="E1717" s="21"/>
      <c r="F1717" s="21"/>
      <c r="G1717" s="21"/>
      <c r="H1717" s="21"/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427</v>
      </c>
      <c r="K1718" s="400">
        <f t="shared" ref="K1718:X1718" ca="1" si="1424">IF(AND(OFFSET($F$269,$D1712,0)="tak",OFFSET($G$269,$D1712,0)="tak",OFFSET($J$269,$D1712,0)="ok",LataProjekcji&lt;=Koniec_Projekt),ROUND(K1715*OFFSET($K$469,$H1718,(COLUMN()-11)),0),0)</f>
        <v>0</v>
      </c>
      <c r="L1718" s="400">
        <f t="shared" ca="1" si="1424"/>
        <v>0</v>
      </c>
      <c r="M1718" s="400">
        <f t="shared" ca="1" si="1424"/>
        <v>0</v>
      </c>
      <c r="N1718" s="400">
        <f t="shared" ca="1" si="1424"/>
        <v>0</v>
      </c>
      <c r="O1718" s="400">
        <f t="shared" ca="1" si="1424"/>
        <v>0</v>
      </c>
      <c r="P1718" s="400">
        <f t="shared" ca="1" si="1424"/>
        <v>0</v>
      </c>
      <c r="Q1718" s="400">
        <f t="shared" ca="1" si="1424"/>
        <v>0</v>
      </c>
      <c r="R1718" s="400">
        <f t="shared" ca="1" si="1424"/>
        <v>0</v>
      </c>
      <c r="S1718" s="400">
        <f t="shared" ca="1" si="1424"/>
        <v>0</v>
      </c>
      <c r="T1718" s="400">
        <f t="shared" ca="1" si="1424"/>
        <v>0</v>
      </c>
      <c r="U1718" s="400">
        <f t="shared" ca="1" si="1424"/>
        <v>0</v>
      </c>
      <c r="V1718" s="400">
        <f t="shared" ca="1" si="1424"/>
        <v>0</v>
      </c>
      <c r="W1718" s="400">
        <f t="shared" ca="1" si="1424"/>
        <v>0</v>
      </c>
      <c r="X1718" s="400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414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21">
        <f ca="1">12-$E1720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415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idden="1">
      <c r="A1723" s="326"/>
      <c r="B1723" s="21" t="s">
        <v>416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idden="1">
      <c r="A1724" s="326"/>
      <c r="B1724" s="21" t="s">
        <v>406</v>
      </c>
      <c r="C1724" s="21"/>
      <c r="D1724" s="22"/>
      <c r="E1724" s="21"/>
      <c r="F1724" s="21"/>
      <c r="G1724" s="21"/>
      <c r="H1724" s="21"/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427</v>
      </c>
      <c r="K1725" s="400">
        <f t="shared" ref="K1725:X1725" ca="1" si="1427">IF(AND(OFFSET($F$269,$D1719,0)="tak",OFFSET($G$269,$D1719,0)="tak",OFFSET($J$269,$D1719,0)="ok",LataProjekcji&lt;=Koniec_Projekt),ROUND(K1722*OFFSET($K$469,$H1725,(COLUMN()-11)),0),0)</f>
        <v>0</v>
      </c>
      <c r="L1725" s="400">
        <f t="shared" ca="1" si="1427"/>
        <v>0</v>
      </c>
      <c r="M1725" s="400">
        <f t="shared" ca="1" si="1427"/>
        <v>0</v>
      </c>
      <c r="N1725" s="400">
        <f t="shared" ca="1" si="1427"/>
        <v>0</v>
      </c>
      <c r="O1725" s="400">
        <f t="shared" ca="1" si="1427"/>
        <v>0</v>
      </c>
      <c r="P1725" s="400">
        <f t="shared" ca="1" si="1427"/>
        <v>0</v>
      </c>
      <c r="Q1725" s="400">
        <f t="shared" ca="1" si="1427"/>
        <v>0</v>
      </c>
      <c r="R1725" s="400">
        <f t="shared" ca="1" si="1427"/>
        <v>0</v>
      </c>
      <c r="S1725" s="400">
        <f t="shared" ca="1" si="1427"/>
        <v>0</v>
      </c>
      <c r="T1725" s="400">
        <f t="shared" ca="1" si="1427"/>
        <v>0</v>
      </c>
      <c r="U1725" s="400">
        <f t="shared" ca="1" si="1427"/>
        <v>0</v>
      </c>
      <c r="V1725" s="400">
        <f t="shared" ca="1" si="1427"/>
        <v>0</v>
      </c>
      <c r="W1725" s="400">
        <f t="shared" ca="1" si="1427"/>
        <v>0</v>
      </c>
      <c r="X1725" s="400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414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21">
        <f ca="1">12-$E1727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415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idden="1">
      <c r="A1730" s="326"/>
      <c r="B1730" s="21" t="s">
        <v>416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idden="1">
      <c r="A1731" s="326"/>
      <c r="B1731" s="21" t="s">
        <v>406</v>
      </c>
      <c r="C1731" s="21"/>
      <c r="D1731" s="22"/>
      <c r="E1731" s="21"/>
      <c r="F1731" s="21"/>
      <c r="G1731" s="21"/>
      <c r="H1731" s="21"/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427</v>
      </c>
      <c r="K1732" s="400">
        <f t="shared" ref="K1732:X1732" ca="1" si="1430">IF(AND(OFFSET($F$269,$D1726,0)="tak",OFFSET($G$269,$D1726,0)="tak",OFFSET($J$269,$D1726,0)="ok",LataProjekcji&lt;=Koniec_Projekt),ROUND(K1729*OFFSET($K$469,$H1732,(COLUMN()-11)),0),0)</f>
        <v>0</v>
      </c>
      <c r="L1732" s="400">
        <f t="shared" ca="1" si="1430"/>
        <v>0</v>
      </c>
      <c r="M1732" s="400">
        <f t="shared" ca="1" si="1430"/>
        <v>0</v>
      </c>
      <c r="N1732" s="400">
        <f t="shared" ca="1" si="1430"/>
        <v>0</v>
      </c>
      <c r="O1732" s="400">
        <f t="shared" ca="1" si="1430"/>
        <v>0</v>
      </c>
      <c r="P1732" s="400">
        <f t="shared" ca="1" si="1430"/>
        <v>0</v>
      </c>
      <c r="Q1732" s="400">
        <f t="shared" ca="1" si="1430"/>
        <v>0</v>
      </c>
      <c r="R1732" s="400">
        <f t="shared" ca="1" si="1430"/>
        <v>0</v>
      </c>
      <c r="S1732" s="400">
        <f t="shared" ca="1" si="1430"/>
        <v>0</v>
      </c>
      <c r="T1732" s="400">
        <f t="shared" ca="1" si="1430"/>
        <v>0</v>
      </c>
      <c r="U1732" s="400">
        <f t="shared" ca="1" si="1430"/>
        <v>0</v>
      </c>
      <c r="V1732" s="400">
        <f t="shared" ca="1" si="1430"/>
        <v>0</v>
      </c>
      <c r="W1732" s="400">
        <f t="shared" ca="1" si="1430"/>
        <v>0</v>
      </c>
      <c r="X1732" s="400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414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21">
        <f ca="1">12-$E1734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415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idden="1">
      <c r="A1737" s="326"/>
      <c r="B1737" s="21" t="s">
        <v>416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idden="1">
      <c r="A1738" s="326"/>
      <c r="B1738" s="21" t="s">
        <v>406</v>
      </c>
      <c r="C1738" s="21"/>
      <c r="D1738" s="22"/>
      <c r="E1738" s="21"/>
      <c r="F1738" s="21"/>
      <c r="G1738" s="21"/>
      <c r="H1738" s="21"/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427</v>
      </c>
      <c r="K1739" s="400">
        <f t="shared" ref="K1739:X1739" ca="1" si="1433">IF(AND(OFFSET($F$269,$D1733,0)="tak",OFFSET($G$269,$D1733,0)="tak",OFFSET($J$269,$D1733,0)="ok",LataProjekcji&lt;=Koniec_Projekt),ROUND(K1736*OFFSET($K$469,$H1739,(COLUMN()-11)),0),0)</f>
        <v>0</v>
      </c>
      <c r="L1739" s="400">
        <f t="shared" ca="1" si="1433"/>
        <v>0</v>
      </c>
      <c r="M1739" s="400">
        <f t="shared" ca="1" si="1433"/>
        <v>0</v>
      </c>
      <c r="N1739" s="400">
        <f t="shared" ca="1" si="1433"/>
        <v>0</v>
      </c>
      <c r="O1739" s="400">
        <f t="shared" ca="1" si="1433"/>
        <v>0</v>
      </c>
      <c r="P1739" s="400">
        <f t="shared" ca="1" si="1433"/>
        <v>0</v>
      </c>
      <c r="Q1739" s="400">
        <f t="shared" ca="1" si="1433"/>
        <v>0</v>
      </c>
      <c r="R1739" s="400">
        <f t="shared" ca="1" si="1433"/>
        <v>0</v>
      </c>
      <c r="S1739" s="400">
        <f t="shared" ca="1" si="1433"/>
        <v>0</v>
      </c>
      <c r="T1739" s="400">
        <f t="shared" ca="1" si="1433"/>
        <v>0</v>
      </c>
      <c r="U1739" s="400">
        <f t="shared" ca="1" si="1433"/>
        <v>0</v>
      </c>
      <c r="V1739" s="400">
        <f t="shared" ca="1" si="1433"/>
        <v>0</v>
      </c>
      <c r="W1739" s="400">
        <f t="shared" ca="1" si="1433"/>
        <v>0</v>
      </c>
      <c r="X1739" s="400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414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21">
        <f ca="1">12-$E1741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415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idden="1">
      <c r="A1744" s="326"/>
      <c r="B1744" s="21" t="s">
        <v>416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idden="1">
      <c r="A1745" s="326"/>
      <c r="B1745" s="21" t="s">
        <v>406</v>
      </c>
      <c r="C1745" s="21"/>
      <c r="D1745" s="22"/>
      <c r="E1745" s="21"/>
      <c r="F1745" s="21"/>
      <c r="G1745" s="21"/>
      <c r="H1745" s="21"/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427</v>
      </c>
      <c r="K1746" s="400">
        <f t="shared" ref="K1746:X1746" ca="1" si="1436">IF(AND(OFFSET($F$269,$D1740,0)="tak",OFFSET($G$269,$D1740,0)="tak",OFFSET($J$269,$D1740,0)="ok",LataProjekcji&lt;=Koniec_Projekt),ROUND(K1743*OFFSET($K$469,$H1746,(COLUMN()-11)),0),0)</f>
        <v>0</v>
      </c>
      <c r="L1746" s="400">
        <f t="shared" ca="1" si="1436"/>
        <v>0</v>
      </c>
      <c r="M1746" s="400">
        <f t="shared" ca="1" si="1436"/>
        <v>0</v>
      </c>
      <c r="N1746" s="400">
        <f t="shared" ca="1" si="1436"/>
        <v>0</v>
      </c>
      <c r="O1746" s="400">
        <f t="shared" ca="1" si="1436"/>
        <v>0</v>
      </c>
      <c r="P1746" s="400">
        <f t="shared" ca="1" si="1436"/>
        <v>0</v>
      </c>
      <c r="Q1746" s="400">
        <f t="shared" ca="1" si="1436"/>
        <v>0</v>
      </c>
      <c r="R1746" s="400">
        <f t="shared" ca="1" si="1436"/>
        <v>0</v>
      </c>
      <c r="S1746" s="400">
        <f t="shared" ca="1" si="1436"/>
        <v>0</v>
      </c>
      <c r="T1746" s="400">
        <f t="shared" ca="1" si="1436"/>
        <v>0</v>
      </c>
      <c r="U1746" s="400">
        <f t="shared" ca="1" si="1436"/>
        <v>0</v>
      </c>
      <c r="V1746" s="400">
        <f t="shared" ca="1" si="1436"/>
        <v>0</v>
      </c>
      <c r="W1746" s="400">
        <f t="shared" ca="1" si="1436"/>
        <v>0</v>
      </c>
      <c r="X1746" s="400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414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21">
        <f ca="1">12-$E1748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415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idden="1">
      <c r="A1751" s="326"/>
      <c r="B1751" s="21" t="s">
        <v>416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idden="1">
      <c r="A1752" s="326"/>
      <c r="B1752" s="21" t="s">
        <v>406</v>
      </c>
      <c r="C1752" s="21"/>
      <c r="D1752" s="22"/>
      <c r="E1752" s="21"/>
      <c r="F1752" s="21"/>
      <c r="G1752" s="21"/>
      <c r="H1752" s="21"/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427</v>
      </c>
      <c r="K1753" s="400">
        <f t="shared" ref="K1753:X1753" ca="1" si="1439">IF(AND(OFFSET($F$269,$D1747,0)="tak",OFFSET($G$269,$D1747,0)="tak",OFFSET($J$269,$D1747,0)="ok",LataProjekcji&lt;=Koniec_Projekt),ROUND(K1750*OFFSET($K$469,$H1753,(COLUMN()-11)),0),0)</f>
        <v>0</v>
      </c>
      <c r="L1753" s="400">
        <f t="shared" ca="1" si="1439"/>
        <v>0</v>
      </c>
      <c r="M1753" s="400">
        <f t="shared" ca="1" si="1439"/>
        <v>0</v>
      </c>
      <c r="N1753" s="400">
        <f t="shared" ca="1" si="1439"/>
        <v>0</v>
      </c>
      <c r="O1753" s="400">
        <f t="shared" ca="1" si="1439"/>
        <v>0</v>
      </c>
      <c r="P1753" s="400">
        <f t="shared" ca="1" si="1439"/>
        <v>0</v>
      </c>
      <c r="Q1753" s="400">
        <f t="shared" ca="1" si="1439"/>
        <v>0</v>
      </c>
      <c r="R1753" s="400">
        <f t="shared" ca="1" si="1439"/>
        <v>0</v>
      </c>
      <c r="S1753" s="400">
        <f t="shared" ca="1" si="1439"/>
        <v>0</v>
      </c>
      <c r="T1753" s="400">
        <f t="shared" ca="1" si="1439"/>
        <v>0</v>
      </c>
      <c r="U1753" s="400">
        <f t="shared" ca="1" si="1439"/>
        <v>0</v>
      </c>
      <c r="V1753" s="400">
        <f t="shared" ca="1" si="1439"/>
        <v>0</v>
      </c>
      <c r="W1753" s="400">
        <f t="shared" ca="1" si="1439"/>
        <v>0</v>
      </c>
      <c r="X1753" s="400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414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21">
        <f ca="1">12-$E1755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415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idden="1">
      <c r="A1758" s="326"/>
      <c r="B1758" s="21" t="s">
        <v>416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idden="1">
      <c r="A1759" s="326"/>
      <c r="B1759" s="21" t="s">
        <v>406</v>
      </c>
      <c r="C1759" s="21"/>
      <c r="D1759" s="22"/>
      <c r="E1759" s="21"/>
      <c r="F1759" s="21"/>
      <c r="G1759" s="21"/>
      <c r="H1759" s="21"/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427</v>
      </c>
      <c r="K1760" s="400">
        <f t="shared" ref="K1760:X1760" ca="1" si="1442">IF(AND(OFFSET($F$269,$D1754,0)="tak",OFFSET($G$269,$D1754,0)="tak",OFFSET($J$269,$D1754,0)="ok",LataProjekcji&lt;=Koniec_Projekt),ROUND(K1757*OFFSET($K$469,$H1760,(COLUMN()-11)),0),0)</f>
        <v>0</v>
      </c>
      <c r="L1760" s="400">
        <f t="shared" ca="1" si="1442"/>
        <v>0</v>
      </c>
      <c r="M1760" s="400">
        <f t="shared" ca="1" si="1442"/>
        <v>0</v>
      </c>
      <c r="N1760" s="400">
        <f t="shared" ca="1" si="1442"/>
        <v>0</v>
      </c>
      <c r="O1760" s="400">
        <f t="shared" ca="1" si="1442"/>
        <v>0</v>
      </c>
      <c r="P1760" s="400">
        <f t="shared" ca="1" si="1442"/>
        <v>0</v>
      </c>
      <c r="Q1760" s="400">
        <f t="shared" ca="1" si="1442"/>
        <v>0</v>
      </c>
      <c r="R1760" s="400">
        <f t="shared" ca="1" si="1442"/>
        <v>0</v>
      </c>
      <c r="S1760" s="400">
        <f t="shared" ca="1" si="1442"/>
        <v>0</v>
      </c>
      <c r="T1760" s="400">
        <f t="shared" ca="1" si="1442"/>
        <v>0</v>
      </c>
      <c r="U1760" s="400">
        <f t="shared" ca="1" si="1442"/>
        <v>0</v>
      </c>
      <c r="V1760" s="400">
        <f t="shared" ca="1" si="1442"/>
        <v>0</v>
      </c>
      <c r="W1760" s="400">
        <f t="shared" ca="1" si="1442"/>
        <v>0</v>
      </c>
      <c r="X1760" s="400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414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21">
        <f ca="1">12-$E1762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415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idden="1">
      <c r="A1765" s="326"/>
      <c r="B1765" s="21" t="s">
        <v>416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idden="1">
      <c r="A1766" s="326"/>
      <c r="B1766" s="21" t="s">
        <v>406</v>
      </c>
      <c r="C1766" s="21"/>
      <c r="D1766" s="22"/>
      <c r="E1766" s="21"/>
      <c r="F1766" s="21"/>
      <c r="G1766" s="21"/>
      <c r="H1766" s="21"/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427</v>
      </c>
      <c r="K1767" s="400">
        <f t="shared" ref="K1767:X1767" ca="1" si="1445">IF(AND(OFFSET($F$269,$D1761,0)="tak",OFFSET($G$269,$D1761,0)="tak",OFFSET($J$269,$D1761,0)="ok",LataProjekcji&lt;=Koniec_Projekt),ROUND(K1764*OFFSET($K$469,$H1767,(COLUMN()-11)),0),0)</f>
        <v>0</v>
      </c>
      <c r="L1767" s="400">
        <f t="shared" ca="1" si="1445"/>
        <v>0</v>
      </c>
      <c r="M1767" s="400">
        <f t="shared" ca="1" si="1445"/>
        <v>0</v>
      </c>
      <c r="N1767" s="400">
        <f t="shared" ca="1" si="1445"/>
        <v>0</v>
      </c>
      <c r="O1767" s="400">
        <f t="shared" ca="1" si="1445"/>
        <v>0</v>
      </c>
      <c r="P1767" s="400">
        <f t="shared" ca="1" si="1445"/>
        <v>0</v>
      </c>
      <c r="Q1767" s="400">
        <f t="shared" ca="1" si="1445"/>
        <v>0</v>
      </c>
      <c r="R1767" s="400">
        <f t="shared" ca="1" si="1445"/>
        <v>0</v>
      </c>
      <c r="S1767" s="400">
        <f t="shared" ca="1" si="1445"/>
        <v>0</v>
      </c>
      <c r="T1767" s="400">
        <f t="shared" ca="1" si="1445"/>
        <v>0</v>
      </c>
      <c r="U1767" s="400">
        <f t="shared" ca="1" si="1445"/>
        <v>0</v>
      </c>
      <c r="V1767" s="400">
        <f t="shared" ca="1" si="1445"/>
        <v>0</v>
      </c>
      <c r="W1767" s="400">
        <f t="shared" ca="1" si="1445"/>
        <v>0</v>
      </c>
      <c r="X1767" s="400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414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21">
        <f ca="1">12-$E1769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415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idden="1">
      <c r="A1772" s="326"/>
      <c r="B1772" s="21" t="s">
        <v>416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idden="1">
      <c r="A1773" s="326"/>
      <c r="B1773" s="21" t="s">
        <v>406</v>
      </c>
      <c r="C1773" s="21"/>
      <c r="D1773" s="22"/>
      <c r="E1773" s="21"/>
      <c r="F1773" s="21"/>
      <c r="G1773" s="21"/>
      <c r="H1773" s="21"/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427</v>
      </c>
      <c r="K1774" s="400">
        <f t="shared" ref="K1774:X1774" ca="1" si="1448">IF(AND(OFFSET($F$269,$D1768,0)="tak",OFFSET($G$269,$D1768,0)="tak",OFFSET($J$269,$D1768,0)="ok",LataProjekcji&lt;=Koniec_Projekt),ROUND(K1771*OFFSET($K$469,$H1774,(COLUMN()-11)),0),0)</f>
        <v>0</v>
      </c>
      <c r="L1774" s="400">
        <f t="shared" ca="1" si="1448"/>
        <v>0</v>
      </c>
      <c r="M1774" s="400">
        <f t="shared" ca="1" si="1448"/>
        <v>0</v>
      </c>
      <c r="N1774" s="400">
        <f t="shared" ca="1" si="1448"/>
        <v>0</v>
      </c>
      <c r="O1774" s="400">
        <f t="shared" ca="1" si="1448"/>
        <v>0</v>
      </c>
      <c r="P1774" s="400">
        <f t="shared" ca="1" si="1448"/>
        <v>0</v>
      </c>
      <c r="Q1774" s="400">
        <f t="shared" ca="1" si="1448"/>
        <v>0</v>
      </c>
      <c r="R1774" s="400">
        <f t="shared" ca="1" si="1448"/>
        <v>0</v>
      </c>
      <c r="S1774" s="400">
        <f t="shared" ca="1" si="1448"/>
        <v>0</v>
      </c>
      <c r="T1774" s="400">
        <f t="shared" ca="1" si="1448"/>
        <v>0</v>
      </c>
      <c r="U1774" s="400">
        <f t="shared" ca="1" si="1448"/>
        <v>0</v>
      </c>
      <c r="V1774" s="400">
        <f t="shared" ca="1" si="1448"/>
        <v>0</v>
      </c>
      <c r="W1774" s="400">
        <f t="shared" ca="1" si="1448"/>
        <v>0</v>
      </c>
      <c r="X1774" s="400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414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21">
        <f ca="1">12-$E1776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415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idden="1">
      <c r="A1779" s="326"/>
      <c r="B1779" s="21" t="s">
        <v>416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idden="1">
      <c r="A1780" s="326"/>
      <c r="B1780" s="21" t="s">
        <v>406</v>
      </c>
      <c r="C1780" s="21"/>
      <c r="D1780" s="22"/>
      <c r="E1780" s="21"/>
      <c r="F1780" s="21"/>
      <c r="G1780" s="21"/>
      <c r="H1780" s="21"/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427</v>
      </c>
      <c r="K1781" s="400">
        <f t="shared" ref="K1781:X1781" ca="1" si="1451">IF(AND(OFFSET($F$269,$D1775,0)="tak",OFFSET($G$269,$D1775,0)="tak",OFFSET($J$269,$D1775,0)="ok",LataProjekcji&lt;=Koniec_Projekt),ROUND(K1778*OFFSET($K$469,$H1781,(COLUMN()-11)),0),0)</f>
        <v>0</v>
      </c>
      <c r="L1781" s="400">
        <f t="shared" ca="1" si="1451"/>
        <v>0</v>
      </c>
      <c r="M1781" s="400">
        <f t="shared" ca="1" si="1451"/>
        <v>0</v>
      </c>
      <c r="N1781" s="400">
        <f t="shared" ca="1" si="1451"/>
        <v>0</v>
      </c>
      <c r="O1781" s="400">
        <f t="shared" ca="1" si="1451"/>
        <v>0</v>
      </c>
      <c r="P1781" s="400">
        <f t="shared" ca="1" si="1451"/>
        <v>0</v>
      </c>
      <c r="Q1781" s="400">
        <f t="shared" ca="1" si="1451"/>
        <v>0</v>
      </c>
      <c r="R1781" s="400">
        <f t="shared" ca="1" si="1451"/>
        <v>0</v>
      </c>
      <c r="S1781" s="400">
        <f t="shared" ca="1" si="1451"/>
        <v>0</v>
      </c>
      <c r="T1781" s="400">
        <f t="shared" ca="1" si="1451"/>
        <v>0</v>
      </c>
      <c r="U1781" s="400">
        <f t="shared" ca="1" si="1451"/>
        <v>0</v>
      </c>
      <c r="V1781" s="400">
        <f t="shared" ca="1" si="1451"/>
        <v>0</v>
      </c>
      <c r="W1781" s="400">
        <f t="shared" ca="1" si="1451"/>
        <v>0</v>
      </c>
      <c r="X1781" s="400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414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21">
        <f ca="1">12-$E1783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415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idden="1">
      <c r="A1786" s="326"/>
      <c r="B1786" s="21" t="s">
        <v>416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idden="1">
      <c r="A1787" s="326"/>
      <c r="B1787" s="21" t="s">
        <v>406</v>
      </c>
      <c r="C1787" s="21"/>
      <c r="D1787" s="22"/>
      <c r="E1787" s="21"/>
      <c r="F1787" s="21"/>
      <c r="G1787" s="21"/>
      <c r="H1787" s="21"/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427</v>
      </c>
      <c r="K1788" s="400">
        <f t="shared" ref="K1788:X1788" ca="1" si="1454">IF(AND(OFFSET($F$269,$D1782,0)="tak",OFFSET($G$269,$D1782,0)="tak",OFFSET($J$269,$D1782,0)="ok",LataProjekcji&lt;=Koniec_Projekt),ROUND(K1785*OFFSET($K$469,$H1788,(COLUMN()-11)),0),0)</f>
        <v>0</v>
      </c>
      <c r="L1788" s="400">
        <f t="shared" ca="1" si="1454"/>
        <v>0</v>
      </c>
      <c r="M1788" s="400">
        <f t="shared" ca="1" si="1454"/>
        <v>0</v>
      </c>
      <c r="N1788" s="400">
        <f t="shared" ca="1" si="1454"/>
        <v>0</v>
      </c>
      <c r="O1788" s="400">
        <f t="shared" ca="1" si="1454"/>
        <v>0</v>
      </c>
      <c r="P1788" s="400">
        <f t="shared" ca="1" si="1454"/>
        <v>0</v>
      </c>
      <c r="Q1788" s="400">
        <f t="shared" ca="1" si="1454"/>
        <v>0</v>
      </c>
      <c r="R1788" s="400">
        <f t="shared" ca="1" si="1454"/>
        <v>0</v>
      </c>
      <c r="S1788" s="400">
        <f t="shared" ca="1" si="1454"/>
        <v>0</v>
      </c>
      <c r="T1788" s="400">
        <f t="shared" ca="1" si="1454"/>
        <v>0</v>
      </c>
      <c r="U1788" s="400">
        <f t="shared" ca="1" si="1454"/>
        <v>0</v>
      </c>
      <c r="V1788" s="400">
        <f t="shared" ca="1" si="1454"/>
        <v>0</v>
      </c>
      <c r="W1788" s="400">
        <f t="shared" ca="1" si="1454"/>
        <v>0</v>
      </c>
      <c r="X1788" s="400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414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21">
        <f ca="1">12-$E1790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415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idden="1">
      <c r="A1793" s="326"/>
      <c r="B1793" s="21" t="s">
        <v>416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idden="1">
      <c r="A1794" s="326"/>
      <c r="B1794" s="21" t="s">
        <v>406</v>
      </c>
      <c r="C1794" s="21"/>
      <c r="D1794" s="22"/>
      <c r="E1794" s="21"/>
      <c r="F1794" s="21"/>
      <c r="G1794" s="21"/>
      <c r="H1794" s="21"/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427</v>
      </c>
      <c r="K1795" s="400">
        <f t="shared" ref="K1795:X1795" ca="1" si="1457">IF(AND(OFFSET($F$269,$D1789,0)="tak",OFFSET($G$269,$D1789,0)="tak",OFFSET($J$269,$D1789,0)="ok",LataProjekcji&lt;=Koniec_Projekt),ROUND(K1792*OFFSET($K$469,$H1795,(COLUMN()-11)),0),0)</f>
        <v>0</v>
      </c>
      <c r="L1795" s="400">
        <f t="shared" ca="1" si="1457"/>
        <v>0</v>
      </c>
      <c r="M1795" s="400">
        <f t="shared" ca="1" si="1457"/>
        <v>0</v>
      </c>
      <c r="N1795" s="400">
        <f t="shared" ca="1" si="1457"/>
        <v>0</v>
      </c>
      <c r="O1795" s="400">
        <f t="shared" ca="1" si="1457"/>
        <v>0</v>
      </c>
      <c r="P1795" s="400">
        <f t="shared" ca="1" si="1457"/>
        <v>0</v>
      </c>
      <c r="Q1795" s="400">
        <f t="shared" ca="1" si="1457"/>
        <v>0</v>
      </c>
      <c r="R1795" s="400">
        <f t="shared" ca="1" si="1457"/>
        <v>0</v>
      </c>
      <c r="S1795" s="400">
        <f t="shared" ca="1" si="1457"/>
        <v>0</v>
      </c>
      <c r="T1795" s="400">
        <f t="shared" ca="1" si="1457"/>
        <v>0</v>
      </c>
      <c r="U1795" s="400">
        <f t="shared" ca="1" si="1457"/>
        <v>0</v>
      </c>
      <c r="V1795" s="400">
        <f t="shared" ca="1" si="1457"/>
        <v>0</v>
      </c>
      <c r="W1795" s="400">
        <f t="shared" ca="1" si="1457"/>
        <v>0</v>
      </c>
      <c r="X1795" s="400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414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21">
        <f ca="1">12-$E1797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415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idden="1">
      <c r="A1800" s="326"/>
      <c r="B1800" s="21" t="s">
        <v>416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idden="1">
      <c r="A1801" s="326"/>
      <c r="B1801" s="21" t="s">
        <v>406</v>
      </c>
      <c r="C1801" s="21"/>
      <c r="D1801" s="22"/>
      <c r="E1801" s="21"/>
      <c r="F1801" s="21"/>
      <c r="G1801" s="21"/>
      <c r="H1801" s="21"/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427</v>
      </c>
      <c r="K1802" s="400">
        <f t="shared" ref="K1802:X1802" ca="1" si="1460">IF(AND(OFFSET($F$269,$D1796,0)="tak",OFFSET($G$269,$D1796,0)="tak",OFFSET($J$269,$D1796,0)="ok",LataProjekcji&lt;=Koniec_Projekt),ROUND(K1799*OFFSET($K$469,$H1802,(COLUMN()-11)),0),0)</f>
        <v>0</v>
      </c>
      <c r="L1802" s="400">
        <f t="shared" ca="1" si="1460"/>
        <v>0</v>
      </c>
      <c r="M1802" s="400">
        <f t="shared" ca="1" si="1460"/>
        <v>0</v>
      </c>
      <c r="N1802" s="400">
        <f t="shared" ca="1" si="1460"/>
        <v>0</v>
      </c>
      <c r="O1802" s="400">
        <f t="shared" ca="1" si="1460"/>
        <v>0</v>
      </c>
      <c r="P1802" s="400">
        <f t="shared" ca="1" si="1460"/>
        <v>0</v>
      </c>
      <c r="Q1802" s="400">
        <f t="shared" ca="1" si="1460"/>
        <v>0</v>
      </c>
      <c r="R1802" s="400">
        <f t="shared" ca="1" si="1460"/>
        <v>0</v>
      </c>
      <c r="S1802" s="400">
        <f t="shared" ca="1" si="1460"/>
        <v>0</v>
      </c>
      <c r="T1802" s="400">
        <f t="shared" ca="1" si="1460"/>
        <v>0</v>
      </c>
      <c r="U1802" s="400">
        <f t="shared" ca="1" si="1460"/>
        <v>0</v>
      </c>
      <c r="V1802" s="400">
        <f t="shared" ca="1" si="1460"/>
        <v>0</v>
      </c>
      <c r="W1802" s="400">
        <f t="shared" ca="1" si="1460"/>
        <v>0</v>
      </c>
      <c r="X1802" s="400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414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21">
        <f ca="1">12-$E1804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415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idden="1">
      <c r="A1807" s="326"/>
      <c r="B1807" s="21" t="s">
        <v>416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idden="1">
      <c r="A1808" s="326"/>
      <c r="B1808" s="21" t="s">
        <v>406</v>
      </c>
      <c r="C1808" s="21"/>
      <c r="D1808" s="22"/>
      <c r="E1808" s="21"/>
      <c r="F1808" s="21"/>
      <c r="G1808" s="21"/>
      <c r="H1808" s="21"/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427</v>
      </c>
      <c r="K1809" s="400">
        <f t="shared" ref="K1809:X1809" ca="1" si="1463">IF(AND(OFFSET($F$269,$D1803,0)="tak",OFFSET($G$269,$D1803,0)="tak",OFFSET($J$269,$D1803,0)="ok",LataProjekcji&lt;=Koniec_Projekt),ROUND(K1806*OFFSET($K$469,$H1809,(COLUMN()-11)),0),0)</f>
        <v>0</v>
      </c>
      <c r="L1809" s="400">
        <f t="shared" ca="1" si="1463"/>
        <v>0</v>
      </c>
      <c r="M1809" s="400">
        <f t="shared" ca="1" si="1463"/>
        <v>0</v>
      </c>
      <c r="N1809" s="400">
        <f t="shared" ca="1" si="1463"/>
        <v>0</v>
      </c>
      <c r="O1809" s="400">
        <f t="shared" ca="1" si="1463"/>
        <v>0</v>
      </c>
      <c r="P1809" s="400">
        <f t="shared" ca="1" si="1463"/>
        <v>0</v>
      </c>
      <c r="Q1809" s="400">
        <f t="shared" ca="1" si="1463"/>
        <v>0</v>
      </c>
      <c r="R1809" s="400">
        <f t="shared" ca="1" si="1463"/>
        <v>0</v>
      </c>
      <c r="S1809" s="400">
        <f t="shared" ca="1" si="1463"/>
        <v>0</v>
      </c>
      <c r="T1809" s="400">
        <f t="shared" ca="1" si="1463"/>
        <v>0</v>
      </c>
      <c r="U1809" s="400">
        <f t="shared" ca="1" si="1463"/>
        <v>0</v>
      </c>
      <c r="V1809" s="400">
        <f t="shared" ca="1" si="1463"/>
        <v>0</v>
      </c>
      <c r="W1809" s="400">
        <f t="shared" ca="1" si="1463"/>
        <v>0</v>
      </c>
      <c r="X1809" s="400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414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21">
        <f ca="1">12-$E1811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415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idden="1">
      <c r="A1814" s="326"/>
      <c r="B1814" s="21" t="s">
        <v>416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idden="1">
      <c r="A1815" s="326"/>
      <c r="B1815" s="21" t="s">
        <v>406</v>
      </c>
      <c r="C1815" s="21"/>
      <c r="D1815" s="22"/>
      <c r="E1815" s="21"/>
      <c r="F1815" s="21"/>
      <c r="G1815" s="21"/>
      <c r="H1815" s="21"/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427</v>
      </c>
      <c r="K1816" s="400">
        <f t="shared" ref="K1816:X1816" ca="1" si="1466">IF(AND(OFFSET($F$269,$D1810,0)="tak",OFFSET($G$269,$D1810,0)="tak",OFFSET($J$269,$D1810,0)="ok",LataProjekcji&lt;=Koniec_Projekt),ROUND(K1813*OFFSET($K$469,$H1816,(COLUMN()-11)),0),0)</f>
        <v>0</v>
      </c>
      <c r="L1816" s="400">
        <f t="shared" ca="1" si="1466"/>
        <v>0</v>
      </c>
      <c r="M1816" s="400">
        <f t="shared" ca="1" si="1466"/>
        <v>0</v>
      </c>
      <c r="N1816" s="400">
        <f t="shared" ca="1" si="1466"/>
        <v>0</v>
      </c>
      <c r="O1816" s="400">
        <f t="shared" ca="1" si="1466"/>
        <v>0</v>
      </c>
      <c r="P1816" s="400">
        <f t="shared" ca="1" si="1466"/>
        <v>0</v>
      </c>
      <c r="Q1816" s="400">
        <f t="shared" ca="1" si="1466"/>
        <v>0</v>
      </c>
      <c r="R1816" s="400">
        <f t="shared" ca="1" si="1466"/>
        <v>0</v>
      </c>
      <c r="S1816" s="400">
        <f t="shared" ca="1" si="1466"/>
        <v>0</v>
      </c>
      <c r="T1816" s="400">
        <f t="shared" ca="1" si="1466"/>
        <v>0</v>
      </c>
      <c r="U1816" s="400">
        <f t="shared" ca="1" si="1466"/>
        <v>0</v>
      </c>
      <c r="V1816" s="400">
        <f t="shared" ca="1" si="1466"/>
        <v>0</v>
      </c>
      <c r="W1816" s="400">
        <f t="shared" ca="1" si="1466"/>
        <v>0</v>
      </c>
      <c r="X1816" s="400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414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21">
        <f ca="1">12-$E1818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415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idden="1">
      <c r="A1821" s="326"/>
      <c r="B1821" s="21" t="s">
        <v>416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idden="1">
      <c r="A1822" s="326"/>
      <c r="B1822" s="21" t="s">
        <v>406</v>
      </c>
      <c r="C1822" s="21"/>
      <c r="D1822" s="22"/>
      <c r="E1822" s="21"/>
      <c r="F1822" s="21"/>
      <c r="G1822" s="21"/>
      <c r="H1822" s="21"/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427</v>
      </c>
      <c r="K1823" s="400">
        <f t="shared" ref="K1823:X1823" ca="1" si="1469">IF(AND(OFFSET($F$269,$D1817,0)="tak",OFFSET($G$269,$D1817,0)="tak",OFFSET($J$269,$D1817,0)="ok",LataProjekcji&lt;=Koniec_Projekt),ROUND(K1820*OFFSET($K$469,$H1823,(COLUMN()-11)),0),0)</f>
        <v>0</v>
      </c>
      <c r="L1823" s="400">
        <f t="shared" ca="1" si="1469"/>
        <v>0</v>
      </c>
      <c r="M1823" s="400">
        <f t="shared" ca="1" si="1469"/>
        <v>0</v>
      </c>
      <c r="N1823" s="400">
        <f t="shared" ca="1" si="1469"/>
        <v>0</v>
      </c>
      <c r="O1823" s="400">
        <f t="shared" ca="1" si="1469"/>
        <v>0</v>
      </c>
      <c r="P1823" s="400">
        <f t="shared" ca="1" si="1469"/>
        <v>0</v>
      </c>
      <c r="Q1823" s="400">
        <f t="shared" ca="1" si="1469"/>
        <v>0</v>
      </c>
      <c r="R1823" s="400">
        <f t="shared" ca="1" si="1469"/>
        <v>0</v>
      </c>
      <c r="S1823" s="400">
        <f t="shared" ca="1" si="1469"/>
        <v>0</v>
      </c>
      <c r="T1823" s="400">
        <f t="shared" ca="1" si="1469"/>
        <v>0</v>
      </c>
      <c r="U1823" s="400">
        <f t="shared" ca="1" si="1469"/>
        <v>0</v>
      </c>
      <c r="V1823" s="400">
        <f t="shared" ca="1" si="1469"/>
        <v>0</v>
      </c>
      <c r="W1823" s="400">
        <f t="shared" ca="1" si="1469"/>
        <v>0</v>
      </c>
      <c r="X1823" s="400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414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21">
        <f ca="1">12-$E1825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415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idden="1">
      <c r="A1828" s="326"/>
      <c r="B1828" s="21" t="s">
        <v>416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idden="1">
      <c r="A1829" s="326"/>
      <c r="B1829" s="21" t="s">
        <v>406</v>
      </c>
      <c r="C1829" s="21"/>
      <c r="D1829" s="22"/>
      <c r="E1829" s="21"/>
      <c r="F1829" s="21"/>
      <c r="G1829" s="21"/>
      <c r="H1829" s="21"/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427</v>
      </c>
      <c r="K1830" s="400">
        <f t="shared" ref="K1830:X1830" ca="1" si="1472">IF(AND(OFFSET($F$269,$D1824,0)="tak",OFFSET($G$269,$D1824,0)="tak",OFFSET($J$269,$D1824,0)="ok",LataProjekcji&lt;=Koniec_Projekt),ROUND(K1827*OFFSET($K$469,$H1830,(COLUMN()-11)),0),0)</f>
        <v>0</v>
      </c>
      <c r="L1830" s="400">
        <f t="shared" ca="1" si="1472"/>
        <v>0</v>
      </c>
      <c r="M1830" s="400">
        <f t="shared" ca="1" si="1472"/>
        <v>0</v>
      </c>
      <c r="N1830" s="400">
        <f t="shared" ca="1" si="1472"/>
        <v>0</v>
      </c>
      <c r="O1830" s="400">
        <f t="shared" ca="1" si="1472"/>
        <v>0</v>
      </c>
      <c r="P1830" s="400">
        <f t="shared" ca="1" si="1472"/>
        <v>0</v>
      </c>
      <c r="Q1830" s="400">
        <f t="shared" ca="1" si="1472"/>
        <v>0</v>
      </c>
      <c r="R1830" s="400">
        <f t="shared" ca="1" si="1472"/>
        <v>0</v>
      </c>
      <c r="S1830" s="400">
        <f t="shared" ca="1" si="1472"/>
        <v>0</v>
      </c>
      <c r="T1830" s="400">
        <f t="shared" ca="1" si="1472"/>
        <v>0</v>
      </c>
      <c r="U1830" s="400">
        <f t="shared" ca="1" si="1472"/>
        <v>0</v>
      </c>
      <c r="V1830" s="400">
        <f t="shared" ca="1" si="1472"/>
        <v>0</v>
      </c>
      <c r="W1830" s="400">
        <f t="shared" ca="1" si="1472"/>
        <v>0</v>
      </c>
      <c r="X1830" s="400">
        <f t="shared" ca="1" si="1472"/>
        <v>0</v>
      </c>
    </row>
    <row r="1831" spans="1:24" hidden="1">
      <c r="A1831" s="326"/>
      <c r="B1831" s="375" t="s">
        <v>432</v>
      </c>
      <c r="C1831" s="375"/>
    </row>
    <row r="1832" spans="1:24" ht="21" hidden="1">
      <c r="A1832" s="326"/>
      <c r="B1832" s="7" t="s">
        <v>433</v>
      </c>
      <c r="C1832" s="7"/>
      <c r="D1832" s="371" t="s">
        <v>406</v>
      </c>
      <c r="E1832" s="371" t="s">
        <v>421</v>
      </c>
      <c r="F1832" s="388" t="s">
        <v>336</v>
      </c>
      <c r="G1832" s="388" t="s">
        <v>422</v>
      </c>
      <c r="J1832" s="388" t="s">
        <v>423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5" hidden="1" thickBot="1">
      <c r="A1842" s="326"/>
    </row>
    <row r="1843" spans="1:24" ht="12.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411</v>
      </c>
      <c r="G1843" s="48"/>
      <c r="H1843" s="50" t="s">
        <v>412</v>
      </c>
      <c r="I1843" s="21" t="s">
        <v>413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414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21">
        <f ca="1">12-$E1844</f>
        <v>12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426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415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idden="1">
      <c r="A1847" s="326"/>
      <c r="B1847" s="21" t="s">
        <v>416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idden="1">
      <c r="A1848" s="326"/>
      <c r="B1848" s="21" t="s">
        <v>406</v>
      </c>
      <c r="C1848" s="21"/>
      <c r="D1848" s="22"/>
      <c r="E1848" s="21"/>
      <c r="F1848" s="21"/>
      <c r="G1848" s="21"/>
      <c r="H1848" s="21"/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427</v>
      </c>
      <c r="K1849" s="400">
        <f t="shared" ref="K1849:X1849" ca="1" si="1481">IF(AND(OFFSET($F$269,$D1843,0)="tak",OFFSET($G$269,$D1843,0)="tak",OFFSET($J$269,$D1843,0)="ok",LataProjekcji&lt;=Koniec_Projekt),ROUND(K1846*OFFSET($K$469,$H1849,(COLUMN()-11)),0),0)</f>
        <v>0</v>
      </c>
      <c r="L1849" s="400">
        <f t="shared" ca="1" si="1481"/>
        <v>0</v>
      </c>
      <c r="M1849" s="400">
        <f t="shared" ca="1" si="1481"/>
        <v>0</v>
      </c>
      <c r="N1849" s="400">
        <f t="shared" ca="1" si="1481"/>
        <v>0</v>
      </c>
      <c r="O1849" s="400">
        <f t="shared" ca="1" si="1481"/>
        <v>0</v>
      </c>
      <c r="P1849" s="400">
        <f t="shared" ca="1" si="1481"/>
        <v>0</v>
      </c>
      <c r="Q1849" s="400">
        <f t="shared" ca="1" si="1481"/>
        <v>0</v>
      </c>
      <c r="R1849" s="400">
        <f t="shared" ca="1" si="1481"/>
        <v>0</v>
      </c>
      <c r="S1849" s="400">
        <f t="shared" ca="1" si="1481"/>
        <v>0</v>
      </c>
      <c r="T1849" s="400">
        <f t="shared" ca="1" si="1481"/>
        <v>0</v>
      </c>
      <c r="U1849" s="400">
        <f t="shared" ca="1" si="1481"/>
        <v>0</v>
      </c>
      <c r="V1849" s="400">
        <f t="shared" ca="1" si="1481"/>
        <v>0</v>
      </c>
      <c r="W1849" s="400">
        <f t="shared" ca="1" si="1481"/>
        <v>0</v>
      </c>
      <c r="X1849" s="400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414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21">
        <f ca="1">12-$E1851</f>
        <v>12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415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idden="1">
      <c r="A1854" s="326"/>
      <c r="B1854" s="21" t="s">
        <v>416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idden="1">
      <c r="A1855" s="326"/>
      <c r="B1855" s="21" t="s">
        <v>406</v>
      </c>
      <c r="C1855" s="21"/>
      <c r="D1855" s="22"/>
      <c r="E1855" s="21"/>
      <c r="F1855" s="21"/>
      <c r="G1855" s="21"/>
      <c r="H1855" s="21"/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427</v>
      </c>
      <c r="K1856" s="400">
        <f t="shared" ref="K1856:X1856" ca="1" si="1484">IF(AND(OFFSET($F$269,$D1850,0)="tak",OFFSET($G$269,$D1850,0)="tak",OFFSET($J$269,$D1850,0)="ok",LataProjekcji&lt;=Koniec_Projekt),ROUND(K1853*OFFSET($K$469,$H1856,(COLUMN()-11)),0),0)</f>
        <v>0</v>
      </c>
      <c r="L1856" s="400">
        <f t="shared" ca="1" si="1484"/>
        <v>0</v>
      </c>
      <c r="M1856" s="400">
        <f t="shared" ca="1" si="1484"/>
        <v>0</v>
      </c>
      <c r="N1856" s="400">
        <f t="shared" ca="1" si="1484"/>
        <v>0</v>
      </c>
      <c r="O1856" s="400">
        <f t="shared" ca="1" si="1484"/>
        <v>0</v>
      </c>
      <c r="P1856" s="400">
        <f t="shared" ca="1" si="1484"/>
        <v>0</v>
      </c>
      <c r="Q1856" s="400">
        <f t="shared" ca="1" si="1484"/>
        <v>0</v>
      </c>
      <c r="R1856" s="400">
        <f t="shared" ca="1" si="1484"/>
        <v>0</v>
      </c>
      <c r="S1856" s="400">
        <f t="shared" ca="1" si="1484"/>
        <v>0</v>
      </c>
      <c r="T1856" s="400">
        <f t="shared" ca="1" si="1484"/>
        <v>0</v>
      </c>
      <c r="U1856" s="400">
        <f t="shared" ca="1" si="1484"/>
        <v>0</v>
      </c>
      <c r="V1856" s="400">
        <f t="shared" ca="1" si="1484"/>
        <v>0</v>
      </c>
      <c r="W1856" s="400">
        <f t="shared" ca="1" si="1484"/>
        <v>0</v>
      </c>
      <c r="X1856" s="400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414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21">
        <f ca="1">12-$E1858</f>
        <v>12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415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idden="1">
      <c r="A1861" s="326"/>
      <c r="B1861" s="21" t="s">
        <v>416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idden="1">
      <c r="A1862" s="326"/>
      <c r="B1862" s="21" t="s">
        <v>406</v>
      </c>
      <c r="C1862" s="21"/>
      <c r="D1862" s="22"/>
      <c r="E1862" s="21"/>
      <c r="F1862" s="21"/>
      <c r="G1862" s="21"/>
      <c r="H1862" s="21"/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427</v>
      </c>
      <c r="K1863" s="400">
        <f t="shared" ref="K1863:X1863" ca="1" si="1487">IF(AND(OFFSET($F$269,$D1857,0)="tak",OFFSET($G$269,$D1857,0)="tak",OFFSET($J$269,$D1857,0)="ok",LataProjekcji&lt;=Koniec_Projekt),ROUND(K1860*OFFSET($K$469,$H1863,(COLUMN()-11)),0),0)</f>
        <v>0</v>
      </c>
      <c r="L1863" s="400">
        <f t="shared" ca="1" si="1487"/>
        <v>0</v>
      </c>
      <c r="M1863" s="400">
        <f t="shared" ca="1" si="1487"/>
        <v>0</v>
      </c>
      <c r="N1863" s="400">
        <f t="shared" ca="1" si="1487"/>
        <v>0</v>
      </c>
      <c r="O1863" s="400">
        <f t="shared" ca="1" si="1487"/>
        <v>0</v>
      </c>
      <c r="P1863" s="400">
        <f t="shared" ca="1" si="1487"/>
        <v>0</v>
      </c>
      <c r="Q1863" s="400">
        <f t="shared" ca="1" si="1487"/>
        <v>0</v>
      </c>
      <c r="R1863" s="400">
        <f t="shared" ca="1" si="1487"/>
        <v>0</v>
      </c>
      <c r="S1863" s="400">
        <f t="shared" ca="1" si="1487"/>
        <v>0</v>
      </c>
      <c r="T1863" s="400">
        <f t="shared" ca="1" si="1487"/>
        <v>0</v>
      </c>
      <c r="U1863" s="400">
        <f t="shared" ca="1" si="1487"/>
        <v>0</v>
      </c>
      <c r="V1863" s="400">
        <f t="shared" ca="1" si="1487"/>
        <v>0</v>
      </c>
      <c r="W1863" s="400">
        <f t="shared" ca="1" si="1487"/>
        <v>0</v>
      </c>
      <c r="X1863" s="400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414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21">
        <f ca="1">12-$E1865</f>
        <v>12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415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idden="1">
      <c r="A1868" s="326"/>
      <c r="B1868" s="21" t="s">
        <v>416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idden="1">
      <c r="A1869" s="326"/>
      <c r="B1869" s="21" t="s">
        <v>406</v>
      </c>
      <c r="C1869" s="21"/>
      <c r="D1869" s="22"/>
      <c r="E1869" s="21"/>
      <c r="F1869" s="21"/>
      <c r="G1869" s="21"/>
      <c r="H1869" s="21"/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427</v>
      </c>
      <c r="K1870" s="400">
        <f t="shared" ref="K1870:X1870" ca="1" si="1490">IF(AND(OFFSET($F$269,$D1864,0)="tak",OFFSET($G$269,$D1864,0)="tak",OFFSET($J$269,$D1864,0)="ok",LataProjekcji&lt;=Koniec_Projekt),ROUND(K1867*OFFSET($K$469,$H1870,(COLUMN()-11)),0),0)</f>
        <v>0</v>
      </c>
      <c r="L1870" s="400">
        <f t="shared" ca="1" si="1490"/>
        <v>0</v>
      </c>
      <c r="M1870" s="400">
        <f t="shared" ca="1" si="1490"/>
        <v>0</v>
      </c>
      <c r="N1870" s="400">
        <f t="shared" ca="1" si="1490"/>
        <v>0</v>
      </c>
      <c r="O1870" s="400">
        <f t="shared" ca="1" si="1490"/>
        <v>0</v>
      </c>
      <c r="P1870" s="400">
        <f t="shared" ca="1" si="1490"/>
        <v>0</v>
      </c>
      <c r="Q1870" s="400">
        <f t="shared" ca="1" si="1490"/>
        <v>0</v>
      </c>
      <c r="R1870" s="400">
        <f t="shared" ca="1" si="1490"/>
        <v>0</v>
      </c>
      <c r="S1870" s="400">
        <f t="shared" ca="1" si="1490"/>
        <v>0</v>
      </c>
      <c r="T1870" s="400">
        <f t="shared" ca="1" si="1490"/>
        <v>0</v>
      </c>
      <c r="U1870" s="400">
        <f t="shared" ca="1" si="1490"/>
        <v>0</v>
      </c>
      <c r="V1870" s="400">
        <f t="shared" ca="1" si="1490"/>
        <v>0</v>
      </c>
      <c r="W1870" s="400">
        <f t="shared" ca="1" si="1490"/>
        <v>0</v>
      </c>
      <c r="X1870" s="400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414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21">
        <f ca="1">12-$E1872</f>
        <v>12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415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idden="1">
      <c r="A1875" s="326"/>
      <c r="B1875" s="21" t="s">
        <v>416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idden="1">
      <c r="A1876" s="326"/>
      <c r="B1876" s="21" t="s">
        <v>406</v>
      </c>
      <c r="C1876" s="21"/>
      <c r="D1876" s="22"/>
      <c r="E1876" s="21"/>
      <c r="F1876" s="21"/>
      <c r="G1876" s="21"/>
      <c r="H1876" s="21"/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427</v>
      </c>
      <c r="K1877" s="400">
        <f t="shared" ref="K1877:X1877" ca="1" si="1493">IF(AND(OFFSET($F$269,$D1871,0)="tak",OFFSET($G$269,$D1871,0)="tak",OFFSET($J$269,$D1871,0)="ok",LataProjekcji&lt;=Koniec_Projekt),ROUND(K1874*OFFSET($K$469,$H1877,(COLUMN()-11)),0),0)</f>
        <v>0</v>
      </c>
      <c r="L1877" s="400">
        <f t="shared" ca="1" si="1493"/>
        <v>0</v>
      </c>
      <c r="M1877" s="400">
        <f t="shared" ca="1" si="1493"/>
        <v>0</v>
      </c>
      <c r="N1877" s="400">
        <f t="shared" ca="1" si="1493"/>
        <v>0</v>
      </c>
      <c r="O1877" s="400">
        <f t="shared" ca="1" si="1493"/>
        <v>0</v>
      </c>
      <c r="P1877" s="400">
        <f t="shared" ca="1" si="1493"/>
        <v>0</v>
      </c>
      <c r="Q1877" s="400">
        <f t="shared" ca="1" si="1493"/>
        <v>0</v>
      </c>
      <c r="R1877" s="400">
        <f t="shared" ca="1" si="1493"/>
        <v>0</v>
      </c>
      <c r="S1877" s="400">
        <f t="shared" ca="1" si="1493"/>
        <v>0</v>
      </c>
      <c r="T1877" s="400">
        <f t="shared" ca="1" si="1493"/>
        <v>0</v>
      </c>
      <c r="U1877" s="400">
        <f t="shared" ca="1" si="1493"/>
        <v>0</v>
      </c>
      <c r="V1877" s="400">
        <f t="shared" ca="1" si="1493"/>
        <v>0</v>
      </c>
      <c r="W1877" s="400">
        <f t="shared" ca="1" si="1493"/>
        <v>0</v>
      </c>
      <c r="X1877" s="400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5" hidden="1" thickBot="1">
      <c r="A1882" s="326"/>
      <c r="B1882" s="459" t="s">
        <v>749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411</v>
      </c>
      <c r="G1883" s="48"/>
      <c r="H1883" s="50" t="s">
        <v>412</v>
      </c>
      <c r="I1883" s="21" t="s">
        <v>413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414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21">
        <f ca="1">12-$E1884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426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415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idden="1">
      <c r="A1887" s="326"/>
      <c r="B1887" s="21" t="s">
        <v>416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idden="1">
      <c r="A1888" s="326"/>
      <c r="B1888" s="21" t="s">
        <v>406</v>
      </c>
      <c r="C1888" s="21"/>
      <c r="D1888" s="22"/>
      <c r="E1888" s="21"/>
      <c r="F1888" s="21"/>
      <c r="G1888" s="21"/>
      <c r="H1888" s="21"/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427</v>
      </c>
      <c r="K1889" s="400">
        <f t="shared" ref="K1889:X1889" ca="1" si="1496">IF(AND(OFFSET($F$269,$D1883,0)="tak",OFFSET($G$269,$D1883,0)="tak",OFFSET($J$269,$D1883,0)="ok",LataProjekcji&lt;=Koniec_Projekt),ROUND(K1886*OFFSET($K$590,$H1889,(COLUMN()-11)),0),0)</f>
        <v>0</v>
      </c>
      <c r="L1889" s="400">
        <f t="shared" ca="1" si="1496"/>
        <v>0</v>
      </c>
      <c r="M1889" s="400">
        <f t="shared" ca="1" si="1496"/>
        <v>0</v>
      </c>
      <c r="N1889" s="400">
        <f t="shared" ca="1" si="1496"/>
        <v>0</v>
      </c>
      <c r="O1889" s="400">
        <f t="shared" ca="1" si="1496"/>
        <v>0</v>
      </c>
      <c r="P1889" s="400">
        <f t="shared" ca="1" si="1496"/>
        <v>0</v>
      </c>
      <c r="Q1889" s="400">
        <f t="shared" ca="1" si="1496"/>
        <v>0</v>
      </c>
      <c r="R1889" s="400">
        <f t="shared" ca="1" si="1496"/>
        <v>0</v>
      </c>
      <c r="S1889" s="400">
        <f t="shared" ca="1" si="1496"/>
        <v>0</v>
      </c>
      <c r="T1889" s="400">
        <f t="shared" ca="1" si="1496"/>
        <v>0</v>
      </c>
      <c r="U1889" s="400">
        <f t="shared" ca="1" si="1496"/>
        <v>0</v>
      </c>
      <c r="V1889" s="400">
        <f t="shared" ca="1" si="1496"/>
        <v>0</v>
      </c>
      <c r="W1889" s="400">
        <f t="shared" ca="1" si="1496"/>
        <v>0</v>
      </c>
      <c r="X1889" s="400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414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21">
        <f ca="1">12-$E1891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415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idden="1">
      <c r="A1894" s="326"/>
      <c r="B1894" s="21" t="s">
        <v>416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idden="1">
      <c r="A1895" s="326"/>
      <c r="B1895" s="21" t="s">
        <v>406</v>
      </c>
      <c r="C1895" s="21"/>
      <c r="D1895" s="22"/>
      <c r="E1895" s="21"/>
      <c r="F1895" s="21"/>
      <c r="G1895" s="21"/>
      <c r="H1895" s="21"/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427</v>
      </c>
      <c r="K1896" s="400">
        <f t="shared" ref="K1896:X1896" ca="1" si="1499">IF(AND(OFFSET($F$269,$D1890,0)="tak",OFFSET($G$269,$D1890,0)="tak",OFFSET($J$269,$D1890,0)="ok",LataProjekcji&lt;=Koniec_Projekt),ROUND(K1893*OFFSET($K$590,$H1896,(COLUMN()-11)),0),0)</f>
        <v>0</v>
      </c>
      <c r="L1896" s="400">
        <f t="shared" ca="1" si="1499"/>
        <v>0</v>
      </c>
      <c r="M1896" s="400">
        <f t="shared" ca="1" si="1499"/>
        <v>0</v>
      </c>
      <c r="N1896" s="400">
        <f t="shared" ca="1" si="1499"/>
        <v>0</v>
      </c>
      <c r="O1896" s="400">
        <f t="shared" ca="1" si="1499"/>
        <v>0</v>
      </c>
      <c r="P1896" s="400">
        <f t="shared" ca="1" si="1499"/>
        <v>0</v>
      </c>
      <c r="Q1896" s="400">
        <f t="shared" ca="1" si="1499"/>
        <v>0</v>
      </c>
      <c r="R1896" s="400">
        <f t="shared" ca="1" si="1499"/>
        <v>0</v>
      </c>
      <c r="S1896" s="400">
        <f t="shared" ca="1" si="1499"/>
        <v>0</v>
      </c>
      <c r="T1896" s="400">
        <f t="shared" ca="1" si="1499"/>
        <v>0</v>
      </c>
      <c r="U1896" s="400">
        <f t="shared" ca="1" si="1499"/>
        <v>0</v>
      </c>
      <c r="V1896" s="400">
        <f t="shared" ca="1" si="1499"/>
        <v>0</v>
      </c>
      <c r="W1896" s="400">
        <f t="shared" ca="1" si="1499"/>
        <v>0</v>
      </c>
      <c r="X1896" s="400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414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21">
        <f ca="1">12-$E1898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415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idden="1">
      <c r="A1901" s="326"/>
      <c r="B1901" s="21" t="s">
        <v>416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idden="1">
      <c r="A1902" s="326"/>
      <c r="B1902" s="21" t="s">
        <v>406</v>
      </c>
      <c r="C1902" s="21"/>
      <c r="D1902" s="22"/>
      <c r="E1902" s="21"/>
      <c r="F1902" s="21"/>
      <c r="G1902" s="21"/>
      <c r="H1902" s="21"/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427</v>
      </c>
      <c r="K1903" s="400">
        <f t="shared" ref="K1903:X1903" ca="1" si="1502">IF(AND(OFFSET($F$269,$D1897,0)="tak",OFFSET($G$269,$D1897,0)="tak",OFFSET($J$269,$D1897,0)="ok",LataProjekcji&lt;=Koniec_Projekt),ROUND(K1900*OFFSET($K$590,$H1903,(COLUMN()-11)),0),0)</f>
        <v>0</v>
      </c>
      <c r="L1903" s="400">
        <f t="shared" ca="1" si="1502"/>
        <v>0</v>
      </c>
      <c r="M1903" s="400">
        <f t="shared" ca="1" si="1502"/>
        <v>0</v>
      </c>
      <c r="N1903" s="400">
        <f t="shared" ca="1" si="1502"/>
        <v>0</v>
      </c>
      <c r="O1903" s="400">
        <f t="shared" ca="1" si="1502"/>
        <v>0</v>
      </c>
      <c r="P1903" s="400">
        <f t="shared" ca="1" si="1502"/>
        <v>0</v>
      </c>
      <c r="Q1903" s="400">
        <f t="shared" ca="1" si="1502"/>
        <v>0</v>
      </c>
      <c r="R1903" s="400">
        <f t="shared" ca="1" si="1502"/>
        <v>0</v>
      </c>
      <c r="S1903" s="400">
        <f t="shared" ca="1" si="1502"/>
        <v>0</v>
      </c>
      <c r="T1903" s="400">
        <f t="shared" ca="1" si="1502"/>
        <v>0</v>
      </c>
      <c r="U1903" s="400">
        <f t="shared" ca="1" si="1502"/>
        <v>0</v>
      </c>
      <c r="V1903" s="400">
        <f t="shared" ca="1" si="1502"/>
        <v>0</v>
      </c>
      <c r="W1903" s="400">
        <f t="shared" ca="1" si="1502"/>
        <v>0</v>
      </c>
      <c r="X1903" s="400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414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21">
        <f ca="1">12-$E1905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415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idden="1">
      <c r="A1908" s="326"/>
      <c r="B1908" s="21" t="s">
        <v>416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idden="1">
      <c r="A1909" s="326"/>
      <c r="B1909" s="21" t="s">
        <v>406</v>
      </c>
      <c r="C1909" s="21"/>
      <c r="D1909" s="22"/>
      <c r="E1909" s="21"/>
      <c r="F1909" s="21"/>
      <c r="G1909" s="21"/>
      <c r="H1909" s="21"/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427</v>
      </c>
      <c r="K1910" s="400">
        <f t="shared" ref="K1910:X1910" ca="1" si="1505">IF(AND(OFFSET($F$269,$D1904,0)="tak",OFFSET($G$269,$D1904,0)="tak",OFFSET($J$269,$D1904,0)="ok",LataProjekcji&lt;=Koniec_Projekt),ROUND(K1907*OFFSET($K$590,$H1910,(COLUMN()-11)),0),0)</f>
        <v>0</v>
      </c>
      <c r="L1910" s="400">
        <f t="shared" ca="1" si="1505"/>
        <v>0</v>
      </c>
      <c r="M1910" s="400">
        <f t="shared" ca="1" si="1505"/>
        <v>0</v>
      </c>
      <c r="N1910" s="400">
        <f t="shared" ca="1" si="1505"/>
        <v>0</v>
      </c>
      <c r="O1910" s="400">
        <f t="shared" ca="1" si="1505"/>
        <v>0</v>
      </c>
      <c r="P1910" s="400">
        <f t="shared" ca="1" si="1505"/>
        <v>0</v>
      </c>
      <c r="Q1910" s="400">
        <f t="shared" ca="1" si="1505"/>
        <v>0</v>
      </c>
      <c r="R1910" s="400">
        <f t="shared" ca="1" si="1505"/>
        <v>0</v>
      </c>
      <c r="S1910" s="400">
        <f t="shared" ca="1" si="1505"/>
        <v>0</v>
      </c>
      <c r="T1910" s="400">
        <f t="shared" ca="1" si="1505"/>
        <v>0</v>
      </c>
      <c r="U1910" s="400">
        <f t="shared" ca="1" si="1505"/>
        <v>0</v>
      </c>
      <c r="V1910" s="400">
        <f t="shared" ca="1" si="1505"/>
        <v>0</v>
      </c>
      <c r="W1910" s="400">
        <f t="shared" ca="1" si="1505"/>
        <v>0</v>
      </c>
      <c r="X1910" s="400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414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21">
        <f ca="1">12-$E1912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415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idden="1">
      <c r="A1915" s="326"/>
      <c r="B1915" s="21" t="s">
        <v>416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idden="1">
      <c r="A1916" s="326"/>
      <c r="B1916" s="21" t="s">
        <v>406</v>
      </c>
      <c r="C1916" s="21"/>
      <c r="D1916" s="22"/>
      <c r="E1916" s="21"/>
      <c r="F1916" s="21"/>
      <c r="G1916" s="21"/>
      <c r="H1916" s="21"/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427</v>
      </c>
      <c r="K1917" s="400">
        <f t="shared" ref="K1917:X1917" ca="1" si="1508">IF(AND(OFFSET($F$269,$D1911,0)="tak",OFFSET($G$269,$D1911,0)="tak",OFFSET($J$269,$D1911,0)="ok",LataProjekcji&lt;=Koniec_Projekt),ROUND(K1914*OFFSET($K$590,$H1917,(COLUMN()-11)),0),0)</f>
        <v>0</v>
      </c>
      <c r="L1917" s="400">
        <f t="shared" ca="1" si="1508"/>
        <v>0</v>
      </c>
      <c r="M1917" s="400">
        <f t="shared" ca="1" si="1508"/>
        <v>0</v>
      </c>
      <c r="N1917" s="400">
        <f t="shared" ca="1" si="1508"/>
        <v>0</v>
      </c>
      <c r="O1917" s="400">
        <f t="shared" ca="1" si="1508"/>
        <v>0</v>
      </c>
      <c r="P1917" s="400">
        <f t="shared" ca="1" si="1508"/>
        <v>0</v>
      </c>
      <c r="Q1917" s="400">
        <f t="shared" ca="1" si="1508"/>
        <v>0</v>
      </c>
      <c r="R1917" s="400">
        <f t="shared" ca="1" si="1508"/>
        <v>0</v>
      </c>
      <c r="S1917" s="400">
        <f t="shared" ca="1" si="1508"/>
        <v>0</v>
      </c>
      <c r="T1917" s="400">
        <f t="shared" ca="1" si="1508"/>
        <v>0</v>
      </c>
      <c r="U1917" s="400">
        <f t="shared" ca="1" si="1508"/>
        <v>0</v>
      </c>
      <c r="V1917" s="400">
        <f t="shared" ca="1" si="1508"/>
        <v>0</v>
      </c>
      <c r="W1917" s="400">
        <f t="shared" ca="1" si="1508"/>
        <v>0</v>
      </c>
      <c r="X1917" s="400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414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21">
        <f ca="1">12-$E1919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415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idden="1">
      <c r="A1922" s="326"/>
      <c r="B1922" s="21" t="s">
        <v>416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idden="1">
      <c r="A1923" s="326"/>
      <c r="B1923" s="21" t="s">
        <v>406</v>
      </c>
      <c r="C1923" s="21"/>
      <c r="D1923" s="22"/>
      <c r="E1923" s="21"/>
      <c r="F1923" s="21"/>
      <c r="G1923" s="21"/>
      <c r="H1923" s="21"/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427</v>
      </c>
      <c r="K1924" s="400">
        <f t="shared" ref="K1924:X1924" ca="1" si="1511">IF(AND(OFFSET($F$269,$D1918,0)="tak",OFFSET($G$269,$D1918,0)="tak",OFFSET($J$269,$D1918,0)="ok",LataProjekcji&lt;=Koniec_Projekt),ROUND(K1921*OFFSET($K$590,$H1924,(COLUMN()-11)),0),0)</f>
        <v>0</v>
      </c>
      <c r="L1924" s="400">
        <f t="shared" ca="1" si="1511"/>
        <v>0</v>
      </c>
      <c r="M1924" s="400">
        <f t="shared" ca="1" si="1511"/>
        <v>0</v>
      </c>
      <c r="N1924" s="400">
        <f t="shared" ca="1" si="1511"/>
        <v>0</v>
      </c>
      <c r="O1924" s="400">
        <f t="shared" ca="1" si="1511"/>
        <v>0</v>
      </c>
      <c r="P1924" s="400">
        <f t="shared" ca="1" si="1511"/>
        <v>0</v>
      </c>
      <c r="Q1924" s="400">
        <f t="shared" ca="1" si="1511"/>
        <v>0</v>
      </c>
      <c r="R1924" s="400">
        <f t="shared" ca="1" si="1511"/>
        <v>0</v>
      </c>
      <c r="S1924" s="400">
        <f t="shared" ca="1" si="1511"/>
        <v>0</v>
      </c>
      <c r="T1924" s="400">
        <f t="shared" ca="1" si="1511"/>
        <v>0</v>
      </c>
      <c r="U1924" s="400">
        <f t="shared" ca="1" si="1511"/>
        <v>0</v>
      </c>
      <c r="V1924" s="400">
        <f t="shared" ca="1" si="1511"/>
        <v>0</v>
      </c>
      <c r="W1924" s="400">
        <f t="shared" ca="1" si="1511"/>
        <v>0</v>
      </c>
      <c r="X1924" s="400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414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21">
        <f ca="1">12-$E1926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415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idden="1">
      <c r="A1929" s="326"/>
      <c r="B1929" s="21" t="s">
        <v>416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idden="1">
      <c r="A1930" s="326"/>
      <c r="B1930" s="21" t="s">
        <v>406</v>
      </c>
      <c r="C1930" s="21"/>
      <c r="D1930" s="22"/>
      <c r="E1930" s="21"/>
      <c r="F1930" s="21"/>
      <c r="G1930" s="21"/>
      <c r="H1930" s="21"/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427</v>
      </c>
      <c r="K1931" s="400">
        <f t="shared" ref="K1931:X1931" ca="1" si="1514">IF(AND(OFFSET($F$269,$D1925,0)="tak",OFFSET($G$269,$D1925,0)="tak",OFFSET($J$269,$D1925,0)="ok",LataProjekcji&lt;=Koniec_Projekt),ROUND(K1928*OFFSET($K$590,$H1931,(COLUMN()-11)),0),0)</f>
        <v>0</v>
      </c>
      <c r="L1931" s="400">
        <f t="shared" ca="1" si="1514"/>
        <v>0</v>
      </c>
      <c r="M1931" s="400">
        <f t="shared" ca="1" si="1514"/>
        <v>0</v>
      </c>
      <c r="N1931" s="400">
        <f t="shared" ca="1" si="1514"/>
        <v>0</v>
      </c>
      <c r="O1931" s="400">
        <f t="shared" ca="1" si="1514"/>
        <v>0</v>
      </c>
      <c r="P1931" s="400">
        <f t="shared" ca="1" si="1514"/>
        <v>0</v>
      </c>
      <c r="Q1931" s="400">
        <f t="shared" ca="1" si="1514"/>
        <v>0</v>
      </c>
      <c r="R1931" s="400">
        <f t="shared" ca="1" si="1514"/>
        <v>0</v>
      </c>
      <c r="S1931" s="400">
        <f t="shared" ca="1" si="1514"/>
        <v>0</v>
      </c>
      <c r="T1931" s="400">
        <f t="shared" ca="1" si="1514"/>
        <v>0</v>
      </c>
      <c r="U1931" s="400">
        <f t="shared" ca="1" si="1514"/>
        <v>0</v>
      </c>
      <c r="V1931" s="400">
        <f t="shared" ca="1" si="1514"/>
        <v>0</v>
      </c>
      <c r="W1931" s="400">
        <f t="shared" ca="1" si="1514"/>
        <v>0</v>
      </c>
      <c r="X1931" s="400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414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21">
        <f ca="1">12-$E1933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415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idden="1">
      <c r="A1936" s="326"/>
      <c r="B1936" s="21" t="s">
        <v>416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idden="1">
      <c r="A1937" s="326"/>
      <c r="B1937" s="21" t="s">
        <v>406</v>
      </c>
      <c r="C1937" s="21"/>
      <c r="D1937" s="22"/>
      <c r="E1937" s="21"/>
      <c r="F1937" s="21"/>
      <c r="G1937" s="21"/>
      <c r="H1937" s="21"/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427</v>
      </c>
      <c r="K1938" s="400">
        <f t="shared" ref="K1938:X1938" ca="1" si="1517">IF(AND(OFFSET($F$269,$D1932,0)="tak",OFFSET($G$269,$D1932,0)="tak",OFFSET($J$269,$D1932,0)="ok",LataProjekcji&lt;=Koniec_Projekt),ROUND(K1935*OFFSET($K$590,$H1938,(COLUMN()-11)),0),0)</f>
        <v>0</v>
      </c>
      <c r="L1938" s="400">
        <f t="shared" ca="1" si="1517"/>
        <v>0</v>
      </c>
      <c r="M1938" s="400">
        <f t="shared" ca="1" si="1517"/>
        <v>0</v>
      </c>
      <c r="N1938" s="400">
        <f t="shared" ca="1" si="1517"/>
        <v>0</v>
      </c>
      <c r="O1938" s="400">
        <f t="shared" ca="1" si="1517"/>
        <v>0</v>
      </c>
      <c r="P1938" s="400">
        <f t="shared" ca="1" si="1517"/>
        <v>0</v>
      </c>
      <c r="Q1938" s="400">
        <f t="shared" ca="1" si="1517"/>
        <v>0</v>
      </c>
      <c r="R1938" s="400">
        <f t="shared" ca="1" si="1517"/>
        <v>0</v>
      </c>
      <c r="S1938" s="400">
        <f t="shared" ca="1" si="1517"/>
        <v>0</v>
      </c>
      <c r="T1938" s="400">
        <f t="shared" ca="1" si="1517"/>
        <v>0</v>
      </c>
      <c r="U1938" s="400">
        <f t="shared" ca="1" si="1517"/>
        <v>0</v>
      </c>
      <c r="V1938" s="400">
        <f t="shared" ca="1" si="1517"/>
        <v>0</v>
      </c>
      <c r="W1938" s="400">
        <f t="shared" ca="1" si="1517"/>
        <v>0</v>
      </c>
      <c r="X1938" s="400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414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21">
        <f ca="1">12-$E1940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415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idden="1">
      <c r="A1943" s="326"/>
      <c r="B1943" s="21" t="s">
        <v>416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idden="1">
      <c r="A1944" s="326"/>
      <c r="B1944" s="21" t="s">
        <v>406</v>
      </c>
      <c r="C1944" s="21"/>
      <c r="D1944" s="22"/>
      <c r="E1944" s="21"/>
      <c r="F1944" s="21"/>
      <c r="G1944" s="21"/>
      <c r="H1944" s="21"/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427</v>
      </c>
      <c r="K1945" s="400">
        <f t="shared" ref="K1945:X1945" ca="1" si="1520">IF(AND(OFFSET($F$269,$D1939,0)="tak",OFFSET($G$269,$D1939,0)="tak",OFFSET($J$269,$D1939,0)="ok",LataProjekcji&lt;=Koniec_Projekt),ROUND(K1942*OFFSET($K$590,$H1945,(COLUMN()-11)),0),0)</f>
        <v>0</v>
      </c>
      <c r="L1945" s="400">
        <f t="shared" ca="1" si="1520"/>
        <v>0</v>
      </c>
      <c r="M1945" s="400">
        <f t="shared" ca="1" si="1520"/>
        <v>0</v>
      </c>
      <c r="N1945" s="400">
        <f t="shared" ca="1" si="1520"/>
        <v>0</v>
      </c>
      <c r="O1945" s="400">
        <f t="shared" ca="1" si="1520"/>
        <v>0</v>
      </c>
      <c r="P1945" s="400">
        <f t="shared" ca="1" si="1520"/>
        <v>0</v>
      </c>
      <c r="Q1945" s="400">
        <f t="shared" ca="1" si="1520"/>
        <v>0</v>
      </c>
      <c r="R1945" s="400">
        <f t="shared" ca="1" si="1520"/>
        <v>0</v>
      </c>
      <c r="S1945" s="400">
        <f t="shared" ca="1" si="1520"/>
        <v>0</v>
      </c>
      <c r="T1945" s="400">
        <f t="shared" ca="1" si="1520"/>
        <v>0</v>
      </c>
      <c r="U1945" s="400">
        <f t="shared" ca="1" si="1520"/>
        <v>0</v>
      </c>
      <c r="V1945" s="400">
        <f t="shared" ca="1" si="1520"/>
        <v>0</v>
      </c>
      <c r="W1945" s="400">
        <f t="shared" ca="1" si="1520"/>
        <v>0</v>
      </c>
      <c r="X1945" s="400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414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21">
        <f ca="1">12-$E1947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415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idden="1">
      <c r="A1950" s="326"/>
      <c r="B1950" s="21" t="s">
        <v>416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idden="1">
      <c r="A1951" s="326"/>
      <c r="B1951" s="21" t="s">
        <v>406</v>
      </c>
      <c r="C1951" s="21"/>
      <c r="D1951" s="22"/>
      <c r="E1951" s="21"/>
      <c r="F1951" s="21"/>
      <c r="G1951" s="21"/>
      <c r="H1951" s="21"/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427</v>
      </c>
      <c r="K1952" s="400">
        <f t="shared" ref="K1952:X1952" ca="1" si="1523">IF(AND(OFFSET($F$269,$D1946,0)="tak",OFFSET($G$269,$D1946,0)="tak",OFFSET($J$269,$D1946,0)="ok",LataProjekcji&lt;=Koniec_Projekt),ROUND(K1949*OFFSET($K$590,$H1952,(COLUMN()-11)),0),0)</f>
        <v>0</v>
      </c>
      <c r="L1952" s="400">
        <f t="shared" ca="1" si="1523"/>
        <v>0</v>
      </c>
      <c r="M1952" s="400">
        <f t="shared" ca="1" si="1523"/>
        <v>0</v>
      </c>
      <c r="N1952" s="400">
        <f t="shared" ca="1" si="1523"/>
        <v>0</v>
      </c>
      <c r="O1952" s="400">
        <f t="shared" ca="1" si="1523"/>
        <v>0</v>
      </c>
      <c r="P1952" s="400">
        <f t="shared" ca="1" si="1523"/>
        <v>0</v>
      </c>
      <c r="Q1952" s="400">
        <f t="shared" ca="1" si="1523"/>
        <v>0</v>
      </c>
      <c r="R1952" s="400">
        <f t="shared" ca="1" si="1523"/>
        <v>0</v>
      </c>
      <c r="S1952" s="400">
        <f t="shared" ca="1" si="1523"/>
        <v>0</v>
      </c>
      <c r="T1952" s="400">
        <f t="shared" ca="1" si="1523"/>
        <v>0</v>
      </c>
      <c r="U1952" s="400">
        <f t="shared" ca="1" si="1523"/>
        <v>0</v>
      </c>
      <c r="V1952" s="400">
        <f t="shared" ca="1" si="1523"/>
        <v>0</v>
      </c>
      <c r="W1952" s="400">
        <f t="shared" ca="1" si="1523"/>
        <v>0</v>
      </c>
      <c r="X1952" s="400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5" hidden="1" thickBot="1">
      <c r="A1957" s="326"/>
      <c r="B1957" s="459" t="s">
        <v>748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411</v>
      </c>
      <c r="G1958" s="48"/>
      <c r="H1958" s="50" t="s">
        <v>412</v>
      </c>
      <c r="I1958" s="21" t="s">
        <v>413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414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21">
        <f ca="1">12-$E1959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426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415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idden="1">
      <c r="A1962" s="326"/>
      <c r="B1962" s="21" t="s">
        <v>416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idden="1">
      <c r="A1963" s="326"/>
      <c r="B1963" s="21" t="s">
        <v>406</v>
      </c>
      <c r="C1963" s="21"/>
      <c r="D1963" s="22"/>
      <c r="E1963" s="21"/>
      <c r="F1963" s="21"/>
      <c r="G1963" s="21"/>
      <c r="H1963" s="21"/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427</v>
      </c>
      <c r="K1964" s="400">
        <f t="shared" ref="K1964:X1964" ca="1" si="1526">IF(AND(OFFSET($F$269,$D1958,0)="tak",OFFSET($G$269,$D1958,0)="tak",OFFSET($J$269,$D1958,0)="ok",LataProjekcji&lt;=Koniec_Projekt),ROUND(K1961*OFFSET($K$632,$H1964,(COLUMN()-11)),0),0)</f>
        <v>0</v>
      </c>
      <c r="L1964" s="400">
        <f t="shared" ca="1" si="1526"/>
        <v>0</v>
      </c>
      <c r="M1964" s="400">
        <f t="shared" ca="1" si="1526"/>
        <v>0</v>
      </c>
      <c r="N1964" s="400">
        <f t="shared" ca="1" si="1526"/>
        <v>0</v>
      </c>
      <c r="O1964" s="400">
        <f t="shared" ca="1" si="1526"/>
        <v>0</v>
      </c>
      <c r="P1964" s="400">
        <f t="shared" ca="1" si="1526"/>
        <v>0</v>
      </c>
      <c r="Q1964" s="400">
        <f t="shared" ca="1" si="1526"/>
        <v>0</v>
      </c>
      <c r="R1964" s="400">
        <f t="shared" ca="1" si="1526"/>
        <v>0</v>
      </c>
      <c r="S1964" s="400">
        <f t="shared" ca="1" si="1526"/>
        <v>0</v>
      </c>
      <c r="T1964" s="400">
        <f t="shared" ca="1" si="1526"/>
        <v>0</v>
      </c>
      <c r="U1964" s="400">
        <f t="shared" ca="1" si="1526"/>
        <v>0</v>
      </c>
      <c r="V1964" s="400">
        <f t="shared" ca="1" si="1526"/>
        <v>0</v>
      </c>
      <c r="W1964" s="400">
        <f t="shared" ca="1" si="1526"/>
        <v>0</v>
      </c>
      <c r="X1964" s="400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414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21">
        <f ca="1">12-$E1966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415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idden="1">
      <c r="A1969" s="326"/>
      <c r="B1969" s="21" t="s">
        <v>416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idden="1">
      <c r="A1970" s="326"/>
      <c r="B1970" s="21" t="s">
        <v>406</v>
      </c>
      <c r="C1970" s="21"/>
      <c r="D1970" s="22"/>
      <c r="E1970" s="21"/>
      <c r="F1970" s="21"/>
      <c r="G1970" s="21"/>
      <c r="H1970" s="21"/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427</v>
      </c>
      <c r="K1971" s="400">
        <f t="shared" ref="K1971:X1971" ca="1" si="1529">IF(AND(OFFSET($F$269,$D1965,0)="tak",OFFSET($G$269,$D1965,0)="tak",OFFSET($J$269,$D1965,0)="ok",LataProjekcji&lt;=Koniec_Projekt),ROUND(K1968*OFFSET($K$632,$H1971,(COLUMN()-11)),0),0)</f>
        <v>0</v>
      </c>
      <c r="L1971" s="400">
        <f t="shared" ca="1" si="1529"/>
        <v>0</v>
      </c>
      <c r="M1971" s="400">
        <f t="shared" ca="1" si="1529"/>
        <v>0</v>
      </c>
      <c r="N1971" s="400">
        <f t="shared" ca="1" si="1529"/>
        <v>0</v>
      </c>
      <c r="O1971" s="400">
        <f t="shared" ca="1" si="1529"/>
        <v>0</v>
      </c>
      <c r="P1971" s="400">
        <f t="shared" ca="1" si="1529"/>
        <v>0</v>
      </c>
      <c r="Q1971" s="400">
        <f t="shared" ca="1" si="1529"/>
        <v>0</v>
      </c>
      <c r="R1971" s="400">
        <f t="shared" ca="1" si="1529"/>
        <v>0</v>
      </c>
      <c r="S1971" s="400">
        <f t="shared" ca="1" si="1529"/>
        <v>0</v>
      </c>
      <c r="T1971" s="400">
        <f t="shared" ca="1" si="1529"/>
        <v>0</v>
      </c>
      <c r="U1971" s="400">
        <f t="shared" ca="1" si="1529"/>
        <v>0</v>
      </c>
      <c r="V1971" s="400">
        <f t="shared" ca="1" si="1529"/>
        <v>0</v>
      </c>
      <c r="W1971" s="400">
        <f t="shared" ca="1" si="1529"/>
        <v>0</v>
      </c>
      <c r="X1971" s="400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414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21">
        <f ca="1">12-$E1973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415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idden="1">
      <c r="A1976" s="326"/>
      <c r="B1976" s="21" t="s">
        <v>416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idden="1">
      <c r="A1977" s="326"/>
      <c r="B1977" s="21" t="s">
        <v>406</v>
      </c>
      <c r="C1977" s="21"/>
      <c r="D1977" s="22"/>
      <c r="E1977" s="21"/>
      <c r="F1977" s="21"/>
      <c r="G1977" s="21"/>
      <c r="H1977" s="21"/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427</v>
      </c>
      <c r="K1978" s="400">
        <f t="shared" ref="K1978:X1978" ca="1" si="1532">IF(AND(OFFSET($F$269,$D1972,0)="tak",OFFSET($G$269,$D1972,0)="tak",OFFSET($J$269,$D1972,0)="ok",LataProjekcji&lt;=Koniec_Projekt),ROUND(K1975*OFFSET($K$632,$H1978,(COLUMN()-11)),0),0)</f>
        <v>0</v>
      </c>
      <c r="L1978" s="400">
        <f t="shared" ca="1" si="1532"/>
        <v>0</v>
      </c>
      <c r="M1978" s="400">
        <f t="shared" ca="1" si="1532"/>
        <v>0</v>
      </c>
      <c r="N1978" s="400">
        <f t="shared" ca="1" si="1532"/>
        <v>0</v>
      </c>
      <c r="O1978" s="400">
        <f t="shared" ca="1" si="1532"/>
        <v>0</v>
      </c>
      <c r="P1978" s="400">
        <f t="shared" ca="1" si="1532"/>
        <v>0</v>
      </c>
      <c r="Q1978" s="400">
        <f t="shared" ca="1" si="1532"/>
        <v>0</v>
      </c>
      <c r="R1978" s="400">
        <f t="shared" ca="1" si="1532"/>
        <v>0</v>
      </c>
      <c r="S1978" s="400">
        <f t="shared" ca="1" si="1532"/>
        <v>0</v>
      </c>
      <c r="T1978" s="400">
        <f t="shared" ca="1" si="1532"/>
        <v>0</v>
      </c>
      <c r="U1978" s="400">
        <f t="shared" ca="1" si="1532"/>
        <v>0</v>
      </c>
      <c r="V1978" s="400">
        <f t="shared" ca="1" si="1532"/>
        <v>0</v>
      </c>
      <c r="W1978" s="400">
        <f t="shared" ca="1" si="1532"/>
        <v>0</v>
      </c>
      <c r="X1978" s="400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414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21">
        <f ca="1">12-$E1980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415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idden="1">
      <c r="A1983" s="326"/>
      <c r="B1983" s="21" t="s">
        <v>416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idden="1">
      <c r="A1984" s="326"/>
      <c r="B1984" s="21" t="s">
        <v>406</v>
      </c>
      <c r="C1984" s="21"/>
      <c r="D1984" s="22"/>
      <c r="E1984" s="21"/>
      <c r="F1984" s="21"/>
      <c r="G1984" s="21"/>
      <c r="H1984" s="21"/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427</v>
      </c>
      <c r="K1985" s="400">
        <f t="shared" ref="K1985:X1985" ca="1" si="1535">IF(AND(OFFSET($F$269,$D1979,0)="tak",OFFSET($G$269,$D1979,0)="tak",OFFSET($J$269,$D1979,0)="ok",LataProjekcji&lt;=Koniec_Projekt),ROUND(K1982*OFFSET($K$632,$H1985,(COLUMN()-11)),0),0)</f>
        <v>0</v>
      </c>
      <c r="L1985" s="400">
        <f t="shared" ca="1" si="1535"/>
        <v>0</v>
      </c>
      <c r="M1985" s="400">
        <f t="shared" ca="1" si="1535"/>
        <v>0</v>
      </c>
      <c r="N1985" s="400">
        <f t="shared" ca="1" si="1535"/>
        <v>0</v>
      </c>
      <c r="O1985" s="400">
        <f t="shared" ca="1" si="1535"/>
        <v>0</v>
      </c>
      <c r="P1985" s="400">
        <f t="shared" ca="1" si="1535"/>
        <v>0</v>
      </c>
      <c r="Q1985" s="400">
        <f t="shared" ca="1" si="1535"/>
        <v>0</v>
      </c>
      <c r="R1985" s="400">
        <f t="shared" ca="1" si="1535"/>
        <v>0</v>
      </c>
      <c r="S1985" s="400">
        <f t="shared" ca="1" si="1535"/>
        <v>0</v>
      </c>
      <c r="T1985" s="400">
        <f t="shared" ca="1" si="1535"/>
        <v>0</v>
      </c>
      <c r="U1985" s="400">
        <f t="shared" ca="1" si="1535"/>
        <v>0</v>
      </c>
      <c r="V1985" s="400">
        <f t="shared" ca="1" si="1535"/>
        <v>0</v>
      </c>
      <c r="W1985" s="400">
        <f t="shared" ca="1" si="1535"/>
        <v>0</v>
      </c>
      <c r="X1985" s="400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414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21">
        <f ca="1">12-$E1987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415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idden="1">
      <c r="A1990" s="326"/>
      <c r="B1990" s="21" t="s">
        <v>416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idden="1">
      <c r="A1991" s="326"/>
      <c r="B1991" s="21" t="s">
        <v>406</v>
      </c>
      <c r="C1991" s="21"/>
      <c r="D1991" s="22"/>
      <c r="E1991" s="21"/>
      <c r="F1991" s="21"/>
      <c r="G1991" s="21"/>
      <c r="H1991" s="21"/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427</v>
      </c>
      <c r="K1992" s="400">
        <f t="shared" ref="K1992:X1992" ca="1" si="1538">IF(AND(OFFSET($F$269,$D1986,0)="tak",OFFSET($G$269,$D1986,0)="tak",OFFSET($J$269,$D1986,0)="ok",LataProjekcji&lt;=Koniec_Projekt),ROUND(K1989*OFFSET($K$632,$H1992,(COLUMN()-11)),0),0)</f>
        <v>0</v>
      </c>
      <c r="L1992" s="400">
        <f t="shared" ca="1" si="1538"/>
        <v>0</v>
      </c>
      <c r="M1992" s="400">
        <f t="shared" ca="1" si="1538"/>
        <v>0</v>
      </c>
      <c r="N1992" s="400">
        <f t="shared" ca="1" si="1538"/>
        <v>0</v>
      </c>
      <c r="O1992" s="400">
        <f t="shared" ca="1" si="1538"/>
        <v>0</v>
      </c>
      <c r="P1992" s="400">
        <f t="shared" ca="1" si="1538"/>
        <v>0</v>
      </c>
      <c r="Q1992" s="400">
        <f t="shared" ca="1" si="1538"/>
        <v>0</v>
      </c>
      <c r="R1992" s="400">
        <f t="shared" ca="1" si="1538"/>
        <v>0</v>
      </c>
      <c r="S1992" s="400">
        <f t="shared" ca="1" si="1538"/>
        <v>0</v>
      </c>
      <c r="T1992" s="400">
        <f t="shared" ca="1" si="1538"/>
        <v>0</v>
      </c>
      <c r="U1992" s="400">
        <f t="shared" ca="1" si="1538"/>
        <v>0</v>
      </c>
      <c r="V1992" s="400">
        <f t="shared" ca="1" si="1538"/>
        <v>0</v>
      </c>
      <c r="W1992" s="400">
        <f t="shared" ca="1" si="1538"/>
        <v>0</v>
      </c>
      <c r="X1992" s="400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414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21">
        <f ca="1">12-$E1994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415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idden="1">
      <c r="A1997" s="326"/>
      <c r="B1997" s="21" t="s">
        <v>416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idden="1">
      <c r="A1998" s="326"/>
      <c r="B1998" s="21" t="s">
        <v>406</v>
      </c>
      <c r="C1998" s="21"/>
      <c r="D1998" s="22"/>
      <c r="E1998" s="21"/>
      <c r="F1998" s="21"/>
      <c r="G1998" s="21"/>
      <c r="H1998" s="21"/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427</v>
      </c>
      <c r="K1999" s="400">
        <f t="shared" ref="K1999:X1999" ca="1" si="1541">IF(AND(OFFSET($F$269,$D1993,0)="tak",OFFSET($G$269,$D1993,0)="tak",OFFSET($J$269,$D1993,0)="ok",LataProjekcji&lt;=Koniec_Projekt),ROUND(K1996*OFFSET($K$632,$H1999,(COLUMN()-11)),0),0)</f>
        <v>0</v>
      </c>
      <c r="L1999" s="400">
        <f t="shared" ca="1" si="1541"/>
        <v>0</v>
      </c>
      <c r="M1999" s="400">
        <f t="shared" ca="1" si="1541"/>
        <v>0</v>
      </c>
      <c r="N1999" s="400">
        <f t="shared" ca="1" si="1541"/>
        <v>0</v>
      </c>
      <c r="O1999" s="400">
        <f t="shared" ca="1" si="1541"/>
        <v>0</v>
      </c>
      <c r="P1999" s="400">
        <f t="shared" ca="1" si="1541"/>
        <v>0</v>
      </c>
      <c r="Q1999" s="400">
        <f t="shared" ca="1" si="1541"/>
        <v>0</v>
      </c>
      <c r="R1999" s="400">
        <f t="shared" ca="1" si="1541"/>
        <v>0</v>
      </c>
      <c r="S1999" s="400">
        <f t="shared" ca="1" si="1541"/>
        <v>0</v>
      </c>
      <c r="T1999" s="400">
        <f t="shared" ca="1" si="1541"/>
        <v>0</v>
      </c>
      <c r="U1999" s="400">
        <f t="shared" ca="1" si="1541"/>
        <v>0</v>
      </c>
      <c r="V1999" s="400">
        <f t="shared" ca="1" si="1541"/>
        <v>0</v>
      </c>
      <c r="W1999" s="400">
        <f t="shared" ca="1" si="1541"/>
        <v>0</v>
      </c>
      <c r="X1999" s="400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414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21">
        <f ca="1">12-$E2001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415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idden="1">
      <c r="A2004" s="326"/>
      <c r="B2004" s="21" t="s">
        <v>416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idden="1">
      <c r="A2005" s="326"/>
      <c r="B2005" s="21" t="s">
        <v>406</v>
      </c>
      <c r="C2005" s="21"/>
      <c r="D2005" s="22"/>
      <c r="E2005" s="21"/>
      <c r="F2005" s="21"/>
      <c r="G2005" s="21"/>
      <c r="H2005" s="21"/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427</v>
      </c>
      <c r="K2006" s="400">
        <f t="shared" ref="K2006:X2006" ca="1" si="1544">IF(AND(OFFSET($F$269,$D2000,0)="tak",OFFSET($G$269,$D2000,0)="tak",OFFSET($J$269,$D2000,0)="ok",LataProjekcji&lt;=Koniec_Projekt),ROUND(K2003*OFFSET($K$632,$H2006,(COLUMN()-11)),0),0)</f>
        <v>0</v>
      </c>
      <c r="L2006" s="400">
        <f t="shared" ca="1" si="1544"/>
        <v>0</v>
      </c>
      <c r="M2006" s="400">
        <f t="shared" ca="1" si="1544"/>
        <v>0</v>
      </c>
      <c r="N2006" s="400">
        <f t="shared" ca="1" si="1544"/>
        <v>0</v>
      </c>
      <c r="O2006" s="400">
        <f t="shared" ca="1" si="1544"/>
        <v>0</v>
      </c>
      <c r="P2006" s="400">
        <f t="shared" ca="1" si="1544"/>
        <v>0</v>
      </c>
      <c r="Q2006" s="400">
        <f t="shared" ca="1" si="1544"/>
        <v>0</v>
      </c>
      <c r="R2006" s="400">
        <f t="shared" ca="1" si="1544"/>
        <v>0</v>
      </c>
      <c r="S2006" s="400">
        <f t="shared" ca="1" si="1544"/>
        <v>0</v>
      </c>
      <c r="T2006" s="400">
        <f t="shared" ca="1" si="1544"/>
        <v>0</v>
      </c>
      <c r="U2006" s="400">
        <f t="shared" ca="1" si="1544"/>
        <v>0</v>
      </c>
      <c r="V2006" s="400">
        <f t="shared" ca="1" si="1544"/>
        <v>0</v>
      </c>
      <c r="W2006" s="400">
        <f t="shared" ca="1" si="1544"/>
        <v>0</v>
      </c>
      <c r="X2006" s="400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414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21">
        <f ca="1">12-$E2008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415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idden="1">
      <c r="A2011" s="326"/>
      <c r="B2011" s="21" t="s">
        <v>416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idden="1">
      <c r="A2012" s="326"/>
      <c r="B2012" s="21" t="s">
        <v>406</v>
      </c>
      <c r="C2012" s="21"/>
      <c r="D2012" s="22"/>
      <c r="E2012" s="21"/>
      <c r="F2012" s="21"/>
      <c r="G2012" s="21"/>
      <c r="H2012" s="21"/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427</v>
      </c>
      <c r="K2013" s="400">
        <f t="shared" ref="K2013:X2013" ca="1" si="1547">IF(AND(OFFSET($F$269,$D2007,0)="tak",OFFSET($G$269,$D2007,0)="tak",OFFSET($J$269,$D2007,0)="ok",LataProjekcji&lt;=Koniec_Projekt),ROUND(K2010*OFFSET($K$632,$H2013,(COLUMN()-11)),0),0)</f>
        <v>0</v>
      </c>
      <c r="L2013" s="400">
        <f t="shared" ca="1" si="1547"/>
        <v>0</v>
      </c>
      <c r="M2013" s="400">
        <f t="shared" ca="1" si="1547"/>
        <v>0</v>
      </c>
      <c r="N2013" s="400">
        <f t="shared" ca="1" si="1547"/>
        <v>0</v>
      </c>
      <c r="O2013" s="400">
        <f t="shared" ca="1" si="1547"/>
        <v>0</v>
      </c>
      <c r="P2013" s="400">
        <f t="shared" ca="1" si="1547"/>
        <v>0</v>
      </c>
      <c r="Q2013" s="400">
        <f t="shared" ca="1" si="1547"/>
        <v>0</v>
      </c>
      <c r="R2013" s="400">
        <f t="shared" ca="1" si="1547"/>
        <v>0</v>
      </c>
      <c r="S2013" s="400">
        <f t="shared" ca="1" si="1547"/>
        <v>0</v>
      </c>
      <c r="T2013" s="400">
        <f t="shared" ca="1" si="1547"/>
        <v>0</v>
      </c>
      <c r="U2013" s="400">
        <f t="shared" ca="1" si="1547"/>
        <v>0</v>
      </c>
      <c r="V2013" s="400">
        <f t="shared" ca="1" si="1547"/>
        <v>0</v>
      </c>
      <c r="W2013" s="400">
        <f t="shared" ca="1" si="1547"/>
        <v>0</v>
      </c>
      <c r="X2013" s="400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414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21">
        <f ca="1">12-$E2015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415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idden="1">
      <c r="A2018" s="326"/>
      <c r="B2018" s="21" t="s">
        <v>416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idden="1">
      <c r="A2019" s="326"/>
      <c r="B2019" s="21" t="s">
        <v>406</v>
      </c>
      <c r="C2019" s="21"/>
      <c r="D2019" s="22"/>
      <c r="E2019" s="21"/>
      <c r="F2019" s="21"/>
      <c r="G2019" s="21"/>
      <c r="H2019" s="21"/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427</v>
      </c>
      <c r="K2020" s="400">
        <f t="shared" ref="K2020:X2020" ca="1" si="1550">IF(AND(OFFSET($F$269,$D2014,0)="tak",OFFSET($G$269,$D2014,0)="tak",OFFSET($J$269,$D2014,0)="ok",LataProjekcji&lt;=Koniec_Projekt),ROUND(K2017*OFFSET($K$632,$H2020,(COLUMN()-11)),0),0)</f>
        <v>0</v>
      </c>
      <c r="L2020" s="400">
        <f t="shared" ca="1" si="1550"/>
        <v>0</v>
      </c>
      <c r="M2020" s="400">
        <f t="shared" ca="1" si="1550"/>
        <v>0</v>
      </c>
      <c r="N2020" s="400">
        <f t="shared" ca="1" si="1550"/>
        <v>0</v>
      </c>
      <c r="O2020" s="400">
        <f t="shared" ca="1" si="1550"/>
        <v>0</v>
      </c>
      <c r="P2020" s="400">
        <f t="shared" ca="1" si="1550"/>
        <v>0</v>
      </c>
      <c r="Q2020" s="400">
        <f t="shared" ca="1" si="1550"/>
        <v>0</v>
      </c>
      <c r="R2020" s="400">
        <f t="shared" ca="1" si="1550"/>
        <v>0</v>
      </c>
      <c r="S2020" s="400">
        <f t="shared" ca="1" si="1550"/>
        <v>0</v>
      </c>
      <c r="T2020" s="400">
        <f t="shared" ca="1" si="1550"/>
        <v>0</v>
      </c>
      <c r="U2020" s="400">
        <f t="shared" ca="1" si="1550"/>
        <v>0</v>
      </c>
      <c r="V2020" s="400">
        <f t="shared" ca="1" si="1550"/>
        <v>0</v>
      </c>
      <c r="W2020" s="400">
        <f t="shared" ca="1" si="1550"/>
        <v>0</v>
      </c>
      <c r="X2020" s="400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414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21">
        <f ca="1">12-$E2022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415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idden="1">
      <c r="A2025" s="326"/>
      <c r="B2025" s="21" t="s">
        <v>416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idden="1">
      <c r="A2026" s="326"/>
      <c r="B2026" s="21" t="s">
        <v>406</v>
      </c>
      <c r="C2026" s="21"/>
      <c r="D2026" s="22"/>
      <c r="E2026" s="21"/>
      <c r="F2026" s="21"/>
      <c r="G2026" s="21"/>
      <c r="H2026" s="21"/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427</v>
      </c>
      <c r="K2027" s="400">
        <f t="shared" ref="K2027:X2027" ca="1" si="1553">IF(AND(OFFSET($F$269,$D2021,0)="tak",OFFSET($G$269,$D2021,0)="tak",OFFSET($J$269,$D2021,0)="ok",LataProjekcji&lt;=Koniec_Projekt),ROUND(K2024*OFFSET($K$632,$H2027,(COLUMN()-11)),0),0)</f>
        <v>0</v>
      </c>
      <c r="L2027" s="400">
        <f t="shared" ca="1" si="1553"/>
        <v>0</v>
      </c>
      <c r="M2027" s="400">
        <f t="shared" ca="1" si="1553"/>
        <v>0</v>
      </c>
      <c r="N2027" s="400">
        <f t="shared" ca="1" si="1553"/>
        <v>0</v>
      </c>
      <c r="O2027" s="400">
        <f t="shared" ca="1" si="1553"/>
        <v>0</v>
      </c>
      <c r="P2027" s="400">
        <f t="shared" ca="1" si="1553"/>
        <v>0</v>
      </c>
      <c r="Q2027" s="400">
        <f t="shared" ca="1" si="1553"/>
        <v>0</v>
      </c>
      <c r="R2027" s="400">
        <f t="shared" ca="1" si="1553"/>
        <v>0</v>
      </c>
      <c r="S2027" s="400">
        <f t="shared" ca="1" si="1553"/>
        <v>0</v>
      </c>
      <c r="T2027" s="400">
        <f t="shared" ca="1" si="1553"/>
        <v>0</v>
      </c>
      <c r="U2027" s="400">
        <f t="shared" ca="1" si="1553"/>
        <v>0</v>
      </c>
      <c r="V2027" s="400">
        <f t="shared" ca="1" si="1553"/>
        <v>0</v>
      </c>
      <c r="W2027" s="400">
        <f t="shared" ca="1" si="1553"/>
        <v>0</v>
      </c>
      <c r="X2027" s="400">
        <f t="shared" ca="1" si="1553"/>
        <v>0</v>
      </c>
    </row>
    <row r="2028" spans="1:24" hidden="1">
      <c r="A2028" s="326"/>
    </row>
    <row r="2031" spans="1:24" hidden="1">
      <c r="B2031" s="1" t="s">
        <v>440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441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442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443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444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443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445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443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ISNUMBER(MATCH(mod_dot_st_wbudowie_npv,Moduły!$B$77,0))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446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746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416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747</v>
      </c>
    </row>
    <row r="2273" spans="2:24" hidden="1">
      <c r="H2273" s="1" t="s">
        <v>381</v>
      </c>
      <c r="I2273" s="1">
        <v>0</v>
      </c>
      <c r="J2273" s="5">
        <f ca="1">OFFSET($J$15,I2273,0)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H2274" s="1" t="s">
        <v>387</v>
      </c>
      <c r="I2274" s="1">
        <f t="shared" ref="I2274:I2280" si="1702">I2273+8</f>
        <v>8</v>
      </c>
      <c r="J2274" s="5">
        <f t="shared" ref="J2274:J2280" ca="1" si="1703">OFFSET($J$15,I2274,0)</f>
        <v>0</v>
      </c>
      <c r="K2274" s="5">
        <f t="shared" ref="K2274:X2280" ca="1" si="1704">$J2274-K2262</f>
        <v>0</v>
      </c>
      <c r="L2274" s="5">
        <f t="shared" ca="1" si="1704"/>
        <v>0</v>
      </c>
      <c r="M2274" s="5">
        <f t="shared" ca="1" si="1704"/>
        <v>0</v>
      </c>
      <c r="N2274" s="5">
        <f t="shared" ca="1" si="1704"/>
        <v>0</v>
      </c>
      <c r="O2274" s="5">
        <f t="shared" ca="1" si="1704"/>
        <v>0</v>
      </c>
      <c r="P2274" s="5">
        <f t="shared" ca="1" si="1704"/>
        <v>0</v>
      </c>
      <c r="Q2274" s="5">
        <f t="shared" ca="1" si="1704"/>
        <v>0</v>
      </c>
      <c r="R2274" s="5">
        <f t="shared" ca="1" si="1704"/>
        <v>0</v>
      </c>
      <c r="S2274" s="5">
        <f t="shared" ca="1" si="1704"/>
        <v>0</v>
      </c>
      <c r="T2274" s="5">
        <f t="shared" ca="1" si="1704"/>
        <v>0</v>
      </c>
      <c r="U2274" s="5">
        <f t="shared" ca="1" si="1704"/>
        <v>0</v>
      </c>
      <c r="V2274" s="5">
        <f t="shared" ca="1" si="1704"/>
        <v>0</v>
      </c>
      <c r="W2274" s="5">
        <f t="shared" ca="1" si="1704"/>
        <v>0</v>
      </c>
      <c r="X2274" s="5">
        <f t="shared" ca="1" si="1704"/>
        <v>0</v>
      </c>
    </row>
    <row r="2275" spans="2:24" hidden="1">
      <c r="H2275" s="1" t="s">
        <v>388</v>
      </c>
      <c r="I2275" s="1">
        <f t="shared" si="1702"/>
        <v>16</v>
      </c>
      <c r="J2275" s="5">
        <f t="shared" ca="1" si="1703"/>
        <v>0</v>
      </c>
      <c r="K2275" s="5">
        <f t="shared" ca="1" si="1704"/>
        <v>0</v>
      </c>
      <c r="L2275" s="5">
        <f t="shared" ca="1" si="1704"/>
        <v>0</v>
      </c>
      <c r="M2275" s="5">
        <f t="shared" ca="1" si="1704"/>
        <v>0</v>
      </c>
      <c r="N2275" s="5">
        <f t="shared" ca="1" si="1704"/>
        <v>0</v>
      </c>
      <c r="O2275" s="5">
        <f t="shared" ca="1" si="1704"/>
        <v>0</v>
      </c>
      <c r="P2275" s="5">
        <f t="shared" ca="1" si="1704"/>
        <v>0</v>
      </c>
      <c r="Q2275" s="5">
        <f t="shared" ca="1" si="1704"/>
        <v>0</v>
      </c>
      <c r="R2275" s="5">
        <f t="shared" ca="1" si="1704"/>
        <v>0</v>
      </c>
      <c r="S2275" s="5">
        <f t="shared" ca="1" si="1704"/>
        <v>0</v>
      </c>
      <c r="T2275" s="5">
        <f t="shared" ca="1" si="1704"/>
        <v>0</v>
      </c>
      <c r="U2275" s="5">
        <f t="shared" ca="1" si="1704"/>
        <v>0</v>
      </c>
      <c r="V2275" s="5">
        <f t="shared" ca="1" si="1704"/>
        <v>0</v>
      </c>
      <c r="W2275" s="5">
        <f t="shared" ca="1" si="1704"/>
        <v>0</v>
      </c>
      <c r="X2275" s="5">
        <f t="shared" ca="1" si="1704"/>
        <v>0</v>
      </c>
    </row>
    <row r="2276" spans="2:24" hidden="1">
      <c r="H2276" s="1" t="s">
        <v>389</v>
      </c>
      <c r="I2276" s="1">
        <f t="shared" si="1702"/>
        <v>24</v>
      </c>
      <c r="J2276" s="5">
        <f t="shared" ca="1" si="1703"/>
        <v>0</v>
      </c>
      <c r="K2276" s="5">
        <f t="shared" ca="1" si="1704"/>
        <v>0</v>
      </c>
      <c r="L2276" s="5">
        <f t="shared" ca="1" si="1704"/>
        <v>0</v>
      </c>
      <c r="M2276" s="5">
        <f t="shared" ca="1" si="1704"/>
        <v>0</v>
      </c>
      <c r="N2276" s="5">
        <f t="shared" ca="1" si="1704"/>
        <v>0</v>
      </c>
      <c r="O2276" s="5">
        <f t="shared" ca="1" si="1704"/>
        <v>0</v>
      </c>
      <c r="P2276" s="5">
        <f t="shared" ca="1" si="1704"/>
        <v>0</v>
      </c>
      <c r="Q2276" s="5">
        <f t="shared" ca="1" si="1704"/>
        <v>0</v>
      </c>
      <c r="R2276" s="5">
        <f t="shared" ca="1" si="1704"/>
        <v>0</v>
      </c>
      <c r="S2276" s="5">
        <f t="shared" ca="1" si="1704"/>
        <v>0</v>
      </c>
      <c r="T2276" s="5">
        <f t="shared" ca="1" si="1704"/>
        <v>0</v>
      </c>
      <c r="U2276" s="5">
        <f t="shared" ca="1" si="1704"/>
        <v>0</v>
      </c>
      <c r="V2276" s="5">
        <f t="shared" ca="1" si="1704"/>
        <v>0</v>
      </c>
      <c r="W2276" s="5">
        <f t="shared" ca="1" si="1704"/>
        <v>0</v>
      </c>
      <c r="X2276" s="5">
        <f t="shared" ca="1" si="1704"/>
        <v>0</v>
      </c>
    </row>
    <row r="2277" spans="2:24" hidden="1">
      <c r="H2277" s="1" t="s">
        <v>390</v>
      </c>
      <c r="I2277" s="1">
        <f t="shared" si="1702"/>
        <v>32</v>
      </c>
      <c r="J2277" s="5">
        <f t="shared" ca="1" si="1703"/>
        <v>0</v>
      </c>
      <c r="K2277" s="5">
        <f t="shared" ca="1" si="1704"/>
        <v>0</v>
      </c>
      <c r="L2277" s="5">
        <f t="shared" ca="1" si="1704"/>
        <v>0</v>
      </c>
      <c r="M2277" s="5">
        <f t="shared" ca="1" si="1704"/>
        <v>0</v>
      </c>
      <c r="N2277" s="5">
        <f t="shared" ca="1" si="1704"/>
        <v>0</v>
      </c>
      <c r="O2277" s="5">
        <f t="shared" ca="1" si="1704"/>
        <v>0</v>
      </c>
      <c r="P2277" s="5">
        <f t="shared" ca="1" si="1704"/>
        <v>0</v>
      </c>
      <c r="Q2277" s="5">
        <f t="shared" ca="1" si="1704"/>
        <v>0</v>
      </c>
      <c r="R2277" s="5">
        <f t="shared" ca="1" si="1704"/>
        <v>0</v>
      </c>
      <c r="S2277" s="5">
        <f t="shared" ca="1" si="1704"/>
        <v>0</v>
      </c>
      <c r="T2277" s="5">
        <f t="shared" ca="1" si="1704"/>
        <v>0</v>
      </c>
      <c r="U2277" s="5">
        <f t="shared" ca="1" si="1704"/>
        <v>0</v>
      </c>
      <c r="V2277" s="5">
        <f t="shared" ca="1" si="1704"/>
        <v>0</v>
      </c>
      <c r="W2277" s="5">
        <f t="shared" ca="1" si="1704"/>
        <v>0</v>
      </c>
      <c r="X2277" s="5">
        <f t="shared" ca="1" si="1704"/>
        <v>0</v>
      </c>
    </row>
    <row r="2278" spans="2:24" hidden="1">
      <c r="H2278" s="1" t="s">
        <v>391</v>
      </c>
      <c r="I2278" s="1">
        <f t="shared" si="1702"/>
        <v>40</v>
      </c>
      <c r="J2278" s="5">
        <f t="shared" ca="1" si="1703"/>
        <v>0</v>
      </c>
      <c r="K2278" s="5">
        <f t="shared" ca="1" si="1704"/>
        <v>0</v>
      </c>
      <c r="L2278" s="5">
        <f t="shared" ca="1" si="1704"/>
        <v>0</v>
      </c>
      <c r="M2278" s="5">
        <f t="shared" ca="1" si="1704"/>
        <v>0</v>
      </c>
      <c r="N2278" s="5">
        <f t="shared" ca="1" si="1704"/>
        <v>0</v>
      </c>
      <c r="O2278" s="5">
        <f t="shared" ca="1" si="1704"/>
        <v>0</v>
      </c>
      <c r="P2278" s="5">
        <f t="shared" ca="1" si="1704"/>
        <v>0</v>
      </c>
      <c r="Q2278" s="5">
        <f t="shared" ca="1" si="1704"/>
        <v>0</v>
      </c>
      <c r="R2278" s="5">
        <f t="shared" ca="1" si="1704"/>
        <v>0</v>
      </c>
      <c r="S2278" s="5">
        <f t="shared" ca="1" si="1704"/>
        <v>0</v>
      </c>
      <c r="T2278" s="5">
        <f t="shared" ca="1" si="1704"/>
        <v>0</v>
      </c>
      <c r="U2278" s="5">
        <f t="shared" ca="1" si="1704"/>
        <v>0</v>
      </c>
      <c r="V2278" s="5">
        <f t="shared" ca="1" si="1704"/>
        <v>0</v>
      </c>
      <c r="W2278" s="5">
        <f t="shared" ca="1" si="1704"/>
        <v>0</v>
      </c>
      <c r="X2278" s="5">
        <f t="shared" ca="1" si="1704"/>
        <v>0</v>
      </c>
    </row>
    <row r="2279" spans="2:24" hidden="1">
      <c r="H2279" s="1" t="s">
        <v>392</v>
      </c>
      <c r="I2279" s="1">
        <f t="shared" si="1702"/>
        <v>48</v>
      </c>
      <c r="J2279" s="5">
        <f t="shared" ca="1" si="1703"/>
        <v>0</v>
      </c>
      <c r="K2279" s="5">
        <f t="shared" ca="1" si="1704"/>
        <v>0</v>
      </c>
      <c r="L2279" s="5">
        <f t="shared" ca="1" si="1704"/>
        <v>0</v>
      </c>
      <c r="M2279" s="5">
        <f t="shared" ca="1" si="1704"/>
        <v>0</v>
      </c>
      <c r="N2279" s="5">
        <f t="shared" ca="1" si="1704"/>
        <v>0</v>
      </c>
      <c r="O2279" s="5">
        <f t="shared" ca="1" si="1704"/>
        <v>0</v>
      </c>
      <c r="P2279" s="5">
        <f t="shared" ca="1" si="1704"/>
        <v>0</v>
      </c>
      <c r="Q2279" s="5">
        <f t="shared" ca="1" si="1704"/>
        <v>0</v>
      </c>
      <c r="R2279" s="5">
        <f t="shared" ca="1" si="1704"/>
        <v>0</v>
      </c>
      <c r="S2279" s="5">
        <f t="shared" ca="1" si="1704"/>
        <v>0</v>
      </c>
      <c r="T2279" s="5">
        <f t="shared" ca="1" si="1704"/>
        <v>0</v>
      </c>
      <c r="U2279" s="5">
        <f t="shared" ca="1" si="1704"/>
        <v>0</v>
      </c>
      <c r="V2279" s="5">
        <f t="shared" ca="1" si="1704"/>
        <v>0</v>
      </c>
      <c r="W2279" s="5">
        <f t="shared" ca="1" si="1704"/>
        <v>0</v>
      </c>
      <c r="X2279" s="5">
        <f t="shared" ca="1" si="1704"/>
        <v>0</v>
      </c>
    </row>
    <row r="2280" spans="2:24" hidden="1">
      <c r="H2280" s="1" t="s">
        <v>393</v>
      </c>
      <c r="I2280" s="1">
        <f t="shared" si="1702"/>
        <v>56</v>
      </c>
      <c r="J2280" s="5">
        <f t="shared" ca="1" si="1703"/>
        <v>0</v>
      </c>
      <c r="K2280" s="5">
        <f t="shared" ca="1" si="1704"/>
        <v>0</v>
      </c>
      <c r="L2280" s="5">
        <f t="shared" ca="1" si="1704"/>
        <v>0</v>
      </c>
      <c r="M2280" s="5">
        <f t="shared" ca="1" si="1704"/>
        <v>0</v>
      </c>
      <c r="N2280" s="5">
        <f t="shared" ca="1" si="1704"/>
        <v>0</v>
      </c>
      <c r="O2280" s="5">
        <f t="shared" ca="1" si="1704"/>
        <v>0</v>
      </c>
      <c r="P2280" s="5">
        <f t="shared" ca="1" si="1704"/>
        <v>0</v>
      </c>
      <c r="Q2280" s="5">
        <f t="shared" ca="1" si="1704"/>
        <v>0</v>
      </c>
      <c r="R2280" s="5">
        <f t="shared" ca="1" si="1704"/>
        <v>0</v>
      </c>
      <c r="S2280" s="5">
        <f t="shared" ca="1" si="1704"/>
        <v>0</v>
      </c>
      <c r="T2280" s="5">
        <f t="shared" ca="1" si="1704"/>
        <v>0</v>
      </c>
      <c r="U2280" s="5">
        <f t="shared" ca="1" si="1704"/>
        <v>0</v>
      </c>
      <c r="V2280" s="5">
        <f t="shared" ca="1" si="1704"/>
        <v>0</v>
      </c>
      <c r="W2280" s="5">
        <f t="shared" ca="1" si="1704"/>
        <v>0</v>
      </c>
      <c r="X2280" s="5">
        <f t="shared" ca="1" si="1704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5">SUM(L2273:L2280)</f>
        <v>0</v>
      </c>
      <c r="M2281" s="7">
        <f t="shared" ca="1" si="1705"/>
        <v>0</v>
      </c>
      <c r="N2281" s="7">
        <f t="shared" ca="1" si="1705"/>
        <v>0</v>
      </c>
      <c r="O2281" s="7">
        <f t="shared" ca="1" si="1705"/>
        <v>0</v>
      </c>
      <c r="P2281" s="7">
        <f t="shared" ca="1" si="1705"/>
        <v>0</v>
      </c>
      <c r="Q2281" s="7">
        <f t="shared" ca="1" si="1705"/>
        <v>0</v>
      </c>
      <c r="R2281" s="7">
        <f t="shared" ca="1" si="1705"/>
        <v>0</v>
      </c>
      <c r="S2281" s="7">
        <f t="shared" ca="1" si="1705"/>
        <v>0</v>
      </c>
      <c r="T2281" s="7">
        <f t="shared" ca="1" si="1705"/>
        <v>0</v>
      </c>
      <c r="U2281" s="7">
        <f t="shared" ca="1" si="1705"/>
        <v>0</v>
      </c>
      <c r="V2281" s="7">
        <f t="shared" ca="1" si="1705"/>
        <v>0</v>
      </c>
      <c r="W2281" s="7">
        <f t="shared" ca="1" si="1705"/>
        <v>0</v>
      </c>
      <c r="X2281" s="7">
        <f t="shared" ca="1" si="1705"/>
        <v>0</v>
      </c>
    </row>
    <row r="2285" spans="2:24" hidden="1">
      <c r="B2285" s="549" t="s">
        <v>801</v>
      </c>
    </row>
    <row r="2286" spans="2:24" hidden="1">
      <c r="B2286" s="550"/>
    </row>
    <row r="2287" spans="2:24" hidden="1">
      <c r="B2287" s="550" t="s">
        <v>804</v>
      </c>
      <c r="C2287" s="1" t="b">
        <f>NOT(ISBLANK(DaneBiezace))</f>
        <v>0</v>
      </c>
    </row>
    <row r="2288" spans="2:24" hidden="1">
      <c r="B2288" s="550" t="s">
        <v>806</v>
      </c>
      <c r="C2288" s="1" t="str">
        <f>IF(AND(ISNUMBER(Założenia!$J$32),Założenia!$J$32&lt;12),"Tak","Nie")</f>
        <v>Nie</v>
      </c>
    </row>
    <row r="2289" spans="2:5" hidden="1">
      <c r="B2289" s="550" t="s">
        <v>807</v>
      </c>
      <c r="C2289" s="1" t="str">
        <f>IF(C2288="tak",Założenia!$J$32,"nie")</f>
        <v>nie</v>
      </c>
    </row>
    <row r="2290" spans="2:5" hidden="1">
      <c r="B2290" s="550"/>
    </row>
    <row r="2291" spans="2:5" hidden="1">
      <c r="B2291" s="550"/>
    </row>
    <row r="2292" spans="2:5" hidden="1">
      <c r="B2292" s="550"/>
    </row>
    <row r="2293" spans="2:5" ht="36" hidden="1">
      <c r="C2293" s="551" t="s">
        <v>802</v>
      </c>
      <c r="D2293" s="551" t="s">
        <v>803</v>
      </c>
      <c r="E2293" s="552" t="s">
        <v>805</v>
      </c>
    </row>
    <row r="2294" spans="2:5" hidden="1">
      <c r="B2294" s="1" t="s">
        <v>123</v>
      </c>
      <c r="C2294" s="5">
        <f>'Sprawozdania finansowe'!E15</f>
        <v>0</v>
      </c>
      <c r="D2294" s="5">
        <f>'Sprawozdania finansowe'!F15</f>
        <v>0</v>
      </c>
      <c r="E2294" s="1">
        <f>IF($C$2287,D2294,C2294)</f>
        <v>0</v>
      </c>
    </row>
    <row r="2295" spans="2:5" hidden="1">
      <c r="B2295" s="1" t="s">
        <v>124</v>
      </c>
      <c r="C2295" s="5">
        <f>'Sprawozdania finansowe'!E16</f>
        <v>0</v>
      </c>
      <c r="D2295" s="5">
        <f>'Sprawozdania finansowe'!F16</f>
        <v>0</v>
      </c>
      <c r="E2295" s="1">
        <f>IF($C$2287,D2295,C2295)</f>
        <v>0</v>
      </c>
    </row>
    <row r="2296" spans="2:5" hidden="1">
      <c r="B2296" s="1" t="s">
        <v>125</v>
      </c>
      <c r="C2296" s="5">
        <f>'Sprawozdania finansowe'!E17</f>
        <v>0</v>
      </c>
      <c r="D2296" s="5">
        <f>'Sprawozdania finansowe'!F17</f>
        <v>0</v>
      </c>
      <c r="E2296" s="1">
        <f>IF($C$2287,D2296,C2296)</f>
        <v>0</v>
      </c>
    </row>
    <row r="2298" spans="2:5" hidden="1">
      <c r="B2298" s="1" t="s">
        <v>129</v>
      </c>
      <c r="C2298" s="5">
        <f>'Sprawozdania finansowe'!E21</f>
        <v>0</v>
      </c>
      <c r="D2298" s="5">
        <f>'Sprawozdania finansowe'!F21</f>
        <v>0</v>
      </c>
      <c r="E2298" s="1">
        <f>IF($C$2287,D2298,C2298)</f>
        <v>0</v>
      </c>
    </row>
    <row r="2299" spans="2:5" hidden="1">
      <c r="B2299" s="1" t="s">
        <v>130</v>
      </c>
      <c r="C2299" s="5">
        <f>'Sprawozdania finansowe'!E22</f>
        <v>0</v>
      </c>
      <c r="D2299" s="5">
        <f>'Sprawozdania finansowe'!F22</f>
        <v>0</v>
      </c>
      <c r="E2299" s="1">
        <f>IF($C$2287,D2299,C2299)</f>
        <v>0</v>
      </c>
    </row>
    <row r="2300" spans="2:5" hidden="1">
      <c r="B2300" s="1" t="s">
        <v>131</v>
      </c>
      <c r="C2300" s="5">
        <f>'Sprawozdania finansowe'!E23</f>
        <v>0</v>
      </c>
      <c r="D2300" s="5">
        <f>'Sprawozdania finansowe'!F23</f>
        <v>0</v>
      </c>
      <c r="E2300" s="1">
        <f>IF($C$2287,D2300,C2300)</f>
        <v>0</v>
      </c>
    </row>
    <row r="2301" spans="2:5" hidden="1">
      <c r="B2301" s="1" t="s">
        <v>132</v>
      </c>
      <c r="C2301" s="5">
        <f>'Sprawozdania finansowe'!E24</f>
        <v>0</v>
      </c>
      <c r="D2301" s="5">
        <f>'Sprawozdania finansowe'!F24</f>
        <v>0</v>
      </c>
      <c r="E2301" s="1">
        <f>IF($C$2287,D2301,C2301)</f>
        <v>0</v>
      </c>
    </row>
    <row r="2302" spans="2:5" hidden="1">
      <c r="B2302" s="1" t="s">
        <v>133</v>
      </c>
      <c r="C2302" s="5">
        <f>'Sprawozdania finansowe'!E25</f>
        <v>0</v>
      </c>
      <c r="D2302" s="5">
        <f>'Sprawozdania finansowe'!F25</f>
        <v>0</v>
      </c>
      <c r="E2302" s="1">
        <f>IF($C$2287,D2302,C2302)</f>
        <v>0</v>
      </c>
    </row>
  </sheetData>
  <sheetProtection algorithmName="SHA-512" hashValue="7VZoFXHuMZXvZuTHpliRDtpNCN2xc/K6TCh0RglEMJfYCPfuee8xmviwxw32S7m7HPhtainf8sVMSfFE/Z6+wg==" saltValue="DImLCyAXGiDBQyweJMFZrg==" spinCount="100000" sheet="1" objects="1" scenarios="1"/>
  <mergeCells count="17"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  <mergeCell ref="K743:X743"/>
    <mergeCell ref="K643:X643"/>
    <mergeCell ref="K468:X468"/>
    <mergeCell ref="K589:X589"/>
    <mergeCell ref="K631:X631"/>
    <mergeCell ref="K515:X515"/>
    <mergeCell ref="K601:X601"/>
  </mergeCells>
  <phoneticPr fontId="57" type="noConversion"/>
  <conditionalFormatting sqref="B363:B367">
    <cfRule type="containsText" dxfId="356" priority="457" operator="containsText" text="zrealizowane">
      <formula>NOT(ISERROR(SEARCH("zrealizowane",B363)))</formula>
    </cfRule>
  </conditionalFormatting>
  <conditionalFormatting sqref="D363:D367">
    <cfRule type="cellIs" dxfId="355" priority="456" operator="equal">
      <formula>0</formula>
    </cfRule>
  </conditionalFormatting>
  <conditionalFormatting sqref="F195:F196">
    <cfRule type="cellIs" dxfId="354" priority="444" operator="equal">
      <formula>0</formula>
    </cfRule>
  </conditionalFormatting>
  <conditionalFormatting sqref="D458:D462">
    <cfRule type="cellIs" dxfId="353" priority="425" operator="equal">
      <formula>0</formula>
    </cfRule>
  </conditionalFormatting>
  <conditionalFormatting sqref="B458:C462">
    <cfRule type="containsText" dxfId="352" priority="426" operator="containsText" text="zrealizowane">
      <formula>NOT(ISERROR(SEARCH("zrealizowane",B458)))</formula>
    </cfRule>
  </conditionalFormatting>
  <conditionalFormatting sqref="B290:C304">
    <cfRule type="expression" dxfId="351" priority="420">
      <formula>OR($F269="nie",AND($F269="tak",$G269="nie"))</formula>
    </cfRule>
  </conditionalFormatting>
  <conditionalFormatting sqref="J269:J283">
    <cfRule type="containsText" dxfId="350" priority="410" operator="containsText" text="wstaw dane">
      <formula>NOT(ISERROR(SEARCH("wstaw dane",J269)))</formula>
    </cfRule>
    <cfRule type="containsText" dxfId="349" priority="415" operator="containsText" text="ok">
      <formula>NOT(ISERROR(SEARCH("ok",J269)))</formula>
    </cfRule>
  </conditionalFormatting>
  <conditionalFormatting sqref="J290:J304">
    <cfRule type="containsText" dxfId="348" priority="413" operator="containsText" text="ok">
      <formula>NOT(ISERROR(SEARCH("ok",J290)))</formula>
    </cfRule>
  </conditionalFormatting>
  <conditionalFormatting sqref="G271:G283">
    <cfRule type="expression" dxfId="347" priority="412">
      <formula>AND($F271="nie",$G271="tak")</formula>
    </cfRule>
  </conditionalFormatting>
  <conditionalFormatting sqref="J326:J330">
    <cfRule type="containsText" dxfId="346" priority="402" operator="containsText" text="wstaw dane">
      <formula>NOT(ISERROR(SEARCH("wstaw dane",J326)))</formula>
    </cfRule>
    <cfRule type="containsText" dxfId="345" priority="405" operator="containsText" text="ok">
      <formula>NOT(ISERROR(SEARCH("ok",J326)))</formula>
    </cfRule>
  </conditionalFormatting>
  <conditionalFormatting sqref="G326:G330">
    <cfRule type="expression" dxfId="344" priority="404">
      <formula>AND($F326="nie",$G326="tak")</formula>
    </cfRule>
  </conditionalFormatting>
  <conditionalFormatting sqref="B337:C341">
    <cfRule type="expression" dxfId="343" priority="399">
      <formula>OR($F326="nie",AND($F326="tak",$G326="nie"))</formula>
    </cfRule>
  </conditionalFormatting>
  <conditionalFormatting sqref="J337:J341">
    <cfRule type="containsText" dxfId="342" priority="398" operator="containsText" text="ok">
      <formula>NOT(ISERROR(SEARCH("ok",J337)))</formula>
    </cfRule>
  </conditionalFormatting>
  <conditionalFormatting sqref="B374:C388">
    <cfRule type="expression" dxfId="341" priority="393">
      <formula>OR($F353="nie",AND($F353="tak",$G353="nie"))</formula>
    </cfRule>
  </conditionalFormatting>
  <conditionalFormatting sqref="J374:J388">
    <cfRule type="containsText" dxfId="340" priority="392" operator="containsText" text="ok">
      <formula>NOT(ISERROR(SEARCH("ok",J374)))</formula>
    </cfRule>
  </conditionalFormatting>
  <conditionalFormatting sqref="J363:J367">
    <cfRule type="containsText" dxfId="339" priority="386" operator="containsText" text="wstaw dane">
      <formula>NOT(ISERROR(SEARCH("wstaw dane",J363)))</formula>
    </cfRule>
    <cfRule type="containsText" dxfId="338" priority="389" operator="containsText" text="ok">
      <formula>NOT(ISERROR(SEARCH("ok",J363)))</formula>
    </cfRule>
  </conditionalFormatting>
  <conditionalFormatting sqref="J353">
    <cfRule type="containsText" dxfId="337" priority="380" operator="containsText" text="wstaw dane">
      <formula>NOT(ISERROR(SEARCH("wstaw dane",J353)))</formula>
    </cfRule>
    <cfRule type="containsText" dxfId="336" priority="383" operator="containsText" text="ok">
      <formula>NOT(ISERROR(SEARCH("ok",J353)))</formula>
    </cfRule>
  </conditionalFormatting>
  <conditionalFormatting sqref="J354:J362">
    <cfRule type="containsText" dxfId="335" priority="374" operator="containsText" text="wstaw dane">
      <formula>NOT(ISERROR(SEARCH("wstaw dane",J354)))</formula>
    </cfRule>
    <cfRule type="containsText" dxfId="334" priority="377" operator="containsText" text="ok">
      <formula>NOT(ISERROR(SEARCH("ok",J354)))</formula>
    </cfRule>
  </conditionalFormatting>
  <conditionalFormatting sqref="G354:G362">
    <cfRule type="expression" dxfId="333" priority="376">
      <formula>AND($F354="nie",$G354="tak")</formula>
    </cfRule>
  </conditionalFormatting>
  <conditionalFormatting sqref="J409">
    <cfRule type="containsText" dxfId="332" priority="368" operator="containsText" text="wstaw dane">
      <formula>NOT(ISERROR(SEARCH("wstaw dane",J409)))</formula>
    </cfRule>
    <cfRule type="containsText" dxfId="331" priority="371" operator="containsText" text="ok">
      <formula>NOT(ISERROR(SEARCH("ok",J409)))</formula>
    </cfRule>
  </conditionalFormatting>
  <conditionalFormatting sqref="G409">
    <cfRule type="expression" dxfId="330" priority="370">
      <formula>AND($F409="nie",$G409="tak")</formula>
    </cfRule>
  </conditionalFormatting>
  <conditionalFormatting sqref="J410:J413">
    <cfRule type="containsText" dxfId="329" priority="362" operator="containsText" text="wstaw dane">
      <formula>NOT(ISERROR(SEARCH("wstaw dane",J410)))</formula>
    </cfRule>
    <cfRule type="containsText" dxfId="328" priority="365" operator="containsText" text="ok">
      <formula>NOT(ISERROR(SEARCH("ok",J410)))</formula>
    </cfRule>
  </conditionalFormatting>
  <conditionalFormatting sqref="G410:G413">
    <cfRule type="expression" dxfId="327" priority="364">
      <formula>AND($F410="nie",$G410="tak")</formula>
    </cfRule>
  </conditionalFormatting>
  <conditionalFormatting sqref="G418">
    <cfRule type="expression" dxfId="326" priority="361">
      <formula>AND($F418="nie",$G418="tak")</formula>
    </cfRule>
  </conditionalFormatting>
  <conditionalFormatting sqref="G419:G462">
    <cfRule type="expression" dxfId="325" priority="360">
      <formula>AND($F419="nie",$G419="tak")</formula>
    </cfRule>
  </conditionalFormatting>
  <conditionalFormatting sqref="J418:J462">
    <cfRule type="containsText" dxfId="324" priority="350" operator="containsText" text="wstaw dane">
      <formula>NOT(ISERROR(SEARCH("wstaw dane",J418)))</formula>
    </cfRule>
    <cfRule type="containsText" dxfId="323" priority="352" operator="containsText" text="ok">
      <formula>NOT(ISERROR(SEARCH("ok",J418)))</formula>
    </cfRule>
  </conditionalFormatting>
  <conditionalFormatting sqref="B469:C513">
    <cfRule type="expression" dxfId="322" priority="346">
      <formula>OR($F418="nie",AND($F418="tak",$G418="nie"))</formula>
    </cfRule>
  </conditionalFormatting>
  <conditionalFormatting sqref="J469:J513">
    <cfRule type="containsText" dxfId="321" priority="345" operator="containsText" text="ok">
      <formula>NOT(ISERROR(SEARCH("ok",J469)))</formula>
    </cfRule>
  </conditionalFormatting>
  <conditionalFormatting sqref="G565">
    <cfRule type="expression" dxfId="320" priority="343">
      <formula>AND($F565="nie",$G565="tak")</formula>
    </cfRule>
  </conditionalFormatting>
  <conditionalFormatting sqref="G566:G569">
    <cfRule type="expression" dxfId="319" priority="342">
      <formula>AND($F566="nie",$G566="tak")</formula>
    </cfRule>
  </conditionalFormatting>
  <conditionalFormatting sqref="J565:J569">
    <cfRule type="containsText" dxfId="318" priority="337" operator="containsText" text="wstaw dane">
      <formula>NOT(ISERROR(SEARCH("wstaw dane",J565)))</formula>
    </cfRule>
    <cfRule type="containsText" dxfId="317" priority="338" operator="containsText" text="ok">
      <formula>NOT(ISERROR(SEARCH("ok",J565)))</formula>
    </cfRule>
  </conditionalFormatting>
  <conditionalFormatting sqref="B590:C599">
    <cfRule type="expression" dxfId="316" priority="330">
      <formula>OR($F574="nie",AND($F574="tak",$G574="nie"))</formula>
    </cfRule>
  </conditionalFormatting>
  <conditionalFormatting sqref="J590:J599">
    <cfRule type="containsText" dxfId="315" priority="329" operator="containsText" text="ok">
      <formula>NOT(ISERROR(SEARCH("ok",J590)))</formula>
    </cfRule>
  </conditionalFormatting>
  <conditionalFormatting sqref="G578:G583">
    <cfRule type="expression" dxfId="314" priority="327">
      <formula>AND($F578="nie",$G578="tak")</formula>
    </cfRule>
  </conditionalFormatting>
  <conditionalFormatting sqref="J574:J583">
    <cfRule type="containsText" dxfId="313" priority="322" operator="containsText" text="wstaw dane">
      <formula>NOT(ISERROR(SEARCH("wstaw dane",J574)))</formula>
    </cfRule>
    <cfRule type="containsText" dxfId="312" priority="324" operator="containsText" text="ok">
      <formula>NOT(ISERROR(SEARCH("ok",J574)))</formula>
    </cfRule>
  </conditionalFormatting>
  <conditionalFormatting sqref="J616:J625">
    <cfRule type="containsText" dxfId="311" priority="315" operator="containsText" text="wstaw dane">
      <formula>NOT(ISERROR(SEARCH("wstaw dane",J616)))</formula>
    </cfRule>
    <cfRule type="containsText" dxfId="310" priority="317" operator="containsText" text="ok">
      <formula>NOT(ISERROR(SEARCH("ok",J616)))</formula>
    </cfRule>
  </conditionalFormatting>
  <conditionalFormatting sqref="B632:C641">
    <cfRule type="expression" dxfId="309" priority="311">
      <formula>OR($F616="nie",AND($F616="tak",$G616="nie"))</formula>
    </cfRule>
  </conditionalFormatting>
  <conditionalFormatting sqref="J632:J641">
    <cfRule type="containsText" dxfId="308" priority="310" operator="containsText" text="ok">
      <formula>NOT(ISERROR(SEARCH("ok",J632)))</formula>
    </cfRule>
  </conditionalFormatting>
  <conditionalFormatting sqref="I409:I413">
    <cfRule type="containsText" dxfId="307" priority="309" operator="containsText" text="uzupełnij">
      <formula>NOT(ISERROR(SEARCH("uzupełnij",I409)))</formula>
    </cfRule>
  </conditionalFormatting>
  <conditionalFormatting sqref="J307:J321">
    <cfRule type="containsText" dxfId="306" priority="297" operator="containsText" text="ok">
      <formula>NOT(ISERROR(SEARCH("ok",J307)))</formula>
    </cfRule>
  </conditionalFormatting>
  <conditionalFormatting sqref="J344:J348">
    <cfRule type="containsText" dxfId="305" priority="291" operator="containsText" text="ok">
      <formula>NOT(ISERROR(SEARCH("ok",J344)))</formula>
    </cfRule>
  </conditionalFormatting>
  <conditionalFormatting sqref="B391:C405">
    <cfRule type="expression" dxfId="304" priority="289">
      <formula>OR($F353="nie",AND($F353="tak",$G353="nie"))</formula>
    </cfRule>
  </conditionalFormatting>
  <conditionalFormatting sqref="J391:J405">
    <cfRule type="containsText" dxfId="303" priority="285" operator="containsText" text="ok">
      <formula>NOT(ISERROR(SEARCH("ok",J391)))</formula>
    </cfRule>
  </conditionalFormatting>
  <conditionalFormatting sqref="J516:J560">
    <cfRule type="containsText" dxfId="302" priority="279" operator="containsText" text="ok">
      <formula>NOT(ISERROR(SEARCH("ok",J516)))</formula>
    </cfRule>
  </conditionalFormatting>
  <conditionalFormatting sqref="B516:C560">
    <cfRule type="expression" dxfId="301" priority="277">
      <formula>OR($F418="nie",AND($F418="tak",$G418="nie"))</formula>
    </cfRule>
  </conditionalFormatting>
  <conditionalFormatting sqref="J602:J611">
    <cfRule type="containsText" dxfId="300" priority="272" operator="containsText" text="ok">
      <formula>NOT(ISERROR(SEARCH("ok",J602)))</formula>
    </cfRule>
  </conditionalFormatting>
  <conditionalFormatting sqref="B602:C611">
    <cfRule type="expression" dxfId="299" priority="271">
      <formula>OR($F574="nie",AND($F574="tak",$G574="nie"))</formula>
    </cfRule>
  </conditionalFormatting>
  <conditionalFormatting sqref="J644:J653">
    <cfRule type="containsText" dxfId="298" priority="266" operator="containsText" text="ok">
      <formula>NOT(ISERROR(SEARCH("ok",J644)))</formula>
    </cfRule>
  </conditionalFormatting>
  <conditionalFormatting sqref="B644:C653">
    <cfRule type="expression" dxfId="297" priority="265">
      <formula>OR($F616="nie",AND($F616="tak",$G616="nie"))</formula>
    </cfRule>
  </conditionalFormatting>
  <conditionalFormatting sqref="B307:C321">
    <cfRule type="expression" dxfId="296" priority="259">
      <formula>OR($F269="nie",AND($F269="tak",$G269="nie"))</formula>
    </cfRule>
  </conditionalFormatting>
  <conditionalFormatting sqref="G353">
    <cfRule type="expression" dxfId="295" priority="258">
      <formula>AND($F353="nie",$G353="tak")</formula>
    </cfRule>
  </conditionalFormatting>
  <conditionalFormatting sqref="G616">
    <cfRule type="expression" dxfId="294" priority="253">
      <formula>AND($F616="nie",$G616="tak")</formula>
    </cfRule>
  </conditionalFormatting>
  <conditionalFormatting sqref="G617:G625">
    <cfRule type="expression" dxfId="293" priority="252">
      <formula>AND($F617="nie",$G617="tak")</formula>
    </cfRule>
  </conditionalFormatting>
  <conditionalFormatting sqref="J658:J697">
    <cfRule type="containsText" dxfId="292" priority="219" operator="containsText" text="wstaw dane">
      <formula>NOT(ISERROR(SEARCH("wstaw dane",J658)))</formula>
    </cfRule>
    <cfRule type="containsText" dxfId="291" priority="221" operator="containsText" text="ok">
      <formula>NOT(ISERROR(SEARCH("ok",J658)))</formula>
    </cfRule>
  </conditionalFormatting>
  <conditionalFormatting sqref="B702:C741">
    <cfRule type="expression" dxfId="290" priority="215">
      <formula>OR($F658="nie",AND($F658="tak",$G658="nie"))</formula>
    </cfRule>
  </conditionalFormatting>
  <conditionalFormatting sqref="J702:J741">
    <cfRule type="containsText" dxfId="289" priority="214" operator="containsText" text="ok">
      <formula>NOT(ISERROR(SEARCH("ok",J702)))</formula>
    </cfRule>
  </conditionalFormatting>
  <conditionalFormatting sqref="J744:J783">
    <cfRule type="containsText" dxfId="288" priority="202" operator="containsText" text="ok">
      <formula>NOT(ISERROR(SEARCH("ok",J744)))</formula>
    </cfRule>
  </conditionalFormatting>
  <conditionalFormatting sqref="B744:C783">
    <cfRule type="expression" dxfId="287" priority="201">
      <formula>OR($F658="nie",AND($F658="tak",$G658="nie"))</formula>
    </cfRule>
  </conditionalFormatting>
  <conditionalFormatting sqref="I658:I697">
    <cfRule type="expression" dxfId="286" priority="174">
      <formula>OR($J658="uzupełnij dane",$J658="popraw dane")</formula>
    </cfRule>
    <cfRule type="expression" dxfId="285" priority="184">
      <formula>$J658="wstaw dane"</formula>
    </cfRule>
  </conditionalFormatting>
  <conditionalFormatting sqref="K337:X341">
    <cfRule type="expression" dxfId="284" priority="10">
      <formula>AND(K$192&gt;=Poczatek,K$192&lt;=Koniec_Projekt,$G326="tak")</formula>
    </cfRule>
    <cfRule type="expression" dxfId="283" priority="11">
      <formula>AND(OR(K$192&lt;Poczatek,K$192&gt;Koniec_Projekt),$F326="tak",$G326="tak",ISBLANK(K337)=FALSE)</formula>
    </cfRule>
    <cfRule type="expression" dxfId="282" priority="13">
      <formula>OR($F326="nie",$G326="nie")</formula>
    </cfRule>
    <cfRule type="expression" dxfId="281" priority="46">
      <formula>AND(OR(ISBLANK($F326),ISBLANK($G326)),ISBLANK(K337)=FALSE)</formula>
    </cfRule>
  </conditionalFormatting>
  <conditionalFormatting sqref="K290:X304">
    <cfRule type="expression" dxfId="280" priority="7">
      <formula>AND($G269="tak",K$192&gt;=Poczatek,K$192&lt;=Koniec_Projekt)</formula>
    </cfRule>
    <cfRule type="expression" dxfId="279" priority="8">
      <formula>AND(OR(K$192&lt;Poczatek,K$192&gt;Koniec_Projekt),$F269="tak",$G269="tak",ISBLANK(K290)=FALSE)</formula>
    </cfRule>
    <cfRule type="expression" dxfId="278" priority="9">
      <formula>OR($F269="nie",$G269="nie")</formula>
    </cfRule>
    <cfRule type="expression" dxfId="277" priority="181">
      <formula>AND(OR(ISBLANK($F269),ISBLANK($G269)),ISBLANK(K290)=FALSE)</formula>
    </cfRule>
  </conditionalFormatting>
  <conditionalFormatting sqref="K469:X513">
    <cfRule type="expression" dxfId="276" priority="15">
      <formula>AND($G418="tak",K$192&gt;=Poczatek,K$192&lt;=Koniec_Projekt)</formula>
    </cfRule>
    <cfRule type="expression" dxfId="275" priority="20">
      <formula>AND($G418="tak",$F418="tak",OR(K$192&lt;Poczatek,K$192&gt;Koniec_Projekt),ISBLANK(K469)=FALSE)</formula>
    </cfRule>
    <cfRule type="expression" dxfId="274" priority="21">
      <formula>OR($G418="nie",$F418="nie")</formula>
    </cfRule>
    <cfRule type="expression" dxfId="273" priority="180">
      <formula>AND(OR(ISBLANK($F418),ISBLANK($G418)),ISBLANK(K469)=FALSE)</formula>
    </cfRule>
  </conditionalFormatting>
  <conditionalFormatting sqref="K590:X599 K632:X641">
    <cfRule type="expression" dxfId="272" priority="16">
      <formula>AND($G574="tak",K$192&gt;=Poczatek,K$192&lt;=Koniec_Projekt)</formula>
    </cfRule>
    <cfRule type="expression" dxfId="271" priority="24">
      <formula>AND($G574="tak",$F574="tak",OR(K$192&lt;Poczatek,K$192&gt;Koniec_Projekt),ISBLANK(K590)=FALSE)</formula>
    </cfRule>
    <cfRule type="expression" dxfId="270" priority="25">
      <formula>OR($F574="nie",$G574="nie")</formula>
    </cfRule>
    <cfRule type="expression" dxfId="269" priority="178">
      <formula>AND(OR(ISBLANK($F574),ISBLANK($G574)),ISBLANK(K590)=FALSE)</formula>
    </cfRule>
  </conditionalFormatting>
  <conditionalFormatting sqref="K702:X741">
    <cfRule type="expression" dxfId="268" priority="17">
      <formula>$G658="nie"</formula>
    </cfRule>
    <cfRule type="expression" dxfId="267" priority="28">
      <formula>AND($G658="tak",K$192&gt;=Poczatek,K$192&lt;=Koniec_Projekt)</formula>
    </cfRule>
    <cfRule type="expression" dxfId="266" priority="31">
      <formula>OR(AND($G658="nie",ISBLANK(K702)=FALSE),AND($G658="tak",ISBLANK(K702)=FALSE,OR(K$192&lt;Poczatek,K$192&gt;Koniec_Projekt)))</formula>
    </cfRule>
    <cfRule type="expression" dxfId="265" priority="176">
      <formula>AND(OR(ISBLANK($F658),ISBLANK($G658)),ISBLANK(K702)=FALSE)</formula>
    </cfRule>
  </conditionalFormatting>
  <conditionalFormatting sqref="E658:E697">
    <cfRule type="expression" dxfId="264" priority="33">
      <formula>$J658="wstaw dane"</formula>
    </cfRule>
  </conditionalFormatting>
  <conditionalFormatting sqref="G269:G270">
    <cfRule type="expression" dxfId="263" priority="173">
      <formula>AND($F269="nie",$G269="tak")</formula>
    </cfRule>
  </conditionalFormatting>
  <conditionalFormatting sqref="H269:H283">
    <cfRule type="expression" dxfId="262" priority="170">
      <formula>OR(AND($F269="tak",$G269="tak",ISBLANK($H269)=FALSE),AND($F269="nie",ISBLANK($H269)=FALSE))</formula>
    </cfRule>
    <cfRule type="expression" dxfId="261" priority="171">
      <formula>OR($F269="nie",AND($F269="tak",$G269="tak"))</formula>
    </cfRule>
    <cfRule type="expression" dxfId="260" priority="172">
      <formula>AND($F269="tak",$G269="nie")</formula>
    </cfRule>
  </conditionalFormatting>
  <conditionalFormatting sqref="I269:I283">
    <cfRule type="expression" dxfId="259" priority="39">
      <formula>OR($J269="uzupełnij dane",$J269="popraw dane")</formula>
    </cfRule>
    <cfRule type="expression" dxfId="258" priority="168">
      <formula>$J269="wstaw dane"</formula>
    </cfRule>
    <cfRule type="cellIs" dxfId="257" priority="169" operator="equal">
      <formula>0</formula>
    </cfRule>
  </conditionalFormatting>
  <conditionalFormatting sqref="H326:H330">
    <cfRule type="expression" dxfId="256" priority="165">
      <formula>OR(AND($F326="tak",$G326="tak",ISBLANK($H326)=FALSE),AND($F326="nie",ISBLANK($H326)=FALSE))</formula>
    </cfRule>
    <cfRule type="expression" dxfId="255" priority="166">
      <formula>OR($F326="nie",AND($F326="tak",$G326="tak"))</formula>
    </cfRule>
    <cfRule type="expression" dxfId="254" priority="167">
      <formula>AND($F326="tak",$G326="nie")</formula>
    </cfRule>
  </conditionalFormatting>
  <conditionalFormatting sqref="I326:I330">
    <cfRule type="expression" dxfId="253" priority="38">
      <formula>OR($J326="uzupełnij dane",$J326="popraw dane")</formula>
    </cfRule>
    <cfRule type="expression" dxfId="252" priority="163">
      <formula>$J326="wstaw dane"</formula>
    </cfRule>
    <cfRule type="cellIs" dxfId="251" priority="164" operator="equal">
      <formula>0</formula>
    </cfRule>
  </conditionalFormatting>
  <conditionalFormatting sqref="H353:H362">
    <cfRule type="expression" dxfId="250" priority="155">
      <formula>OR(AND($F353="tak",$G353="tak",ISBLANK($H353)=FALSE),AND($F353="nie",ISBLANK($H353)=FALSE))</formula>
    </cfRule>
    <cfRule type="expression" dxfId="249" priority="156">
      <formula>OR($F353="nie",AND($F353="tak",$G353="tak"))</formula>
    </cfRule>
    <cfRule type="expression" dxfId="248" priority="157">
      <formula>AND($F353="tak",$G353="nie")</formula>
    </cfRule>
  </conditionalFormatting>
  <conditionalFormatting sqref="I353:I367">
    <cfRule type="expression" dxfId="247" priority="37">
      <formula>OR($J353="uzupełnij dane",$J353="popraw dane")</formula>
    </cfRule>
    <cfRule type="expression" dxfId="246" priority="153">
      <formula>$J353="wstaw dane"</formula>
    </cfRule>
    <cfRule type="cellIs" dxfId="245" priority="154" operator="equal">
      <formula>0</formula>
    </cfRule>
  </conditionalFormatting>
  <conditionalFormatting sqref="I565:I569">
    <cfRule type="containsText" dxfId="244" priority="149" operator="containsText" text="uzupełnij">
      <formula>NOT(ISERROR(SEARCH("uzupełnij",I565)))</formula>
    </cfRule>
  </conditionalFormatting>
  <conditionalFormatting sqref="H565:H569">
    <cfRule type="expression" dxfId="243" priority="146">
      <formula>OR(AND($F565="tak",$G565="tak",ISBLANK($H565)=FALSE),AND($F565="nie",ISBLANK($H565)=FALSE))</formula>
    </cfRule>
    <cfRule type="expression" dxfId="242" priority="147">
      <formula>OR($F565="nie",AND($F565="tak",$G565="tak"))</formula>
    </cfRule>
    <cfRule type="expression" dxfId="241" priority="148">
      <formula>AND($F565="tak",$G565="nie")</formula>
    </cfRule>
  </conditionalFormatting>
  <conditionalFormatting sqref="H574:H583">
    <cfRule type="expression" dxfId="240" priority="143">
      <formula>OR(AND($F574="tak",$G574="tak",ISBLANK($H574)=FALSE),AND($F574="nie",ISBLANK($H574)=FALSE))</formula>
    </cfRule>
    <cfRule type="expression" dxfId="239" priority="144">
      <formula>OR($F574="nie",AND($F574="tak",$G574="tak"))</formula>
    </cfRule>
    <cfRule type="expression" dxfId="238" priority="145">
      <formula>AND($F574="tak",$G574="nie")</formula>
    </cfRule>
  </conditionalFormatting>
  <conditionalFormatting sqref="I574:I583">
    <cfRule type="expression" dxfId="237" priority="35">
      <formula>OR($J574="uzupełnij dane",$J574="popraw dane")</formula>
    </cfRule>
    <cfRule type="expression" dxfId="236" priority="141">
      <formula>$J574="wstaw dane"</formula>
    </cfRule>
    <cfRule type="cellIs" dxfId="235" priority="142" operator="equal">
      <formula>0</formula>
    </cfRule>
  </conditionalFormatting>
  <conditionalFormatting sqref="H616:H625">
    <cfRule type="expression" dxfId="234" priority="138">
      <formula>OR(AND($F616="tak",$G616="tak",ISBLANK($H616)=FALSE),AND($F616="nie",ISBLANK($H616)=FALSE))</formula>
    </cfRule>
    <cfRule type="expression" dxfId="233" priority="139">
      <formula>OR($F616="nie",AND($F616="tak",$G616="tak"))</formula>
    </cfRule>
    <cfRule type="expression" dxfId="232" priority="140">
      <formula>AND($F616="tak",$G616="nie")</formula>
    </cfRule>
  </conditionalFormatting>
  <conditionalFormatting sqref="I616:I625">
    <cfRule type="expression" dxfId="231" priority="34">
      <formula>OR($J616="uzupełnij dane",$J616="popraw dane")</formula>
    </cfRule>
    <cfRule type="expression" dxfId="230" priority="136">
      <formula>$J616="wstaw dane"</formula>
    </cfRule>
    <cfRule type="cellIs" dxfId="229" priority="137" operator="equal">
      <formula>0</formula>
    </cfRule>
  </conditionalFormatting>
  <conditionalFormatting sqref="G195">
    <cfRule type="cellIs" dxfId="228" priority="135" operator="equal">
      <formula>0</formula>
    </cfRule>
  </conditionalFormatting>
  <conditionalFormatting sqref="J195">
    <cfRule type="containsText" dxfId="227" priority="133" operator="containsText" text="wstaw dane">
      <formula>NOT(ISERROR(SEARCH("wstaw dane",J195)))</formula>
    </cfRule>
    <cfRule type="containsText" dxfId="226" priority="134" operator="containsText" text="ok">
      <formula>NOT(ISERROR(SEARCH("ok",J195)))</formula>
    </cfRule>
  </conditionalFormatting>
  <conditionalFormatting sqref="G196">
    <cfRule type="cellIs" dxfId="225" priority="132" operator="equal">
      <formula>0</formula>
    </cfRule>
  </conditionalFormatting>
  <conditionalFormatting sqref="B241:C241">
    <cfRule type="expression" dxfId="224" priority="131">
      <formula>OR($F135="nie",AND($F135="tak",$G135="nie"))</formula>
    </cfRule>
  </conditionalFormatting>
  <conditionalFormatting sqref="J223:J242">
    <cfRule type="containsText" dxfId="223" priority="130" operator="containsText" text="ok">
      <formula>NOT(ISERROR(SEARCH("ok",J223)))</formula>
    </cfRule>
  </conditionalFormatting>
  <conditionalFormatting sqref="J245:J264">
    <cfRule type="containsText" dxfId="222" priority="129" operator="containsText" text="ok">
      <formula>NOT(ISERROR(SEARCH("ok",J245)))</formula>
    </cfRule>
  </conditionalFormatting>
  <conditionalFormatting sqref="B263:C263">
    <cfRule type="expression" dxfId="221" priority="128">
      <formula>OR($F135="nie",AND($F135="tak",$G135="nie"))</formula>
    </cfRule>
  </conditionalFormatting>
  <conditionalFormatting sqref="K223:X242">
    <cfRule type="expression" dxfId="220" priority="4">
      <formula>AND($G197="tak",K$192&gt;=Poczatek,K$192&lt;=Koniec_Projekt)</formula>
    </cfRule>
    <cfRule type="expression" dxfId="219" priority="5">
      <formula>AND(OR(K$192&lt;Poczatek,K$192&gt;Koniec_Projekt),$F197="tak",$G197="tak",ISBLANK(K223)=FALSE)</formula>
    </cfRule>
    <cfRule type="expression" dxfId="218" priority="6">
      <formula>OR($F197="nie",$G197="nie")</formula>
    </cfRule>
    <cfRule type="expression" dxfId="217" priority="32">
      <formula>AND(OR(ISBLANK($F197),ISBLANK($G197)),ISBLANK(K223)=FALSE)</formula>
    </cfRule>
  </conditionalFormatting>
  <conditionalFormatting sqref="J197:J216">
    <cfRule type="containsText" dxfId="216" priority="122" operator="containsText" text="wstaw dane">
      <formula>NOT(ISERROR(SEARCH("wstaw dane",J197)))</formula>
    </cfRule>
    <cfRule type="containsText" dxfId="215" priority="123" operator="containsText" text="ok">
      <formula>NOT(ISERROR(SEARCH("ok",J197)))</formula>
    </cfRule>
  </conditionalFormatting>
  <conditionalFormatting sqref="H197:H216">
    <cfRule type="expression" dxfId="214" priority="117">
      <formula>OR(AND($F197="tak",$G197="tak",ISBLANK($H197)=FALSE),AND($F197="nie",ISBLANK($H197)=FALSE))</formula>
    </cfRule>
    <cfRule type="expression" dxfId="213" priority="118">
      <formula>OR($F197="nie",AND($F197="tak",$G197="tak"))</formula>
    </cfRule>
    <cfRule type="expression" dxfId="212" priority="119">
      <formula>AND($F197="tak",$G197="nie")</formula>
    </cfRule>
  </conditionalFormatting>
  <conditionalFormatting sqref="I195:I216">
    <cfRule type="expression" dxfId="211" priority="40">
      <formula>OR($J195="uzupełnij dane",$J195="popraw dane")</formula>
    </cfRule>
    <cfRule type="expression" dxfId="210" priority="113">
      <formula>$J195="wstaw dane"</formula>
    </cfRule>
    <cfRule type="cellIs" dxfId="209" priority="114" operator="equal">
      <formula>0</formula>
    </cfRule>
  </conditionalFormatting>
  <conditionalFormatting sqref="H409:H413">
    <cfRule type="expression" dxfId="208" priority="110">
      <formula>OR(AND($F409="tak",$G409="tak",ISBLANK($H409)=FALSE),AND($F409="nie",ISBLANK($H409)=FALSE))</formula>
    </cfRule>
    <cfRule type="expression" dxfId="207" priority="111">
      <formula>OR($F409="nie",AND($F409="tak",$G409="tak"))</formula>
    </cfRule>
    <cfRule type="expression" dxfId="206" priority="112">
      <formula>AND($F409="tak",$G409="nie")</formula>
    </cfRule>
  </conditionalFormatting>
  <conditionalFormatting sqref="B344:C348">
    <cfRule type="expression" dxfId="205" priority="109">
      <formula>OR($F326="nie",AND($F326="tak",$G326="nie"))</formula>
    </cfRule>
  </conditionalFormatting>
  <conditionalFormatting sqref="H418:H457">
    <cfRule type="expression" dxfId="204" priority="101">
      <formula>OR(AND($F418="tak",$G418="tak",ISBLANK($H418)=FALSE),AND($F418="nie",ISBLANK($H418)=FALSE))</formula>
    </cfRule>
    <cfRule type="expression" dxfId="203" priority="102">
      <formula>OR($F418="nie",AND($F418="tak",$G418="tak"))</formula>
    </cfRule>
    <cfRule type="expression" dxfId="202" priority="103">
      <formula>AND($F418="tak",$G418="nie")</formula>
    </cfRule>
  </conditionalFormatting>
  <conditionalFormatting sqref="C384:C388 C401:C405">
    <cfRule type="cellIs" dxfId="201" priority="98" operator="equal">
      <formula>0</formula>
    </cfRule>
  </conditionalFormatting>
  <conditionalFormatting sqref="I418:I462">
    <cfRule type="expression" dxfId="200" priority="36">
      <formula>OR($J418="uzupełnij dane",$J418="popraw dane")</formula>
    </cfRule>
    <cfRule type="expression" dxfId="199" priority="99">
      <formula>$J418="wstaw dane"</formula>
    </cfRule>
    <cfRule type="cellIs" dxfId="198" priority="100" operator="equal">
      <formula>0</formula>
    </cfRule>
  </conditionalFormatting>
  <conditionalFormatting sqref="G197:G200">
    <cfRule type="expression" dxfId="197" priority="97">
      <formula>AND($F197="nie",$G197="tak")</formula>
    </cfRule>
  </conditionalFormatting>
  <conditionalFormatting sqref="G201:G216">
    <cfRule type="expression" dxfId="196" priority="96">
      <formula>AND($F201="nie",$G201="tak")</formula>
    </cfRule>
  </conditionalFormatting>
  <conditionalFormatting sqref="J96:J135">
    <cfRule type="containsText" dxfId="195" priority="91" operator="containsText" text="wstaw dane">
      <formula>NOT(ISERROR(SEARCH("wstaw dane",J96)))</formula>
    </cfRule>
    <cfRule type="containsText" dxfId="194" priority="92" operator="containsText" text="ok">
      <formula>NOT(ISERROR(SEARCH("ok",J96)))</formula>
    </cfRule>
  </conditionalFormatting>
  <conditionalFormatting sqref="K151:X151">
    <cfRule type="expression" dxfId="193" priority="87">
      <formula>AND(K$12&gt;Koniec_Projekt,K$12&lt;=Koniec)</formula>
    </cfRule>
    <cfRule type="expression" dxfId="192" priority="88">
      <formula>K$12&lt;=Koniec_Projekt</formula>
    </cfRule>
  </conditionalFormatting>
  <conditionalFormatting sqref="K152:M152 O152:X152">
    <cfRule type="cellIs" dxfId="191" priority="86" operator="lessThan">
      <formula>0</formula>
    </cfRule>
  </conditionalFormatting>
  <conditionalFormatting sqref="K145:X145">
    <cfRule type="expression" dxfId="190" priority="84">
      <formula>AND(K$12&gt;Koniec_Projekt,K$12&lt;=Koniec)</formula>
    </cfRule>
    <cfRule type="expression" dxfId="189" priority="85">
      <formula>K$12&lt;=Koniec_Projekt</formula>
    </cfRule>
  </conditionalFormatting>
  <conditionalFormatting sqref="K146:X146">
    <cfRule type="cellIs" dxfId="188" priority="83" operator="lessThan">
      <formula>0</formula>
    </cfRule>
  </conditionalFormatting>
  <conditionalFormatting sqref="B73 K73:X73">
    <cfRule type="expression" dxfId="187" priority="458">
      <formula>$C2256=2</formula>
    </cfRule>
  </conditionalFormatting>
  <conditionalFormatting sqref="B74">
    <cfRule type="expression" dxfId="186" priority="462">
      <formula>$C2256=2</formula>
    </cfRule>
  </conditionalFormatting>
  <conditionalFormatting sqref="B65 K65:X65">
    <cfRule type="expression" dxfId="185" priority="463">
      <formula>$C2255=2</formula>
    </cfRule>
  </conditionalFormatting>
  <conditionalFormatting sqref="B66">
    <cfRule type="expression" dxfId="184" priority="467">
      <formula>$C2255=2</formula>
    </cfRule>
  </conditionalFormatting>
  <conditionalFormatting sqref="B57 K57:X57">
    <cfRule type="expression" dxfId="183" priority="468">
      <formula>$C2254=2</formula>
    </cfRule>
  </conditionalFormatting>
  <conditionalFormatting sqref="B58">
    <cfRule type="expression" dxfId="182" priority="472">
      <formula>$C2254=2</formula>
    </cfRule>
  </conditionalFormatting>
  <conditionalFormatting sqref="B49 K49:X49">
    <cfRule type="expression" dxfId="181" priority="473">
      <formula>$C2253=2</formula>
    </cfRule>
  </conditionalFormatting>
  <conditionalFormatting sqref="B50">
    <cfRule type="expression" dxfId="180" priority="477">
      <formula>$C2253=2</formula>
    </cfRule>
  </conditionalFormatting>
  <conditionalFormatting sqref="B41 K41:X41">
    <cfRule type="expression" dxfId="179" priority="478">
      <formula>$C2252=2</formula>
    </cfRule>
  </conditionalFormatting>
  <conditionalFormatting sqref="B42">
    <cfRule type="expression" dxfId="178" priority="482">
      <formula>$C2252=2</formula>
    </cfRule>
  </conditionalFormatting>
  <conditionalFormatting sqref="B33 K33:X33">
    <cfRule type="expression" dxfId="177" priority="483">
      <formula>$C2251=2</formula>
    </cfRule>
  </conditionalFormatting>
  <conditionalFormatting sqref="B34">
    <cfRule type="expression" dxfId="176" priority="487">
      <formula>$C2251=2</formula>
    </cfRule>
  </conditionalFormatting>
  <conditionalFormatting sqref="B25 K25:X25">
    <cfRule type="expression" dxfId="175" priority="488">
      <formula>$C2250=2</formula>
    </cfRule>
  </conditionalFormatting>
  <conditionalFormatting sqref="B26">
    <cfRule type="expression" dxfId="174" priority="492">
      <formula>$C2250=2</formula>
    </cfRule>
  </conditionalFormatting>
  <conditionalFormatting sqref="B17 K17:X17">
    <cfRule type="expression" dxfId="173" priority="493">
      <formula>$C2249=2</formula>
    </cfRule>
  </conditionalFormatting>
  <conditionalFormatting sqref="B18">
    <cfRule type="expression" dxfId="172" priority="497">
      <formula>$C2249=2</formula>
    </cfRule>
  </conditionalFormatting>
  <conditionalFormatting sqref="K20:X20 K28:X28 K36:X36 K44:X44 K52:X52 K60:X60 K68:X68 K76:X76">
    <cfRule type="cellIs" dxfId="171" priority="77" operator="lessThan">
      <formula>0</formula>
    </cfRule>
  </conditionalFormatting>
  <conditionalFormatting sqref="K81:X83 K85:X89">
    <cfRule type="cellIs" dxfId="170" priority="50" operator="lessThan">
      <formula>0</formula>
    </cfRule>
  </conditionalFormatting>
  <conditionalFormatting sqref="B242:C242">
    <cfRule type="expression" dxfId="169" priority="514">
      <formula>OR($F89="nie",AND($F89="tak",$G89="nie"))</formula>
    </cfRule>
  </conditionalFormatting>
  <conditionalFormatting sqref="B264:C264">
    <cfRule type="expression" dxfId="168" priority="891">
      <formula>OR($F89="nie",AND($F89="tak",$G89="nie"))</formula>
    </cfRule>
  </conditionalFormatting>
  <conditionalFormatting sqref="B223:C240">
    <cfRule type="expression" dxfId="167" priority="937">
      <formula>OR($F87="nie",AND($F87="tak",$G87="nie"))</formula>
    </cfRule>
  </conditionalFormatting>
  <conditionalFormatting sqref="B245:C262">
    <cfRule type="expression" dxfId="166" priority="939">
      <formula>OR($F87="nie",AND($F87="tak",$G87="nie"))</formula>
    </cfRule>
  </conditionalFormatting>
  <conditionalFormatting sqref="K66:X66">
    <cfRule type="expression" dxfId="165" priority="1487">
      <formula>AND($C2255=1,ISNUMBER(K66)=TRUE)</formula>
    </cfRule>
    <cfRule type="expression" dxfId="164" priority="1488">
      <formula>AND($C2255=2,K$12&gt;Koniec_Projekt,K$12&lt;=Koniec)</formula>
    </cfRule>
    <cfRule type="expression" dxfId="163" priority="1489">
      <formula>AND($C2255=2,K$12&lt;=Koniec_Projekt)</formula>
    </cfRule>
  </conditionalFormatting>
  <conditionalFormatting sqref="K26:X26">
    <cfRule type="expression" dxfId="162" priority="1490">
      <formula>AND($C2250=1,ISNUMBER(K26)=TRUE)</formula>
    </cfRule>
    <cfRule type="expression" dxfId="161" priority="1491">
      <formula>AND($C2250=2,K$12&gt;Koniec_Projekt,K$12&lt;=Koniec)</formula>
    </cfRule>
    <cfRule type="expression" dxfId="160" priority="1492">
      <formula>AND($C2250=2,K$12&lt;=Koniec_Projekt)</formula>
    </cfRule>
  </conditionalFormatting>
  <conditionalFormatting sqref="K18:X18">
    <cfRule type="expression" dxfId="159" priority="1493">
      <formula>AND($C2249=1,ISNUMBER(K18)=TRUE)</formula>
    </cfRule>
    <cfRule type="expression" dxfId="158" priority="1494">
      <formula>AND($C2249=2,K$12&gt;Koniec_Projekt,K$12&lt;=Koniec)</formula>
    </cfRule>
    <cfRule type="expression" dxfId="157" priority="1495">
      <formula>AND($C2249=2,K$12&lt;=Koniec_Projekt)</formula>
    </cfRule>
  </conditionalFormatting>
  <conditionalFormatting sqref="K74:X74">
    <cfRule type="expression" dxfId="156" priority="1496">
      <formula>AND($C2256=1,ISNUMBER(K74)=TRUE)</formula>
    </cfRule>
    <cfRule type="expression" dxfId="155" priority="1497">
      <formula>AND($C2256=2,K$12&gt;Koniec_Projekt,K$12&lt;=Koniec)</formula>
    </cfRule>
    <cfRule type="expression" dxfId="154" priority="1498">
      <formula>AND($C2256=2,K$12&lt;=Koniec_Projekt)</formula>
    </cfRule>
  </conditionalFormatting>
  <conditionalFormatting sqref="K58:X58">
    <cfRule type="expression" dxfId="153" priority="1499">
      <formula>AND($C2254=1,ISNUMBER(K58)=TRUE)</formula>
    </cfRule>
    <cfRule type="expression" dxfId="152" priority="1500">
      <formula>AND($C2254=2,K$12&gt;Koniec_Projekt,K$12&lt;=Koniec)</formula>
    </cfRule>
    <cfRule type="expression" dxfId="151" priority="1501">
      <formula>AND($C2254=2,K$12&lt;=Koniec_Projekt)</formula>
    </cfRule>
  </conditionalFormatting>
  <conditionalFormatting sqref="K50:X50">
    <cfRule type="expression" dxfId="150" priority="1502">
      <formula>AND($C2253=1,ISNUMBER(K50)=TRUE)</formula>
    </cfRule>
    <cfRule type="expression" dxfId="149" priority="1503">
      <formula>AND($C2253=2,K$12&gt;Koniec_Projekt,K$12&lt;=Koniec)</formula>
    </cfRule>
    <cfRule type="expression" dxfId="148" priority="1504">
      <formula>AND($C2253=2,K$12&lt;=Koniec_Projekt)</formula>
    </cfRule>
  </conditionalFormatting>
  <conditionalFormatting sqref="K42:X42">
    <cfRule type="expression" dxfId="147" priority="1505">
      <formula>AND($C2252=1,ISNUMBER(K42)=TRUE)</formula>
    </cfRule>
    <cfRule type="expression" dxfId="146" priority="1506">
      <formula>AND($C2252=2,K$12&gt;Koniec_Projekt,K$12&lt;=Koniec)</formula>
    </cfRule>
    <cfRule type="expression" dxfId="145" priority="1507">
      <formula>AND($C2252=2,K$12&lt;=Koniec_Projekt)</formula>
    </cfRule>
  </conditionalFormatting>
  <conditionalFormatting sqref="K34:X34">
    <cfRule type="expression" dxfId="144" priority="1508">
      <formula>AND($C2251=1,ISNUMBER(K34)=TRUE)</formula>
    </cfRule>
    <cfRule type="expression" dxfId="143" priority="1509">
      <formula>AND($C2251=2,K$12&gt;Koniec_Projekt,K$12&lt;=Koniec)</formula>
    </cfRule>
    <cfRule type="expression" dxfId="142" priority="1510">
      <formula>AND($C2251=2,K$12&lt;=Koniec_Projekt)</formula>
    </cfRule>
  </conditionalFormatting>
  <conditionalFormatting sqref="N152">
    <cfRule type="cellIs" dxfId="141" priority="49" operator="lessThan">
      <formula>0</formula>
    </cfRule>
  </conditionalFormatting>
  <conditionalFormatting sqref="B195 B196">
    <cfRule type="expression" dxfId="140" priority="48">
      <formula>Modul_badawczo_rozwojowy=tak</formula>
    </cfRule>
  </conditionalFormatting>
  <conditionalFormatting sqref="C269:C283 C326:C330 C353:C362 C409:C413 C418:C457 C565:C569 C574:C583 C616:C625 C658:C697 C197:C216">
    <cfRule type="expression" dxfId="139" priority="47">
      <formula>Kontrola_modulow_Srodki_Trwale</formula>
    </cfRule>
  </conditionalFormatting>
  <conditionalFormatting sqref="K374:X388">
    <cfRule type="expression" dxfId="138" priority="14">
      <formula>AND(K$192&gt;=Poczatek,K$192&lt;=Koniec_Projekt,$G353="tak")</formula>
    </cfRule>
    <cfRule type="expression" dxfId="137" priority="18">
      <formula>AND(OR(K$192&lt;Poczatek,K$192&gt;Koniec_Projekt),$F353="tak",$G353="tak",ISBLANK(K374)=FALSE)</formula>
    </cfRule>
    <cfRule type="expression" dxfId="136" priority="19">
      <formula>OR($F353="nie",$G353="nie")</formula>
    </cfRule>
    <cfRule type="expression" dxfId="135" priority="182">
      <formula>AND(OR(ISBLANK($F353),ISBLANK($G353)),ISBLANK(K374)=FALSE)</formula>
    </cfRule>
  </conditionalFormatting>
  <conditionalFormatting sqref="K744:X783">
    <cfRule type="expression" dxfId="134" priority="44">
      <formula>OR(AND($G658="nie",K$192&lt;=Koniec_Projekt),K744=0)</formula>
    </cfRule>
  </conditionalFormatting>
  <conditionalFormatting sqref="K245:X264">
    <cfRule type="cellIs" dxfId="133" priority="43" operator="equal">
      <formula>0</formula>
    </cfRule>
  </conditionalFormatting>
  <conditionalFormatting sqref="K195:X216">
    <cfRule type="cellIs" dxfId="132" priority="42" operator="equal">
      <formula>0</formula>
    </cfRule>
  </conditionalFormatting>
  <conditionalFormatting sqref="K644:X653 K616:X625 K602:X611 K574:X583 K516:X560 K418:X462 K391:X405 K353:X367 K344:X348 K326:X330 K307:X321 K269:X283 K96:X135">
    <cfRule type="cellIs" dxfId="131" priority="41" operator="equal">
      <formula>0</formula>
    </cfRule>
  </conditionalFormatting>
  <conditionalFormatting sqref="E658:E697 I658:I697">
    <cfRule type="cellIs" dxfId="130" priority="185" operator="equal">
      <formula>0</formula>
    </cfRule>
  </conditionalFormatting>
  <conditionalFormatting sqref="G574">
    <cfRule type="expression" dxfId="129" priority="23">
      <formula>AND($F574="nie",$G574="tak")</formula>
    </cfRule>
  </conditionalFormatting>
  <conditionalFormatting sqref="G575:G577">
    <cfRule type="expression" dxfId="128" priority="22">
      <formula>AND($F575="nie",$G575="tak")</formula>
    </cfRule>
  </conditionalFormatting>
  <conditionalFormatting sqref="K409:X413 K565:X569">
    <cfRule type="expression" dxfId="127" priority="2">
      <formula>AND(K$657&gt;=$D409,K$657&lt;=YEAR($E409))</formula>
    </cfRule>
    <cfRule type="expression" dxfId="126" priority="3">
      <formula>AND(OR(K$192&gt;YEAR($E409),K$192&lt;$D409),ISBLANK(K409)=FALSE)</formula>
    </cfRule>
  </conditionalFormatting>
  <conditionalFormatting sqref="K658:X697">
    <cfRule type="expression" dxfId="125" priority="26">
      <formula>AND(K$657&gt;Koniec_Projekt,K$657&lt;=Koniec)</formula>
    </cfRule>
    <cfRule type="expression" dxfId="124" priority="27">
      <formula>AND(K$657&gt;=Poczatek,K$657&lt;=Koniec_Projekt)</formula>
    </cfRule>
    <cfRule type="expression" dxfId="123" priority="93">
      <formula>AND(OR(K$192&gt;Koniec,K$192&lt;Poczatek),ISBLANK(K658)=FALSE)</formula>
    </cfRule>
  </conditionalFormatting>
  <dataValidations disablePrompts="1"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409:D413 D565:D569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409:C413 C353:C367 C418:C457 C574:C583 C565:C569 C616:C625 C269:C283 C197:C216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269:F283 F326:F330 F353:F362 F409:F413 F418:F457 F565:F569 F197:F216 F658:F697 F574:F58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269:G283 G326:G330 G616:G625 G353:G362 G418:G457 G197:G216 G574:G5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409:H413 H565:H569 H574:H583 H269:H283 H658:H697 H197:H216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269:E283 E326:E330 E353:E362 E409:E413 E418:E457 E197:E216 E574:E583 E565:E569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409:G413 G565:G569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82550</xdr:rowOff>
                  </from>
                  <to>
                    <xdr:col>10</xdr:col>
                    <xdr:colOff>114300</xdr:colOff>
                    <xdr:row>10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95250</xdr:colOff>
                    <xdr:row>15</xdr:row>
                    <xdr:rowOff>69850</xdr:rowOff>
                  </from>
                  <to>
                    <xdr:col>7</xdr:col>
                    <xdr:colOff>692150</xdr:colOff>
                    <xdr:row>17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107950</xdr:colOff>
                    <xdr:row>23</xdr:row>
                    <xdr:rowOff>69850</xdr:rowOff>
                  </from>
                  <to>
                    <xdr:col>7</xdr:col>
                    <xdr:colOff>704850</xdr:colOff>
                    <xdr:row>25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209550</xdr:colOff>
                    <xdr:row>24</xdr:row>
                    <xdr:rowOff>25400</xdr:rowOff>
                  </from>
                  <to>
                    <xdr:col>6</xdr:col>
                    <xdr:colOff>431800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438150</xdr:colOff>
                    <xdr:row>24</xdr:row>
                    <xdr:rowOff>25400</xdr:rowOff>
                  </from>
                  <to>
                    <xdr:col>7</xdr:col>
                    <xdr:colOff>660400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196850</xdr:colOff>
                    <xdr:row>16</xdr:row>
                    <xdr:rowOff>31750</xdr:rowOff>
                  </from>
                  <to>
                    <xdr:col>6</xdr:col>
                    <xdr:colOff>381000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406400</xdr:colOff>
                    <xdr:row>16</xdr:row>
                    <xdr:rowOff>31750</xdr:rowOff>
                  </from>
                  <to>
                    <xdr:col>7</xdr:col>
                    <xdr:colOff>590550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95250</xdr:colOff>
                    <xdr:row>31</xdr:row>
                    <xdr:rowOff>57150</xdr:rowOff>
                  </from>
                  <to>
                    <xdr:col>7</xdr:col>
                    <xdr:colOff>692150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203200</xdr:colOff>
                    <xdr:row>32</xdr:row>
                    <xdr:rowOff>12700</xdr:rowOff>
                  </from>
                  <to>
                    <xdr:col>6</xdr:col>
                    <xdr:colOff>419100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431800</xdr:colOff>
                    <xdr:row>32</xdr:row>
                    <xdr:rowOff>12700</xdr:rowOff>
                  </from>
                  <to>
                    <xdr:col>7</xdr:col>
                    <xdr:colOff>647700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50800</xdr:rowOff>
                  </from>
                  <to>
                    <xdr:col>7</xdr:col>
                    <xdr:colOff>711200</xdr:colOff>
                    <xdr:row>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222250</xdr:colOff>
                    <xdr:row>39</xdr:row>
                    <xdr:rowOff>152400</xdr:rowOff>
                  </from>
                  <to>
                    <xdr:col>6</xdr:col>
                    <xdr:colOff>438150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438150</xdr:colOff>
                    <xdr:row>39</xdr:row>
                    <xdr:rowOff>152400</xdr:rowOff>
                  </from>
                  <to>
                    <xdr:col>7</xdr:col>
                    <xdr:colOff>660400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107950</xdr:colOff>
                    <xdr:row>47</xdr:row>
                    <xdr:rowOff>50800</xdr:rowOff>
                  </from>
                  <to>
                    <xdr:col>7</xdr:col>
                    <xdr:colOff>704850</xdr:colOff>
                    <xdr:row>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209550</xdr:colOff>
                    <xdr:row>48</xdr:row>
                    <xdr:rowOff>0</xdr:rowOff>
                  </from>
                  <to>
                    <xdr:col>6</xdr:col>
                    <xdr:colOff>431800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431800</xdr:colOff>
                    <xdr:row>48</xdr:row>
                    <xdr:rowOff>0</xdr:rowOff>
                  </from>
                  <to>
                    <xdr:col>7</xdr:col>
                    <xdr:colOff>647700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107950</xdr:colOff>
                    <xdr:row>55</xdr:row>
                    <xdr:rowOff>50800</xdr:rowOff>
                  </from>
                  <to>
                    <xdr:col>7</xdr:col>
                    <xdr:colOff>704850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209550</xdr:colOff>
                    <xdr:row>56</xdr:row>
                    <xdr:rowOff>6350</xdr:rowOff>
                  </from>
                  <to>
                    <xdr:col>6</xdr:col>
                    <xdr:colOff>431800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431800</xdr:colOff>
                    <xdr:row>56</xdr:row>
                    <xdr:rowOff>6350</xdr:rowOff>
                  </from>
                  <to>
                    <xdr:col>7</xdr:col>
                    <xdr:colOff>647700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101600</xdr:colOff>
                    <xdr:row>63</xdr:row>
                    <xdr:rowOff>57150</xdr:rowOff>
                  </from>
                  <to>
                    <xdr:col>7</xdr:col>
                    <xdr:colOff>704850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209550</xdr:colOff>
                    <xdr:row>64</xdr:row>
                    <xdr:rowOff>19050</xdr:rowOff>
                  </from>
                  <to>
                    <xdr:col>6</xdr:col>
                    <xdr:colOff>431800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431800</xdr:colOff>
                    <xdr:row>64</xdr:row>
                    <xdr:rowOff>19050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95250</xdr:colOff>
                    <xdr:row>71</xdr:row>
                    <xdr:rowOff>57150</xdr:rowOff>
                  </from>
                  <to>
                    <xdr:col>7</xdr:col>
                    <xdr:colOff>692150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203200</xdr:colOff>
                    <xdr:row>72</xdr:row>
                    <xdr:rowOff>12700</xdr:rowOff>
                  </from>
                  <to>
                    <xdr:col>6</xdr:col>
                    <xdr:colOff>419100</xdr:colOff>
                    <xdr:row>73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12700</xdr:rowOff>
                  </from>
                  <to>
                    <xdr:col>7</xdr:col>
                    <xdr:colOff>641350</xdr:colOff>
                    <xdr:row>73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256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47.33203125" style="1" bestFit="1" customWidth="1"/>
    <col min="3" max="4" width="12.6640625" style="1" customWidth="1"/>
    <col min="5" max="7" width="13.6640625" style="1" customWidth="1"/>
    <col min="8" max="8" width="9.88671875" style="254" hidden="1" customWidth="1"/>
    <col min="9" max="9" width="9.88671875" style="1" hidden="1" customWidth="1"/>
    <col min="10" max="10" width="22.109375" style="1" customWidth="1"/>
    <col min="11" max="24" width="12.88671875" style="1" customWidth="1"/>
    <col min="25" max="25" width="2.88671875" style="1" customWidth="1"/>
    <col min="26" max="26" width="0" style="1" hidden="1" customWidth="1"/>
    <col min="27" max="16384" width="9.3320312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9" t="s">
        <v>701</v>
      </c>
      <c r="C14" s="30"/>
      <c r="D14" s="30"/>
      <c r="E14" s="30"/>
      <c r="F14" s="30"/>
      <c r="G14" s="30"/>
      <c r="H14" s="311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2:24">
      <c r="B15" s="302"/>
      <c r="C15" s="94"/>
      <c r="D15" s="19"/>
      <c r="E15" s="19"/>
      <c r="F15" s="19"/>
      <c r="G15" s="19"/>
      <c r="H15" s="312"/>
      <c r="I15" s="19"/>
      <c r="J15" s="94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</row>
    <row r="16" spans="2:24">
      <c r="B16" s="303"/>
      <c r="C16" s="78"/>
      <c r="D16" s="52"/>
      <c r="E16" s="52"/>
      <c r="F16" s="52"/>
      <c r="G16" s="52"/>
      <c r="H16" s="314"/>
      <c r="I16" s="52"/>
      <c r="J16" s="5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2:26">
      <c r="B17" s="303"/>
      <c r="C17" s="52"/>
      <c r="D17" s="52"/>
      <c r="E17" s="52"/>
      <c r="F17" s="52"/>
      <c r="G17" s="52"/>
      <c r="H17" s="314"/>
      <c r="I17" s="52"/>
      <c r="J17" s="5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2:26">
      <c r="B18" s="303"/>
      <c r="C18" s="52"/>
      <c r="D18" s="52"/>
      <c r="E18" s="52"/>
      <c r="F18" s="52"/>
      <c r="G18" s="52"/>
      <c r="H18" s="314"/>
      <c r="I18" s="52"/>
      <c r="J18" s="5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2:26">
      <c r="B19" s="304"/>
      <c r="C19" s="89"/>
      <c r="D19" s="89"/>
      <c r="E19" s="89"/>
      <c r="F19" s="89"/>
      <c r="G19" s="89"/>
      <c r="H19" s="313"/>
      <c r="I19" s="89"/>
      <c r="J19" s="89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</row>
    <row r="20" spans="2:26">
      <c r="B20" s="178" t="s">
        <v>447</v>
      </c>
      <c r="C20" s="179"/>
      <c r="D20" s="179"/>
      <c r="E20" s="179"/>
      <c r="F20" s="179"/>
      <c r="G20" s="179"/>
      <c r="H20" s="317"/>
      <c r="I20" s="179"/>
      <c r="J20" s="179"/>
      <c r="K20" s="180">
        <f>ROUND(SUM(K15:K19),0)</f>
        <v>0</v>
      </c>
      <c r="L20" s="180">
        <f t="shared" ref="L20:X20" si="0">ROUND(SUM(L15:L19),0)</f>
        <v>0</v>
      </c>
      <c r="M20" s="180">
        <f t="shared" si="0"/>
        <v>0</v>
      </c>
      <c r="N20" s="180">
        <f t="shared" si="0"/>
        <v>0</v>
      </c>
      <c r="O20" s="180">
        <f t="shared" si="0"/>
        <v>0</v>
      </c>
      <c r="P20" s="180">
        <f t="shared" si="0"/>
        <v>0</v>
      </c>
      <c r="Q20" s="180">
        <f t="shared" si="0"/>
        <v>0</v>
      </c>
      <c r="R20" s="180">
        <f t="shared" si="0"/>
        <v>0</v>
      </c>
      <c r="S20" s="180">
        <f t="shared" si="0"/>
        <v>0</v>
      </c>
      <c r="T20" s="180">
        <f t="shared" si="0"/>
        <v>0</v>
      </c>
      <c r="U20" s="180">
        <f t="shared" si="0"/>
        <v>0</v>
      </c>
      <c r="V20" s="180">
        <f t="shared" si="0"/>
        <v>0</v>
      </c>
      <c r="W20" s="180">
        <f t="shared" si="0"/>
        <v>0</v>
      </c>
      <c r="X20" s="180">
        <f t="shared" si="0"/>
        <v>0</v>
      </c>
    </row>
    <row r="21" spans="2:26"/>
    <row r="22" spans="2:26">
      <c r="B22" s="7" t="s">
        <v>448</v>
      </c>
      <c r="J22" s="13">
        <f>IF(ISBLANK(DaneBiezace),ROUND('Sprawozdania finansowe'!E141,0),ROUND('Sprawozdania finansowe'!F141,0))</f>
        <v>0</v>
      </c>
      <c r="K22" s="5">
        <f>ROUND(J22-K20,0)</f>
        <v>0</v>
      </c>
      <c r="L22" s="5">
        <f t="shared" ref="L22:X22" si="1">ROUND(K22-L20,0)</f>
        <v>0</v>
      </c>
      <c r="M22" s="5">
        <f t="shared" si="1"/>
        <v>0</v>
      </c>
      <c r="N22" s="5">
        <f t="shared" si="1"/>
        <v>0</v>
      </c>
      <c r="O22" s="5">
        <f t="shared" si="1"/>
        <v>0</v>
      </c>
      <c r="P22" s="5">
        <f t="shared" si="1"/>
        <v>0</v>
      </c>
      <c r="Q22" s="5">
        <f t="shared" si="1"/>
        <v>0</v>
      </c>
      <c r="R22" s="5">
        <f t="shared" si="1"/>
        <v>0</v>
      </c>
      <c r="S22" s="5">
        <f t="shared" si="1"/>
        <v>0</v>
      </c>
      <c r="T22" s="5">
        <f t="shared" si="1"/>
        <v>0</v>
      </c>
      <c r="U22" s="5">
        <f t="shared" si="1"/>
        <v>0</v>
      </c>
      <c r="V22" s="5">
        <f t="shared" si="1"/>
        <v>0</v>
      </c>
      <c r="W22" s="5">
        <f t="shared" si="1"/>
        <v>0</v>
      </c>
      <c r="X22" s="5">
        <f t="shared" si="1"/>
        <v>0</v>
      </c>
    </row>
    <row r="23" spans="2:26"/>
    <row r="24" spans="2:26"/>
    <row r="25" spans="2:26" ht="14.5">
      <c r="B25" s="32" t="s">
        <v>294</v>
      </c>
      <c r="C25" s="36"/>
      <c r="D25" s="36"/>
      <c r="E25" s="36"/>
      <c r="F25" s="36"/>
      <c r="G25" s="36"/>
      <c r="H25" s="318"/>
      <c r="I25" s="36"/>
      <c r="J25" s="36"/>
      <c r="K25" s="32" t="str">
        <f t="shared" ref="K25:X25" si="2">K12</f>
        <v>Uzupełnij dane</v>
      </c>
      <c r="L25" s="32" t="str">
        <f t="shared" si="2"/>
        <v/>
      </c>
      <c r="M25" s="32" t="str">
        <f t="shared" si="2"/>
        <v/>
      </c>
      <c r="N25" s="32" t="str">
        <f t="shared" si="2"/>
        <v/>
      </c>
      <c r="O25" s="32" t="str">
        <f t="shared" si="2"/>
        <v/>
      </c>
      <c r="P25" s="32" t="str">
        <f t="shared" si="2"/>
        <v/>
      </c>
      <c r="Q25" s="32" t="str">
        <f t="shared" si="2"/>
        <v/>
      </c>
      <c r="R25" s="32" t="str">
        <f t="shared" si="2"/>
        <v/>
      </c>
      <c r="S25" s="32" t="str">
        <f t="shared" si="2"/>
        <v/>
      </c>
      <c r="T25" s="32" t="str">
        <f t="shared" si="2"/>
        <v/>
      </c>
      <c r="U25" s="32" t="str">
        <f t="shared" si="2"/>
        <v/>
      </c>
      <c r="V25" s="32" t="str">
        <f t="shared" si="2"/>
        <v/>
      </c>
      <c r="W25" s="32" t="str">
        <f t="shared" si="2"/>
        <v/>
      </c>
      <c r="X25" s="32" t="str">
        <f t="shared" si="2"/>
        <v/>
      </c>
    </row>
    <row r="26" spans="2:26"/>
    <row r="27" spans="2:26" ht="21">
      <c r="B27" s="227" t="s">
        <v>381</v>
      </c>
      <c r="C27" s="228" t="s">
        <v>406</v>
      </c>
      <c r="D27" s="229" t="s">
        <v>407</v>
      </c>
      <c r="E27" s="229" t="s">
        <v>408</v>
      </c>
      <c r="F27" s="229" t="s">
        <v>409</v>
      </c>
      <c r="G27" s="229" t="s">
        <v>449</v>
      </c>
      <c r="H27" s="311"/>
      <c r="I27" s="230"/>
      <c r="J27" s="513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</row>
    <row r="28" spans="2:26">
      <c r="B28" s="103" t="str">
        <f>IF(ISBLANK('Środki trwałe'!B195),"",'Środki trwałe'!B195)</f>
        <v/>
      </c>
      <c r="C28" s="102">
        <f>IF(ISBLANK('Środki trwałe'!D195),"",'Środki trwałe'!D195)</f>
        <v>0</v>
      </c>
      <c r="D28" s="245" t="str">
        <f>IF(ISBLANK('Środki trwałe'!E195),"",'Środki trwałe'!E195)</f>
        <v/>
      </c>
      <c r="E28" s="197">
        <f>IFERROR(ROUND(F28/C28,3),0)</f>
        <v>0</v>
      </c>
      <c r="F28" s="94">
        <f>MAX('Koszty operacyjne'!K1406:X1406)</f>
        <v>0</v>
      </c>
      <c r="G28" s="102"/>
      <c r="H28" s="315"/>
      <c r="I28" s="101"/>
      <c r="J28" s="539" t="str">
        <f>'Środki trwałe'!C195</f>
        <v/>
      </c>
      <c r="K28" s="102">
        <f t="shared" ref="K28:X49" si="3">IFERROR(ROUND(IF(AND(YEAR($D28)=LataProjekcji,$F28&gt;0),$F28,0),0),0)</f>
        <v>0</v>
      </c>
      <c r="L28" s="102">
        <f t="shared" si="3"/>
        <v>0</v>
      </c>
      <c r="M28" s="102">
        <f t="shared" si="3"/>
        <v>0</v>
      </c>
      <c r="N28" s="102">
        <f t="shared" si="3"/>
        <v>0</v>
      </c>
      <c r="O28" s="102">
        <f t="shared" si="3"/>
        <v>0</v>
      </c>
      <c r="P28" s="102">
        <f t="shared" si="3"/>
        <v>0</v>
      </c>
      <c r="Q28" s="102">
        <f t="shared" si="3"/>
        <v>0</v>
      </c>
      <c r="R28" s="102">
        <f t="shared" si="3"/>
        <v>0</v>
      </c>
      <c r="S28" s="102">
        <f t="shared" si="3"/>
        <v>0</v>
      </c>
      <c r="T28" s="102">
        <f t="shared" si="3"/>
        <v>0</v>
      </c>
      <c r="U28" s="102">
        <f t="shared" si="3"/>
        <v>0</v>
      </c>
      <c r="V28" s="102">
        <f t="shared" si="3"/>
        <v>0</v>
      </c>
      <c r="W28" s="102">
        <f t="shared" si="3"/>
        <v>0</v>
      </c>
      <c r="X28" s="102">
        <f t="shared" si="3"/>
        <v>0</v>
      </c>
      <c r="Z28" s="330"/>
    </row>
    <row r="29" spans="2:26">
      <c r="B29" s="37" t="str">
        <f>IF(ISBLANK('Środki trwałe'!B196),"",'Środki trwałe'!B196)</f>
        <v/>
      </c>
      <c r="C29" s="33">
        <f>IF(ISBLANK('Środki trwałe'!D196),"",'Środki trwałe'!D196)</f>
        <v>0</v>
      </c>
      <c r="D29" s="245" t="str">
        <f>IF(ISBLANK('Środki trwałe'!E196),"",'Środki trwałe'!E196)</f>
        <v/>
      </c>
      <c r="E29" s="197">
        <f ca="1">IF(AND('Środki trwałe'!F1119="tak",'Środki trwałe'!G1119="nie"),'Środki trwałe'!H1119,0)</f>
        <v>0</v>
      </c>
      <c r="F29" s="94">
        <f ca="1">IFERROR(IF(E29=0,0,ROUND(E29*C29,0)),0)</f>
        <v>0</v>
      </c>
      <c r="G29" s="33"/>
      <c r="H29" s="314"/>
      <c r="I29" s="52"/>
      <c r="J29" s="508" t="str">
        <f>'Środki trwałe'!C196</f>
        <v/>
      </c>
      <c r="K29" s="33">
        <f t="shared" ca="1" si="3"/>
        <v>0</v>
      </c>
      <c r="L29" s="33">
        <f t="shared" ca="1" si="3"/>
        <v>0</v>
      </c>
      <c r="M29" s="33">
        <f t="shared" ca="1" si="3"/>
        <v>0</v>
      </c>
      <c r="N29" s="33">
        <f t="shared" ca="1" si="3"/>
        <v>0</v>
      </c>
      <c r="O29" s="33">
        <f t="shared" ca="1" si="3"/>
        <v>0</v>
      </c>
      <c r="P29" s="33">
        <f t="shared" ca="1" si="3"/>
        <v>0</v>
      </c>
      <c r="Q29" s="33">
        <f t="shared" ca="1" si="3"/>
        <v>0</v>
      </c>
      <c r="R29" s="33">
        <f t="shared" ca="1" si="3"/>
        <v>0</v>
      </c>
      <c r="S29" s="33">
        <f t="shared" ca="1" si="3"/>
        <v>0</v>
      </c>
      <c r="T29" s="33">
        <f t="shared" ca="1" si="3"/>
        <v>0</v>
      </c>
      <c r="U29" s="33">
        <f t="shared" ca="1" si="3"/>
        <v>0</v>
      </c>
      <c r="V29" s="33">
        <f t="shared" ca="1" si="3"/>
        <v>0</v>
      </c>
      <c r="W29" s="33">
        <f t="shared" ca="1" si="3"/>
        <v>0</v>
      </c>
      <c r="X29" s="33">
        <f t="shared" ca="1" si="3"/>
        <v>0</v>
      </c>
    </row>
    <row r="30" spans="2:26">
      <c r="B30" s="37"/>
      <c r="C30" s="33"/>
      <c r="D30" s="245"/>
      <c r="E30" s="197"/>
      <c r="F30" s="94">
        <f>IFERROR(IF(E30=0,0,ROUND(E30*C30,0)),0)</f>
        <v>0</v>
      </c>
      <c r="G30" s="33">
        <f>IF(AND('Środki trwałe'!F197="tak",'Środki trwałe'!G197="tak"),'Środki trwałe'!I197,0)</f>
        <v>0</v>
      </c>
      <c r="H30" s="314"/>
      <c r="I30" s="52"/>
      <c r="J30" s="508" t="str">
        <f>IF(ISBLANK('Środki trwałe'!C197),"",'Środki trwałe'!C197)</f>
        <v/>
      </c>
      <c r="K30" s="33">
        <f t="shared" si="3"/>
        <v>0</v>
      </c>
      <c r="L30" s="33">
        <f t="shared" si="3"/>
        <v>0</v>
      </c>
      <c r="M30" s="33">
        <f t="shared" si="3"/>
        <v>0</v>
      </c>
      <c r="N30" s="33">
        <f t="shared" si="3"/>
        <v>0</v>
      </c>
      <c r="O30" s="33">
        <f t="shared" si="3"/>
        <v>0</v>
      </c>
      <c r="P30" s="33">
        <f t="shared" si="3"/>
        <v>0</v>
      </c>
      <c r="Q30" s="33">
        <f t="shared" si="3"/>
        <v>0</v>
      </c>
      <c r="R30" s="33">
        <f t="shared" si="3"/>
        <v>0</v>
      </c>
      <c r="S30" s="33">
        <f t="shared" si="3"/>
        <v>0</v>
      </c>
      <c r="T30" s="33">
        <f t="shared" si="3"/>
        <v>0</v>
      </c>
      <c r="U30" s="33">
        <f t="shared" si="3"/>
        <v>0</v>
      </c>
      <c r="V30" s="33">
        <f t="shared" si="3"/>
        <v>0</v>
      </c>
      <c r="W30" s="33">
        <f t="shared" si="3"/>
        <v>0</v>
      </c>
      <c r="X30" s="33">
        <f t="shared" si="3"/>
        <v>0</v>
      </c>
    </row>
    <row r="31" spans="2:26">
      <c r="B31" s="37"/>
      <c r="C31" s="33"/>
      <c r="D31" s="245"/>
      <c r="E31" s="197"/>
      <c r="F31" s="94">
        <f>IFERROR(IF(E31=0,0,ROUND(E31*C31,0)),0)</f>
        <v>0</v>
      </c>
      <c r="G31" s="33">
        <f>IF(AND('Środki trwałe'!F198="tak",'Środki trwałe'!G198="tak"),'Środki trwałe'!I198,0)</f>
        <v>0</v>
      </c>
      <c r="H31" s="314"/>
      <c r="I31" s="52"/>
      <c r="J31" s="508" t="str">
        <f>IF(ISBLANK('Środki trwałe'!C198),"",'Środki trwałe'!C198)</f>
        <v/>
      </c>
      <c r="K31" s="33">
        <f t="shared" si="3"/>
        <v>0</v>
      </c>
      <c r="L31" s="33">
        <f t="shared" si="3"/>
        <v>0</v>
      </c>
      <c r="M31" s="33">
        <f t="shared" si="3"/>
        <v>0</v>
      </c>
      <c r="N31" s="33">
        <f t="shared" si="3"/>
        <v>0</v>
      </c>
      <c r="O31" s="33">
        <f t="shared" si="3"/>
        <v>0</v>
      </c>
      <c r="P31" s="33">
        <f t="shared" si="3"/>
        <v>0</v>
      </c>
      <c r="Q31" s="33">
        <f t="shared" si="3"/>
        <v>0</v>
      </c>
      <c r="R31" s="33">
        <f t="shared" si="3"/>
        <v>0</v>
      </c>
      <c r="S31" s="33">
        <f t="shared" si="3"/>
        <v>0</v>
      </c>
      <c r="T31" s="33">
        <f t="shared" si="3"/>
        <v>0</v>
      </c>
      <c r="U31" s="33">
        <f t="shared" si="3"/>
        <v>0</v>
      </c>
      <c r="V31" s="33">
        <f t="shared" si="3"/>
        <v>0</v>
      </c>
      <c r="W31" s="33">
        <f t="shared" si="3"/>
        <v>0</v>
      </c>
      <c r="X31" s="33">
        <f t="shared" si="3"/>
        <v>0</v>
      </c>
    </row>
    <row r="32" spans="2:26">
      <c r="B32" s="37"/>
      <c r="C32" s="33"/>
      <c r="D32" s="245"/>
      <c r="E32" s="197"/>
      <c r="F32" s="94">
        <f t="shared" ref="F32:F48" si="4">IFERROR(IF(E32=0,0,ROUND(E32*C32,0)),0)</f>
        <v>0</v>
      </c>
      <c r="G32" s="33">
        <f>IF(AND('Środki trwałe'!F199="tak",'Środki trwałe'!G199="tak"),'Środki trwałe'!I199,0)</f>
        <v>0</v>
      </c>
      <c r="H32" s="314"/>
      <c r="I32" s="52"/>
      <c r="J32" s="508" t="str">
        <f>IF(ISBLANK('Środki trwałe'!C199),"",'Środki trwałe'!C199)</f>
        <v/>
      </c>
      <c r="K32" s="33">
        <f t="shared" si="3"/>
        <v>0</v>
      </c>
      <c r="L32" s="33">
        <f t="shared" si="3"/>
        <v>0</v>
      </c>
      <c r="M32" s="33">
        <f t="shared" si="3"/>
        <v>0</v>
      </c>
      <c r="N32" s="33">
        <f t="shared" si="3"/>
        <v>0</v>
      </c>
      <c r="O32" s="33">
        <f t="shared" si="3"/>
        <v>0</v>
      </c>
      <c r="P32" s="33">
        <f t="shared" si="3"/>
        <v>0</v>
      </c>
      <c r="Q32" s="33">
        <f t="shared" si="3"/>
        <v>0</v>
      </c>
      <c r="R32" s="33">
        <f t="shared" si="3"/>
        <v>0</v>
      </c>
      <c r="S32" s="33">
        <f t="shared" si="3"/>
        <v>0</v>
      </c>
      <c r="T32" s="33">
        <f t="shared" si="3"/>
        <v>0</v>
      </c>
      <c r="U32" s="33">
        <f t="shared" si="3"/>
        <v>0</v>
      </c>
      <c r="V32" s="33">
        <f t="shared" si="3"/>
        <v>0</v>
      </c>
      <c r="W32" s="33">
        <f t="shared" si="3"/>
        <v>0</v>
      </c>
      <c r="X32" s="33">
        <f t="shared" si="3"/>
        <v>0</v>
      </c>
    </row>
    <row r="33" spans="2:24">
      <c r="B33" s="37" t="str">
        <f>IF(ISBLANK('Środki trwałe'!B200),"",'Środki trwałe'!B200)</f>
        <v/>
      </c>
      <c r="C33" s="33" t="str">
        <f>IF(ISBLANK('Środki trwałe'!D200),"",'Środki trwałe'!D200)</f>
        <v/>
      </c>
      <c r="D33" s="245" t="str">
        <f>IF(ISBLANK('Środki trwałe'!E200),"",'Środki trwałe'!E200)</f>
        <v/>
      </c>
      <c r="E33" s="197">
        <f>IF(AND('Środki trwałe'!F200="tak",'Środki trwałe'!G200="nie"),'Środki trwałe'!H200,0)</f>
        <v>0</v>
      </c>
      <c r="F33" s="94">
        <f t="shared" si="4"/>
        <v>0</v>
      </c>
      <c r="G33" s="33">
        <f>IF(AND('Środki trwałe'!F200="tak",'Środki trwałe'!G200="tak"),'Środki trwałe'!I200,0)</f>
        <v>0</v>
      </c>
      <c r="H33" s="314"/>
      <c r="I33" s="52"/>
      <c r="J33" s="508" t="str">
        <f>IF(ISBLANK('Środki trwałe'!C200),"",'Środki trwałe'!C200)</f>
        <v/>
      </c>
      <c r="K33" s="33">
        <f t="shared" si="3"/>
        <v>0</v>
      </c>
      <c r="L33" s="33">
        <f t="shared" si="3"/>
        <v>0</v>
      </c>
      <c r="M33" s="33">
        <f t="shared" si="3"/>
        <v>0</v>
      </c>
      <c r="N33" s="33">
        <f t="shared" si="3"/>
        <v>0</v>
      </c>
      <c r="O33" s="33">
        <f t="shared" si="3"/>
        <v>0</v>
      </c>
      <c r="P33" s="33">
        <f t="shared" si="3"/>
        <v>0</v>
      </c>
      <c r="Q33" s="33">
        <f t="shared" si="3"/>
        <v>0</v>
      </c>
      <c r="R33" s="33">
        <f t="shared" si="3"/>
        <v>0</v>
      </c>
      <c r="S33" s="33">
        <f t="shared" si="3"/>
        <v>0</v>
      </c>
      <c r="T33" s="33">
        <f t="shared" si="3"/>
        <v>0</v>
      </c>
      <c r="U33" s="33">
        <f t="shared" si="3"/>
        <v>0</v>
      </c>
      <c r="V33" s="33">
        <f t="shared" si="3"/>
        <v>0</v>
      </c>
      <c r="W33" s="33">
        <f t="shared" si="3"/>
        <v>0</v>
      </c>
      <c r="X33" s="33">
        <f t="shared" si="3"/>
        <v>0</v>
      </c>
    </row>
    <row r="34" spans="2:24">
      <c r="B34" s="37" t="str">
        <f>IF(ISBLANK('Środki trwałe'!B201),"",'Środki trwałe'!B201)</f>
        <v/>
      </c>
      <c r="C34" s="33" t="str">
        <f>IF(ISBLANK('Środki trwałe'!D201),"",'Środki trwałe'!D201)</f>
        <v/>
      </c>
      <c r="D34" s="245" t="str">
        <f>IF(ISBLANK('Środki trwałe'!E201),"",'Środki trwałe'!E201)</f>
        <v/>
      </c>
      <c r="E34" s="197">
        <f>IF(AND('Środki trwałe'!F201="tak",'Środki trwałe'!G201="nie"),'Środki trwałe'!H201,0)</f>
        <v>0</v>
      </c>
      <c r="F34" s="94">
        <f t="shared" si="4"/>
        <v>0</v>
      </c>
      <c r="G34" s="33">
        <f>IF(AND('Środki trwałe'!F201="tak",'Środki trwałe'!G201="tak"),'Środki trwałe'!I201,0)</f>
        <v>0</v>
      </c>
      <c r="H34" s="314"/>
      <c r="I34" s="52"/>
      <c r="J34" s="508" t="str">
        <f>IF(ISBLANK('Środki trwałe'!C201),"",'Środki trwałe'!C201)</f>
        <v/>
      </c>
      <c r="K34" s="33">
        <f t="shared" si="3"/>
        <v>0</v>
      </c>
      <c r="L34" s="33">
        <f t="shared" si="3"/>
        <v>0</v>
      </c>
      <c r="M34" s="33">
        <f t="shared" si="3"/>
        <v>0</v>
      </c>
      <c r="N34" s="33">
        <f t="shared" si="3"/>
        <v>0</v>
      </c>
      <c r="O34" s="33">
        <f t="shared" si="3"/>
        <v>0</v>
      </c>
      <c r="P34" s="33">
        <f t="shared" si="3"/>
        <v>0</v>
      </c>
      <c r="Q34" s="33">
        <f t="shared" si="3"/>
        <v>0</v>
      </c>
      <c r="R34" s="33">
        <f t="shared" si="3"/>
        <v>0</v>
      </c>
      <c r="S34" s="33">
        <f t="shared" si="3"/>
        <v>0</v>
      </c>
      <c r="T34" s="33">
        <f t="shared" si="3"/>
        <v>0</v>
      </c>
      <c r="U34" s="33">
        <f t="shared" si="3"/>
        <v>0</v>
      </c>
      <c r="V34" s="33">
        <f t="shared" si="3"/>
        <v>0</v>
      </c>
      <c r="W34" s="33">
        <f t="shared" si="3"/>
        <v>0</v>
      </c>
      <c r="X34" s="33">
        <f t="shared" si="3"/>
        <v>0</v>
      </c>
    </row>
    <row r="35" spans="2:24">
      <c r="B35" s="37" t="str">
        <f>IF(ISBLANK('Środki trwałe'!B202),"",'Środki trwałe'!B202)</f>
        <v/>
      </c>
      <c r="C35" s="33" t="str">
        <f>IF(ISBLANK('Środki trwałe'!D202),"",'Środki trwałe'!D202)</f>
        <v/>
      </c>
      <c r="D35" s="245" t="str">
        <f>IF(ISBLANK('Środki trwałe'!E202),"",'Środki trwałe'!E202)</f>
        <v/>
      </c>
      <c r="E35" s="197">
        <f>IF(AND('Środki trwałe'!F202="tak",'Środki trwałe'!G202="nie"),'Środki trwałe'!H202,0)</f>
        <v>0</v>
      </c>
      <c r="F35" s="94">
        <f t="shared" si="4"/>
        <v>0</v>
      </c>
      <c r="G35" s="33">
        <f>IF(AND('Środki trwałe'!F202="tak",'Środki trwałe'!G202="tak"),'Środki trwałe'!I202,0)</f>
        <v>0</v>
      </c>
      <c r="H35" s="314"/>
      <c r="I35" s="52"/>
      <c r="J35" s="508" t="str">
        <f>IF(ISBLANK('Środki trwałe'!C202),"",'Środki trwałe'!C202)</f>
        <v/>
      </c>
      <c r="K35" s="33">
        <f t="shared" si="3"/>
        <v>0</v>
      </c>
      <c r="L35" s="33">
        <f t="shared" si="3"/>
        <v>0</v>
      </c>
      <c r="M35" s="33">
        <f t="shared" si="3"/>
        <v>0</v>
      </c>
      <c r="N35" s="33">
        <f t="shared" si="3"/>
        <v>0</v>
      </c>
      <c r="O35" s="33">
        <f t="shared" si="3"/>
        <v>0</v>
      </c>
      <c r="P35" s="33">
        <f t="shared" si="3"/>
        <v>0</v>
      </c>
      <c r="Q35" s="33">
        <f t="shared" si="3"/>
        <v>0</v>
      </c>
      <c r="R35" s="33">
        <f t="shared" si="3"/>
        <v>0</v>
      </c>
      <c r="S35" s="33">
        <f t="shared" si="3"/>
        <v>0</v>
      </c>
      <c r="T35" s="33">
        <f t="shared" si="3"/>
        <v>0</v>
      </c>
      <c r="U35" s="33">
        <f t="shared" si="3"/>
        <v>0</v>
      </c>
      <c r="V35" s="33">
        <f t="shared" si="3"/>
        <v>0</v>
      </c>
      <c r="W35" s="33">
        <f t="shared" si="3"/>
        <v>0</v>
      </c>
      <c r="X35" s="33">
        <f t="shared" si="3"/>
        <v>0</v>
      </c>
    </row>
    <row r="36" spans="2:24">
      <c r="B36" s="37" t="str">
        <f>IF(ISBLANK('Środki trwałe'!B203),"",'Środki trwałe'!B203)</f>
        <v/>
      </c>
      <c r="C36" s="33" t="str">
        <f>IF(ISBLANK('Środki trwałe'!D203),"",'Środki trwałe'!D203)</f>
        <v/>
      </c>
      <c r="D36" s="245" t="str">
        <f>IF(ISBLANK('Środki trwałe'!E203),"",'Środki trwałe'!E203)</f>
        <v/>
      </c>
      <c r="E36" s="197">
        <f>IF(AND('Środki trwałe'!F203="tak",'Środki trwałe'!G203="nie"),'Środki trwałe'!H203,0)</f>
        <v>0</v>
      </c>
      <c r="F36" s="94">
        <f t="shared" si="4"/>
        <v>0</v>
      </c>
      <c r="G36" s="33">
        <f>IF(AND('Środki trwałe'!F203="tak",'Środki trwałe'!G203="tak"),'Środki trwałe'!I203,0)</f>
        <v>0</v>
      </c>
      <c r="H36" s="314"/>
      <c r="I36" s="52"/>
      <c r="J36" s="508" t="str">
        <f>IF(ISBLANK('Środki trwałe'!C203),"",'Środki trwałe'!C203)</f>
        <v/>
      </c>
      <c r="K36" s="33">
        <f t="shared" si="3"/>
        <v>0</v>
      </c>
      <c r="L36" s="33">
        <f t="shared" si="3"/>
        <v>0</v>
      </c>
      <c r="M36" s="33">
        <f t="shared" si="3"/>
        <v>0</v>
      </c>
      <c r="N36" s="33">
        <f t="shared" si="3"/>
        <v>0</v>
      </c>
      <c r="O36" s="33">
        <f t="shared" si="3"/>
        <v>0</v>
      </c>
      <c r="P36" s="33">
        <f t="shared" si="3"/>
        <v>0</v>
      </c>
      <c r="Q36" s="33">
        <f t="shared" si="3"/>
        <v>0</v>
      </c>
      <c r="R36" s="33">
        <f t="shared" si="3"/>
        <v>0</v>
      </c>
      <c r="S36" s="33">
        <f t="shared" si="3"/>
        <v>0</v>
      </c>
      <c r="T36" s="33">
        <f t="shared" si="3"/>
        <v>0</v>
      </c>
      <c r="U36" s="33">
        <f t="shared" si="3"/>
        <v>0</v>
      </c>
      <c r="V36" s="33">
        <f t="shared" si="3"/>
        <v>0</v>
      </c>
      <c r="W36" s="33">
        <f t="shared" si="3"/>
        <v>0</v>
      </c>
      <c r="X36" s="33">
        <f t="shared" si="3"/>
        <v>0</v>
      </c>
    </row>
    <row r="37" spans="2:24">
      <c r="B37" s="37" t="str">
        <f>IF(ISBLANK('Środki trwałe'!B204),"",'Środki trwałe'!B204)</f>
        <v/>
      </c>
      <c r="C37" s="33" t="str">
        <f>IF(ISBLANK('Środki trwałe'!D204),"",'Środki trwałe'!D204)</f>
        <v/>
      </c>
      <c r="D37" s="245" t="str">
        <f>IF(ISBLANK('Środki trwałe'!E204),"",'Środki trwałe'!E204)</f>
        <v/>
      </c>
      <c r="E37" s="197">
        <f>IF(AND('Środki trwałe'!F204="tak",'Środki trwałe'!G204="nie"),'Środki trwałe'!H204,0)</f>
        <v>0</v>
      </c>
      <c r="F37" s="94">
        <f t="shared" si="4"/>
        <v>0</v>
      </c>
      <c r="G37" s="33">
        <f>IF(AND('Środki trwałe'!F204="tak",'Środki trwałe'!G204="tak"),'Środki trwałe'!I204,0)</f>
        <v>0</v>
      </c>
      <c r="H37" s="314"/>
      <c r="I37" s="52"/>
      <c r="J37" s="508" t="str">
        <f>IF(ISBLANK('Środki trwałe'!C204),"",'Środki trwałe'!C204)</f>
        <v/>
      </c>
      <c r="K37" s="33">
        <f t="shared" si="3"/>
        <v>0</v>
      </c>
      <c r="L37" s="33">
        <f t="shared" si="3"/>
        <v>0</v>
      </c>
      <c r="M37" s="33">
        <f t="shared" si="3"/>
        <v>0</v>
      </c>
      <c r="N37" s="33">
        <f t="shared" si="3"/>
        <v>0</v>
      </c>
      <c r="O37" s="33">
        <f t="shared" si="3"/>
        <v>0</v>
      </c>
      <c r="P37" s="33">
        <f t="shared" si="3"/>
        <v>0</v>
      </c>
      <c r="Q37" s="33">
        <f t="shared" si="3"/>
        <v>0</v>
      </c>
      <c r="R37" s="33">
        <f t="shared" si="3"/>
        <v>0</v>
      </c>
      <c r="S37" s="33">
        <f t="shared" si="3"/>
        <v>0</v>
      </c>
      <c r="T37" s="33">
        <f t="shared" si="3"/>
        <v>0</v>
      </c>
      <c r="U37" s="33">
        <f t="shared" si="3"/>
        <v>0</v>
      </c>
      <c r="V37" s="33">
        <f t="shared" si="3"/>
        <v>0</v>
      </c>
      <c r="W37" s="33">
        <f t="shared" si="3"/>
        <v>0</v>
      </c>
      <c r="X37" s="33">
        <f t="shared" si="3"/>
        <v>0</v>
      </c>
    </row>
    <row r="38" spans="2:24">
      <c r="B38" s="37" t="str">
        <f>IF(ISBLANK('Środki trwałe'!B205),"",'Środki trwałe'!B205)</f>
        <v/>
      </c>
      <c r="C38" s="33" t="str">
        <f>IF(ISBLANK('Środki trwałe'!D205),"",'Środki trwałe'!D205)</f>
        <v/>
      </c>
      <c r="D38" s="245" t="str">
        <f>IF(ISBLANK('Środki trwałe'!E205),"",'Środki trwałe'!E205)</f>
        <v/>
      </c>
      <c r="E38" s="197">
        <f>IF(AND('Środki trwałe'!F205="tak",'Środki trwałe'!G205="nie"),'Środki trwałe'!H205,0)</f>
        <v>0</v>
      </c>
      <c r="F38" s="94">
        <f t="shared" si="4"/>
        <v>0</v>
      </c>
      <c r="G38" s="33">
        <f>IF(AND('Środki trwałe'!F205="tak",'Środki trwałe'!G205="tak"),'Środki trwałe'!I205,0)</f>
        <v>0</v>
      </c>
      <c r="H38" s="314"/>
      <c r="I38" s="52"/>
      <c r="J38" s="508" t="str">
        <f>IF(ISBLANK('Środki trwałe'!C205),"",'Środki trwałe'!C205)</f>
        <v/>
      </c>
      <c r="K38" s="33">
        <f t="shared" si="3"/>
        <v>0</v>
      </c>
      <c r="L38" s="33">
        <f t="shared" si="3"/>
        <v>0</v>
      </c>
      <c r="M38" s="33">
        <f t="shared" si="3"/>
        <v>0</v>
      </c>
      <c r="N38" s="33">
        <f t="shared" si="3"/>
        <v>0</v>
      </c>
      <c r="O38" s="33">
        <f t="shared" si="3"/>
        <v>0</v>
      </c>
      <c r="P38" s="33">
        <f t="shared" si="3"/>
        <v>0</v>
      </c>
      <c r="Q38" s="33">
        <f t="shared" si="3"/>
        <v>0</v>
      </c>
      <c r="R38" s="33">
        <f t="shared" si="3"/>
        <v>0</v>
      </c>
      <c r="S38" s="33">
        <f t="shared" si="3"/>
        <v>0</v>
      </c>
      <c r="T38" s="33">
        <f t="shared" si="3"/>
        <v>0</v>
      </c>
      <c r="U38" s="33">
        <f t="shared" si="3"/>
        <v>0</v>
      </c>
      <c r="V38" s="33">
        <f t="shared" si="3"/>
        <v>0</v>
      </c>
      <c r="W38" s="33">
        <f t="shared" si="3"/>
        <v>0</v>
      </c>
      <c r="X38" s="33">
        <f t="shared" si="3"/>
        <v>0</v>
      </c>
    </row>
    <row r="39" spans="2:24">
      <c r="B39" s="37" t="str">
        <f>IF(ISBLANK('Środki trwałe'!B206),"",'Środki trwałe'!B206)</f>
        <v/>
      </c>
      <c r="C39" s="33" t="str">
        <f>IF(ISBLANK('Środki trwałe'!D206),"",'Środki trwałe'!D206)</f>
        <v/>
      </c>
      <c r="D39" s="245" t="str">
        <f>IF(ISBLANK('Środki trwałe'!E206),"",'Środki trwałe'!E206)</f>
        <v/>
      </c>
      <c r="E39" s="197">
        <f>IF(AND('Środki trwałe'!F206="tak",'Środki trwałe'!G206="nie"),'Środki trwałe'!H206,0)</f>
        <v>0</v>
      </c>
      <c r="F39" s="94">
        <f t="shared" si="4"/>
        <v>0</v>
      </c>
      <c r="G39" s="33">
        <f>IF(AND('Środki trwałe'!F206="tak",'Środki trwałe'!G206="tak"),'Środki trwałe'!I206,0)</f>
        <v>0</v>
      </c>
      <c r="H39" s="314"/>
      <c r="I39" s="52"/>
      <c r="J39" s="508" t="str">
        <f>IF(ISBLANK('Środki trwałe'!C206),"",'Środki trwałe'!C206)</f>
        <v/>
      </c>
      <c r="K39" s="33">
        <f t="shared" si="3"/>
        <v>0</v>
      </c>
      <c r="L39" s="33">
        <f t="shared" si="3"/>
        <v>0</v>
      </c>
      <c r="M39" s="33">
        <f t="shared" si="3"/>
        <v>0</v>
      </c>
      <c r="N39" s="33">
        <f t="shared" si="3"/>
        <v>0</v>
      </c>
      <c r="O39" s="33">
        <f t="shared" si="3"/>
        <v>0</v>
      </c>
      <c r="P39" s="33">
        <f t="shared" si="3"/>
        <v>0</v>
      </c>
      <c r="Q39" s="33">
        <f t="shared" si="3"/>
        <v>0</v>
      </c>
      <c r="R39" s="33">
        <f t="shared" si="3"/>
        <v>0</v>
      </c>
      <c r="S39" s="33">
        <f t="shared" si="3"/>
        <v>0</v>
      </c>
      <c r="T39" s="33">
        <f t="shared" si="3"/>
        <v>0</v>
      </c>
      <c r="U39" s="33">
        <f t="shared" si="3"/>
        <v>0</v>
      </c>
      <c r="V39" s="33">
        <f t="shared" si="3"/>
        <v>0</v>
      </c>
      <c r="W39" s="33">
        <f t="shared" si="3"/>
        <v>0</v>
      </c>
      <c r="X39" s="33">
        <f t="shared" si="3"/>
        <v>0</v>
      </c>
    </row>
    <row r="40" spans="2:24">
      <c r="B40" s="37" t="str">
        <f>IF(ISBLANK('Środki trwałe'!B207),"",'Środki trwałe'!B207)</f>
        <v/>
      </c>
      <c r="C40" s="33" t="str">
        <f>IF(ISBLANK('Środki trwałe'!D207),"",'Środki trwałe'!D207)</f>
        <v/>
      </c>
      <c r="D40" s="245" t="str">
        <f>IF(ISBLANK('Środki trwałe'!E207),"",'Środki trwałe'!E207)</f>
        <v/>
      </c>
      <c r="E40" s="197">
        <f>IF(AND('Środki trwałe'!F207="tak",'Środki trwałe'!G207="nie"),'Środki trwałe'!H207,0)</f>
        <v>0</v>
      </c>
      <c r="F40" s="94">
        <f t="shared" si="4"/>
        <v>0</v>
      </c>
      <c r="G40" s="33">
        <f>IF(AND('Środki trwałe'!F207="tak",'Środki trwałe'!G207="tak"),'Środki trwałe'!I207,0)</f>
        <v>0</v>
      </c>
      <c r="H40" s="314"/>
      <c r="I40" s="52"/>
      <c r="J40" s="508" t="str">
        <f>IF(ISBLANK('Środki trwałe'!C207),"",'Środki trwałe'!C207)</f>
        <v/>
      </c>
      <c r="K40" s="33">
        <f t="shared" si="3"/>
        <v>0</v>
      </c>
      <c r="L40" s="33">
        <f t="shared" si="3"/>
        <v>0</v>
      </c>
      <c r="M40" s="33">
        <f t="shared" si="3"/>
        <v>0</v>
      </c>
      <c r="N40" s="33">
        <f t="shared" si="3"/>
        <v>0</v>
      </c>
      <c r="O40" s="33">
        <f t="shared" si="3"/>
        <v>0</v>
      </c>
      <c r="P40" s="33">
        <f t="shared" si="3"/>
        <v>0</v>
      </c>
      <c r="Q40" s="33">
        <f t="shared" si="3"/>
        <v>0</v>
      </c>
      <c r="R40" s="33">
        <f t="shared" si="3"/>
        <v>0</v>
      </c>
      <c r="S40" s="33">
        <f t="shared" si="3"/>
        <v>0</v>
      </c>
      <c r="T40" s="33">
        <f t="shared" si="3"/>
        <v>0</v>
      </c>
      <c r="U40" s="33">
        <f t="shared" si="3"/>
        <v>0</v>
      </c>
      <c r="V40" s="33">
        <f t="shared" si="3"/>
        <v>0</v>
      </c>
      <c r="W40" s="33">
        <f t="shared" si="3"/>
        <v>0</v>
      </c>
      <c r="X40" s="33">
        <f t="shared" si="3"/>
        <v>0</v>
      </c>
    </row>
    <row r="41" spans="2:24">
      <c r="B41" s="37" t="str">
        <f>IF(ISBLANK('Środki trwałe'!B208),"",'Środki trwałe'!B208)</f>
        <v/>
      </c>
      <c r="C41" s="33" t="str">
        <f>IF(ISBLANK('Środki trwałe'!D208),"",'Środki trwałe'!D208)</f>
        <v/>
      </c>
      <c r="D41" s="245" t="str">
        <f>IF(ISBLANK('Środki trwałe'!E208),"",'Środki trwałe'!E208)</f>
        <v/>
      </c>
      <c r="E41" s="197">
        <f>IF(AND('Środki trwałe'!F208="tak",'Środki trwałe'!G208="nie"),'Środki trwałe'!H208,0)</f>
        <v>0</v>
      </c>
      <c r="F41" s="94">
        <f t="shared" si="4"/>
        <v>0</v>
      </c>
      <c r="G41" s="33">
        <f>IF(AND('Środki trwałe'!F208="tak",'Środki trwałe'!G208="tak"),'Środki trwałe'!I208,0)</f>
        <v>0</v>
      </c>
      <c r="H41" s="314"/>
      <c r="I41" s="52"/>
      <c r="J41" s="508" t="str">
        <f>IF(ISBLANK('Środki trwałe'!C208),"",'Środki trwałe'!C208)</f>
        <v/>
      </c>
      <c r="K41" s="33">
        <f t="shared" si="3"/>
        <v>0</v>
      </c>
      <c r="L41" s="33">
        <f t="shared" si="3"/>
        <v>0</v>
      </c>
      <c r="M41" s="33">
        <f t="shared" si="3"/>
        <v>0</v>
      </c>
      <c r="N41" s="33">
        <f t="shared" si="3"/>
        <v>0</v>
      </c>
      <c r="O41" s="33">
        <f t="shared" si="3"/>
        <v>0</v>
      </c>
      <c r="P41" s="33">
        <f t="shared" si="3"/>
        <v>0</v>
      </c>
      <c r="Q41" s="33">
        <f t="shared" si="3"/>
        <v>0</v>
      </c>
      <c r="R41" s="33">
        <f t="shared" si="3"/>
        <v>0</v>
      </c>
      <c r="S41" s="33">
        <f t="shared" si="3"/>
        <v>0</v>
      </c>
      <c r="T41" s="33">
        <f t="shared" si="3"/>
        <v>0</v>
      </c>
      <c r="U41" s="33">
        <f t="shared" si="3"/>
        <v>0</v>
      </c>
      <c r="V41" s="33">
        <f t="shared" si="3"/>
        <v>0</v>
      </c>
      <c r="W41" s="33">
        <f t="shared" si="3"/>
        <v>0</v>
      </c>
      <c r="X41" s="33">
        <f t="shared" si="3"/>
        <v>0</v>
      </c>
    </row>
    <row r="42" spans="2:24">
      <c r="B42" s="37" t="str">
        <f>IF(ISBLANK('Środki trwałe'!B209),"",'Środki trwałe'!B209)</f>
        <v/>
      </c>
      <c r="C42" s="33" t="str">
        <f>IF(ISBLANK('Środki trwałe'!D209),"",'Środki trwałe'!D209)</f>
        <v/>
      </c>
      <c r="D42" s="245" t="str">
        <f>IF(ISBLANK('Środki trwałe'!E209),"",'Środki trwałe'!E209)</f>
        <v/>
      </c>
      <c r="E42" s="197">
        <f>IF(AND('Środki trwałe'!F209="tak",'Środki trwałe'!G209="nie"),'Środki trwałe'!H209,0)</f>
        <v>0</v>
      </c>
      <c r="F42" s="94">
        <f t="shared" si="4"/>
        <v>0</v>
      </c>
      <c r="G42" s="33">
        <f>IF(AND('Środki trwałe'!F209="tak",'Środki trwałe'!G209="tak"),'Środki trwałe'!I209,0)</f>
        <v>0</v>
      </c>
      <c r="H42" s="314"/>
      <c r="I42" s="52"/>
      <c r="J42" s="508" t="str">
        <f>IF(ISBLANK('Środki trwałe'!C209),"",'Środki trwałe'!C209)</f>
        <v/>
      </c>
      <c r="K42" s="33">
        <f t="shared" si="3"/>
        <v>0</v>
      </c>
      <c r="L42" s="33">
        <f t="shared" si="3"/>
        <v>0</v>
      </c>
      <c r="M42" s="33">
        <f t="shared" si="3"/>
        <v>0</v>
      </c>
      <c r="N42" s="33">
        <f t="shared" si="3"/>
        <v>0</v>
      </c>
      <c r="O42" s="33">
        <f t="shared" si="3"/>
        <v>0</v>
      </c>
      <c r="P42" s="33">
        <f t="shared" si="3"/>
        <v>0</v>
      </c>
      <c r="Q42" s="33">
        <f t="shared" si="3"/>
        <v>0</v>
      </c>
      <c r="R42" s="33">
        <f t="shared" si="3"/>
        <v>0</v>
      </c>
      <c r="S42" s="33">
        <f t="shared" si="3"/>
        <v>0</v>
      </c>
      <c r="T42" s="33">
        <f t="shared" si="3"/>
        <v>0</v>
      </c>
      <c r="U42" s="33">
        <f t="shared" si="3"/>
        <v>0</v>
      </c>
      <c r="V42" s="33">
        <f t="shared" si="3"/>
        <v>0</v>
      </c>
      <c r="W42" s="33">
        <f t="shared" si="3"/>
        <v>0</v>
      </c>
      <c r="X42" s="33">
        <f t="shared" si="3"/>
        <v>0</v>
      </c>
    </row>
    <row r="43" spans="2:24">
      <c r="B43" s="37" t="str">
        <f>IF(ISBLANK('Środki trwałe'!B210),"",'Środki trwałe'!B210)</f>
        <v/>
      </c>
      <c r="C43" s="33" t="str">
        <f>IF(ISBLANK('Środki trwałe'!D210),"",'Środki trwałe'!D210)</f>
        <v/>
      </c>
      <c r="D43" s="245" t="str">
        <f>IF(ISBLANK('Środki trwałe'!E210),"",'Środki trwałe'!E210)</f>
        <v/>
      </c>
      <c r="E43" s="197">
        <f>IF(AND('Środki trwałe'!F210="tak",'Środki trwałe'!G210="nie"),'Środki trwałe'!H210,0)</f>
        <v>0</v>
      </c>
      <c r="F43" s="94">
        <f t="shared" si="4"/>
        <v>0</v>
      </c>
      <c r="G43" s="33">
        <f>IF(AND('Środki trwałe'!F210="tak",'Środki trwałe'!G210="tak"),'Środki trwałe'!I210,0)</f>
        <v>0</v>
      </c>
      <c r="H43" s="314"/>
      <c r="I43" s="52"/>
      <c r="J43" s="508" t="str">
        <f>IF(ISBLANK('Środki trwałe'!C210),"",'Środki trwałe'!C210)</f>
        <v/>
      </c>
      <c r="K43" s="33">
        <f t="shared" si="3"/>
        <v>0</v>
      </c>
      <c r="L43" s="33">
        <f t="shared" si="3"/>
        <v>0</v>
      </c>
      <c r="M43" s="33">
        <f t="shared" si="3"/>
        <v>0</v>
      </c>
      <c r="N43" s="33">
        <f t="shared" si="3"/>
        <v>0</v>
      </c>
      <c r="O43" s="33">
        <f t="shared" si="3"/>
        <v>0</v>
      </c>
      <c r="P43" s="33">
        <f t="shared" si="3"/>
        <v>0</v>
      </c>
      <c r="Q43" s="33">
        <f t="shared" si="3"/>
        <v>0</v>
      </c>
      <c r="R43" s="33">
        <f t="shared" si="3"/>
        <v>0</v>
      </c>
      <c r="S43" s="33">
        <f t="shared" si="3"/>
        <v>0</v>
      </c>
      <c r="T43" s="33">
        <f t="shared" si="3"/>
        <v>0</v>
      </c>
      <c r="U43" s="33">
        <f t="shared" si="3"/>
        <v>0</v>
      </c>
      <c r="V43" s="33">
        <f t="shared" si="3"/>
        <v>0</v>
      </c>
      <c r="W43" s="33">
        <f t="shared" si="3"/>
        <v>0</v>
      </c>
      <c r="X43" s="33">
        <f t="shared" si="3"/>
        <v>0</v>
      </c>
    </row>
    <row r="44" spans="2:24">
      <c r="B44" s="37" t="str">
        <f>IF(ISBLANK('Środki trwałe'!B211),"",'Środki trwałe'!B211)</f>
        <v/>
      </c>
      <c r="C44" s="33" t="str">
        <f>IF(ISBLANK('Środki trwałe'!D211),"",'Środki trwałe'!D211)</f>
        <v/>
      </c>
      <c r="D44" s="245" t="str">
        <f>IF(ISBLANK('Środki trwałe'!E211),"",'Środki trwałe'!E211)</f>
        <v/>
      </c>
      <c r="E44" s="197">
        <f>IF(AND('Środki trwałe'!F211="tak",'Środki trwałe'!G211="nie"),'Środki trwałe'!H211,0)</f>
        <v>0</v>
      </c>
      <c r="F44" s="94">
        <f t="shared" si="4"/>
        <v>0</v>
      </c>
      <c r="G44" s="33">
        <f>IF(AND('Środki trwałe'!F211="tak",'Środki trwałe'!G211="tak"),'Środki trwałe'!I211,0)</f>
        <v>0</v>
      </c>
      <c r="H44" s="314"/>
      <c r="I44" s="52"/>
      <c r="J44" s="508" t="str">
        <f>IF(ISBLANK('Środki trwałe'!C211),"",'Środki trwałe'!C211)</f>
        <v/>
      </c>
      <c r="K44" s="33">
        <f t="shared" si="3"/>
        <v>0</v>
      </c>
      <c r="L44" s="33">
        <f t="shared" si="3"/>
        <v>0</v>
      </c>
      <c r="M44" s="33">
        <f t="shared" si="3"/>
        <v>0</v>
      </c>
      <c r="N44" s="33">
        <f t="shared" si="3"/>
        <v>0</v>
      </c>
      <c r="O44" s="33">
        <f t="shared" si="3"/>
        <v>0</v>
      </c>
      <c r="P44" s="33">
        <f t="shared" si="3"/>
        <v>0</v>
      </c>
      <c r="Q44" s="33">
        <f t="shared" si="3"/>
        <v>0</v>
      </c>
      <c r="R44" s="33">
        <f t="shared" si="3"/>
        <v>0</v>
      </c>
      <c r="S44" s="33">
        <f t="shared" si="3"/>
        <v>0</v>
      </c>
      <c r="T44" s="33">
        <f t="shared" si="3"/>
        <v>0</v>
      </c>
      <c r="U44" s="33">
        <f t="shared" si="3"/>
        <v>0</v>
      </c>
      <c r="V44" s="33">
        <f t="shared" si="3"/>
        <v>0</v>
      </c>
      <c r="W44" s="33">
        <f t="shared" si="3"/>
        <v>0</v>
      </c>
      <c r="X44" s="33">
        <f t="shared" si="3"/>
        <v>0</v>
      </c>
    </row>
    <row r="45" spans="2:24">
      <c r="B45" s="37" t="str">
        <f>IF(ISBLANK('Środki trwałe'!B212),"",'Środki trwałe'!B212)</f>
        <v/>
      </c>
      <c r="C45" s="33" t="str">
        <f>IF(ISBLANK('Środki trwałe'!D212),"",'Środki trwałe'!D212)</f>
        <v/>
      </c>
      <c r="D45" s="245" t="str">
        <f>IF(ISBLANK('Środki trwałe'!E212),"",'Środki trwałe'!E212)</f>
        <v/>
      </c>
      <c r="E45" s="197">
        <f>IF(AND('Środki trwałe'!F212="tak",'Środki trwałe'!G212="nie"),'Środki trwałe'!H212,0)</f>
        <v>0</v>
      </c>
      <c r="F45" s="94">
        <f t="shared" si="4"/>
        <v>0</v>
      </c>
      <c r="G45" s="33">
        <f>IF(AND('Środki trwałe'!F212="tak",'Środki trwałe'!G212="tak"),'Środki trwałe'!I212,0)</f>
        <v>0</v>
      </c>
      <c r="H45" s="314"/>
      <c r="I45" s="52"/>
      <c r="J45" s="508" t="str">
        <f>IF(ISBLANK('Środki trwałe'!C212),"",'Środki trwałe'!C212)</f>
        <v/>
      </c>
      <c r="K45" s="33">
        <f t="shared" si="3"/>
        <v>0</v>
      </c>
      <c r="L45" s="33">
        <f t="shared" si="3"/>
        <v>0</v>
      </c>
      <c r="M45" s="33">
        <f t="shared" si="3"/>
        <v>0</v>
      </c>
      <c r="N45" s="33">
        <f t="shared" ref="K45:X48" si="5">IFERROR(ROUND(IF(AND(YEAR($D45)=LataProjekcji,$F45&gt;0),$F45,0),0),0)</f>
        <v>0</v>
      </c>
      <c r="O45" s="33">
        <f t="shared" si="5"/>
        <v>0</v>
      </c>
      <c r="P45" s="33">
        <f t="shared" si="5"/>
        <v>0</v>
      </c>
      <c r="Q45" s="33">
        <f t="shared" si="5"/>
        <v>0</v>
      </c>
      <c r="R45" s="33">
        <f t="shared" si="5"/>
        <v>0</v>
      </c>
      <c r="S45" s="33">
        <f t="shared" si="5"/>
        <v>0</v>
      </c>
      <c r="T45" s="33">
        <f t="shared" si="5"/>
        <v>0</v>
      </c>
      <c r="U45" s="33">
        <f t="shared" si="5"/>
        <v>0</v>
      </c>
      <c r="V45" s="33">
        <f t="shared" si="5"/>
        <v>0</v>
      </c>
      <c r="W45" s="33">
        <f t="shared" si="5"/>
        <v>0</v>
      </c>
      <c r="X45" s="33">
        <f t="shared" si="5"/>
        <v>0</v>
      </c>
    </row>
    <row r="46" spans="2:24">
      <c r="B46" s="37" t="str">
        <f>IF(ISBLANK('Środki trwałe'!B213),"",'Środki trwałe'!B213)</f>
        <v/>
      </c>
      <c r="C46" s="33" t="str">
        <f>IF(ISBLANK('Środki trwałe'!D213),"",'Środki trwałe'!D213)</f>
        <v/>
      </c>
      <c r="D46" s="245" t="str">
        <f>IF(ISBLANK('Środki trwałe'!E213),"",'Środki trwałe'!E213)</f>
        <v/>
      </c>
      <c r="E46" s="197">
        <f>IF(AND('Środki trwałe'!F213="tak",'Środki trwałe'!G213="nie"),'Środki trwałe'!H213,0)</f>
        <v>0</v>
      </c>
      <c r="F46" s="94">
        <f t="shared" si="4"/>
        <v>0</v>
      </c>
      <c r="G46" s="33">
        <f>IF(AND('Środki trwałe'!F213="tak",'Środki trwałe'!G213="tak"),'Środki trwałe'!I213,0)</f>
        <v>0</v>
      </c>
      <c r="H46" s="314"/>
      <c r="I46" s="52"/>
      <c r="J46" s="508" t="str">
        <f>IF(ISBLANK('Środki trwałe'!C213),"",'Środki trwałe'!C213)</f>
        <v/>
      </c>
      <c r="K46" s="33">
        <f t="shared" si="5"/>
        <v>0</v>
      </c>
      <c r="L46" s="33">
        <f t="shared" si="5"/>
        <v>0</v>
      </c>
      <c r="M46" s="33">
        <f t="shared" si="5"/>
        <v>0</v>
      </c>
      <c r="N46" s="33">
        <f t="shared" si="5"/>
        <v>0</v>
      </c>
      <c r="O46" s="33">
        <f t="shared" si="5"/>
        <v>0</v>
      </c>
      <c r="P46" s="33">
        <f t="shared" si="5"/>
        <v>0</v>
      </c>
      <c r="Q46" s="33">
        <f t="shared" si="5"/>
        <v>0</v>
      </c>
      <c r="R46" s="33">
        <f t="shared" si="5"/>
        <v>0</v>
      </c>
      <c r="S46" s="33">
        <f t="shared" si="5"/>
        <v>0</v>
      </c>
      <c r="T46" s="33">
        <f t="shared" si="5"/>
        <v>0</v>
      </c>
      <c r="U46" s="33">
        <f t="shared" si="5"/>
        <v>0</v>
      </c>
      <c r="V46" s="33">
        <f t="shared" si="5"/>
        <v>0</v>
      </c>
      <c r="W46" s="33">
        <f t="shared" si="5"/>
        <v>0</v>
      </c>
      <c r="X46" s="33">
        <f t="shared" si="5"/>
        <v>0</v>
      </c>
    </row>
    <row r="47" spans="2:24">
      <c r="B47" s="37" t="str">
        <f>IF(ISBLANK('Środki trwałe'!B214),"",'Środki trwałe'!B214)</f>
        <v/>
      </c>
      <c r="C47" s="33" t="str">
        <f>IF(ISBLANK('Środki trwałe'!D214),"",'Środki trwałe'!D214)</f>
        <v/>
      </c>
      <c r="D47" s="245" t="str">
        <f>IF(ISBLANK('Środki trwałe'!E214),"",'Środki trwałe'!E214)</f>
        <v/>
      </c>
      <c r="E47" s="197">
        <f>IF(AND('Środki trwałe'!F214="tak",'Środki trwałe'!G214="nie"),'Środki trwałe'!H214,0)</f>
        <v>0</v>
      </c>
      <c r="F47" s="94">
        <f t="shared" si="4"/>
        <v>0</v>
      </c>
      <c r="G47" s="33">
        <f>IF(AND('Środki trwałe'!F214="tak",'Środki trwałe'!G214="tak"),'Środki trwałe'!I214,0)</f>
        <v>0</v>
      </c>
      <c r="H47" s="314"/>
      <c r="I47" s="52"/>
      <c r="J47" s="508" t="str">
        <f>IF(ISBLANK('Środki trwałe'!C214),"",'Środki trwałe'!C214)</f>
        <v/>
      </c>
      <c r="K47" s="33">
        <f t="shared" si="5"/>
        <v>0</v>
      </c>
      <c r="L47" s="33">
        <f t="shared" si="5"/>
        <v>0</v>
      </c>
      <c r="M47" s="33">
        <f t="shared" si="5"/>
        <v>0</v>
      </c>
      <c r="N47" s="33">
        <f t="shared" si="5"/>
        <v>0</v>
      </c>
      <c r="O47" s="33">
        <f t="shared" si="5"/>
        <v>0</v>
      </c>
      <c r="P47" s="33">
        <f t="shared" si="5"/>
        <v>0</v>
      </c>
      <c r="Q47" s="33">
        <f t="shared" si="5"/>
        <v>0</v>
      </c>
      <c r="R47" s="33">
        <f t="shared" si="5"/>
        <v>0</v>
      </c>
      <c r="S47" s="33">
        <f t="shared" si="5"/>
        <v>0</v>
      </c>
      <c r="T47" s="33">
        <f t="shared" si="5"/>
        <v>0</v>
      </c>
      <c r="U47" s="33">
        <f t="shared" si="5"/>
        <v>0</v>
      </c>
      <c r="V47" s="33">
        <f t="shared" si="5"/>
        <v>0</v>
      </c>
      <c r="W47" s="33">
        <f t="shared" si="5"/>
        <v>0</v>
      </c>
      <c r="X47" s="33">
        <f t="shared" si="5"/>
        <v>0</v>
      </c>
    </row>
    <row r="48" spans="2:24">
      <c r="B48" s="37" t="str">
        <f>IF(ISBLANK('Środki trwałe'!B215),"",'Środki trwałe'!B215)</f>
        <v/>
      </c>
      <c r="C48" s="33" t="str">
        <f>IF(ISBLANK('Środki trwałe'!D215),"",'Środki trwałe'!D215)</f>
        <v/>
      </c>
      <c r="D48" s="245" t="str">
        <f>IF(ISBLANK('Środki trwałe'!E215),"",'Środki trwałe'!E215)</f>
        <v/>
      </c>
      <c r="E48" s="197">
        <f>IF(AND('Środki trwałe'!F215="tak",'Środki trwałe'!G215="nie"),'Środki trwałe'!H215,0)</f>
        <v>0</v>
      </c>
      <c r="F48" s="94">
        <f t="shared" si="4"/>
        <v>0</v>
      </c>
      <c r="G48" s="33">
        <f>IF(AND('Środki trwałe'!F215="tak",'Środki trwałe'!G215="tak"),'Środki trwałe'!I215,0)</f>
        <v>0</v>
      </c>
      <c r="H48" s="314"/>
      <c r="I48" s="52"/>
      <c r="J48" s="508" t="str">
        <f>IF(ISBLANK('Środki trwałe'!C215),"",'Środki trwałe'!C215)</f>
        <v/>
      </c>
      <c r="K48" s="33">
        <f t="shared" si="5"/>
        <v>0</v>
      </c>
      <c r="L48" s="33">
        <f t="shared" si="5"/>
        <v>0</v>
      </c>
      <c r="M48" s="33">
        <f t="shared" si="5"/>
        <v>0</v>
      </c>
      <c r="N48" s="33">
        <f t="shared" si="5"/>
        <v>0</v>
      </c>
      <c r="O48" s="33">
        <f t="shared" si="5"/>
        <v>0</v>
      </c>
      <c r="P48" s="33">
        <f t="shared" si="5"/>
        <v>0</v>
      </c>
      <c r="Q48" s="33">
        <f t="shared" si="5"/>
        <v>0</v>
      </c>
      <c r="R48" s="33">
        <f t="shared" si="5"/>
        <v>0</v>
      </c>
      <c r="S48" s="33">
        <f t="shared" si="5"/>
        <v>0</v>
      </c>
      <c r="T48" s="33">
        <f t="shared" si="5"/>
        <v>0</v>
      </c>
      <c r="U48" s="33">
        <f t="shared" si="5"/>
        <v>0</v>
      </c>
      <c r="V48" s="33">
        <f t="shared" si="5"/>
        <v>0</v>
      </c>
      <c r="W48" s="33">
        <f t="shared" si="5"/>
        <v>0</v>
      </c>
      <c r="X48" s="33">
        <f t="shared" si="5"/>
        <v>0</v>
      </c>
    </row>
    <row r="49" spans="2:24">
      <c r="B49" s="37" t="str">
        <f>IF(ISBLANK('Środki trwałe'!B216),"",'Środki trwałe'!B216)</f>
        <v/>
      </c>
      <c r="C49" s="33" t="str">
        <f>IF(ISBLANK('Środki trwałe'!D216),"",'Środki trwałe'!D216)</f>
        <v/>
      </c>
      <c r="D49" s="245" t="str">
        <f>IF(ISBLANK('Środki trwałe'!E216),"",'Środki trwałe'!E216)</f>
        <v/>
      </c>
      <c r="E49" s="197">
        <f>IF(AND('Środki trwałe'!F216="tak",'Środki trwałe'!G216="nie"),'Środki trwałe'!H216,0)</f>
        <v>0</v>
      </c>
      <c r="F49" s="94">
        <f t="shared" ref="F49" si="6">IFERROR(IF(E49=0,0,ROUND(E49*C49,0)),0)</f>
        <v>0</v>
      </c>
      <c r="G49" s="33">
        <f>IF(AND('Środki trwałe'!F216="tak",'Środki trwałe'!G216="tak"),'Środki trwałe'!I216,0)</f>
        <v>0</v>
      </c>
      <c r="H49" s="314"/>
      <c r="I49" s="52"/>
      <c r="J49" s="508" t="str">
        <f>IF(ISBLANK('Środki trwałe'!C216),"",'Środki trwałe'!C216)</f>
        <v/>
      </c>
      <c r="K49" s="33">
        <f t="shared" si="3"/>
        <v>0</v>
      </c>
      <c r="L49" s="33">
        <f t="shared" si="3"/>
        <v>0</v>
      </c>
      <c r="M49" s="33">
        <f t="shared" si="3"/>
        <v>0</v>
      </c>
      <c r="N49" s="33">
        <f t="shared" si="3"/>
        <v>0</v>
      </c>
      <c r="O49" s="33">
        <f t="shared" si="3"/>
        <v>0</v>
      </c>
      <c r="P49" s="33">
        <f t="shared" si="3"/>
        <v>0</v>
      </c>
      <c r="Q49" s="33">
        <f t="shared" si="3"/>
        <v>0</v>
      </c>
      <c r="R49" s="33">
        <f t="shared" si="3"/>
        <v>0</v>
      </c>
      <c r="S49" s="33">
        <f t="shared" si="3"/>
        <v>0</v>
      </c>
      <c r="T49" s="33">
        <f t="shared" si="3"/>
        <v>0</v>
      </c>
      <c r="U49" s="33">
        <f t="shared" si="3"/>
        <v>0</v>
      </c>
      <c r="V49" s="33">
        <f t="shared" si="3"/>
        <v>0</v>
      </c>
      <c r="W49" s="33">
        <f t="shared" si="3"/>
        <v>0</v>
      </c>
      <c r="X49" s="33">
        <f t="shared" si="3"/>
        <v>0</v>
      </c>
    </row>
    <row r="50" spans="2:24">
      <c r="B50" s="98" t="s">
        <v>335</v>
      </c>
      <c r="C50" s="97">
        <f>SUM(C28:C49)</f>
        <v>0</v>
      </c>
      <c r="D50" s="199"/>
      <c r="E50" s="96"/>
      <c r="F50" s="97">
        <f ca="1">SUM(F28:F49)</f>
        <v>0</v>
      </c>
      <c r="G50" s="96"/>
      <c r="H50" s="319"/>
      <c r="I50" s="96"/>
      <c r="J50" s="509"/>
      <c r="K50" s="97">
        <f ca="1">ROUND(SUM(K28:K49),0)</f>
        <v>0</v>
      </c>
      <c r="L50" s="97">
        <f t="shared" ref="L50:X50" ca="1" si="7">ROUND(SUM(L28:L49),0)</f>
        <v>0</v>
      </c>
      <c r="M50" s="97">
        <f t="shared" ca="1" si="7"/>
        <v>0</v>
      </c>
      <c r="N50" s="97">
        <f t="shared" ca="1" si="7"/>
        <v>0</v>
      </c>
      <c r="O50" s="97">
        <f t="shared" ca="1" si="7"/>
        <v>0</v>
      </c>
      <c r="P50" s="97">
        <f t="shared" ca="1" si="7"/>
        <v>0</v>
      </c>
      <c r="Q50" s="97">
        <f t="shared" ca="1" si="7"/>
        <v>0</v>
      </c>
      <c r="R50" s="97">
        <f t="shared" ca="1" si="7"/>
        <v>0</v>
      </c>
      <c r="S50" s="97">
        <f t="shared" ca="1" si="7"/>
        <v>0</v>
      </c>
      <c r="T50" s="97">
        <f t="shared" ca="1" si="7"/>
        <v>0</v>
      </c>
      <c r="U50" s="97">
        <f t="shared" ca="1" si="7"/>
        <v>0</v>
      </c>
      <c r="V50" s="97">
        <f t="shared" ca="1" si="7"/>
        <v>0</v>
      </c>
      <c r="W50" s="97">
        <f t="shared" ca="1" si="7"/>
        <v>0</v>
      </c>
      <c r="X50" s="97">
        <f t="shared" ca="1" si="7"/>
        <v>0</v>
      </c>
    </row>
    <row r="51" spans="2:24">
      <c r="B51" s="103" t="s">
        <v>450</v>
      </c>
      <c r="C51" s="101"/>
      <c r="D51" s="101"/>
      <c r="E51" s="101"/>
      <c r="F51" s="101"/>
      <c r="G51" s="101"/>
      <c r="H51" s="315"/>
      <c r="I51" s="101"/>
      <c r="J51" s="510"/>
      <c r="K51" s="102">
        <f t="shared" ref="K51:X51" ca="1" si="8">ROUND(K314+K321+K328+K335+K461+K342+K349+K356+K363+K370+K377+K384+K391+K398+K405+K412+K419+K426+K433+K440+K447+K454,0)</f>
        <v>0</v>
      </c>
      <c r="L51" s="102">
        <f t="shared" ca="1" si="8"/>
        <v>0</v>
      </c>
      <c r="M51" s="102">
        <f t="shared" ca="1" si="8"/>
        <v>0</v>
      </c>
      <c r="N51" s="102">
        <f t="shared" ca="1" si="8"/>
        <v>0</v>
      </c>
      <c r="O51" s="102">
        <f t="shared" ca="1" si="8"/>
        <v>0</v>
      </c>
      <c r="P51" s="102">
        <f t="shared" ca="1" si="8"/>
        <v>0</v>
      </c>
      <c r="Q51" s="102">
        <f t="shared" ca="1" si="8"/>
        <v>0</v>
      </c>
      <c r="R51" s="102">
        <f t="shared" ca="1" si="8"/>
        <v>0</v>
      </c>
      <c r="S51" s="102">
        <f t="shared" ca="1" si="8"/>
        <v>0</v>
      </c>
      <c r="T51" s="102">
        <f t="shared" ca="1" si="8"/>
        <v>0</v>
      </c>
      <c r="U51" s="102">
        <f t="shared" ca="1" si="8"/>
        <v>0</v>
      </c>
      <c r="V51" s="102">
        <f t="shared" ca="1" si="8"/>
        <v>0</v>
      </c>
      <c r="W51" s="102">
        <f t="shared" ca="1" si="8"/>
        <v>0</v>
      </c>
      <c r="X51" s="102">
        <f t="shared" ca="1" si="8"/>
        <v>0</v>
      </c>
    </row>
    <row r="52" spans="2:24">
      <c r="B52" s="37" t="s">
        <v>451</v>
      </c>
      <c r="C52" s="52"/>
      <c r="D52" s="52"/>
      <c r="E52" s="52"/>
      <c r="F52" s="52"/>
      <c r="G52" s="52"/>
      <c r="H52" s="314"/>
      <c r="I52" s="52"/>
      <c r="J52" s="511"/>
      <c r="K52" s="33">
        <f t="shared" ref="K52:X52" ca="1" si="9">ROUND(K315+K322+K329+K336+K462+K343+K350+K357+K364+K371+K378+K385+K392+K399+K406+K413+K420+K427+K434+K441+K448+K455,0)</f>
        <v>0</v>
      </c>
      <c r="L52" s="33">
        <f t="shared" ca="1" si="9"/>
        <v>0</v>
      </c>
      <c r="M52" s="33">
        <f t="shared" ca="1" si="9"/>
        <v>0</v>
      </c>
      <c r="N52" s="33">
        <f t="shared" ca="1" si="9"/>
        <v>0</v>
      </c>
      <c r="O52" s="33">
        <f t="shared" ca="1" si="9"/>
        <v>0</v>
      </c>
      <c r="P52" s="33">
        <f t="shared" ca="1" si="9"/>
        <v>0</v>
      </c>
      <c r="Q52" s="33">
        <f t="shared" ca="1" si="9"/>
        <v>0</v>
      </c>
      <c r="R52" s="33">
        <f t="shared" ca="1" si="9"/>
        <v>0</v>
      </c>
      <c r="S52" s="33">
        <f t="shared" ca="1" si="9"/>
        <v>0</v>
      </c>
      <c r="T52" s="33">
        <f t="shared" ca="1" si="9"/>
        <v>0</v>
      </c>
      <c r="U52" s="33">
        <f t="shared" ca="1" si="9"/>
        <v>0</v>
      </c>
      <c r="V52" s="33">
        <f t="shared" ca="1" si="9"/>
        <v>0</v>
      </c>
      <c r="W52" s="33">
        <f t="shared" ca="1" si="9"/>
        <v>0</v>
      </c>
      <c r="X52" s="33">
        <f t="shared" ca="1" si="9"/>
        <v>0</v>
      </c>
    </row>
    <row r="53" spans="2:24">
      <c r="B53" s="105" t="s">
        <v>452</v>
      </c>
      <c r="C53" s="105"/>
      <c r="D53" s="105"/>
      <c r="E53" s="105"/>
      <c r="F53" s="105"/>
      <c r="G53" s="105"/>
      <c r="H53" s="323"/>
      <c r="I53" s="105"/>
      <c r="J53" s="512"/>
      <c r="K53" s="106">
        <f>'Środki trwałe'!K265</f>
        <v>0</v>
      </c>
      <c r="L53" s="106">
        <f>'Środki trwałe'!L265</f>
        <v>0</v>
      </c>
      <c r="M53" s="106">
        <f>'Środki trwałe'!M265</f>
        <v>0</v>
      </c>
      <c r="N53" s="106">
        <f>'Środki trwałe'!N265</f>
        <v>0</v>
      </c>
      <c r="O53" s="106">
        <f>'Środki trwałe'!O265</f>
        <v>0</v>
      </c>
      <c r="P53" s="106">
        <f>'Środki trwałe'!P265</f>
        <v>0</v>
      </c>
      <c r="Q53" s="106">
        <f>'Środki trwałe'!Q265</f>
        <v>0</v>
      </c>
      <c r="R53" s="106">
        <f>'Środki trwałe'!R265</f>
        <v>0</v>
      </c>
      <c r="S53" s="106">
        <f>'Środki trwałe'!S265</f>
        <v>0</v>
      </c>
      <c r="T53" s="106">
        <f>'Środki trwałe'!T265</f>
        <v>0</v>
      </c>
      <c r="U53" s="106">
        <f>'Środki trwałe'!U265</f>
        <v>0</v>
      </c>
      <c r="V53" s="106">
        <f>'Środki trwałe'!V265</f>
        <v>0</v>
      </c>
      <c r="W53" s="106">
        <f>'Środki trwałe'!W265</f>
        <v>0</v>
      </c>
      <c r="X53" s="106">
        <f>'Środki trwałe'!X265</f>
        <v>0</v>
      </c>
    </row>
    <row r="54" spans="2:24">
      <c r="B54" s="200" t="s">
        <v>453</v>
      </c>
      <c r="C54" s="52"/>
      <c r="D54" s="52"/>
      <c r="E54" s="52"/>
      <c r="F54" s="52"/>
      <c r="G54" s="52"/>
      <c r="H54" s="314"/>
      <c r="I54" s="52"/>
      <c r="J54" s="511"/>
      <c r="K54" s="86">
        <f t="shared" ref="K54:N54" ca="1" si="10">ROUND(K316+K323+K330+K337+K463+K344+K351+K358+K365+K372+K379+K386+K393+K400+K407+K414+K421+K428+K435+K442+K449+K456,0)</f>
        <v>0</v>
      </c>
      <c r="L54" s="86">
        <f t="shared" ca="1" si="10"/>
        <v>0</v>
      </c>
      <c r="M54" s="86">
        <f t="shared" ca="1" si="10"/>
        <v>0</v>
      </c>
      <c r="N54" s="86">
        <f t="shared" ca="1" si="10"/>
        <v>0</v>
      </c>
      <c r="O54" s="86">
        <f ca="1">ROUND(O316+O323+O330+O337+O463+O344+O351+O358+O365+O372+O379+O386+O393+O400+O407+O414+O421+O428+O435+O442+O449+O456,0)</f>
        <v>0</v>
      </c>
      <c r="P54" s="86">
        <f t="shared" ref="P54:X54" ca="1" si="11">ROUND(P316+P323+P330+P337+P463+P344+P351+P358+P365+P372+P379+P386+P393+P400+P407+P414+P421+P428+P435+P442+P449+P456,0)</f>
        <v>0</v>
      </c>
      <c r="Q54" s="86">
        <f t="shared" ca="1" si="11"/>
        <v>0</v>
      </c>
      <c r="R54" s="86">
        <f t="shared" ca="1" si="11"/>
        <v>0</v>
      </c>
      <c r="S54" s="86">
        <f t="shared" ca="1" si="11"/>
        <v>0</v>
      </c>
      <c r="T54" s="86">
        <f t="shared" ca="1" si="11"/>
        <v>0</v>
      </c>
      <c r="U54" s="86">
        <f t="shared" ca="1" si="11"/>
        <v>0</v>
      </c>
      <c r="V54" s="86">
        <f t="shared" ca="1" si="11"/>
        <v>0</v>
      </c>
      <c r="W54" s="86">
        <f t="shared" ca="1" si="11"/>
        <v>0</v>
      </c>
      <c r="X54" s="86">
        <f t="shared" ca="1" si="11"/>
        <v>0</v>
      </c>
    </row>
    <row r="55" spans="2:24">
      <c r="J55" s="514"/>
    </row>
    <row r="56" spans="2:24">
      <c r="B56"/>
      <c r="C56"/>
      <c r="D56"/>
      <c r="E56"/>
      <c r="F56"/>
      <c r="G56"/>
      <c r="H56"/>
      <c r="I56"/>
      <c r="J56" s="495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2:24" ht="21">
      <c r="B57" s="227" t="s">
        <v>388</v>
      </c>
      <c r="C57" s="228" t="s">
        <v>406</v>
      </c>
      <c r="D57" s="229" t="s">
        <v>421</v>
      </c>
      <c r="E57" s="229" t="s">
        <v>408</v>
      </c>
      <c r="F57" s="229" t="s">
        <v>409</v>
      </c>
      <c r="G57" s="229" t="s">
        <v>449</v>
      </c>
      <c r="H57" s="311"/>
      <c r="I57" s="230"/>
      <c r="J57" s="513"/>
      <c r="K57" s="231" t="str">
        <f t="shared" ref="K57:X57" si="12">LataProjekcji</f>
        <v>Uzupełnij dane</v>
      </c>
      <c r="L57" s="231" t="str">
        <f t="shared" si="12"/>
        <v/>
      </c>
      <c r="M57" s="231" t="str">
        <f t="shared" si="12"/>
        <v/>
      </c>
      <c r="N57" s="231" t="str">
        <f t="shared" si="12"/>
        <v/>
      </c>
      <c r="O57" s="231" t="str">
        <f t="shared" si="12"/>
        <v/>
      </c>
      <c r="P57" s="231" t="str">
        <f t="shared" si="12"/>
        <v/>
      </c>
      <c r="Q57" s="231" t="str">
        <f t="shared" si="12"/>
        <v/>
      </c>
      <c r="R57" s="231" t="str">
        <f t="shared" si="12"/>
        <v/>
      </c>
      <c r="S57" s="231" t="str">
        <f t="shared" si="12"/>
        <v/>
      </c>
      <c r="T57" s="231" t="str">
        <f t="shared" si="12"/>
        <v/>
      </c>
      <c r="U57" s="231" t="str">
        <f t="shared" si="12"/>
        <v/>
      </c>
      <c r="V57" s="231" t="str">
        <f t="shared" si="12"/>
        <v/>
      </c>
      <c r="W57" s="231" t="str">
        <f t="shared" si="12"/>
        <v/>
      </c>
      <c r="X57" s="231" t="str">
        <f t="shared" si="12"/>
        <v/>
      </c>
    </row>
    <row r="58" spans="2:24">
      <c r="B58" s="103" t="str">
        <f>IF(ISBLANK('Środki trwałe'!B269),"",'Środki trwałe'!B269)</f>
        <v/>
      </c>
      <c r="C58" s="102" t="str">
        <f>IF(ISBLANK('Środki trwałe'!D269),"",'Środki trwałe'!D269)</f>
        <v/>
      </c>
      <c r="D58" s="245" t="str">
        <f>IF(ISBLANK('Środki trwałe'!E269),"",'Środki trwałe'!E269)</f>
        <v/>
      </c>
      <c r="E58" s="197">
        <f>IF(AND('Środki trwałe'!F269="tak",'Środki trwałe'!G269="nie"),'Środki trwałe'!H269,0)</f>
        <v>0</v>
      </c>
      <c r="F58" s="94">
        <f>IFERROR(IF(E58=0,0,ROUND(E58*C58,0)),0)</f>
        <v>0</v>
      </c>
      <c r="G58" s="102">
        <f>IF(AND('Środki trwałe'!F269="tak",'Środki trwałe'!G269="tak"),'Środki trwałe'!I269,0)</f>
        <v>0</v>
      </c>
      <c r="H58" s="315"/>
      <c r="I58" s="101"/>
      <c r="J58" s="515" t="str">
        <f>IF(ISBLANK('Środki trwałe'!C269),"",'Środki trwałe'!C269)</f>
        <v/>
      </c>
      <c r="K58" s="102">
        <f t="shared" ref="K58:X72" si="13">IFERROR(ROUND(IF(AND(YEAR($D58)=LataProjekcji,$F58&gt;0),$F58,0),0),0)</f>
        <v>0</v>
      </c>
      <c r="L58" s="102">
        <f t="shared" si="13"/>
        <v>0</v>
      </c>
      <c r="M58" s="102">
        <f t="shared" si="13"/>
        <v>0</v>
      </c>
      <c r="N58" s="102">
        <f t="shared" si="13"/>
        <v>0</v>
      </c>
      <c r="O58" s="102">
        <f t="shared" si="13"/>
        <v>0</v>
      </c>
      <c r="P58" s="102">
        <f t="shared" si="13"/>
        <v>0</v>
      </c>
      <c r="Q58" s="102">
        <f t="shared" si="13"/>
        <v>0</v>
      </c>
      <c r="R58" s="102">
        <f t="shared" si="13"/>
        <v>0</v>
      </c>
      <c r="S58" s="102">
        <f t="shared" si="13"/>
        <v>0</v>
      </c>
      <c r="T58" s="102">
        <f t="shared" si="13"/>
        <v>0</v>
      </c>
      <c r="U58" s="102">
        <f t="shared" si="13"/>
        <v>0</v>
      </c>
      <c r="V58" s="102">
        <f t="shared" si="13"/>
        <v>0</v>
      </c>
      <c r="W58" s="102">
        <f t="shared" si="13"/>
        <v>0</v>
      </c>
      <c r="X58" s="102">
        <f t="shared" si="13"/>
        <v>0</v>
      </c>
    </row>
    <row r="59" spans="2:24">
      <c r="B59" s="37" t="str">
        <f>IF(ISBLANK('Środki trwałe'!B270),"",'Środki trwałe'!B270)</f>
        <v/>
      </c>
      <c r="C59" s="33" t="str">
        <f>IF(ISBLANK('Środki trwałe'!D270),"",'Środki trwałe'!D270)</f>
        <v/>
      </c>
      <c r="D59" s="245" t="str">
        <f>IF(ISBLANK('Środki trwałe'!E270),"",'Środki trwałe'!E270)</f>
        <v/>
      </c>
      <c r="E59" s="197">
        <f>IF(AND('Środki trwałe'!F270="tak",'Środki trwałe'!G270="nie"),'Środki trwałe'!H270,0)</f>
        <v>0</v>
      </c>
      <c r="F59" s="94">
        <f>IFERROR(IF(E59=0,0,ROUND(E59*C59,0)),0)</f>
        <v>0</v>
      </c>
      <c r="G59" s="33">
        <f>IF(AND('Środki trwałe'!F270="tak",'Środki trwałe'!G270="tak"),'Środki trwałe'!I270,0)</f>
        <v>0</v>
      </c>
      <c r="H59" s="314"/>
      <c r="I59" s="52"/>
      <c r="J59" s="508" t="str">
        <f>IF(ISBLANK('Środki trwałe'!C270),"",'Środki trwałe'!C270)</f>
        <v/>
      </c>
      <c r="K59" s="33">
        <f t="shared" si="13"/>
        <v>0</v>
      </c>
      <c r="L59" s="33">
        <f t="shared" si="13"/>
        <v>0</v>
      </c>
      <c r="M59" s="33">
        <f t="shared" si="13"/>
        <v>0</v>
      </c>
      <c r="N59" s="33">
        <f t="shared" si="13"/>
        <v>0</v>
      </c>
      <c r="O59" s="33">
        <f t="shared" si="13"/>
        <v>0</v>
      </c>
      <c r="P59" s="33">
        <f t="shared" si="13"/>
        <v>0</v>
      </c>
      <c r="Q59" s="33">
        <f t="shared" si="13"/>
        <v>0</v>
      </c>
      <c r="R59" s="33">
        <f t="shared" si="13"/>
        <v>0</v>
      </c>
      <c r="S59" s="33">
        <f t="shared" si="13"/>
        <v>0</v>
      </c>
      <c r="T59" s="33">
        <f t="shared" si="13"/>
        <v>0</v>
      </c>
      <c r="U59" s="33">
        <f t="shared" si="13"/>
        <v>0</v>
      </c>
      <c r="V59" s="33">
        <f t="shared" si="13"/>
        <v>0</v>
      </c>
      <c r="W59" s="33">
        <f t="shared" si="13"/>
        <v>0</v>
      </c>
      <c r="X59" s="33">
        <f t="shared" si="13"/>
        <v>0</v>
      </c>
    </row>
    <row r="60" spans="2:24">
      <c r="B60" s="37" t="str">
        <f>IF(ISBLANK('Środki trwałe'!B271),"",'Środki trwałe'!B271)</f>
        <v/>
      </c>
      <c r="C60" s="33" t="str">
        <f>IF(ISBLANK('Środki trwałe'!D271),"",'Środki trwałe'!D271)</f>
        <v/>
      </c>
      <c r="D60" s="245" t="str">
        <f>IF(ISBLANK('Środki trwałe'!E271),"",'Środki trwałe'!E271)</f>
        <v/>
      </c>
      <c r="E60" s="197">
        <f>IF(AND('Środki trwałe'!F271="tak",'Środki trwałe'!G271="nie"),'Środki trwałe'!H271,0)</f>
        <v>0</v>
      </c>
      <c r="F60" s="94">
        <f>IFERROR(IF(E60=0,0,ROUND(E60*C60,0)),0)</f>
        <v>0</v>
      </c>
      <c r="G60" s="33">
        <f>IF(AND('Środki trwałe'!F271="tak",'Środki trwałe'!G271="tak"),'Środki trwałe'!I271,0)</f>
        <v>0</v>
      </c>
      <c r="H60" s="314"/>
      <c r="I60" s="52"/>
      <c r="J60" s="508" t="str">
        <f>IF(ISBLANK('Środki trwałe'!C271),"",'Środki trwałe'!C271)</f>
        <v/>
      </c>
      <c r="K60" s="33">
        <f t="shared" si="13"/>
        <v>0</v>
      </c>
      <c r="L60" s="33">
        <f t="shared" si="13"/>
        <v>0</v>
      </c>
      <c r="M60" s="33">
        <f t="shared" si="13"/>
        <v>0</v>
      </c>
      <c r="N60" s="33">
        <f t="shared" si="13"/>
        <v>0</v>
      </c>
      <c r="O60" s="33">
        <f t="shared" si="13"/>
        <v>0</v>
      </c>
      <c r="P60" s="33">
        <f t="shared" si="13"/>
        <v>0</v>
      </c>
      <c r="Q60" s="33">
        <f t="shared" si="13"/>
        <v>0</v>
      </c>
      <c r="R60" s="33">
        <f t="shared" si="13"/>
        <v>0</v>
      </c>
      <c r="S60" s="33">
        <f t="shared" si="13"/>
        <v>0</v>
      </c>
      <c r="T60" s="33">
        <f t="shared" si="13"/>
        <v>0</v>
      </c>
      <c r="U60" s="33">
        <f t="shared" si="13"/>
        <v>0</v>
      </c>
      <c r="V60" s="33">
        <f t="shared" si="13"/>
        <v>0</v>
      </c>
      <c r="W60" s="33">
        <f t="shared" si="13"/>
        <v>0</v>
      </c>
      <c r="X60" s="33">
        <f t="shared" si="13"/>
        <v>0</v>
      </c>
    </row>
    <row r="61" spans="2:24">
      <c r="B61" s="37" t="str">
        <f>IF(ISBLANK('Środki trwałe'!B272),"",'Środki trwałe'!B272)</f>
        <v/>
      </c>
      <c r="C61" s="33" t="str">
        <f>IF(ISBLANK('Środki trwałe'!D272),"",'Środki trwałe'!D272)</f>
        <v/>
      </c>
      <c r="D61" s="245" t="str">
        <f>IF(ISBLANK('Środki trwałe'!E272),"",'Środki trwałe'!E272)</f>
        <v/>
      </c>
      <c r="E61" s="197">
        <f>IF(AND('Środki trwałe'!F272="tak",'Środki trwałe'!G272="nie"),'Środki trwałe'!H272,0)</f>
        <v>0</v>
      </c>
      <c r="F61" s="94">
        <f t="shared" ref="F61:F71" si="14">IFERROR(IF(E61=0,0,ROUND(E61*C61,0)),0)</f>
        <v>0</v>
      </c>
      <c r="G61" s="33">
        <f>IF(AND('Środki trwałe'!F272="tak",'Środki trwałe'!G272="tak"),'Środki trwałe'!I272,0)</f>
        <v>0</v>
      </c>
      <c r="H61" s="314"/>
      <c r="I61" s="52"/>
      <c r="J61" s="508" t="str">
        <f>IF(ISBLANK('Środki trwałe'!C272),"",'Środki trwałe'!C272)</f>
        <v/>
      </c>
      <c r="K61" s="33">
        <f t="shared" si="13"/>
        <v>0</v>
      </c>
      <c r="L61" s="33">
        <f t="shared" si="13"/>
        <v>0</v>
      </c>
      <c r="M61" s="33">
        <f t="shared" si="13"/>
        <v>0</v>
      </c>
      <c r="N61" s="33">
        <f t="shared" si="13"/>
        <v>0</v>
      </c>
      <c r="O61" s="33">
        <f t="shared" si="13"/>
        <v>0</v>
      </c>
      <c r="P61" s="33">
        <f t="shared" si="13"/>
        <v>0</v>
      </c>
      <c r="Q61" s="33">
        <f t="shared" si="13"/>
        <v>0</v>
      </c>
      <c r="R61" s="33">
        <f t="shared" si="13"/>
        <v>0</v>
      </c>
      <c r="S61" s="33">
        <f t="shared" si="13"/>
        <v>0</v>
      </c>
      <c r="T61" s="33">
        <f t="shared" si="13"/>
        <v>0</v>
      </c>
      <c r="U61" s="33">
        <f t="shared" si="13"/>
        <v>0</v>
      </c>
      <c r="V61" s="33">
        <f t="shared" si="13"/>
        <v>0</v>
      </c>
      <c r="W61" s="33">
        <f t="shared" si="13"/>
        <v>0</v>
      </c>
      <c r="X61" s="33">
        <f t="shared" si="13"/>
        <v>0</v>
      </c>
    </row>
    <row r="62" spans="2:24">
      <c r="B62" s="37" t="str">
        <f>IF(ISBLANK('Środki trwałe'!B273),"",'Środki trwałe'!B273)</f>
        <v/>
      </c>
      <c r="C62" s="33" t="str">
        <f>IF(ISBLANK('Środki trwałe'!D273),"",'Środki trwałe'!D273)</f>
        <v/>
      </c>
      <c r="D62" s="245" t="str">
        <f>IF(ISBLANK('Środki trwałe'!E273),"",'Środki trwałe'!E273)</f>
        <v/>
      </c>
      <c r="E62" s="197">
        <f>IF(AND('Środki trwałe'!F273="tak",'Środki trwałe'!G273="nie"),'Środki trwałe'!H273,0)</f>
        <v>0</v>
      </c>
      <c r="F62" s="94">
        <f t="shared" si="14"/>
        <v>0</v>
      </c>
      <c r="G62" s="33">
        <f>IF(AND('Środki trwałe'!F273="tak",'Środki trwałe'!G273="tak"),'Środki trwałe'!I273,0)</f>
        <v>0</v>
      </c>
      <c r="H62" s="314"/>
      <c r="I62" s="52"/>
      <c r="J62" s="508" t="str">
        <f>IF(ISBLANK('Środki trwałe'!C273),"",'Środki trwałe'!C273)</f>
        <v/>
      </c>
      <c r="K62" s="33">
        <f t="shared" si="13"/>
        <v>0</v>
      </c>
      <c r="L62" s="33">
        <f t="shared" si="13"/>
        <v>0</v>
      </c>
      <c r="M62" s="33">
        <f t="shared" si="13"/>
        <v>0</v>
      </c>
      <c r="N62" s="33">
        <f t="shared" si="13"/>
        <v>0</v>
      </c>
      <c r="O62" s="33">
        <f t="shared" si="13"/>
        <v>0</v>
      </c>
      <c r="P62" s="33">
        <f t="shared" si="13"/>
        <v>0</v>
      </c>
      <c r="Q62" s="33">
        <f t="shared" si="13"/>
        <v>0</v>
      </c>
      <c r="R62" s="33">
        <f t="shared" si="13"/>
        <v>0</v>
      </c>
      <c r="S62" s="33">
        <f t="shared" si="13"/>
        <v>0</v>
      </c>
      <c r="T62" s="33">
        <f t="shared" si="13"/>
        <v>0</v>
      </c>
      <c r="U62" s="33">
        <f t="shared" si="13"/>
        <v>0</v>
      </c>
      <c r="V62" s="33">
        <f t="shared" si="13"/>
        <v>0</v>
      </c>
      <c r="W62" s="33">
        <f t="shared" si="13"/>
        <v>0</v>
      </c>
      <c r="X62" s="33">
        <f t="shared" si="13"/>
        <v>0</v>
      </c>
    </row>
    <row r="63" spans="2:24">
      <c r="B63" s="37" t="str">
        <f>IF(ISBLANK('Środki trwałe'!B274),"",'Środki trwałe'!B274)</f>
        <v/>
      </c>
      <c r="C63" s="33" t="str">
        <f>IF(ISBLANK('Środki trwałe'!D274),"",'Środki trwałe'!D274)</f>
        <v/>
      </c>
      <c r="D63" s="245" t="str">
        <f>IF(ISBLANK('Środki trwałe'!E274),"",'Środki trwałe'!E274)</f>
        <v/>
      </c>
      <c r="E63" s="197">
        <f>IF(AND('Środki trwałe'!F274="tak",'Środki trwałe'!G274="nie"),'Środki trwałe'!H274,0)</f>
        <v>0</v>
      </c>
      <c r="F63" s="94">
        <f t="shared" si="14"/>
        <v>0</v>
      </c>
      <c r="G63" s="33">
        <f>IF(AND('Środki trwałe'!F274="tak",'Środki trwałe'!G274="tak"),'Środki trwałe'!I274,0)</f>
        <v>0</v>
      </c>
      <c r="H63" s="314"/>
      <c r="I63" s="52"/>
      <c r="J63" s="508" t="str">
        <f>IF(ISBLANK('Środki trwałe'!C274),"",'Środki trwałe'!C274)</f>
        <v/>
      </c>
      <c r="K63" s="33">
        <f t="shared" si="13"/>
        <v>0</v>
      </c>
      <c r="L63" s="33">
        <f t="shared" si="13"/>
        <v>0</v>
      </c>
      <c r="M63" s="33">
        <f t="shared" si="13"/>
        <v>0</v>
      </c>
      <c r="N63" s="33">
        <f t="shared" si="13"/>
        <v>0</v>
      </c>
      <c r="O63" s="33">
        <f t="shared" si="13"/>
        <v>0</v>
      </c>
      <c r="P63" s="33">
        <f t="shared" si="13"/>
        <v>0</v>
      </c>
      <c r="Q63" s="33">
        <f t="shared" si="13"/>
        <v>0</v>
      </c>
      <c r="R63" s="33">
        <f t="shared" si="13"/>
        <v>0</v>
      </c>
      <c r="S63" s="33">
        <f t="shared" si="13"/>
        <v>0</v>
      </c>
      <c r="T63" s="33">
        <f t="shared" si="13"/>
        <v>0</v>
      </c>
      <c r="U63" s="33">
        <f t="shared" si="13"/>
        <v>0</v>
      </c>
      <c r="V63" s="33">
        <f t="shared" si="13"/>
        <v>0</v>
      </c>
      <c r="W63" s="33">
        <f t="shared" si="13"/>
        <v>0</v>
      </c>
      <c r="X63" s="33">
        <f t="shared" si="13"/>
        <v>0</v>
      </c>
    </row>
    <row r="64" spans="2:24">
      <c r="B64" s="37" t="str">
        <f>IF(ISBLANK('Środki trwałe'!B275),"",'Środki trwałe'!B275)</f>
        <v/>
      </c>
      <c r="C64" s="33" t="str">
        <f>IF(ISBLANK('Środki trwałe'!D275),"",'Środki trwałe'!D275)</f>
        <v/>
      </c>
      <c r="D64" s="245" t="str">
        <f>IF(ISBLANK('Środki trwałe'!E275),"",'Środki trwałe'!E275)</f>
        <v/>
      </c>
      <c r="E64" s="197">
        <f>IF(AND('Środki trwałe'!F275="tak",'Środki trwałe'!G275="nie"),'Środki trwałe'!H275,0)</f>
        <v>0</v>
      </c>
      <c r="F64" s="94">
        <f t="shared" si="14"/>
        <v>0</v>
      </c>
      <c r="G64" s="33">
        <f>IF(AND('Środki trwałe'!F275="tak",'Środki trwałe'!G275="tak"),'Środki trwałe'!I275,0)</f>
        <v>0</v>
      </c>
      <c r="H64" s="314"/>
      <c r="I64" s="52"/>
      <c r="J64" s="508" t="str">
        <f>IF(ISBLANK('Środki trwałe'!C275),"",'Środki trwałe'!C275)</f>
        <v/>
      </c>
      <c r="K64" s="33">
        <f t="shared" si="13"/>
        <v>0</v>
      </c>
      <c r="L64" s="33">
        <f t="shared" si="13"/>
        <v>0</v>
      </c>
      <c r="M64" s="33">
        <f t="shared" si="13"/>
        <v>0</v>
      </c>
      <c r="N64" s="33">
        <f t="shared" si="13"/>
        <v>0</v>
      </c>
      <c r="O64" s="33">
        <f t="shared" si="13"/>
        <v>0</v>
      </c>
      <c r="P64" s="33">
        <f t="shared" si="13"/>
        <v>0</v>
      </c>
      <c r="Q64" s="33">
        <f t="shared" si="13"/>
        <v>0</v>
      </c>
      <c r="R64" s="33">
        <f t="shared" si="13"/>
        <v>0</v>
      </c>
      <c r="S64" s="33">
        <f t="shared" si="13"/>
        <v>0</v>
      </c>
      <c r="T64" s="33">
        <f t="shared" si="13"/>
        <v>0</v>
      </c>
      <c r="U64" s="33">
        <f t="shared" si="13"/>
        <v>0</v>
      </c>
      <c r="V64" s="33">
        <f t="shared" si="13"/>
        <v>0</v>
      </c>
      <c r="W64" s="33">
        <f t="shared" si="13"/>
        <v>0</v>
      </c>
      <c r="X64" s="33">
        <f t="shared" si="13"/>
        <v>0</v>
      </c>
    </row>
    <row r="65" spans="1:24">
      <c r="B65" s="37" t="str">
        <f>IF(ISBLANK('Środki trwałe'!B276),"",'Środki trwałe'!B276)</f>
        <v/>
      </c>
      <c r="C65" s="33" t="str">
        <f>IF(ISBLANK('Środki trwałe'!D276),"",'Środki trwałe'!D276)</f>
        <v/>
      </c>
      <c r="D65" s="245" t="str">
        <f>IF(ISBLANK('Środki trwałe'!E276),"",'Środki trwałe'!E276)</f>
        <v/>
      </c>
      <c r="E65" s="197">
        <f>IF(AND('Środki trwałe'!F276="tak",'Środki trwałe'!G276="nie"),'Środki trwałe'!H276,0)</f>
        <v>0</v>
      </c>
      <c r="F65" s="94">
        <f t="shared" si="14"/>
        <v>0</v>
      </c>
      <c r="G65" s="33">
        <f>IF(AND('Środki trwałe'!F276="tak",'Środki trwałe'!G276="tak"),'Środki trwałe'!I276,0)</f>
        <v>0</v>
      </c>
      <c r="H65" s="314"/>
      <c r="I65" s="52"/>
      <c r="J65" s="508" t="str">
        <f>IF(ISBLANK('Środki trwałe'!C276),"",'Środki trwałe'!C276)</f>
        <v/>
      </c>
      <c r="K65" s="33">
        <f t="shared" si="13"/>
        <v>0</v>
      </c>
      <c r="L65" s="33">
        <f t="shared" si="13"/>
        <v>0</v>
      </c>
      <c r="M65" s="33">
        <f t="shared" si="13"/>
        <v>0</v>
      </c>
      <c r="N65" s="33">
        <f t="shared" si="13"/>
        <v>0</v>
      </c>
      <c r="O65" s="33">
        <f t="shared" si="13"/>
        <v>0</v>
      </c>
      <c r="P65" s="33">
        <f t="shared" si="13"/>
        <v>0</v>
      </c>
      <c r="Q65" s="33">
        <f t="shared" si="13"/>
        <v>0</v>
      </c>
      <c r="R65" s="33">
        <f t="shared" si="13"/>
        <v>0</v>
      </c>
      <c r="S65" s="33">
        <f t="shared" si="13"/>
        <v>0</v>
      </c>
      <c r="T65" s="33">
        <f t="shared" si="13"/>
        <v>0</v>
      </c>
      <c r="U65" s="33">
        <f t="shared" si="13"/>
        <v>0</v>
      </c>
      <c r="V65" s="33">
        <f t="shared" si="13"/>
        <v>0</v>
      </c>
      <c r="W65" s="33">
        <f t="shared" si="13"/>
        <v>0</v>
      </c>
      <c r="X65" s="33">
        <f t="shared" si="13"/>
        <v>0</v>
      </c>
    </row>
    <row r="66" spans="1:24">
      <c r="B66" s="37" t="str">
        <f>IF(ISBLANK('Środki trwałe'!B277),"",'Środki trwałe'!B277)</f>
        <v/>
      </c>
      <c r="C66" s="33" t="str">
        <f>IF(ISBLANK('Środki trwałe'!D277),"",'Środki trwałe'!D277)</f>
        <v/>
      </c>
      <c r="D66" s="245" t="str">
        <f>IF(ISBLANK('Środki trwałe'!E277),"",'Środki trwałe'!E277)</f>
        <v/>
      </c>
      <c r="E66" s="197">
        <f>IF(AND('Środki trwałe'!F277="tak",'Środki trwałe'!G277="nie"),'Środki trwałe'!H277,0)</f>
        <v>0</v>
      </c>
      <c r="F66" s="94">
        <f t="shared" si="14"/>
        <v>0</v>
      </c>
      <c r="G66" s="33">
        <f>IF(AND('Środki trwałe'!F277="tak",'Środki trwałe'!G277="tak"),'Środki trwałe'!I277,0)</f>
        <v>0</v>
      </c>
      <c r="H66" s="314"/>
      <c r="I66" s="52"/>
      <c r="J66" s="508" t="str">
        <f>IF(ISBLANK('Środki trwałe'!C277),"",'Środki trwałe'!C277)</f>
        <v/>
      </c>
      <c r="K66" s="33">
        <f t="shared" si="13"/>
        <v>0</v>
      </c>
      <c r="L66" s="33">
        <f t="shared" si="13"/>
        <v>0</v>
      </c>
      <c r="M66" s="33">
        <f t="shared" si="13"/>
        <v>0</v>
      </c>
      <c r="N66" s="33">
        <f t="shared" si="13"/>
        <v>0</v>
      </c>
      <c r="O66" s="33">
        <f t="shared" si="13"/>
        <v>0</v>
      </c>
      <c r="P66" s="33">
        <f t="shared" si="13"/>
        <v>0</v>
      </c>
      <c r="Q66" s="33">
        <f t="shared" si="13"/>
        <v>0</v>
      </c>
      <c r="R66" s="33">
        <f t="shared" si="13"/>
        <v>0</v>
      </c>
      <c r="S66" s="33">
        <f t="shared" si="13"/>
        <v>0</v>
      </c>
      <c r="T66" s="33">
        <f t="shared" si="13"/>
        <v>0</v>
      </c>
      <c r="U66" s="33">
        <f t="shared" si="13"/>
        <v>0</v>
      </c>
      <c r="V66" s="33">
        <f t="shared" si="13"/>
        <v>0</v>
      </c>
      <c r="W66" s="33">
        <f t="shared" si="13"/>
        <v>0</v>
      </c>
      <c r="X66" s="33">
        <f t="shared" si="13"/>
        <v>0</v>
      </c>
    </row>
    <row r="67" spans="1:24">
      <c r="B67" s="37" t="str">
        <f>IF(ISBLANK('Środki trwałe'!B278),"",'Środki trwałe'!B278)</f>
        <v/>
      </c>
      <c r="C67" s="33" t="str">
        <f>IF(ISBLANK('Środki trwałe'!D278),"",'Środki trwałe'!D278)</f>
        <v/>
      </c>
      <c r="D67" s="245" t="str">
        <f>IF(ISBLANK('Środki trwałe'!E278),"",'Środki trwałe'!E278)</f>
        <v/>
      </c>
      <c r="E67" s="197">
        <f>IF(AND('Środki trwałe'!F278="tak",'Środki trwałe'!G278="nie"),'Środki trwałe'!H278,0)</f>
        <v>0</v>
      </c>
      <c r="F67" s="94">
        <f t="shared" si="14"/>
        <v>0</v>
      </c>
      <c r="G67" s="33">
        <f>IF(AND('Środki trwałe'!F278="tak",'Środki trwałe'!G278="tak"),'Środki trwałe'!I278,0)</f>
        <v>0</v>
      </c>
      <c r="H67" s="314"/>
      <c r="I67" s="52"/>
      <c r="J67" s="508" t="str">
        <f>IF(ISBLANK('Środki trwałe'!C278),"",'Środki trwałe'!C278)</f>
        <v/>
      </c>
      <c r="K67" s="33">
        <f t="shared" si="13"/>
        <v>0</v>
      </c>
      <c r="L67" s="33">
        <f t="shared" si="13"/>
        <v>0</v>
      </c>
      <c r="M67" s="33">
        <f t="shared" si="13"/>
        <v>0</v>
      </c>
      <c r="N67" s="33">
        <f t="shared" si="13"/>
        <v>0</v>
      </c>
      <c r="O67" s="33">
        <f t="shared" si="13"/>
        <v>0</v>
      </c>
      <c r="P67" s="33">
        <f t="shared" si="13"/>
        <v>0</v>
      </c>
      <c r="Q67" s="33">
        <f t="shared" si="13"/>
        <v>0</v>
      </c>
      <c r="R67" s="33">
        <f t="shared" si="13"/>
        <v>0</v>
      </c>
      <c r="S67" s="33">
        <f t="shared" si="13"/>
        <v>0</v>
      </c>
      <c r="T67" s="33">
        <f t="shared" si="13"/>
        <v>0</v>
      </c>
      <c r="U67" s="33">
        <f t="shared" si="13"/>
        <v>0</v>
      </c>
      <c r="V67" s="33">
        <f t="shared" si="13"/>
        <v>0</v>
      </c>
      <c r="W67" s="33">
        <f t="shared" si="13"/>
        <v>0</v>
      </c>
      <c r="X67" s="33">
        <f t="shared" si="13"/>
        <v>0</v>
      </c>
    </row>
    <row r="68" spans="1:24">
      <c r="B68" s="37" t="str">
        <f>IF(ISBLANK('Środki trwałe'!B279),"",'Środki trwałe'!B279)</f>
        <v/>
      </c>
      <c r="C68" s="33" t="str">
        <f>IF(ISBLANK('Środki trwałe'!D279),"",'Środki trwałe'!D279)</f>
        <v/>
      </c>
      <c r="D68" s="245" t="str">
        <f>IF(ISBLANK('Środki trwałe'!E279),"",'Środki trwałe'!E279)</f>
        <v/>
      </c>
      <c r="E68" s="197">
        <f>IF(AND('Środki trwałe'!F279="tak",'Środki trwałe'!G279="nie"),'Środki trwałe'!H279,0)</f>
        <v>0</v>
      </c>
      <c r="F68" s="94">
        <f t="shared" si="14"/>
        <v>0</v>
      </c>
      <c r="G68" s="33">
        <f>IF(AND('Środki trwałe'!F279="tak",'Środki trwałe'!G279="tak"),'Środki trwałe'!I279,0)</f>
        <v>0</v>
      </c>
      <c r="H68" s="314"/>
      <c r="I68" s="52"/>
      <c r="J68" s="508" t="str">
        <f>IF(ISBLANK('Środki trwałe'!C279),"",'Środki trwałe'!C279)</f>
        <v/>
      </c>
      <c r="K68" s="33">
        <f t="shared" si="13"/>
        <v>0</v>
      </c>
      <c r="L68" s="33">
        <f t="shared" si="13"/>
        <v>0</v>
      </c>
      <c r="M68" s="33">
        <f t="shared" si="13"/>
        <v>0</v>
      </c>
      <c r="N68" s="33">
        <f t="shared" si="13"/>
        <v>0</v>
      </c>
      <c r="O68" s="33">
        <f t="shared" si="13"/>
        <v>0</v>
      </c>
      <c r="P68" s="33">
        <f t="shared" si="13"/>
        <v>0</v>
      </c>
      <c r="Q68" s="33">
        <f t="shared" si="13"/>
        <v>0</v>
      </c>
      <c r="R68" s="33">
        <f t="shared" si="13"/>
        <v>0</v>
      </c>
      <c r="S68" s="33">
        <f t="shared" si="13"/>
        <v>0</v>
      </c>
      <c r="T68" s="33">
        <f t="shared" si="13"/>
        <v>0</v>
      </c>
      <c r="U68" s="33">
        <f t="shared" si="13"/>
        <v>0</v>
      </c>
      <c r="V68" s="33">
        <f t="shared" si="13"/>
        <v>0</v>
      </c>
      <c r="W68" s="33">
        <f t="shared" si="13"/>
        <v>0</v>
      </c>
      <c r="X68" s="33">
        <f t="shared" si="13"/>
        <v>0</v>
      </c>
    </row>
    <row r="69" spans="1:24">
      <c r="B69" s="37" t="str">
        <f>IF(ISBLANK('Środki trwałe'!B280),"",'Środki trwałe'!B280)</f>
        <v/>
      </c>
      <c r="C69" s="33" t="str">
        <f>IF(ISBLANK('Środki trwałe'!D280),"",'Środki trwałe'!D280)</f>
        <v/>
      </c>
      <c r="D69" s="245" t="str">
        <f>IF(ISBLANK('Środki trwałe'!E280),"",'Środki trwałe'!E280)</f>
        <v/>
      </c>
      <c r="E69" s="197">
        <f>IF(AND('Środki trwałe'!F280="tak",'Środki trwałe'!G280="nie"),'Środki trwałe'!H280,0)</f>
        <v>0</v>
      </c>
      <c r="F69" s="94">
        <f t="shared" si="14"/>
        <v>0</v>
      </c>
      <c r="G69" s="33">
        <f>IF(AND('Środki trwałe'!F280="tak",'Środki trwałe'!G280="tak"),'Środki trwałe'!I280,0)</f>
        <v>0</v>
      </c>
      <c r="H69" s="314"/>
      <c r="I69" s="52"/>
      <c r="J69" s="508" t="str">
        <f>IF(ISBLANK('Środki trwałe'!C280),"",'Środki trwałe'!C280)</f>
        <v/>
      </c>
      <c r="K69" s="33">
        <f t="shared" si="13"/>
        <v>0</v>
      </c>
      <c r="L69" s="33">
        <f t="shared" si="13"/>
        <v>0</v>
      </c>
      <c r="M69" s="33">
        <f t="shared" si="13"/>
        <v>0</v>
      </c>
      <c r="N69" s="33">
        <f t="shared" si="13"/>
        <v>0</v>
      </c>
      <c r="O69" s="33">
        <f t="shared" si="13"/>
        <v>0</v>
      </c>
      <c r="P69" s="33">
        <f t="shared" si="13"/>
        <v>0</v>
      </c>
      <c r="Q69" s="33">
        <f t="shared" si="13"/>
        <v>0</v>
      </c>
      <c r="R69" s="33">
        <f t="shared" si="13"/>
        <v>0</v>
      </c>
      <c r="S69" s="33">
        <f t="shared" si="13"/>
        <v>0</v>
      </c>
      <c r="T69" s="33">
        <f t="shared" si="13"/>
        <v>0</v>
      </c>
      <c r="U69" s="33">
        <f t="shared" si="13"/>
        <v>0</v>
      </c>
      <c r="V69" s="33">
        <f t="shared" si="13"/>
        <v>0</v>
      </c>
      <c r="W69" s="33">
        <f t="shared" si="13"/>
        <v>0</v>
      </c>
      <c r="X69" s="33">
        <f t="shared" si="13"/>
        <v>0</v>
      </c>
    </row>
    <row r="70" spans="1:24">
      <c r="B70" s="37" t="str">
        <f>IF(ISBLANK('Środki trwałe'!B281),"",'Środki trwałe'!B281)</f>
        <v/>
      </c>
      <c r="C70" s="33" t="str">
        <f>IF(ISBLANK('Środki trwałe'!D281),"",'Środki trwałe'!D281)</f>
        <v/>
      </c>
      <c r="D70" s="245" t="str">
        <f>IF(ISBLANK('Środki trwałe'!E281),"",'Środki trwałe'!E281)</f>
        <v/>
      </c>
      <c r="E70" s="197">
        <f>IF(AND('Środki trwałe'!F281="tak",'Środki trwałe'!G281="nie"),'Środki trwałe'!H281,0)</f>
        <v>0</v>
      </c>
      <c r="F70" s="94">
        <f t="shared" si="14"/>
        <v>0</v>
      </c>
      <c r="G70" s="33">
        <f>IF(AND('Środki trwałe'!F281="tak",'Środki trwałe'!G281="tak"),'Środki trwałe'!I281,0)</f>
        <v>0</v>
      </c>
      <c r="H70" s="314"/>
      <c r="I70" s="52"/>
      <c r="J70" s="508" t="str">
        <f>IF(ISBLANK('Środki trwałe'!C281),"",'Środki trwałe'!C281)</f>
        <v/>
      </c>
      <c r="K70" s="33">
        <f t="shared" si="13"/>
        <v>0</v>
      </c>
      <c r="L70" s="33">
        <f t="shared" si="13"/>
        <v>0</v>
      </c>
      <c r="M70" s="33">
        <f t="shared" si="13"/>
        <v>0</v>
      </c>
      <c r="N70" s="33">
        <f t="shared" si="13"/>
        <v>0</v>
      </c>
      <c r="O70" s="33">
        <f t="shared" si="13"/>
        <v>0</v>
      </c>
      <c r="P70" s="33">
        <f t="shared" si="13"/>
        <v>0</v>
      </c>
      <c r="Q70" s="33">
        <f t="shared" si="13"/>
        <v>0</v>
      </c>
      <c r="R70" s="33">
        <f t="shared" si="13"/>
        <v>0</v>
      </c>
      <c r="S70" s="33">
        <f t="shared" si="13"/>
        <v>0</v>
      </c>
      <c r="T70" s="33">
        <f t="shared" si="13"/>
        <v>0</v>
      </c>
      <c r="U70" s="33">
        <f t="shared" si="13"/>
        <v>0</v>
      </c>
      <c r="V70" s="33">
        <f t="shared" si="13"/>
        <v>0</v>
      </c>
      <c r="W70" s="33">
        <f t="shared" si="13"/>
        <v>0</v>
      </c>
      <c r="X70" s="33">
        <f t="shared" si="13"/>
        <v>0</v>
      </c>
    </row>
    <row r="71" spans="1:24">
      <c r="B71" s="37" t="str">
        <f>IF(ISBLANK('Środki trwałe'!B282),"",'Środki trwałe'!B282)</f>
        <v/>
      </c>
      <c r="C71" s="33" t="str">
        <f>IF(ISBLANK('Środki trwałe'!D282),"",'Środki trwałe'!D282)</f>
        <v/>
      </c>
      <c r="D71" s="245" t="str">
        <f>IF(ISBLANK('Środki trwałe'!E282),"",'Środki trwałe'!E282)</f>
        <v/>
      </c>
      <c r="E71" s="197">
        <f>IF(AND('Środki trwałe'!F282="tak",'Środki trwałe'!G282="nie"),'Środki trwałe'!H282,0)</f>
        <v>0</v>
      </c>
      <c r="F71" s="94">
        <f t="shared" si="14"/>
        <v>0</v>
      </c>
      <c r="G71" s="33">
        <f>IF(AND('Środki trwałe'!F282="tak",'Środki trwałe'!G282="tak"),'Środki trwałe'!I282,0)</f>
        <v>0</v>
      </c>
      <c r="H71" s="314"/>
      <c r="I71" s="52"/>
      <c r="J71" s="508" t="str">
        <f>IF(ISBLANK('Środki trwałe'!C282),"",'Środki trwałe'!C282)</f>
        <v/>
      </c>
      <c r="K71" s="33">
        <f t="shared" si="13"/>
        <v>0</v>
      </c>
      <c r="L71" s="33">
        <f t="shared" si="13"/>
        <v>0</v>
      </c>
      <c r="M71" s="33">
        <f t="shared" si="13"/>
        <v>0</v>
      </c>
      <c r="N71" s="33">
        <f t="shared" si="13"/>
        <v>0</v>
      </c>
      <c r="O71" s="33">
        <f t="shared" si="13"/>
        <v>0</v>
      </c>
      <c r="P71" s="33">
        <f t="shared" si="13"/>
        <v>0</v>
      </c>
      <c r="Q71" s="33">
        <f t="shared" si="13"/>
        <v>0</v>
      </c>
      <c r="R71" s="33">
        <f t="shared" si="13"/>
        <v>0</v>
      </c>
      <c r="S71" s="33">
        <f t="shared" si="13"/>
        <v>0</v>
      </c>
      <c r="T71" s="33">
        <f t="shared" si="13"/>
        <v>0</v>
      </c>
      <c r="U71" s="33">
        <f t="shared" si="13"/>
        <v>0</v>
      </c>
      <c r="V71" s="33">
        <f t="shared" si="13"/>
        <v>0</v>
      </c>
      <c r="W71" s="33">
        <f t="shared" si="13"/>
        <v>0</v>
      </c>
      <c r="X71" s="33">
        <f t="shared" si="13"/>
        <v>0</v>
      </c>
    </row>
    <row r="72" spans="1:24">
      <c r="B72" s="37" t="str">
        <f>IF(ISBLANK('Środki trwałe'!B283),"",'Środki trwałe'!B283)</f>
        <v/>
      </c>
      <c r="C72" s="33" t="str">
        <f>IF(ISBLANK('Środki trwałe'!D283),"",'Środki trwałe'!D283)</f>
        <v/>
      </c>
      <c r="D72" s="245" t="str">
        <f>IF(ISBLANK('Środki trwałe'!E283),"",'Środki trwałe'!E283)</f>
        <v/>
      </c>
      <c r="E72" s="197">
        <f>IF(AND('Środki trwałe'!F283="tak",'Środki trwałe'!G283="nie"),'Środki trwałe'!H283,0)</f>
        <v>0</v>
      </c>
      <c r="F72" s="94">
        <f t="shared" ref="F72" si="15">IFERROR(IF(E72=0,0,ROUND(E72*C72,0)),0)</f>
        <v>0</v>
      </c>
      <c r="G72" s="33">
        <f>IF(AND('Środki trwałe'!F283="tak",'Środki trwałe'!G283="tak"),'Środki trwałe'!I283,0)</f>
        <v>0</v>
      </c>
      <c r="H72" s="314"/>
      <c r="I72" s="52"/>
      <c r="J72" s="508" t="str">
        <f>IF(ISBLANK('Środki trwałe'!C283),"",'Środki trwałe'!C283)</f>
        <v/>
      </c>
      <c r="K72" s="33">
        <f t="shared" si="13"/>
        <v>0</v>
      </c>
      <c r="L72" s="33">
        <f t="shared" si="13"/>
        <v>0</v>
      </c>
      <c r="M72" s="33">
        <f t="shared" si="13"/>
        <v>0</v>
      </c>
      <c r="N72" s="33">
        <f t="shared" si="13"/>
        <v>0</v>
      </c>
      <c r="O72" s="33">
        <f t="shared" si="13"/>
        <v>0</v>
      </c>
      <c r="P72" s="33">
        <f t="shared" si="13"/>
        <v>0</v>
      </c>
      <c r="Q72" s="33">
        <f t="shared" si="13"/>
        <v>0</v>
      </c>
      <c r="R72" s="33">
        <f t="shared" si="13"/>
        <v>0</v>
      </c>
      <c r="S72" s="33">
        <f t="shared" si="13"/>
        <v>0</v>
      </c>
      <c r="T72" s="33">
        <f t="shared" si="13"/>
        <v>0</v>
      </c>
      <c r="U72" s="33">
        <f t="shared" si="13"/>
        <v>0</v>
      </c>
      <c r="V72" s="33">
        <f t="shared" si="13"/>
        <v>0</v>
      </c>
      <c r="W72" s="33">
        <f t="shared" si="13"/>
        <v>0</v>
      </c>
      <c r="X72" s="33">
        <f t="shared" si="13"/>
        <v>0</v>
      </c>
    </row>
    <row r="73" spans="1:24">
      <c r="B73" s="98" t="s">
        <v>335</v>
      </c>
      <c r="C73" s="97">
        <f>SUM(C58:C72)</f>
        <v>0</v>
      </c>
      <c r="D73" s="199"/>
      <c r="E73" s="96"/>
      <c r="F73" s="97">
        <f>SUM(F58:F72)</f>
        <v>0</v>
      </c>
      <c r="G73" s="97">
        <f>SUM(G58:G72)</f>
        <v>0</v>
      </c>
      <c r="H73" s="319"/>
      <c r="I73" s="96"/>
      <c r="J73" s="509"/>
      <c r="K73" s="97">
        <f t="shared" ref="K73:X73" si="16">ROUND(SUM(K58:K72),0)</f>
        <v>0</v>
      </c>
      <c r="L73" s="97">
        <f t="shared" si="16"/>
        <v>0</v>
      </c>
      <c r="M73" s="97">
        <f t="shared" si="16"/>
        <v>0</v>
      </c>
      <c r="N73" s="97">
        <f t="shared" si="16"/>
        <v>0</v>
      </c>
      <c r="O73" s="97">
        <f t="shared" si="16"/>
        <v>0</v>
      </c>
      <c r="P73" s="97">
        <f t="shared" si="16"/>
        <v>0</v>
      </c>
      <c r="Q73" s="97">
        <f t="shared" si="16"/>
        <v>0</v>
      </c>
      <c r="R73" s="97">
        <f t="shared" si="16"/>
        <v>0</v>
      </c>
      <c r="S73" s="97">
        <f t="shared" si="16"/>
        <v>0</v>
      </c>
      <c r="T73" s="97">
        <f t="shared" si="16"/>
        <v>0</v>
      </c>
      <c r="U73" s="97">
        <f t="shared" si="16"/>
        <v>0</v>
      </c>
      <c r="V73" s="97">
        <f t="shared" si="16"/>
        <v>0</v>
      </c>
      <c r="W73" s="97">
        <f t="shared" si="16"/>
        <v>0</v>
      </c>
      <c r="X73" s="97">
        <f t="shared" si="16"/>
        <v>0</v>
      </c>
    </row>
    <row r="74" spans="1:24">
      <c r="B74" s="103" t="s">
        <v>450</v>
      </c>
      <c r="C74" s="101"/>
      <c r="D74" s="101"/>
      <c r="E74" s="101"/>
      <c r="F74" s="101"/>
      <c r="G74" s="101"/>
      <c r="H74" s="315"/>
      <c r="I74" s="101"/>
      <c r="J74" s="510"/>
      <c r="K74" s="102">
        <f t="shared" ref="K74:X74" ca="1" si="17">ROUND(K471+K478+K485+K492+K569+K562+K555+K548+K541+K534+K527+K520+K513+K506+K499,0)</f>
        <v>0</v>
      </c>
      <c r="L74" s="102">
        <f ca="1">ROUND(L471+L478+L485+L492+L569+L562+L555+L548+L541+L534+L527+L520+L513+L506+L499,0)</f>
        <v>0</v>
      </c>
      <c r="M74" s="102">
        <f t="shared" ca="1" si="17"/>
        <v>0</v>
      </c>
      <c r="N74" s="102">
        <f t="shared" ca="1" si="17"/>
        <v>0</v>
      </c>
      <c r="O74" s="102">
        <f t="shared" ca="1" si="17"/>
        <v>0</v>
      </c>
      <c r="P74" s="102">
        <f t="shared" ca="1" si="17"/>
        <v>0</v>
      </c>
      <c r="Q74" s="102">
        <f t="shared" ca="1" si="17"/>
        <v>0</v>
      </c>
      <c r="R74" s="102">
        <f t="shared" ca="1" si="17"/>
        <v>0</v>
      </c>
      <c r="S74" s="102">
        <f t="shared" ca="1" si="17"/>
        <v>0</v>
      </c>
      <c r="T74" s="102">
        <f t="shared" ca="1" si="17"/>
        <v>0</v>
      </c>
      <c r="U74" s="102">
        <f t="shared" ca="1" si="17"/>
        <v>0</v>
      </c>
      <c r="V74" s="102">
        <f t="shared" ca="1" si="17"/>
        <v>0</v>
      </c>
      <c r="W74" s="102">
        <f t="shared" ca="1" si="17"/>
        <v>0</v>
      </c>
      <c r="X74" s="102">
        <f t="shared" ca="1" si="17"/>
        <v>0</v>
      </c>
    </row>
    <row r="75" spans="1:24">
      <c r="B75" s="37" t="s">
        <v>451</v>
      </c>
      <c r="C75" s="52"/>
      <c r="D75" s="52"/>
      <c r="E75" s="52"/>
      <c r="F75" s="52"/>
      <c r="G75" s="52"/>
      <c r="H75" s="314"/>
      <c r="I75" s="52"/>
      <c r="J75" s="511"/>
      <c r="K75" s="33">
        <f t="shared" ref="K75:X75" ca="1" si="18">ROUND(K472+K479+K486+K493+K570+K563+K556+K549+K542+K535+K528+K521+K514+K507+K500,0)</f>
        <v>0</v>
      </c>
      <c r="L75" s="33">
        <f t="shared" ca="1" si="18"/>
        <v>0</v>
      </c>
      <c r="M75" s="33">
        <f t="shared" ca="1" si="18"/>
        <v>0</v>
      </c>
      <c r="N75" s="33">
        <f t="shared" ca="1" si="18"/>
        <v>0</v>
      </c>
      <c r="O75" s="33">
        <f t="shared" ca="1" si="18"/>
        <v>0</v>
      </c>
      <c r="P75" s="33">
        <f t="shared" ca="1" si="18"/>
        <v>0</v>
      </c>
      <c r="Q75" s="33">
        <f t="shared" ca="1" si="18"/>
        <v>0</v>
      </c>
      <c r="R75" s="33">
        <f t="shared" ca="1" si="18"/>
        <v>0</v>
      </c>
      <c r="S75" s="33">
        <f t="shared" ca="1" si="18"/>
        <v>0</v>
      </c>
      <c r="T75" s="33">
        <f t="shared" ca="1" si="18"/>
        <v>0</v>
      </c>
      <c r="U75" s="33">
        <f t="shared" ca="1" si="18"/>
        <v>0</v>
      </c>
      <c r="V75" s="33">
        <f t="shared" ca="1" si="18"/>
        <v>0</v>
      </c>
      <c r="W75" s="33">
        <f t="shared" ca="1" si="18"/>
        <v>0</v>
      </c>
      <c r="X75" s="33">
        <f t="shared" ca="1" si="18"/>
        <v>0</v>
      </c>
    </row>
    <row r="76" spans="1:24">
      <c r="B76" s="105" t="s">
        <v>452</v>
      </c>
      <c r="C76" s="105"/>
      <c r="D76" s="105"/>
      <c r="E76" s="105"/>
      <c r="F76" s="105"/>
      <c r="G76" s="105"/>
      <c r="H76" s="323"/>
      <c r="I76" s="105"/>
      <c r="J76" s="512"/>
      <c r="K76" s="106">
        <f>'Środki trwałe'!K322</f>
        <v>0</v>
      </c>
      <c r="L76" s="106">
        <f>'Środki trwałe'!L322</f>
        <v>0</v>
      </c>
      <c r="M76" s="106">
        <f>'Środki trwałe'!M322</f>
        <v>0</v>
      </c>
      <c r="N76" s="106">
        <f>'Środki trwałe'!N322</f>
        <v>0</v>
      </c>
      <c r="O76" s="106">
        <f>'Środki trwałe'!O322</f>
        <v>0</v>
      </c>
      <c r="P76" s="106">
        <f>'Środki trwałe'!P322</f>
        <v>0</v>
      </c>
      <c r="Q76" s="106">
        <f>'Środki trwałe'!Q322</f>
        <v>0</v>
      </c>
      <c r="R76" s="106">
        <f>'Środki trwałe'!R322</f>
        <v>0</v>
      </c>
      <c r="S76" s="106">
        <f>'Środki trwałe'!S322</f>
        <v>0</v>
      </c>
      <c r="T76" s="106">
        <f>'Środki trwałe'!T322</f>
        <v>0</v>
      </c>
      <c r="U76" s="106">
        <f>'Środki trwałe'!U322</f>
        <v>0</v>
      </c>
      <c r="V76" s="106">
        <f>'Środki trwałe'!V322</f>
        <v>0</v>
      </c>
      <c r="W76" s="106">
        <f>'Środki trwałe'!W322</f>
        <v>0</v>
      </c>
      <c r="X76" s="106">
        <f>'Środki trwałe'!X322</f>
        <v>0</v>
      </c>
    </row>
    <row r="77" spans="1:24">
      <c r="B77" s="200" t="s">
        <v>453</v>
      </c>
      <c r="C77" s="52"/>
      <c r="D77" s="52"/>
      <c r="E77" s="52"/>
      <c r="F77" s="52"/>
      <c r="G77" s="52"/>
      <c r="H77" s="314"/>
      <c r="I77" s="52"/>
      <c r="J77" s="511"/>
      <c r="K77" s="86">
        <f t="shared" ref="K77:X77" ca="1" si="19">ROUND(K473+K480+K487+K494+K571+K501+K508+K515+K522+K529+K536+K543+K550+K557+K564,0)</f>
        <v>0</v>
      </c>
      <c r="L77" s="86">
        <f t="shared" ca="1" si="19"/>
        <v>0</v>
      </c>
      <c r="M77" s="86">
        <f t="shared" ca="1" si="19"/>
        <v>0</v>
      </c>
      <c r="N77" s="86">
        <f t="shared" ca="1" si="19"/>
        <v>0</v>
      </c>
      <c r="O77" s="86">
        <f t="shared" ca="1" si="19"/>
        <v>0</v>
      </c>
      <c r="P77" s="86">
        <f t="shared" ca="1" si="19"/>
        <v>0</v>
      </c>
      <c r="Q77" s="86">
        <f t="shared" ca="1" si="19"/>
        <v>0</v>
      </c>
      <c r="R77" s="86">
        <f t="shared" ca="1" si="19"/>
        <v>0</v>
      </c>
      <c r="S77" s="86">
        <f t="shared" ca="1" si="19"/>
        <v>0</v>
      </c>
      <c r="T77" s="86">
        <f t="shared" ca="1" si="19"/>
        <v>0</v>
      </c>
      <c r="U77" s="86">
        <f t="shared" ca="1" si="19"/>
        <v>0</v>
      </c>
      <c r="V77" s="86">
        <f t="shared" ca="1" si="19"/>
        <v>0</v>
      </c>
      <c r="W77" s="86">
        <f t="shared" ca="1" si="19"/>
        <v>0</v>
      </c>
      <c r="X77" s="86">
        <f t="shared" ca="1" si="19"/>
        <v>0</v>
      </c>
    </row>
    <row r="78" spans="1:24">
      <c r="J78" s="514"/>
    </row>
    <row r="79" spans="1:24" customFormat="1">
      <c r="A79" s="1"/>
      <c r="J79" s="495"/>
    </row>
    <row r="80" spans="1:24" ht="21">
      <c r="B80" s="227" t="s">
        <v>389</v>
      </c>
      <c r="C80" s="228" t="s">
        <v>406</v>
      </c>
      <c r="D80" s="229" t="s">
        <v>421</v>
      </c>
      <c r="E80" s="229" t="s">
        <v>408</v>
      </c>
      <c r="F80" s="229" t="s">
        <v>409</v>
      </c>
      <c r="G80" s="229" t="s">
        <v>449</v>
      </c>
      <c r="H80" s="311"/>
      <c r="I80" s="230"/>
      <c r="J80" s="513"/>
      <c r="K80" s="231" t="str">
        <f t="shared" ref="K80:X80" si="20">LataProjekcji</f>
        <v>Uzupełnij dane</v>
      </c>
      <c r="L80" s="231" t="str">
        <f t="shared" si="20"/>
        <v/>
      </c>
      <c r="M80" s="231" t="str">
        <f t="shared" si="20"/>
        <v/>
      </c>
      <c r="N80" s="231" t="str">
        <f t="shared" si="20"/>
        <v/>
      </c>
      <c r="O80" s="231" t="str">
        <f t="shared" si="20"/>
        <v/>
      </c>
      <c r="P80" s="231" t="str">
        <f t="shared" si="20"/>
        <v/>
      </c>
      <c r="Q80" s="231" t="str">
        <f t="shared" si="20"/>
        <v/>
      </c>
      <c r="R80" s="231" t="str">
        <f t="shared" si="20"/>
        <v/>
      </c>
      <c r="S80" s="231" t="str">
        <f t="shared" si="20"/>
        <v/>
      </c>
      <c r="T80" s="231" t="str">
        <f t="shared" si="20"/>
        <v/>
      </c>
      <c r="U80" s="231" t="str">
        <f t="shared" si="20"/>
        <v/>
      </c>
      <c r="V80" s="231" t="str">
        <f t="shared" si="20"/>
        <v/>
      </c>
      <c r="W80" s="231" t="str">
        <f t="shared" si="20"/>
        <v/>
      </c>
      <c r="X80" s="231" t="str">
        <f t="shared" si="20"/>
        <v/>
      </c>
    </row>
    <row r="81" spans="1:24">
      <c r="B81" s="103" t="str">
        <f>IF(ISBLANK('Środki trwałe'!B326),"",'Środki trwałe'!B326)</f>
        <v/>
      </c>
      <c r="C81" s="102" t="str">
        <f>IF(ISBLANK('Środki trwałe'!D326),"",'Środki trwałe'!D326)</f>
        <v/>
      </c>
      <c r="D81" s="245" t="str">
        <f>IF(ISBLANK('Środki trwałe'!E326),"",'Środki trwałe'!E326)</f>
        <v/>
      </c>
      <c r="E81" s="197">
        <f>IF(AND('Środki trwałe'!F326="tak",'Środki trwałe'!G326="nie"),'Środki trwałe'!H326,0)</f>
        <v>0</v>
      </c>
      <c r="F81" s="94">
        <f>IFERROR(IF(E81=0,0,ROUND(E81*C81,0)),0)</f>
        <v>0</v>
      </c>
      <c r="G81" s="102">
        <f>IF(AND('Środki trwałe'!F326="tak",'Środki trwałe'!G326="tak"),'Środki trwałe'!I326,0)</f>
        <v>0</v>
      </c>
      <c r="H81" s="315"/>
      <c r="I81" s="101"/>
      <c r="J81" s="515" t="str">
        <f>IF(ISBLANK('Środki trwałe'!C326),"",'Środki trwałe'!C326)</f>
        <v/>
      </c>
      <c r="K81" s="102">
        <f t="shared" ref="K81:X85" si="21">IFERROR(ROUND(IF(AND(YEAR($D81)=LataProjekcji,$F81&gt;0),$F81,0),0),0)</f>
        <v>0</v>
      </c>
      <c r="L81" s="102">
        <f t="shared" si="21"/>
        <v>0</v>
      </c>
      <c r="M81" s="102">
        <f t="shared" si="21"/>
        <v>0</v>
      </c>
      <c r="N81" s="102">
        <f t="shared" si="21"/>
        <v>0</v>
      </c>
      <c r="O81" s="102">
        <f t="shared" si="21"/>
        <v>0</v>
      </c>
      <c r="P81" s="102">
        <f t="shared" si="21"/>
        <v>0</v>
      </c>
      <c r="Q81" s="102">
        <f t="shared" si="21"/>
        <v>0</v>
      </c>
      <c r="R81" s="102">
        <f t="shared" si="21"/>
        <v>0</v>
      </c>
      <c r="S81" s="102">
        <f t="shared" si="21"/>
        <v>0</v>
      </c>
      <c r="T81" s="102">
        <f t="shared" si="21"/>
        <v>0</v>
      </c>
      <c r="U81" s="102">
        <f t="shared" si="21"/>
        <v>0</v>
      </c>
      <c r="V81" s="102">
        <f t="shared" si="21"/>
        <v>0</v>
      </c>
      <c r="W81" s="102">
        <f t="shared" si="21"/>
        <v>0</v>
      </c>
      <c r="X81" s="102">
        <f t="shared" si="21"/>
        <v>0</v>
      </c>
    </row>
    <row r="82" spans="1:24">
      <c r="B82" s="37" t="str">
        <f>IF(ISBLANK('Środki trwałe'!B327),"",'Środki trwałe'!B327)</f>
        <v/>
      </c>
      <c r="C82" s="33" t="str">
        <f>IF(ISBLANK('Środki trwałe'!D327),"",'Środki trwałe'!D327)</f>
        <v/>
      </c>
      <c r="D82" s="245" t="str">
        <f>IF(ISBLANK('Środki trwałe'!E327),"",'Środki trwałe'!E327)</f>
        <v/>
      </c>
      <c r="E82" s="197">
        <f>IF(AND('Środki trwałe'!F327="tak",'Środki trwałe'!G327="nie"),'Środki trwałe'!H327,0)</f>
        <v>0</v>
      </c>
      <c r="F82" s="94">
        <f>IFERROR(IF(E82=0,0,ROUND(E82*C82,0)),0)</f>
        <v>0</v>
      </c>
      <c r="G82" s="33">
        <f>IF(AND('Środki trwałe'!F327="tak",'Środki trwałe'!G327="tak"),'Środki trwałe'!I327,0)</f>
        <v>0</v>
      </c>
      <c r="H82" s="314"/>
      <c r="I82" s="52"/>
      <c r="J82" s="508" t="str">
        <f>IF(ISBLANK('Środki trwałe'!C327),"",'Środki trwałe'!C327)</f>
        <v/>
      </c>
      <c r="K82" s="33">
        <f t="shared" si="21"/>
        <v>0</v>
      </c>
      <c r="L82" s="33">
        <f t="shared" si="21"/>
        <v>0</v>
      </c>
      <c r="M82" s="33">
        <f t="shared" si="21"/>
        <v>0</v>
      </c>
      <c r="N82" s="33">
        <f t="shared" si="21"/>
        <v>0</v>
      </c>
      <c r="O82" s="33">
        <f t="shared" si="21"/>
        <v>0</v>
      </c>
      <c r="P82" s="33">
        <f t="shared" si="21"/>
        <v>0</v>
      </c>
      <c r="Q82" s="33">
        <f t="shared" si="21"/>
        <v>0</v>
      </c>
      <c r="R82" s="33">
        <f t="shared" si="21"/>
        <v>0</v>
      </c>
      <c r="S82" s="33">
        <f t="shared" si="21"/>
        <v>0</v>
      </c>
      <c r="T82" s="33">
        <f t="shared" si="21"/>
        <v>0</v>
      </c>
      <c r="U82" s="33">
        <f t="shared" si="21"/>
        <v>0</v>
      </c>
      <c r="V82" s="33">
        <f t="shared" si="21"/>
        <v>0</v>
      </c>
      <c r="W82" s="33">
        <f t="shared" si="21"/>
        <v>0</v>
      </c>
      <c r="X82" s="33">
        <f t="shared" si="21"/>
        <v>0</v>
      </c>
    </row>
    <row r="83" spans="1:24">
      <c r="B83" s="37" t="str">
        <f>IF(ISBLANK('Środki trwałe'!B328),"",'Środki trwałe'!B328)</f>
        <v/>
      </c>
      <c r="C83" s="33" t="str">
        <f>IF(ISBLANK('Środki trwałe'!D328),"",'Środki trwałe'!D328)</f>
        <v/>
      </c>
      <c r="D83" s="245" t="str">
        <f>IF(ISBLANK('Środki trwałe'!E328),"",'Środki trwałe'!E328)</f>
        <v/>
      </c>
      <c r="E83" s="197">
        <f>IF(AND('Środki trwałe'!F328="tak",'Środki trwałe'!G328="nie"),'Środki trwałe'!H328,0)</f>
        <v>0</v>
      </c>
      <c r="F83" s="94">
        <f>IFERROR(IF(E83=0,0,ROUND(E83*C83,0)),0)</f>
        <v>0</v>
      </c>
      <c r="G83" s="33">
        <f>IF(AND('Środki trwałe'!F328="tak",'Środki trwałe'!G328="tak"),'Środki trwałe'!I328,0)</f>
        <v>0</v>
      </c>
      <c r="H83" s="314"/>
      <c r="I83" s="52"/>
      <c r="J83" s="508" t="str">
        <f>IF(ISBLANK('Środki trwałe'!C328),"",'Środki trwałe'!C328)</f>
        <v/>
      </c>
      <c r="K83" s="33">
        <f t="shared" si="21"/>
        <v>0</v>
      </c>
      <c r="L83" s="33">
        <f t="shared" si="21"/>
        <v>0</v>
      </c>
      <c r="M83" s="33">
        <f t="shared" si="21"/>
        <v>0</v>
      </c>
      <c r="N83" s="33">
        <f t="shared" si="21"/>
        <v>0</v>
      </c>
      <c r="O83" s="33">
        <f t="shared" si="21"/>
        <v>0</v>
      </c>
      <c r="P83" s="33">
        <f t="shared" si="21"/>
        <v>0</v>
      </c>
      <c r="Q83" s="33">
        <f t="shared" si="21"/>
        <v>0</v>
      </c>
      <c r="R83" s="33">
        <f t="shared" si="21"/>
        <v>0</v>
      </c>
      <c r="S83" s="33">
        <f t="shared" si="21"/>
        <v>0</v>
      </c>
      <c r="T83" s="33">
        <f t="shared" si="21"/>
        <v>0</v>
      </c>
      <c r="U83" s="33">
        <f t="shared" si="21"/>
        <v>0</v>
      </c>
      <c r="V83" s="33">
        <f t="shared" si="21"/>
        <v>0</v>
      </c>
      <c r="W83" s="33">
        <f t="shared" si="21"/>
        <v>0</v>
      </c>
      <c r="X83" s="33">
        <f t="shared" si="21"/>
        <v>0</v>
      </c>
    </row>
    <row r="84" spans="1:24">
      <c r="B84" s="37" t="str">
        <f>IF(ISBLANK('Środki trwałe'!B329),"",'Środki trwałe'!B329)</f>
        <v/>
      </c>
      <c r="C84" s="33" t="str">
        <f>IF(ISBLANK('Środki trwałe'!D329),"",'Środki trwałe'!D329)</f>
        <v/>
      </c>
      <c r="D84" s="245" t="str">
        <f>IF(ISBLANK('Środki trwałe'!E329),"",'Środki trwałe'!E329)</f>
        <v/>
      </c>
      <c r="E84" s="197">
        <f>IF(AND('Środki trwałe'!F329="tak",'Środki trwałe'!G329="nie"),'Środki trwałe'!H329,0)</f>
        <v>0</v>
      </c>
      <c r="F84" s="94">
        <f>IFERROR(IF(E84=0,0,ROUND(E84*C84,0)),0)</f>
        <v>0</v>
      </c>
      <c r="G84" s="33">
        <f>IF(AND('Środki trwałe'!F329="tak",'Środki trwałe'!G329="tak"),'Środki trwałe'!I329,0)</f>
        <v>0</v>
      </c>
      <c r="H84" s="314"/>
      <c r="I84" s="52"/>
      <c r="J84" s="508" t="str">
        <f>IF(ISBLANK('Środki trwałe'!C329),"",'Środki trwałe'!C329)</f>
        <v/>
      </c>
      <c r="K84" s="33">
        <f t="shared" si="21"/>
        <v>0</v>
      </c>
      <c r="L84" s="33">
        <f t="shared" si="21"/>
        <v>0</v>
      </c>
      <c r="M84" s="33">
        <f t="shared" si="21"/>
        <v>0</v>
      </c>
      <c r="N84" s="33">
        <f t="shared" si="21"/>
        <v>0</v>
      </c>
      <c r="O84" s="33">
        <f t="shared" si="21"/>
        <v>0</v>
      </c>
      <c r="P84" s="33">
        <f t="shared" si="21"/>
        <v>0</v>
      </c>
      <c r="Q84" s="33">
        <f t="shared" si="21"/>
        <v>0</v>
      </c>
      <c r="R84" s="33">
        <f t="shared" si="21"/>
        <v>0</v>
      </c>
      <c r="S84" s="33">
        <f t="shared" si="21"/>
        <v>0</v>
      </c>
      <c r="T84" s="33">
        <f t="shared" si="21"/>
        <v>0</v>
      </c>
      <c r="U84" s="33">
        <f t="shared" si="21"/>
        <v>0</v>
      </c>
      <c r="V84" s="33">
        <f t="shared" si="21"/>
        <v>0</v>
      </c>
      <c r="W84" s="33">
        <f t="shared" si="21"/>
        <v>0</v>
      </c>
      <c r="X84" s="33">
        <f t="shared" si="21"/>
        <v>0</v>
      </c>
    </row>
    <row r="85" spans="1:24">
      <c r="B85" s="37" t="str">
        <f>IF(ISBLANK('Środki trwałe'!B330),"",'Środki trwałe'!B330)</f>
        <v/>
      </c>
      <c r="C85" s="33" t="str">
        <f>IF(ISBLANK('Środki trwałe'!D330),"",'Środki trwałe'!D330)</f>
        <v/>
      </c>
      <c r="D85" s="245" t="str">
        <f>IF(ISBLANK('Środki trwałe'!E330),"",'Środki trwałe'!E330)</f>
        <v/>
      </c>
      <c r="E85" s="197">
        <f>IF(AND('Środki trwałe'!F330="tak",'Środki trwałe'!G330="nie"),'Środki trwałe'!H330,0)</f>
        <v>0</v>
      </c>
      <c r="F85" s="94">
        <f>IFERROR(IF(E85=0,0,ROUND(E85*C85,0)),0)</f>
        <v>0</v>
      </c>
      <c r="G85" s="33">
        <f>IF(AND('Środki trwałe'!F330="tak",'Środki trwałe'!G330="tak"),'Środki trwałe'!I330,0)</f>
        <v>0</v>
      </c>
      <c r="H85" s="314"/>
      <c r="I85" s="52"/>
      <c r="J85" s="508" t="str">
        <f>IF(ISBLANK('Środki trwałe'!C330),"",'Środki trwałe'!C330)</f>
        <v/>
      </c>
      <c r="K85" s="33">
        <f t="shared" si="21"/>
        <v>0</v>
      </c>
      <c r="L85" s="33">
        <f t="shared" si="21"/>
        <v>0</v>
      </c>
      <c r="M85" s="33">
        <f t="shared" si="21"/>
        <v>0</v>
      </c>
      <c r="N85" s="33">
        <f t="shared" si="21"/>
        <v>0</v>
      </c>
      <c r="O85" s="33">
        <f t="shared" si="21"/>
        <v>0</v>
      </c>
      <c r="P85" s="33">
        <f t="shared" si="21"/>
        <v>0</v>
      </c>
      <c r="Q85" s="33">
        <f t="shared" si="21"/>
        <v>0</v>
      </c>
      <c r="R85" s="33">
        <f t="shared" si="21"/>
        <v>0</v>
      </c>
      <c r="S85" s="33">
        <f t="shared" si="21"/>
        <v>0</v>
      </c>
      <c r="T85" s="33">
        <f t="shared" si="21"/>
        <v>0</v>
      </c>
      <c r="U85" s="33">
        <f t="shared" si="21"/>
        <v>0</v>
      </c>
      <c r="V85" s="33">
        <f t="shared" si="21"/>
        <v>0</v>
      </c>
      <c r="W85" s="33">
        <f t="shared" si="21"/>
        <v>0</v>
      </c>
      <c r="X85" s="33">
        <f t="shared" si="21"/>
        <v>0</v>
      </c>
    </row>
    <row r="86" spans="1:24">
      <c r="B86" s="98" t="s">
        <v>335</v>
      </c>
      <c r="C86" s="97">
        <f>SUM(C81:C85)</f>
        <v>0</v>
      </c>
      <c r="D86" s="199"/>
      <c r="E86" s="96"/>
      <c r="F86" s="97">
        <f>SUM(F81:F85)</f>
        <v>0</v>
      </c>
      <c r="G86" s="97">
        <f>SUM(G81:G85)</f>
        <v>0</v>
      </c>
      <c r="H86" s="319"/>
      <c r="I86" s="96"/>
      <c r="J86" s="509"/>
      <c r="K86" s="97">
        <f t="shared" ref="K86:X86" si="22">ROUND(SUM(K81:K85),0)</f>
        <v>0</v>
      </c>
      <c r="L86" s="97">
        <f t="shared" si="22"/>
        <v>0</v>
      </c>
      <c r="M86" s="97">
        <f t="shared" si="22"/>
        <v>0</v>
      </c>
      <c r="N86" s="97">
        <f t="shared" si="22"/>
        <v>0</v>
      </c>
      <c r="O86" s="97">
        <f t="shared" si="22"/>
        <v>0</v>
      </c>
      <c r="P86" s="97">
        <f t="shared" si="22"/>
        <v>0</v>
      </c>
      <c r="Q86" s="97">
        <f t="shared" si="22"/>
        <v>0</v>
      </c>
      <c r="R86" s="97">
        <f t="shared" si="22"/>
        <v>0</v>
      </c>
      <c r="S86" s="97">
        <f t="shared" si="22"/>
        <v>0</v>
      </c>
      <c r="T86" s="97">
        <f t="shared" si="22"/>
        <v>0</v>
      </c>
      <c r="U86" s="97">
        <f t="shared" si="22"/>
        <v>0</v>
      </c>
      <c r="V86" s="97">
        <f t="shared" si="22"/>
        <v>0</v>
      </c>
      <c r="W86" s="97">
        <f t="shared" si="22"/>
        <v>0</v>
      </c>
      <c r="X86" s="97">
        <f t="shared" si="22"/>
        <v>0</v>
      </c>
    </row>
    <row r="87" spans="1:24">
      <c r="B87" s="103" t="s">
        <v>450</v>
      </c>
      <c r="C87" s="101"/>
      <c r="D87" s="101"/>
      <c r="E87" s="101"/>
      <c r="F87" s="101"/>
      <c r="G87" s="101"/>
      <c r="H87" s="315"/>
      <c r="I87" s="101"/>
      <c r="J87" s="510"/>
      <c r="K87" s="102">
        <f t="shared" ref="K87:X87" ca="1" si="23">ROUND(K579+K586+K593+K600+K607,0)</f>
        <v>0</v>
      </c>
      <c r="L87" s="102">
        <f t="shared" ca="1" si="23"/>
        <v>0</v>
      </c>
      <c r="M87" s="102">
        <f t="shared" ca="1" si="23"/>
        <v>0</v>
      </c>
      <c r="N87" s="102">
        <f t="shared" ca="1" si="23"/>
        <v>0</v>
      </c>
      <c r="O87" s="102">
        <f t="shared" ca="1" si="23"/>
        <v>0</v>
      </c>
      <c r="P87" s="102">
        <f t="shared" ca="1" si="23"/>
        <v>0</v>
      </c>
      <c r="Q87" s="102">
        <f t="shared" ca="1" si="23"/>
        <v>0</v>
      </c>
      <c r="R87" s="102">
        <f t="shared" ca="1" si="23"/>
        <v>0</v>
      </c>
      <c r="S87" s="102">
        <f t="shared" ca="1" si="23"/>
        <v>0</v>
      </c>
      <c r="T87" s="102">
        <f t="shared" ca="1" si="23"/>
        <v>0</v>
      </c>
      <c r="U87" s="102">
        <f t="shared" ca="1" si="23"/>
        <v>0</v>
      </c>
      <c r="V87" s="102">
        <f t="shared" ca="1" si="23"/>
        <v>0</v>
      </c>
      <c r="W87" s="102">
        <f t="shared" ca="1" si="23"/>
        <v>0</v>
      </c>
      <c r="X87" s="102">
        <f t="shared" ca="1" si="23"/>
        <v>0</v>
      </c>
    </row>
    <row r="88" spans="1:24">
      <c r="B88" s="37" t="s">
        <v>451</v>
      </c>
      <c r="C88" s="52"/>
      <c r="D88" s="52"/>
      <c r="E88" s="52"/>
      <c r="F88" s="52"/>
      <c r="G88" s="52"/>
      <c r="H88" s="314"/>
      <c r="I88" s="52"/>
      <c r="J88" s="511"/>
      <c r="K88" s="33">
        <f t="shared" ref="K88:X88" ca="1" si="24">ROUND(K580+K587+K594+K601+K608,0)</f>
        <v>0</v>
      </c>
      <c r="L88" s="33">
        <f t="shared" ca="1" si="24"/>
        <v>0</v>
      </c>
      <c r="M88" s="33">
        <f t="shared" ca="1" si="24"/>
        <v>0</v>
      </c>
      <c r="N88" s="33">
        <f t="shared" ca="1" si="24"/>
        <v>0</v>
      </c>
      <c r="O88" s="33">
        <f t="shared" ca="1" si="24"/>
        <v>0</v>
      </c>
      <c r="P88" s="33">
        <f t="shared" ca="1" si="24"/>
        <v>0</v>
      </c>
      <c r="Q88" s="33">
        <f t="shared" ca="1" si="24"/>
        <v>0</v>
      </c>
      <c r="R88" s="33">
        <f t="shared" ca="1" si="24"/>
        <v>0</v>
      </c>
      <c r="S88" s="33">
        <f t="shared" ca="1" si="24"/>
        <v>0</v>
      </c>
      <c r="T88" s="33">
        <f t="shared" ca="1" si="24"/>
        <v>0</v>
      </c>
      <c r="U88" s="33">
        <f t="shared" ca="1" si="24"/>
        <v>0</v>
      </c>
      <c r="V88" s="33">
        <f t="shared" ca="1" si="24"/>
        <v>0</v>
      </c>
      <c r="W88" s="33">
        <f t="shared" ca="1" si="24"/>
        <v>0</v>
      </c>
      <c r="X88" s="33">
        <f t="shared" ca="1" si="24"/>
        <v>0</v>
      </c>
    </row>
    <row r="89" spans="1:24">
      <c r="B89" s="105" t="s">
        <v>452</v>
      </c>
      <c r="C89" s="105"/>
      <c r="D89" s="105"/>
      <c r="E89" s="105"/>
      <c r="F89" s="105"/>
      <c r="G89" s="105"/>
      <c r="H89" s="323"/>
      <c r="I89" s="105"/>
      <c r="J89" s="512"/>
      <c r="K89" s="106">
        <f>'Środki trwałe'!K349</f>
        <v>0</v>
      </c>
      <c r="L89" s="106">
        <f>'Środki trwałe'!L349</f>
        <v>0</v>
      </c>
      <c r="M89" s="106">
        <f>'Środki trwałe'!M349</f>
        <v>0</v>
      </c>
      <c r="N89" s="106">
        <f>'Środki trwałe'!N349</f>
        <v>0</v>
      </c>
      <c r="O89" s="106">
        <f>'Środki trwałe'!O349</f>
        <v>0</v>
      </c>
      <c r="P89" s="106">
        <f>'Środki trwałe'!P349</f>
        <v>0</v>
      </c>
      <c r="Q89" s="106">
        <f>'Środki trwałe'!Q349</f>
        <v>0</v>
      </c>
      <c r="R89" s="106">
        <f>'Środki trwałe'!R349</f>
        <v>0</v>
      </c>
      <c r="S89" s="106">
        <f>'Środki trwałe'!S349</f>
        <v>0</v>
      </c>
      <c r="T89" s="106">
        <f>'Środki trwałe'!T349</f>
        <v>0</v>
      </c>
      <c r="U89" s="106">
        <f>'Środki trwałe'!U349</f>
        <v>0</v>
      </c>
      <c r="V89" s="106">
        <f>'Środki trwałe'!V349</f>
        <v>0</v>
      </c>
      <c r="W89" s="106">
        <f>'Środki trwałe'!W349</f>
        <v>0</v>
      </c>
      <c r="X89" s="106">
        <f>'Środki trwałe'!X349</f>
        <v>0</v>
      </c>
    </row>
    <row r="90" spans="1:24">
      <c r="B90" s="200" t="s">
        <v>453</v>
      </c>
      <c r="C90" s="52"/>
      <c r="D90" s="52"/>
      <c r="E90" s="52"/>
      <c r="F90" s="52"/>
      <c r="G90" s="52"/>
      <c r="H90" s="314"/>
      <c r="I90" s="52"/>
      <c r="J90" s="511"/>
      <c r="K90" s="86">
        <f t="shared" ref="K90:X90" ca="1" si="25">ROUND(K581+K588+K595+K602+K609,0)</f>
        <v>0</v>
      </c>
      <c r="L90" s="86">
        <f t="shared" ca="1" si="25"/>
        <v>0</v>
      </c>
      <c r="M90" s="86">
        <f t="shared" ca="1" si="25"/>
        <v>0</v>
      </c>
      <c r="N90" s="86">
        <f t="shared" ca="1" si="25"/>
        <v>0</v>
      </c>
      <c r="O90" s="86">
        <f t="shared" ca="1" si="25"/>
        <v>0</v>
      </c>
      <c r="P90" s="86">
        <f t="shared" ca="1" si="25"/>
        <v>0</v>
      </c>
      <c r="Q90" s="86">
        <f t="shared" ca="1" si="25"/>
        <v>0</v>
      </c>
      <c r="R90" s="86">
        <f t="shared" ca="1" si="25"/>
        <v>0</v>
      </c>
      <c r="S90" s="86">
        <f t="shared" ca="1" si="25"/>
        <v>0</v>
      </c>
      <c r="T90" s="86">
        <f t="shared" ca="1" si="25"/>
        <v>0</v>
      </c>
      <c r="U90" s="86">
        <f t="shared" ca="1" si="25"/>
        <v>0</v>
      </c>
      <c r="V90" s="86">
        <f t="shared" ca="1" si="25"/>
        <v>0</v>
      </c>
      <c r="W90" s="86">
        <f t="shared" ca="1" si="25"/>
        <v>0</v>
      </c>
      <c r="X90" s="86">
        <f t="shared" ca="1" si="25"/>
        <v>0</v>
      </c>
    </row>
    <row r="91" spans="1:24">
      <c r="J91" s="514"/>
    </row>
    <row r="92" spans="1:24" customFormat="1">
      <c r="A92" s="1"/>
      <c r="J92" s="495"/>
    </row>
    <row r="93" spans="1:24" ht="21">
      <c r="B93" s="227" t="s">
        <v>390</v>
      </c>
      <c r="C93" s="228" t="s">
        <v>406</v>
      </c>
      <c r="D93" s="229" t="s">
        <v>421</v>
      </c>
      <c r="E93" s="229" t="s">
        <v>408</v>
      </c>
      <c r="F93" s="229" t="s">
        <v>409</v>
      </c>
      <c r="G93" s="229" t="s">
        <v>449</v>
      </c>
      <c r="H93" s="311"/>
      <c r="I93" s="230"/>
      <c r="J93" s="513"/>
      <c r="K93" s="231" t="str">
        <f t="shared" ref="K93:X93" si="26">LataProjekcji</f>
        <v>Uzupełnij dane</v>
      </c>
      <c r="L93" s="231" t="str">
        <f t="shared" si="26"/>
        <v/>
      </c>
      <c r="M93" s="231" t="str">
        <f t="shared" si="26"/>
        <v/>
      </c>
      <c r="N93" s="231" t="str">
        <f t="shared" si="26"/>
        <v/>
      </c>
      <c r="O93" s="231" t="str">
        <f t="shared" si="26"/>
        <v/>
      </c>
      <c r="P93" s="231" t="str">
        <f t="shared" si="26"/>
        <v/>
      </c>
      <c r="Q93" s="231" t="str">
        <f t="shared" si="26"/>
        <v/>
      </c>
      <c r="R93" s="231" t="str">
        <f t="shared" si="26"/>
        <v/>
      </c>
      <c r="S93" s="231" t="str">
        <f t="shared" si="26"/>
        <v/>
      </c>
      <c r="T93" s="231" t="str">
        <f t="shared" si="26"/>
        <v/>
      </c>
      <c r="U93" s="231" t="str">
        <f t="shared" si="26"/>
        <v/>
      </c>
      <c r="V93" s="231" t="str">
        <f t="shared" si="26"/>
        <v/>
      </c>
      <c r="W93" s="231" t="str">
        <f t="shared" si="26"/>
        <v/>
      </c>
      <c r="X93" s="231" t="str">
        <f t="shared" si="26"/>
        <v/>
      </c>
    </row>
    <row r="94" spans="1:24">
      <c r="B94" s="103" t="str">
        <f>IF(ISBLANK('Środki trwałe'!B353),"",'Środki trwałe'!B353)</f>
        <v/>
      </c>
      <c r="C94" s="102" t="str">
        <f>IF(ISBLANK('Środki trwałe'!D353),"",'Środki trwałe'!D353)</f>
        <v/>
      </c>
      <c r="D94" s="245" t="str">
        <f>IF(ISBLANK('Środki trwałe'!E353),"",'Środki trwałe'!E353)</f>
        <v/>
      </c>
      <c r="E94" s="197">
        <f>IF(AND('Środki trwałe'!F353="tak",'Środki trwałe'!G353="nie"),'Środki trwałe'!H353,0)</f>
        <v>0</v>
      </c>
      <c r="F94" s="94">
        <f>IFERROR(IF(E94=0,0,ROUND(E94*C94,0)),0)</f>
        <v>0</v>
      </c>
      <c r="G94" s="102">
        <f>IF(AND('Środki trwałe'!F353="tak",'Środki trwałe'!G353="tak"),'Środki trwałe'!I353,0)</f>
        <v>0</v>
      </c>
      <c r="H94" s="315"/>
      <c r="I94" s="101"/>
      <c r="J94" s="515" t="str">
        <f>IF(ISBLANK('Środki trwałe'!C353),"",'Środki trwałe'!C353)</f>
        <v/>
      </c>
      <c r="K94" s="102">
        <f t="shared" ref="K94:X108" si="27">IFERROR(ROUND(IF(AND(YEAR($D94)=LataProjekcji,$F94&gt;0),$F94,0),0),0)</f>
        <v>0</v>
      </c>
      <c r="L94" s="102">
        <f t="shared" si="27"/>
        <v>0</v>
      </c>
      <c r="M94" s="102">
        <f t="shared" si="27"/>
        <v>0</v>
      </c>
      <c r="N94" s="102">
        <f t="shared" si="27"/>
        <v>0</v>
      </c>
      <c r="O94" s="102">
        <f t="shared" si="27"/>
        <v>0</v>
      </c>
      <c r="P94" s="102">
        <f t="shared" si="27"/>
        <v>0</v>
      </c>
      <c r="Q94" s="102">
        <f t="shared" si="27"/>
        <v>0</v>
      </c>
      <c r="R94" s="102">
        <f t="shared" si="27"/>
        <v>0</v>
      </c>
      <c r="S94" s="102">
        <f t="shared" si="27"/>
        <v>0</v>
      </c>
      <c r="T94" s="102">
        <f t="shared" si="27"/>
        <v>0</v>
      </c>
      <c r="U94" s="102">
        <f t="shared" si="27"/>
        <v>0</v>
      </c>
      <c r="V94" s="102">
        <f t="shared" si="27"/>
        <v>0</v>
      </c>
      <c r="W94" s="102">
        <f t="shared" si="27"/>
        <v>0</v>
      </c>
      <c r="X94" s="102">
        <f t="shared" si="27"/>
        <v>0</v>
      </c>
    </row>
    <row r="95" spans="1:24">
      <c r="B95" s="37" t="str">
        <f>IF(ISBLANK('Środki trwałe'!B354),"",'Środki trwałe'!B354)</f>
        <v/>
      </c>
      <c r="C95" s="33" t="str">
        <f>IF(ISBLANK('Środki trwałe'!D354),"",'Środki trwałe'!D354)</f>
        <v/>
      </c>
      <c r="D95" s="245" t="str">
        <f>IF(ISBLANK('Środki trwałe'!E354),"",'Środki trwałe'!E354)</f>
        <v/>
      </c>
      <c r="E95" s="197">
        <f>IF(AND('Środki trwałe'!F354="tak",'Środki trwałe'!G354="nie"),'Środki trwałe'!H354,0)</f>
        <v>0</v>
      </c>
      <c r="F95" s="94">
        <f>IFERROR(IF(E95=0,0,ROUND(E95*C95,0)),0)</f>
        <v>0</v>
      </c>
      <c r="G95" s="33">
        <f>IF(AND('Środki trwałe'!F354="tak",'Środki trwałe'!G354="tak"),'Środki trwałe'!I354,0)</f>
        <v>0</v>
      </c>
      <c r="H95" s="314"/>
      <c r="I95" s="52"/>
      <c r="J95" s="508" t="str">
        <f>IF(ISBLANK('Środki trwałe'!C354),"",'Środki trwałe'!C354)</f>
        <v/>
      </c>
      <c r="K95" s="33">
        <f t="shared" si="27"/>
        <v>0</v>
      </c>
      <c r="L95" s="33">
        <f t="shared" si="27"/>
        <v>0</v>
      </c>
      <c r="M95" s="33">
        <f t="shared" si="27"/>
        <v>0</v>
      </c>
      <c r="N95" s="33">
        <f t="shared" si="27"/>
        <v>0</v>
      </c>
      <c r="O95" s="33">
        <f t="shared" si="27"/>
        <v>0</v>
      </c>
      <c r="P95" s="33">
        <f t="shared" si="27"/>
        <v>0</v>
      </c>
      <c r="Q95" s="33">
        <f t="shared" si="27"/>
        <v>0</v>
      </c>
      <c r="R95" s="33">
        <f t="shared" si="27"/>
        <v>0</v>
      </c>
      <c r="S95" s="33">
        <f t="shared" si="27"/>
        <v>0</v>
      </c>
      <c r="T95" s="33">
        <f t="shared" si="27"/>
        <v>0</v>
      </c>
      <c r="U95" s="33">
        <f t="shared" si="27"/>
        <v>0</v>
      </c>
      <c r="V95" s="33">
        <f t="shared" si="27"/>
        <v>0</v>
      </c>
      <c r="W95" s="33">
        <f t="shared" si="27"/>
        <v>0</v>
      </c>
      <c r="X95" s="33">
        <f t="shared" si="27"/>
        <v>0</v>
      </c>
    </row>
    <row r="96" spans="1:24">
      <c r="B96" s="37" t="str">
        <f>IF(ISBLANK('Środki trwałe'!B355),"",'Środki trwałe'!B355)</f>
        <v/>
      </c>
      <c r="C96" s="33" t="str">
        <f>IF(ISBLANK('Środki trwałe'!D355),"",'Środki trwałe'!D355)</f>
        <v/>
      </c>
      <c r="D96" s="245" t="str">
        <f>IF(ISBLANK('Środki trwałe'!E355),"",'Środki trwałe'!E355)</f>
        <v/>
      </c>
      <c r="E96" s="197">
        <f>IF(AND('Środki trwałe'!F355="tak",'Środki trwałe'!G355="nie"),'Środki trwałe'!H355,0)</f>
        <v>0</v>
      </c>
      <c r="F96" s="94">
        <f>IFERROR(IF(E96=0,0,ROUND(E96*C96,0)),0)</f>
        <v>0</v>
      </c>
      <c r="G96" s="33">
        <f>IF(AND('Środki trwałe'!F355="tak",'Środki trwałe'!G355="tak"),'Środki trwałe'!I355,0)</f>
        <v>0</v>
      </c>
      <c r="H96" s="314"/>
      <c r="I96" s="52"/>
      <c r="J96" s="508" t="str">
        <f>IF(ISBLANK('Środki trwałe'!C355),"",'Środki trwałe'!C355)</f>
        <v/>
      </c>
      <c r="K96" s="33">
        <f t="shared" si="27"/>
        <v>0</v>
      </c>
      <c r="L96" s="33">
        <f t="shared" si="27"/>
        <v>0</v>
      </c>
      <c r="M96" s="33">
        <f t="shared" si="27"/>
        <v>0</v>
      </c>
      <c r="N96" s="33">
        <f t="shared" si="27"/>
        <v>0</v>
      </c>
      <c r="O96" s="33">
        <f t="shared" si="27"/>
        <v>0</v>
      </c>
      <c r="P96" s="33">
        <f t="shared" si="27"/>
        <v>0</v>
      </c>
      <c r="Q96" s="33">
        <f t="shared" si="27"/>
        <v>0</v>
      </c>
      <c r="R96" s="33">
        <f t="shared" si="27"/>
        <v>0</v>
      </c>
      <c r="S96" s="33">
        <f t="shared" si="27"/>
        <v>0</v>
      </c>
      <c r="T96" s="33">
        <f t="shared" si="27"/>
        <v>0</v>
      </c>
      <c r="U96" s="33">
        <f t="shared" si="27"/>
        <v>0</v>
      </c>
      <c r="V96" s="33">
        <f t="shared" si="27"/>
        <v>0</v>
      </c>
      <c r="W96" s="33">
        <f t="shared" si="27"/>
        <v>0</v>
      </c>
      <c r="X96" s="33">
        <f t="shared" si="27"/>
        <v>0</v>
      </c>
    </row>
    <row r="97" spans="2:24">
      <c r="B97" s="37" t="str">
        <f>IF(ISBLANK('Środki trwałe'!B356),"",'Środki trwałe'!B356)</f>
        <v/>
      </c>
      <c r="C97" s="33" t="str">
        <f>IF(ISBLANK('Środki trwałe'!D356),"",'Środki trwałe'!D356)</f>
        <v/>
      </c>
      <c r="D97" s="245" t="str">
        <f>IF(ISBLANK('Środki trwałe'!E356),"",'Środki trwałe'!E356)</f>
        <v/>
      </c>
      <c r="E97" s="197">
        <f>IF(AND('Środki trwałe'!F356="tak",'Środki trwałe'!G356="nie"),'Środki trwałe'!H356,0)</f>
        <v>0</v>
      </c>
      <c r="F97" s="94">
        <f t="shared" ref="F97:F103" si="28">IFERROR(IF(E97=0,0,ROUND(E97*C97,0)),0)</f>
        <v>0</v>
      </c>
      <c r="G97" s="33">
        <f>IF(AND('Środki trwałe'!F356="tak",'Środki trwałe'!G356="tak"),'Środki trwałe'!I356,0)</f>
        <v>0</v>
      </c>
      <c r="H97" s="314"/>
      <c r="I97" s="52"/>
      <c r="J97" s="508" t="str">
        <f>IF(ISBLANK('Środki trwałe'!C356),"",'Środki trwałe'!C356)</f>
        <v/>
      </c>
      <c r="K97" s="33">
        <f t="shared" si="27"/>
        <v>0</v>
      </c>
      <c r="L97" s="33">
        <f t="shared" si="27"/>
        <v>0</v>
      </c>
      <c r="M97" s="33">
        <f t="shared" si="27"/>
        <v>0</v>
      </c>
      <c r="N97" s="33">
        <f t="shared" si="27"/>
        <v>0</v>
      </c>
      <c r="O97" s="33">
        <f t="shared" si="27"/>
        <v>0</v>
      </c>
      <c r="P97" s="33">
        <f t="shared" si="27"/>
        <v>0</v>
      </c>
      <c r="Q97" s="33">
        <f t="shared" si="27"/>
        <v>0</v>
      </c>
      <c r="R97" s="33">
        <f t="shared" si="27"/>
        <v>0</v>
      </c>
      <c r="S97" s="33">
        <f t="shared" si="27"/>
        <v>0</v>
      </c>
      <c r="T97" s="33">
        <f t="shared" si="27"/>
        <v>0</v>
      </c>
      <c r="U97" s="33">
        <f t="shared" si="27"/>
        <v>0</v>
      </c>
      <c r="V97" s="33">
        <f t="shared" si="27"/>
        <v>0</v>
      </c>
      <c r="W97" s="33">
        <f t="shared" si="27"/>
        <v>0</v>
      </c>
      <c r="X97" s="33">
        <f t="shared" si="27"/>
        <v>0</v>
      </c>
    </row>
    <row r="98" spans="2:24">
      <c r="B98" s="37" t="str">
        <f>IF(ISBLANK('Środki trwałe'!B357),"",'Środki trwałe'!B357)</f>
        <v/>
      </c>
      <c r="C98" s="33" t="str">
        <f>IF(ISBLANK('Środki trwałe'!D357),"",'Środki trwałe'!D357)</f>
        <v/>
      </c>
      <c r="D98" s="245" t="str">
        <f>IF(ISBLANK('Środki trwałe'!E357),"",'Środki trwałe'!E357)</f>
        <v/>
      </c>
      <c r="E98" s="197">
        <f>IF(AND('Środki trwałe'!F357="tak",'Środki trwałe'!G357="nie"),'Środki trwałe'!H357,0)</f>
        <v>0</v>
      </c>
      <c r="F98" s="94">
        <f t="shared" si="28"/>
        <v>0</v>
      </c>
      <c r="G98" s="33">
        <f>IF(AND('Środki trwałe'!F357="tak",'Środki trwałe'!G357="tak"),'Środki trwałe'!I357,0)</f>
        <v>0</v>
      </c>
      <c r="H98" s="314"/>
      <c r="I98" s="52"/>
      <c r="J98" s="508" t="str">
        <f>IF(ISBLANK('Środki trwałe'!C357),"",'Środki trwałe'!C357)</f>
        <v/>
      </c>
      <c r="K98" s="33">
        <f t="shared" si="27"/>
        <v>0</v>
      </c>
      <c r="L98" s="33">
        <f t="shared" si="27"/>
        <v>0</v>
      </c>
      <c r="M98" s="33">
        <f t="shared" si="27"/>
        <v>0</v>
      </c>
      <c r="N98" s="33">
        <f t="shared" si="27"/>
        <v>0</v>
      </c>
      <c r="O98" s="33">
        <f t="shared" si="27"/>
        <v>0</v>
      </c>
      <c r="P98" s="33">
        <f t="shared" si="27"/>
        <v>0</v>
      </c>
      <c r="Q98" s="33">
        <f t="shared" si="27"/>
        <v>0</v>
      </c>
      <c r="R98" s="33">
        <f t="shared" si="27"/>
        <v>0</v>
      </c>
      <c r="S98" s="33">
        <f t="shared" si="27"/>
        <v>0</v>
      </c>
      <c r="T98" s="33">
        <f t="shared" si="27"/>
        <v>0</v>
      </c>
      <c r="U98" s="33">
        <f t="shared" si="27"/>
        <v>0</v>
      </c>
      <c r="V98" s="33">
        <f t="shared" si="27"/>
        <v>0</v>
      </c>
      <c r="W98" s="33">
        <f t="shared" si="27"/>
        <v>0</v>
      </c>
      <c r="X98" s="33">
        <f t="shared" si="27"/>
        <v>0</v>
      </c>
    </row>
    <row r="99" spans="2:24">
      <c r="B99" s="37" t="str">
        <f>IF(ISBLANK('Środki trwałe'!B358),"",'Środki trwałe'!B358)</f>
        <v/>
      </c>
      <c r="C99" s="33" t="str">
        <f>IF(ISBLANK('Środki trwałe'!D358),"",'Środki trwałe'!D358)</f>
        <v/>
      </c>
      <c r="D99" s="245" t="str">
        <f>IF(ISBLANK('Środki trwałe'!E358),"",'Środki trwałe'!E358)</f>
        <v/>
      </c>
      <c r="E99" s="197">
        <f>IF(AND('Środki trwałe'!F358="tak",'Środki trwałe'!G358="nie"),'Środki trwałe'!H358,0)</f>
        <v>0</v>
      </c>
      <c r="F99" s="94">
        <f t="shared" si="28"/>
        <v>0</v>
      </c>
      <c r="G99" s="33">
        <f>IF(AND('Środki trwałe'!F358="tak",'Środki trwałe'!G358="tak"),'Środki trwałe'!I358,0)</f>
        <v>0</v>
      </c>
      <c r="H99" s="314"/>
      <c r="I99" s="52"/>
      <c r="J99" s="508" t="str">
        <f>IF(ISBLANK('Środki trwałe'!C358),"",'Środki trwałe'!C358)</f>
        <v/>
      </c>
      <c r="K99" s="33">
        <f t="shared" si="27"/>
        <v>0</v>
      </c>
      <c r="L99" s="33">
        <f t="shared" si="27"/>
        <v>0</v>
      </c>
      <c r="M99" s="33">
        <f t="shared" si="27"/>
        <v>0</v>
      </c>
      <c r="N99" s="33">
        <f t="shared" si="27"/>
        <v>0</v>
      </c>
      <c r="O99" s="33">
        <f t="shared" si="27"/>
        <v>0</v>
      </c>
      <c r="P99" s="33">
        <f t="shared" si="27"/>
        <v>0</v>
      </c>
      <c r="Q99" s="33">
        <f t="shared" si="27"/>
        <v>0</v>
      </c>
      <c r="R99" s="33">
        <f t="shared" si="27"/>
        <v>0</v>
      </c>
      <c r="S99" s="33">
        <f t="shared" si="27"/>
        <v>0</v>
      </c>
      <c r="T99" s="33">
        <f t="shared" si="27"/>
        <v>0</v>
      </c>
      <c r="U99" s="33">
        <f t="shared" si="27"/>
        <v>0</v>
      </c>
      <c r="V99" s="33">
        <f t="shared" si="27"/>
        <v>0</v>
      </c>
      <c r="W99" s="33">
        <f t="shared" si="27"/>
        <v>0</v>
      </c>
      <c r="X99" s="33">
        <f t="shared" si="27"/>
        <v>0</v>
      </c>
    </row>
    <row r="100" spans="2:24">
      <c r="B100" s="37" t="str">
        <f>IF(ISBLANK('Środki trwałe'!B359),"",'Środki trwałe'!B359)</f>
        <v/>
      </c>
      <c r="C100" s="33" t="str">
        <f>IF(ISBLANK('Środki trwałe'!D359),"",'Środki trwałe'!D359)</f>
        <v/>
      </c>
      <c r="D100" s="245" t="str">
        <f>IF(ISBLANK('Środki trwałe'!E359),"",'Środki trwałe'!E359)</f>
        <v/>
      </c>
      <c r="E100" s="197">
        <f>IF(AND('Środki trwałe'!F359="tak",'Środki trwałe'!G359="nie"),'Środki trwałe'!H359,0)</f>
        <v>0</v>
      </c>
      <c r="F100" s="94">
        <f t="shared" si="28"/>
        <v>0</v>
      </c>
      <c r="G100" s="33">
        <f>IF(AND('Środki trwałe'!F359="tak",'Środki trwałe'!G359="tak"),'Środki trwałe'!I359,0)</f>
        <v>0</v>
      </c>
      <c r="H100" s="314"/>
      <c r="I100" s="52"/>
      <c r="J100" s="508" t="str">
        <f>IF(ISBLANK('Środki trwałe'!C359),"",'Środki trwałe'!C359)</f>
        <v/>
      </c>
      <c r="K100" s="33">
        <f t="shared" si="27"/>
        <v>0</v>
      </c>
      <c r="L100" s="33">
        <f t="shared" si="27"/>
        <v>0</v>
      </c>
      <c r="M100" s="33">
        <f t="shared" si="27"/>
        <v>0</v>
      </c>
      <c r="N100" s="33">
        <f t="shared" si="27"/>
        <v>0</v>
      </c>
      <c r="O100" s="33">
        <f t="shared" si="27"/>
        <v>0</v>
      </c>
      <c r="P100" s="33">
        <f t="shared" si="27"/>
        <v>0</v>
      </c>
      <c r="Q100" s="33">
        <f t="shared" si="27"/>
        <v>0</v>
      </c>
      <c r="R100" s="33">
        <f t="shared" si="27"/>
        <v>0</v>
      </c>
      <c r="S100" s="33">
        <f t="shared" si="27"/>
        <v>0</v>
      </c>
      <c r="T100" s="33">
        <f t="shared" si="27"/>
        <v>0</v>
      </c>
      <c r="U100" s="33">
        <f t="shared" si="27"/>
        <v>0</v>
      </c>
      <c r="V100" s="33">
        <f t="shared" si="27"/>
        <v>0</v>
      </c>
      <c r="W100" s="33">
        <f t="shared" si="27"/>
        <v>0</v>
      </c>
      <c r="X100" s="33">
        <f t="shared" si="27"/>
        <v>0</v>
      </c>
    </row>
    <row r="101" spans="2:24">
      <c r="B101" s="37" t="str">
        <f>IF(ISBLANK('Środki trwałe'!B360),"",'Środki trwałe'!B360)</f>
        <v/>
      </c>
      <c r="C101" s="33" t="str">
        <f>IF(ISBLANK('Środki trwałe'!D360),"",'Środki trwałe'!D360)</f>
        <v/>
      </c>
      <c r="D101" s="245" t="str">
        <f>IF(ISBLANK('Środki trwałe'!E360),"",'Środki trwałe'!E360)</f>
        <v/>
      </c>
      <c r="E101" s="197">
        <f>IF(AND('Środki trwałe'!F360="tak",'Środki trwałe'!G360="nie"),'Środki trwałe'!H360,0)</f>
        <v>0</v>
      </c>
      <c r="F101" s="94">
        <f t="shared" si="28"/>
        <v>0</v>
      </c>
      <c r="G101" s="33">
        <f>IF(AND('Środki trwałe'!F360="tak",'Środki trwałe'!G360="tak"),'Środki trwałe'!I360,0)</f>
        <v>0</v>
      </c>
      <c r="H101" s="314"/>
      <c r="I101" s="52"/>
      <c r="J101" s="508" t="str">
        <f>IF(ISBLANK('Środki trwałe'!C360),"",'Środki trwałe'!C360)</f>
        <v/>
      </c>
      <c r="K101" s="33">
        <f t="shared" si="27"/>
        <v>0</v>
      </c>
      <c r="L101" s="33">
        <f t="shared" si="27"/>
        <v>0</v>
      </c>
      <c r="M101" s="33">
        <f t="shared" si="27"/>
        <v>0</v>
      </c>
      <c r="N101" s="33">
        <f t="shared" si="27"/>
        <v>0</v>
      </c>
      <c r="O101" s="33">
        <f t="shared" si="27"/>
        <v>0</v>
      </c>
      <c r="P101" s="33">
        <f t="shared" si="27"/>
        <v>0</v>
      </c>
      <c r="Q101" s="33">
        <f t="shared" si="27"/>
        <v>0</v>
      </c>
      <c r="R101" s="33">
        <f t="shared" si="27"/>
        <v>0</v>
      </c>
      <c r="S101" s="33">
        <f t="shared" si="27"/>
        <v>0</v>
      </c>
      <c r="T101" s="33">
        <f t="shared" si="27"/>
        <v>0</v>
      </c>
      <c r="U101" s="33">
        <f t="shared" si="27"/>
        <v>0</v>
      </c>
      <c r="V101" s="33">
        <f t="shared" si="27"/>
        <v>0</v>
      </c>
      <c r="W101" s="33">
        <f t="shared" si="27"/>
        <v>0</v>
      </c>
      <c r="X101" s="33">
        <f t="shared" si="27"/>
        <v>0</v>
      </c>
    </row>
    <row r="102" spans="2:24">
      <c r="B102" s="37" t="str">
        <f>IF(ISBLANK('Środki trwałe'!B361),"",'Środki trwałe'!B361)</f>
        <v/>
      </c>
      <c r="C102" s="33" t="str">
        <f>IF(ISBLANK('Środki trwałe'!D361),"",'Środki trwałe'!D361)</f>
        <v/>
      </c>
      <c r="D102" s="245" t="str">
        <f>IF(ISBLANK('Środki trwałe'!E361),"",'Środki trwałe'!E361)</f>
        <v/>
      </c>
      <c r="E102" s="197">
        <f>IF(AND('Środki trwałe'!F361="tak",'Środki trwałe'!G361="nie"),'Środki trwałe'!H361,0)</f>
        <v>0</v>
      </c>
      <c r="F102" s="94">
        <f t="shared" si="28"/>
        <v>0</v>
      </c>
      <c r="G102" s="33">
        <f>IF(AND('Środki trwałe'!F361="tak",'Środki trwałe'!G361="tak"),'Środki trwałe'!I361,0)</f>
        <v>0</v>
      </c>
      <c r="H102" s="314"/>
      <c r="I102" s="52"/>
      <c r="J102" s="508" t="str">
        <f>IF(ISBLANK('Środki trwałe'!C361),"",'Środki trwałe'!C361)</f>
        <v/>
      </c>
      <c r="K102" s="33">
        <f t="shared" si="27"/>
        <v>0</v>
      </c>
      <c r="L102" s="33">
        <f t="shared" si="27"/>
        <v>0</v>
      </c>
      <c r="M102" s="33">
        <f t="shared" si="27"/>
        <v>0</v>
      </c>
      <c r="N102" s="33">
        <f t="shared" si="27"/>
        <v>0</v>
      </c>
      <c r="O102" s="33">
        <f t="shared" si="27"/>
        <v>0</v>
      </c>
      <c r="P102" s="33">
        <f t="shared" si="27"/>
        <v>0</v>
      </c>
      <c r="Q102" s="33">
        <f t="shared" si="27"/>
        <v>0</v>
      </c>
      <c r="R102" s="33">
        <f t="shared" si="27"/>
        <v>0</v>
      </c>
      <c r="S102" s="33">
        <f t="shared" si="27"/>
        <v>0</v>
      </c>
      <c r="T102" s="33">
        <f t="shared" si="27"/>
        <v>0</v>
      </c>
      <c r="U102" s="33">
        <f t="shared" si="27"/>
        <v>0</v>
      </c>
      <c r="V102" s="33">
        <f t="shared" si="27"/>
        <v>0</v>
      </c>
      <c r="W102" s="33">
        <f t="shared" si="27"/>
        <v>0</v>
      </c>
      <c r="X102" s="33">
        <f t="shared" si="27"/>
        <v>0</v>
      </c>
    </row>
    <row r="103" spans="2:24">
      <c r="B103" s="37" t="str">
        <f>IF(ISBLANK('Środki trwałe'!B362),"",'Środki trwałe'!B362)</f>
        <v/>
      </c>
      <c r="C103" s="33" t="str">
        <f>IF(ISBLANK('Środki trwałe'!D362),"",'Środki trwałe'!D362)</f>
        <v/>
      </c>
      <c r="D103" s="245" t="str">
        <f>IF(ISBLANK('Środki trwałe'!E362),"",'Środki trwałe'!E362)</f>
        <v/>
      </c>
      <c r="E103" s="197">
        <f>IF(AND('Środki trwałe'!F362="tak",'Środki trwałe'!G362="nie"),'Środki trwałe'!H362,0)</f>
        <v>0</v>
      </c>
      <c r="F103" s="94">
        <f t="shared" si="28"/>
        <v>0</v>
      </c>
      <c r="G103" s="33">
        <f>IF(AND('Środki trwałe'!F362="tak",'Środki trwałe'!G362="tak"),'Środki trwałe'!I362,0)</f>
        <v>0</v>
      </c>
      <c r="H103" s="314"/>
      <c r="I103" s="52"/>
      <c r="J103" s="508" t="str">
        <f>IF(ISBLANK('Środki trwałe'!C362),"",'Środki trwałe'!C362)</f>
        <v/>
      </c>
      <c r="K103" s="33">
        <f t="shared" si="27"/>
        <v>0</v>
      </c>
      <c r="L103" s="33">
        <f t="shared" si="27"/>
        <v>0</v>
      </c>
      <c r="M103" s="33">
        <f t="shared" si="27"/>
        <v>0</v>
      </c>
      <c r="N103" s="33">
        <f t="shared" si="27"/>
        <v>0</v>
      </c>
      <c r="O103" s="33">
        <f t="shared" si="27"/>
        <v>0</v>
      </c>
      <c r="P103" s="33">
        <f t="shared" si="27"/>
        <v>0</v>
      </c>
      <c r="Q103" s="33">
        <f t="shared" si="27"/>
        <v>0</v>
      </c>
      <c r="R103" s="33">
        <f t="shared" si="27"/>
        <v>0</v>
      </c>
      <c r="S103" s="33">
        <f t="shared" si="27"/>
        <v>0</v>
      </c>
      <c r="T103" s="33">
        <f t="shared" si="27"/>
        <v>0</v>
      </c>
      <c r="U103" s="33">
        <f t="shared" si="27"/>
        <v>0</v>
      </c>
      <c r="V103" s="33">
        <f t="shared" si="27"/>
        <v>0</v>
      </c>
      <c r="W103" s="33">
        <f t="shared" si="27"/>
        <v>0</v>
      </c>
      <c r="X103" s="33">
        <f t="shared" si="27"/>
        <v>0</v>
      </c>
    </row>
    <row r="104" spans="2:24">
      <c r="B104" s="37" t="str">
        <f>IF(ISBLANK('Środki trwałe'!B363),"",'Środki trwałe'!B363)</f>
        <v/>
      </c>
      <c r="C104" s="33">
        <f ca="1">IF(ISBLANK('Środki trwałe'!D363),"",'Środki trwałe'!D363)</f>
        <v>0</v>
      </c>
      <c r="D104" s="245" t="str">
        <f>IF(ISBLANK('Środki trwałe'!E363),"",'Środki trwałe'!E363)</f>
        <v/>
      </c>
      <c r="E104" s="197">
        <f>IF(AND('Środki trwałe'!F363="tak",'Środki trwałe'!G363="nie"),'Środki trwałe'!H363,0)</f>
        <v>0</v>
      </c>
      <c r="F104" s="94">
        <f>IFERROR(IF(E104=0,0,ROUND(E104*C104,0)),0)</f>
        <v>0</v>
      </c>
      <c r="G104" s="33">
        <f>IF(AND('Środki trwałe'!F363="tak",'Środki trwałe'!G363="tak"),'Środki trwałe'!I363,0)</f>
        <v>0</v>
      </c>
      <c r="H104" s="314"/>
      <c r="I104" s="52"/>
      <c r="J104" s="508" t="str">
        <f>IF(ISBLANK('Środki trwałe'!C363),"",'Środki trwałe'!C363)</f>
        <v/>
      </c>
      <c r="K104" s="33">
        <f t="shared" si="27"/>
        <v>0</v>
      </c>
      <c r="L104" s="33">
        <f t="shared" si="27"/>
        <v>0</v>
      </c>
      <c r="M104" s="33">
        <f t="shared" si="27"/>
        <v>0</v>
      </c>
      <c r="N104" s="33">
        <f t="shared" si="27"/>
        <v>0</v>
      </c>
      <c r="O104" s="33">
        <f t="shared" si="27"/>
        <v>0</v>
      </c>
      <c r="P104" s="33">
        <f t="shared" si="27"/>
        <v>0</v>
      </c>
      <c r="Q104" s="33">
        <f t="shared" si="27"/>
        <v>0</v>
      </c>
      <c r="R104" s="33">
        <f t="shared" si="27"/>
        <v>0</v>
      </c>
      <c r="S104" s="33">
        <f t="shared" si="27"/>
        <v>0</v>
      </c>
      <c r="T104" s="33">
        <f t="shared" si="27"/>
        <v>0</v>
      </c>
      <c r="U104" s="33">
        <f t="shared" si="27"/>
        <v>0</v>
      </c>
      <c r="V104" s="33">
        <f t="shared" si="27"/>
        <v>0</v>
      </c>
      <c r="W104" s="33">
        <f t="shared" si="27"/>
        <v>0</v>
      </c>
      <c r="X104" s="33">
        <f t="shared" si="27"/>
        <v>0</v>
      </c>
    </row>
    <row r="105" spans="2:24">
      <c r="B105" s="37" t="str">
        <f>IF(ISBLANK('Środki trwałe'!B364),"",'Środki trwałe'!B364)</f>
        <v/>
      </c>
      <c r="C105" s="33">
        <f ca="1">IF(ISBLANK('Środki trwałe'!D364),"",'Środki trwałe'!D364)</f>
        <v>0</v>
      </c>
      <c r="D105" s="245" t="str">
        <f>IF(ISBLANK('Środki trwałe'!E364),"",'Środki trwałe'!E364)</f>
        <v/>
      </c>
      <c r="E105" s="197">
        <f>IF(AND('Środki trwałe'!F364="tak",'Środki trwałe'!G364="nie"),'Środki trwałe'!H364,0)</f>
        <v>0</v>
      </c>
      <c r="F105" s="94">
        <f>IFERROR(IF(E105=0,0,ROUND(E105*C105,0)),0)</f>
        <v>0</v>
      </c>
      <c r="G105" s="33">
        <f>IF(AND('Środki trwałe'!F364="tak",'Środki trwałe'!G364="tak"),'Środki trwałe'!I364,0)</f>
        <v>0</v>
      </c>
      <c r="H105" s="314"/>
      <c r="I105" s="52"/>
      <c r="J105" s="508" t="str">
        <f>IF(ISBLANK('Środki trwałe'!C364),"",'Środki trwałe'!C364)</f>
        <v/>
      </c>
      <c r="K105" s="33">
        <f t="shared" si="27"/>
        <v>0</v>
      </c>
      <c r="L105" s="33">
        <f t="shared" si="27"/>
        <v>0</v>
      </c>
      <c r="M105" s="33">
        <f t="shared" si="27"/>
        <v>0</v>
      </c>
      <c r="N105" s="33">
        <f t="shared" si="27"/>
        <v>0</v>
      </c>
      <c r="O105" s="33">
        <f t="shared" si="27"/>
        <v>0</v>
      </c>
      <c r="P105" s="33">
        <f t="shared" si="27"/>
        <v>0</v>
      </c>
      <c r="Q105" s="33">
        <f t="shared" si="27"/>
        <v>0</v>
      </c>
      <c r="R105" s="33">
        <f t="shared" si="27"/>
        <v>0</v>
      </c>
      <c r="S105" s="33">
        <f t="shared" si="27"/>
        <v>0</v>
      </c>
      <c r="T105" s="33">
        <f t="shared" si="27"/>
        <v>0</v>
      </c>
      <c r="U105" s="33">
        <f t="shared" si="27"/>
        <v>0</v>
      </c>
      <c r="V105" s="33">
        <f t="shared" si="27"/>
        <v>0</v>
      </c>
      <c r="W105" s="33">
        <f t="shared" si="27"/>
        <v>0</v>
      </c>
      <c r="X105" s="33">
        <f t="shared" si="27"/>
        <v>0</v>
      </c>
    </row>
    <row r="106" spans="2:24">
      <c r="B106" s="37" t="str">
        <f>IF(ISBLANK('Środki trwałe'!B365),"",'Środki trwałe'!B365)</f>
        <v/>
      </c>
      <c r="C106" s="33">
        <f ca="1">IF(ISBLANK('Środki trwałe'!D365),"",'Środki trwałe'!D365)</f>
        <v>0</v>
      </c>
      <c r="D106" s="245" t="str">
        <f>IF(ISBLANK('Środki trwałe'!E365),"",'Środki trwałe'!E365)</f>
        <v/>
      </c>
      <c r="E106" s="197">
        <f>IF(AND('Środki trwałe'!F365="tak",'Środki trwałe'!G365="nie"),'Środki trwałe'!H365,0)</f>
        <v>0</v>
      </c>
      <c r="F106" s="94">
        <f>IFERROR(IF(E106=0,0,ROUND(E106*C106,0)),0)</f>
        <v>0</v>
      </c>
      <c r="G106" s="33">
        <f>IF(AND('Środki trwałe'!F365="tak",'Środki trwałe'!G365="tak"),'Środki trwałe'!I365,0)</f>
        <v>0</v>
      </c>
      <c r="H106" s="314"/>
      <c r="I106" s="52"/>
      <c r="J106" s="508" t="str">
        <f>IF(ISBLANK('Środki trwałe'!C365),"",'Środki trwałe'!C365)</f>
        <v/>
      </c>
      <c r="K106" s="33">
        <f t="shared" si="27"/>
        <v>0</v>
      </c>
      <c r="L106" s="33">
        <f t="shared" si="27"/>
        <v>0</v>
      </c>
      <c r="M106" s="33">
        <f t="shared" si="27"/>
        <v>0</v>
      </c>
      <c r="N106" s="33">
        <f t="shared" si="27"/>
        <v>0</v>
      </c>
      <c r="O106" s="33">
        <f t="shared" si="27"/>
        <v>0</v>
      </c>
      <c r="P106" s="33">
        <f t="shared" si="27"/>
        <v>0</v>
      </c>
      <c r="Q106" s="33">
        <f t="shared" si="27"/>
        <v>0</v>
      </c>
      <c r="R106" s="33">
        <f t="shared" si="27"/>
        <v>0</v>
      </c>
      <c r="S106" s="33">
        <f t="shared" si="27"/>
        <v>0</v>
      </c>
      <c r="T106" s="33">
        <f t="shared" si="27"/>
        <v>0</v>
      </c>
      <c r="U106" s="33">
        <f t="shared" si="27"/>
        <v>0</v>
      </c>
      <c r="V106" s="33">
        <f t="shared" si="27"/>
        <v>0</v>
      </c>
      <c r="W106" s="33">
        <f t="shared" si="27"/>
        <v>0</v>
      </c>
      <c r="X106" s="33">
        <f t="shared" si="27"/>
        <v>0</v>
      </c>
    </row>
    <row r="107" spans="2:24">
      <c r="B107" s="37" t="str">
        <f>IF(ISBLANK('Środki trwałe'!B366),"",'Środki trwałe'!B366)</f>
        <v/>
      </c>
      <c r="C107" s="33">
        <f ca="1">IF(ISBLANK('Środki trwałe'!D366),"",'Środki trwałe'!D366)</f>
        <v>0</v>
      </c>
      <c r="D107" s="245" t="str">
        <f>IF(ISBLANK('Środki trwałe'!E366),"",'Środki trwałe'!E366)</f>
        <v/>
      </c>
      <c r="E107" s="197">
        <f>IF(AND('Środki trwałe'!F366="tak",'Środki trwałe'!G366="nie"),'Środki trwałe'!H366,0)</f>
        <v>0</v>
      </c>
      <c r="F107" s="94">
        <f>IFERROR(IF(E107=0,0,ROUND(E107*C107,0)),0)</f>
        <v>0</v>
      </c>
      <c r="G107" s="33">
        <f>IF(AND('Środki trwałe'!F366="tak",'Środki trwałe'!G366="tak"),'Środki trwałe'!I366,0)</f>
        <v>0</v>
      </c>
      <c r="H107" s="314"/>
      <c r="I107" s="52"/>
      <c r="J107" s="508" t="str">
        <f>IF(ISBLANK('Środki trwałe'!C366),"",'Środki trwałe'!C366)</f>
        <v/>
      </c>
      <c r="K107" s="33">
        <f t="shared" si="27"/>
        <v>0</v>
      </c>
      <c r="L107" s="33">
        <f t="shared" si="27"/>
        <v>0</v>
      </c>
      <c r="M107" s="33">
        <f t="shared" si="27"/>
        <v>0</v>
      </c>
      <c r="N107" s="33">
        <f t="shared" si="27"/>
        <v>0</v>
      </c>
      <c r="O107" s="33">
        <f t="shared" si="27"/>
        <v>0</v>
      </c>
      <c r="P107" s="33">
        <f t="shared" si="27"/>
        <v>0</v>
      </c>
      <c r="Q107" s="33">
        <f t="shared" si="27"/>
        <v>0</v>
      </c>
      <c r="R107" s="33">
        <f t="shared" si="27"/>
        <v>0</v>
      </c>
      <c r="S107" s="33">
        <f t="shared" si="27"/>
        <v>0</v>
      </c>
      <c r="T107" s="33">
        <f t="shared" si="27"/>
        <v>0</v>
      </c>
      <c r="U107" s="33">
        <f t="shared" si="27"/>
        <v>0</v>
      </c>
      <c r="V107" s="33">
        <f t="shared" si="27"/>
        <v>0</v>
      </c>
      <c r="W107" s="33">
        <f t="shared" si="27"/>
        <v>0</v>
      </c>
      <c r="X107" s="33">
        <f t="shared" si="27"/>
        <v>0</v>
      </c>
    </row>
    <row r="108" spans="2:24">
      <c r="B108" s="37" t="str">
        <f>IF(ISBLANK('Środki trwałe'!B367),"",'Środki trwałe'!B367)</f>
        <v/>
      </c>
      <c r="C108" s="33">
        <f ca="1">IF(ISBLANK('Środki trwałe'!D367),"",'Środki trwałe'!D367)</f>
        <v>0</v>
      </c>
      <c r="D108" s="245" t="str">
        <f>IF(ISBLANK('Środki trwałe'!E367),"",'Środki trwałe'!E367)</f>
        <v/>
      </c>
      <c r="E108" s="197">
        <f>IF(AND('Środki trwałe'!F367="tak",'Środki trwałe'!G367="nie"),'Środki trwałe'!H367,0)</f>
        <v>0</v>
      </c>
      <c r="F108" s="94">
        <f>IFERROR(IF(E108=0,0,ROUND(E108*C108,0)),0)</f>
        <v>0</v>
      </c>
      <c r="G108" s="33">
        <f>IF(AND('Środki trwałe'!F367="tak",'Środki trwałe'!G367="tak"),'Środki trwałe'!I367,0)</f>
        <v>0</v>
      </c>
      <c r="H108" s="314"/>
      <c r="I108" s="52"/>
      <c r="J108" s="508" t="str">
        <f>IF(ISBLANK('Środki trwałe'!C367),"",'Środki trwałe'!C367)</f>
        <v/>
      </c>
      <c r="K108" s="33">
        <f t="shared" si="27"/>
        <v>0</v>
      </c>
      <c r="L108" s="33">
        <f t="shared" si="27"/>
        <v>0</v>
      </c>
      <c r="M108" s="33">
        <f t="shared" si="27"/>
        <v>0</v>
      </c>
      <c r="N108" s="33">
        <f t="shared" si="27"/>
        <v>0</v>
      </c>
      <c r="O108" s="33">
        <f t="shared" si="27"/>
        <v>0</v>
      </c>
      <c r="P108" s="33">
        <f t="shared" si="27"/>
        <v>0</v>
      </c>
      <c r="Q108" s="33">
        <f t="shared" si="27"/>
        <v>0</v>
      </c>
      <c r="R108" s="33">
        <f t="shared" si="27"/>
        <v>0</v>
      </c>
      <c r="S108" s="33">
        <f t="shared" si="27"/>
        <v>0</v>
      </c>
      <c r="T108" s="33">
        <f t="shared" si="27"/>
        <v>0</v>
      </c>
      <c r="U108" s="33">
        <f t="shared" si="27"/>
        <v>0</v>
      </c>
      <c r="V108" s="33">
        <f t="shared" si="27"/>
        <v>0</v>
      </c>
      <c r="W108" s="33">
        <f t="shared" si="27"/>
        <v>0</v>
      </c>
      <c r="X108" s="33">
        <f t="shared" si="27"/>
        <v>0</v>
      </c>
    </row>
    <row r="109" spans="2:24">
      <c r="B109" s="98" t="s">
        <v>335</v>
      </c>
      <c r="C109" s="97">
        <f ca="1">SUM(C94:C108)</f>
        <v>0</v>
      </c>
      <c r="D109" s="199"/>
      <c r="E109" s="96"/>
      <c r="F109" s="97">
        <f>ROUND(SUM(F94:F108),0)</f>
        <v>0</v>
      </c>
      <c r="G109" s="97">
        <f>ROUND(SUM(G94:G108),0)</f>
        <v>0</v>
      </c>
      <c r="H109" s="319"/>
      <c r="I109" s="96"/>
      <c r="J109" s="509"/>
      <c r="K109" s="97">
        <f>ROUND(SUM(K94:K108),0)</f>
        <v>0</v>
      </c>
      <c r="L109" s="97">
        <f t="shared" ref="L109:X109" si="29">ROUND(SUM(L94:L108),0)</f>
        <v>0</v>
      </c>
      <c r="M109" s="97">
        <f t="shared" si="29"/>
        <v>0</v>
      </c>
      <c r="N109" s="97">
        <f t="shared" si="29"/>
        <v>0</v>
      </c>
      <c r="O109" s="97">
        <f t="shared" si="29"/>
        <v>0</v>
      </c>
      <c r="P109" s="97">
        <f t="shared" si="29"/>
        <v>0</v>
      </c>
      <c r="Q109" s="97">
        <f t="shared" si="29"/>
        <v>0</v>
      </c>
      <c r="R109" s="97">
        <f t="shared" si="29"/>
        <v>0</v>
      </c>
      <c r="S109" s="97">
        <f t="shared" si="29"/>
        <v>0</v>
      </c>
      <c r="T109" s="97">
        <f t="shared" si="29"/>
        <v>0</v>
      </c>
      <c r="U109" s="97">
        <f t="shared" si="29"/>
        <v>0</v>
      </c>
      <c r="V109" s="97">
        <f t="shared" si="29"/>
        <v>0</v>
      </c>
      <c r="W109" s="97">
        <f t="shared" si="29"/>
        <v>0</v>
      </c>
      <c r="X109" s="97">
        <f t="shared" si="29"/>
        <v>0</v>
      </c>
    </row>
    <row r="110" spans="2:24">
      <c r="B110" s="103" t="s">
        <v>450</v>
      </c>
      <c r="C110" s="101"/>
      <c r="D110" s="101"/>
      <c r="E110" s="101"/>
      <c r="F110" s="101"/>
      <c r="G110" s="101"/>
      <c r="H110" s="315"/>
      <c r="I110" s="101"/>
      <c r="J110" s="510"/>
      <c r="K110" s="102">
        <f t="shared" ref="K110:X110" ca="1" si="30">ROUND(K617+K624+K631+K638+K680+K687+K694+K701+K708+K715+K645+K652+K659+K666+K673,0)</f>
        <v>0</v>
      </c>
      <c r="L110" s="102">
        <f t="shared" ca="1" si="30"/>
        <v>0</v>
      </c>
      <c r="M110" s="102">
        <f t="shared" ca="1" si="30"/>
        <v>0</v>
      </c>
      <c r="N110" s="102">
        <f t="shared" ca="1" si="30"/>
        <v>0</v>
      </c>
      <c r="O110" s="102">
        <f t="shared" ca="1" si="30"/>
        <v>0</v>
      </c>
      <c r="P110" s="102">
        <f t="shared" ca="1" si="30"/>
        <v>0</v>
      </c>
      <c r="Q110" s="102">
        <f t="shared" ca="1" si="30"/>
        <v>0</v>
      </c>
      <c r="R110" s="102">
        <f t="shared" ca="1" si="30"/>
        <v>0</v>
      </c>
      <c r="S110" s="102">
        <f t="shared" ca="1" si="30"/>
        <v>0</v>
      </c>
      <c r="T110" s="102">
        <f t="shared" ca="1" si="30"/>
        <v>0</v>
      </c>
      <c r="U110" s="102">
        <f t="shared" ca="1" si="30"/>
        <v>0</v>
      </c>
      <c r="V110" s="102">
        <f t="shared" ca="1" si="30"/>
        <v>0</v>
      </c>
      <c r="W110" s="102">
        <f t="shared" ca="1" si="30"/>
        <v>0</v>
      </c>
      <c r="X110" s="102">
        <f t="shared" ca="1" si="30"/>
        <v>0</v>
      </c>
    </row>
    <row r="111" spans="2:24">
      <c r="B111" s="37" t="s">
        <v>451</v>
      </c>
      <c r="C111" s="52"/>
      <c r="D111" s="52"/>
      <c r="E111" s="52"/>
      <c r="F111" s="52"/>
      <c r="G111" s="52"/>
      <c r="H111" s="314"/>
      <c r="I111" s="52"/>
      <c r="J111" s="511"/>
      <c r="K111" s="33">
        <f t="shared" ref="K111:X111" ca="1" si="31">ROUND(K618+K625+K632+K639+K681+K688+K695+K702+K709+K716+K646+K653+K660+K667+K674,0)</f>
        <v>0</v>
      </c>
      <c r="L111" s="33">
        <f t="shared" ca="1" si="31"/>
        <v>0</v>
      </c>
      <c r="M111" s="33">
        <f t="shared" ca="1" si="31"/>
        <v>0</v>
      </c>
      <c r="N111" s="33">
        <f t="shared" ca="1" si="31"/>
        <v>0</v>
      </c>
      <c r="O111" s="33">
        <f t="shared" ca="1" si="31"/>
        <v>0</v>
      </c>
      <c r="P111" s="33">
        <f t="shared" ca="1" si="31"/>
        <v>0</v>
      </c>
      <c r="Q111" s="33">
        <f t="shared" ca="1" si="31"/>
        <v>0</v>
      </c>
      <c r="R111" s="33">
        <f t="shared" ca="1" si="31"/>
        <v>0</v>
      </c>
      <c r="S111" s="33">
        <f t="shared" ca="1" si="31"/>
        <v>0</v>
      </c>
      <c r="T111" s="33">
        <f t="shared" ca="1" si="31"/>
        <v>0</v>
      </c>
      <c r="U111" s="33">
        <f t="shared" ca="1" si="31"/>
        <v>0</v>
      </c>
      <c r="V111" s="33">
        <f t="shared" ca="1" si="31"/>
        <v>0</v>
      </c>
      <c r="W111" s="33">
        <f t="shared" ca="1" si="31"/>
        <v>0</v>
      </c>
      <c r="X111" s="33">
        <f t="shared" ca="1" si="31"/>
        <v>0</v>
      </c>
    </row>
    <row r="112" spans="2:24">
      <c r="B112" s="105" t="s">
        <v>452</v>
      </c>
      <c r="C112" s="105"/>
      <c r="D112" s="105"/>
      <c r="E112" s="105"/>
      <c r="F112" s="105"/>
      <c r="G112" s="105"/>
      <c r="H112" s="323"/>
      <c r="I112" s="105"/>
      <c r="J112" s="512"/>
      <c r="K112" s="106">
        <f>'Środki trwałe'!K406</f>
        <v>0</v>
      </c>
      <c r="L112" s="106">
        <f>'Środki trwałe'!L406</f>
        <v>0</v>
      </c>
      <c r="M112" s="106">
        <f>'Środki trwałe'!M406</f>
        <v>0</v>
      </c>
      <c r="N112" s="106">
        <f>'Środki trwałe'!N406</f>
        <v>0</v>
      </c>
      <c r="O112" s="106">
        <f>'Środki trwałe'!O406</f>
        <v>0</v>
      </c>
      <c r="P112" s="106">
        <f>'Środki trwałe'!P406</f>
        <v>0</v>
      </c>
      <c r="Q112" s="106">
        <f>'Środki trwałe'!Q406</f>
        <v>0</v>
      </c>
      <c r="R112" s="106">
        <f>'Środki trwałe'!R406</f>
        <v>0</v>
      </c>
      <c r="S112" s="106">
        <f>'Środki trwałe'!S406</f>
        <v>0</v>
      </c>
      <c r="T112" s="106">
        <f>'Środki trwałe'!T406</f>
        <v>0</v>
      </c>
      <c r="U112" s="106">
        <f>'Środki trwałe'!U406</f>
        <v>0</v>
      </c>
      <c r="V112" s="106">
        <f>'Środki trwałe'!V406</f>
        <v>0</v>
      </c>
      <c r="W112" s="106">
        <f>'Środki trwałe'!W406</f>
        <v>0</v>
      </c>
      <c r="X112" s="106">
        <f>'Środki trwałe'!X406</f>
        <v>0</v>
      </c>
    </row>
    <row r="113" spans="1:24">
      <c r="B113" s="200" t="s">
        <v>453</v>
      </c>
      <c r="C113" s="52"/>
      <c r="D113" s="52"/>
      <c r="E113" s="52"/>
      <c r="F113" s="52"/>
      <c r="G113" s="52"/>
      <c r="H113" s="314"/>
      <c r="I113" s="52"/>
      <c r="J113" s="511"/>
      <c r="K113" s="86">
        <f t="shared" ref="K113:X113" ca="1" si="32">ROUND(K619+K626+K633+K640+K682+K689+K696+K703+K710+K717+K647+K654+K661+K675+K668,0)</f>
        <v>0</v>
      </c>
      <c r="L113" s="86">
        <f t="shared" ca="1" si="32"/>
        <v>0</v>
      </c>
      <c r="M113" s="86">
        <f t="shared" ca="1" si="32"/>
        <v>0</v>
      </c>
      <c r="N113" s="86">
        <f t="shared" ca="1" si="32"/>
        <v>0</v>
      </c>
      <c r="O113" s="86">
        <f t="shared" ca="1" si="32"/>
        <v>0</v>
      </c>
      <c r="P113" s="86">
        <f t="shared" ca="1" si="32"/>
        <v>0</v>
      </c>
      <c r="Q113" s="86">
        <f t="shared" ca="1" si="32"/>
        <v>0</v>
      </c>
      <c r="R113" s="86">
        <f t="shared" ca="1" si="32"/>
        <v>0</v>
      </c>
      <c r="S113" s="86">
        <f t="shared" ca="1" si="32"/>
        <v>0</v>
      </c>
      <c r="T113" s="86">
        <f t="shared" ca="1" si="32"/>
        <v>0</v>
      </c>
      <c r="U113" s="86">
        <f t="shared" ca="1" si="32"/>
        <v>0</v>
      </c>
      <c r="V113" s="86">
        <f t="shared" ca="1" si="32"/>
        <v>0</v>
      </c>
      <c r="W113" s="86">
        <f t="shared" ca="1" si="32"/>
        <v>0</v>
      </c>
      <c r="X113" s="86">
        <f t="shared" ca="1" si="32"/>
        <v>0</v>
      </c>
    </row>
    <row r="114" spans="1:24">
      <c r="J114" s="514"/>
    </row>
    <row r="115" spans="1:24" customFormat="1">
      <c r="A115" s="1"/>
      <c r="J115" s="495"/>
    </row>
    <row r="116" spans="1:24" ht="21">
      <c r="B116" s="227" t="s">
        <v>391</v>
      </c>
      <c r="C116" s="228" t="s">
        <v>406</v>
      </c>
      <c r="D116" s="229" t="s">
        <v>421</v>
      </c>
      <c r="E116" s="229" t="s">
        <v>408</v>
      </c>
      <c r="F116" s="229" t="s">
        <v>409</v>
      </c>
      <c r="G116" s="229" t="s">
        <v>449</v>
      </c>
      <c r="H116" s="311"/>
      <c r="I116" s="230"/>
      <c r="J116" s="513"/>
      <c r="K116" s="231" t="str">
        <f t="shared" ref="K116:X116" si="33">LataProjekcji</f>
        <v>Uzupełnij dane</v>
      </c>
      <c r="L116" s="231" t="str">
        <f t="shared" si="33"/>
        <v/>
      </c>
      <c r="M116" s="231" t="str">
        <f t="shared" si="33"/>
        <v/>
      </c>
      <c r="N116" s="231" t="str">
        <f t="shared" si="33"/>
        <v/>
      </c>
      <c r="O116" s="231" t="str">
        <f t="shared" si="33"/>
        <v/>
      </c>
      <c r="P116" s="231" t="str">
        <f t="shared" si="33"/>
        <v/>
      </c>
      <c r="Q116" s="231" t="str">
        <f t="shared" si="33"/>
        <v/>
      </c>
      <c r="R116" s="231" t="str">
        <f t="shared" si="33"/>
        <v/>
      </c>
      <c r="S116" s="231" t="str">
        <f t="shared" si="33"/>
        <v/>
      </c>
      <c r="T116" s="231" t="str">
        <f t="shared" si="33"/>
        <v/>
      </c>
      <c r="U116" s="231" t="str">
        <f t="shared" si="33"/>
        <v/>
      </c>
      <c r="V116" s="231" t="str">
        <f t="shared" si="33"/>
        <v/>
      </c>
      <c r="W116" s="231" t="str">
        <f t="shared" si="33"/>
        <v/>
      </c>
      <c r="X116" s="231" t="str">
        <f t="shared" si="33"/>
        <v/>
      </c>
    </row>
    <row r="117" spans="1:24">
      <c r="B117" s="103" t="str">
        <f>IF(ISBLANK('Środki trwałe'!B418),"",'Środki trwałe'!B418)</f>
        <v/>
      </c>
      <c r="C117" s="102" t="str">
        <f>IF(ISBLANK('Środki trwałe'!D418),"",'Środki trwałe'!D418)</f>
        <v/>
      </c>
      <c r="D117" s="245" t="str">
        <f>IF(ISBLANK('Środki trwałe'!E418),"",'Środki trwałe'!E418)</f>
        <v/>
      </c>
      <c r="E117" s="197">
        <f>IF(AND('Środki trwałe'!F418="tak",'Środki trwałe'!G418="nie"),'Środki trwałe'!H418,0)</f>
        <v>0</v>
      </c>
      <c r="F117" s="94">
        <f>IFERROR(IF(E117=0,0,ROUND(E117*C117,0)),0)</f>
        <v>0</v>
      </c>
      <c r="G117" s="102">
        <f>IF(AND('Środki trwałe'!F418="tak",'Środki trwałe'!G418="tak"),'Środki trwałe'!I418,0)</f>
        <v>0</v>
      </c>
      <c r="H117" s="315"/>
      <c r="I117" s="101"/>
      <c r="J117" s="515" t="str">
        <f>IF(ISBLANK('Środki trwałe'!C418),"",'Środki trwałe'!C418)</f>
        <v/>
      </c>
      <c r="K117" s="102">
        <f t="shared" ref="K117:X128" si="34">IFERROR(ROUND(IF(AND(YEAR($D117)=LataProjekcji,$F117&gt;0),$F117,0),0),0)</f>
        <v>0</v>
      </c>
      <c r="L117" s="102">
        <f t="shared" si="34"/>
        <v>0</v>
      </c>
      <c r="M117" s="102">
        <f t="shared" si="34"/>
        <v>0</v>
      </c>
      <c r="N117" s="102">
        <f t="shared" si="34"/>
        <v>0</v>
      </c>
      <c r="O117" s="102">
        <f t="shared" si="34"/>
        <v>0</v>
      </c>
      <c r="P117" s="102">
        <f t="shared" si="34"/>
        <v>0</v>
      </c>
      <c r="Q117" s="102">
        <f t="shared" si="34"/>
        <v>0</v>
      </c>
      <c r="R117" s="102">
        <f t="shared" si="34"/>
        <v>0</v>
      </c>
      <c r="S117" s="102">
        <f t="shared" si="34"/>
        <v>0</v>
      </c>
      <c r="T117" s="102">
        <f t="shared" si="34"/>
        <v>0</v>
      </c>
      <c r="U117" s="102">
        <f t="shared" si="34"/>
        <v>0</v>
      </c>
      <c r="V117" s="102">
        <f t="shared" si="34"/>
        <v>0</v>
      </c>
      <c r="W117" s="102">
        <f t="shared" si="34"/>
        <v>0</v>
      </c>
      <c r="X117" s="102">
        <f t="shared" si="34"/>
        <v>0</v>
      </c>
    </row>
    <row r="118" spans="1:24">
      <c r="B118" s="37" t="str">
        <f>IF(ISBLANK('Środki trwałe'!B419),"",'Środki trwałe'!B419)</f>
        <v/>
      </c>
      <c r="C118" s="33" t="str">
        <f>IF(ISBLANK('Środki trwałe'!D419),"",'Środki trwałe'!D419)</f>
        <v/>
      </c>
      <c r="D118" s="245" t="str">
        <f>IF(ISBLANK('Środki trwałe'!E419),"",'Środki trwałe'!E419)</f>
        <v/>
      </c>
      <c r="E118" s="73">
        <f>IF(AND('Środki trwałe'!F419="tak",'Środki trwałe'!G419="nie"),'Środki trwałe'!H419,0)</f>
        <v>0</v>
      </c>
      <c r="F118" s="94">
        <f>IFERROR(IF(E118=0,0,ROUND(E118*C118,0)),0)</f>
        <v>0</v>
      </c>
      <c r="G118" s="33">
        <f>IF(AND('Środki trwałe'!F419="tak",'Środki trwałe'!G419="tak"),'Środki trwałe'!I419,0)</f>
        <v>0</v>
      </c>
      <c r="H118" s="314"/>
      <c r="I118" s="52"/>
      <c r="J118" s="508" t="str">
        <f>IF(ISBLANK('Środki trwałe'!C419),"",'Środki trwałe'!C419)</f>
        <v/>
      </c>
      <c r="K118" s="33">
        <f t="shared" si="34"/>
        <v>0</v>
      </c>
      <c r="L118" s="33">
        <f t="shared" si="34"/>
        <v>0</v>
      </c>
      <c r="M118" s="33">
        <f t="shared" si="34"/>
        <v>0</v>
      </c>
      <c r="N118" s="33">
        <f t="shared" si="34"/>
        <v>0</v>
      </c>
      <c r="O118" s="33">
        <f t="shared" si="34"/>
        <v>0</v>
      </c>
      <c r="P118" s="33">
        <f t="shared" si="34"/>
        <v>0</v>
      </c>
      <c r="Q118" s="33">
        <f t="shared" si="34"/>
        <v>0</v>
      </c>
      <c r="R118" s="33">
        <f t="shared" si="34"/>
        <v>0</v>
      </c>
      <c r="S118" s="33">
        <f t="shared" si="34"/>
        <v>0</v>
      </c>
      <c r="T118" s="33">
        <f t="shared" si="34"/>
        <v>0</v>
      </c>
      <c r="U118" s="33">
        <f t="shared" si="34"/>
        <v>0</v>
      </c>
      <c r="V118" s="33">
        <f t="shared" si="34"/>
        <v>0</v>
      </c>
      <c r="W118" s="33">
        <f t="shared" si="34"/>
        <v>0</v>
      </c>
      <c r="X118" s="33">
        <f t="shared" si="34"/>
        <v>0</v>
      </c>
    </row>
    <row r="119" spans="1:24">
      <c r="B119" s="37" t="str">
        <f>IF(ISBLANK('Środki trwałe'!B420),"",'Środki trwałe'!B420)</f>
        <v/>
      </c>
      <c r="C119" s="33" t="str">
        <f>IF(ISBLANK('Środki trwałe'!D420),"",'Środki trwałe'!D420)</f>
        <v/>
      </c>
      <c r="D119" s="245" t="str">
        <f>IF(ISBLANK('Środki trwałe'!E420),"",'Środki trwałe'!E420)</f>
        <v/>
      </c>
      <c r="E119" s="73">
        <f>IF(AND('Środki trwałe'!F420="tak",'Środki trwałe'!G420="nie"),'Środki trwałe'!H420,0)</f>
        <v>0</v>
      </c>
      <c r="F119" s="94">
        <f>IFERROR(IF(E119=0,0,ROUND(E119*C119,0)),0)</f>
        <v>0</v>
      </c>
      <c r="G119" s="33">
        <f>IF(AND('Środki trwałe'!F420="tak",'Środki trwałe'!G420="tak"),'Środki trwałe'!I420,0)</f>
        <v>0</v>
      </c>
      <c r="H119" s="314"/>
      <c r="I119" s="52"/>
      <c r="J119" s="508" t="str">
        <f>IF(ISBLANK('Środki trwałe'!C420),"",'Środki trwałe'!C420)</f>
        <v/>
      </c>
      <c r="K119" s="33">
        <f t="shared" si="34"/>
        <v>0</v>
      </c>
      <c r="L119" s="33">
        <f t="shared" si="34"/>
        <v>0</v>
      </c>
      <c r="M119" s="33">
        <f t="shared" si="34"/>
        <v>0</v>
      </c>
      <c r="N119" s="33">
        <f t="shared" si="34"/>
        <v>0</v>
      </c>
      <c r="O119" s="33">
        <f t="shared" si="34"/>
        <v>0</v>
      </c>
      <c r="P119" s="33">
        <f t="shared" si="34"/>
        <v>0</v>
      </c>
      <c r="Q119" s="33">
        <f t="shared" si="34"/>
        <v>0</v>
      </c>
      <c r="R119" s="33">
        <f t="shared" si="34"/>
        <v>0</v>
      </c>
      <c r="S119" s="33">
        <f t="shared" si="34"/>
        <v>0</v>
      </c>
      <c r="T119" s="33">
        <f t="shared" si="34"/>
        <v>0</v>
      </c>
      <c r="U119" s="33">
        <f t="shared" si="34"/>
        <v>0</v>
      </c>
      <c r="V119" s="33">
        <f t="shared" si="34"/>
        <v>0</v>
      </c>
      <c r="W119" s="33">
        <f t="shared" si="34"/>
        <v>0</v>
      </c>
      <c r="X119" s="33">
        <f t="shared" si="34"/>
        <v>0</v>
      </c>
    </row>
    <row r="120" spans="1:24">
      <c r="B120" s="37" t="str">
        <f>IF(ISBLANK('Środki trwałe'!B421),"",'Środki trwałe'!B421)</f>
        <v/>
      </c>
      <c r="C120" s="33" t="str">
        <f>IF(ISBLANK('Środki trwałe'!D421),"",'Środki trwałe'!D421)</f>
        <v/>
      </c>
      <c r="D120" s="245" t="str">
        <f>IF(ISBLANK('Środki trwałe'!E421),"",'Środki trwałe'!E421)</f>
        <v/>
      </c>
      <c r="E120" s="73">
        <f>IF(AND('Środki trwałe'!F421="tak",'Środki trwałe'!G421="nie"),'Środki trwałe'!H421,0)</f>
        <v>0</v>
      </c>
      <c r="F120" s="94">
        <f>IFERROR(IF(E120=0,0,ROUND(E120*C120,0)),0)</f>
        <v>0</v>
      </c>
      <c r="G120" s="33">
        <f>IF(AND('Środki trwałe'!F421="tak",'Środki trwałe'!G421="tak"),'Środki trwałe'!I421,0)</f>
        <v>0</v>
      </c>
      <c r="H120" s="314"/>
      <c r="I120" s="52"/>
      <c r="J120" s="508" t="str">
        <f>IF(ISBLANK('Środki trwałe'!C421),"",'Środki trwałe'!C421)</f>
        <v/>
      </c>
      <c r="K120" s="33">
        <f t="shared" si="34"/>
        <v>0</v>
      </c>
      <c r="L120" s="33">
        <f t="shared" si="34"/>
        <v>0</v>
      </c>
      <c r="M120" s="33">
        <f t="shared" si="34"/>
        <v>0</v>
      </c>
      <c r="N120" s="33">
        <f t="shared" si="34"/>
        <v>0</v>
      </c>
      <c r="O120" s="33">
        <f t="shared" si="34"/>
        <v>0</v>
      </c>
      <c r="P120" s="33">
        <f t="shared" si="34"/>
        <v>0</v>
      </c>
      <c r="Q120" s="33">
        <f t="shared" si="34"/>
        <v>0</v>
      </c>
      <c r="R120" s="33">
        <f t="shared" si="34"/>
        <v>0</v>
      </c>
      <c r="S120" s="33">
        <f t="shared" si="34"/>
        <v>0</v>
      </c>
      <c r="T120" s="33">
        <f t="shared" si="34"/>
        <v>0</v>
      </c>
      <c r="U120" s="33">
        <f t="shared" si="34"/>
        <v>0</v>
      </c>
      <c r="V120" s="33">
        <f t="shared" si="34"/>
        <v>0</v>
      </c>
      <c r="W120" s="33">
        <f t="shared" si="34"/>
        <v>0</v>
      </c>
      <c r="X120" s="33">
        <f t="shared" si="34"/>
        <v>0</v>
      </c>
    </row>
    <row r="121" spans="1:24">
      <c r="B121" s="37" t="str">
        <f>IF(ISBLANK('Środki trwałe'!B422),"",'Środki trwałe'!B422)</f>
        <v/>
      </c>
      <c r="C121" s="33" t="str">
        <f>IF(ISBLANK('Środki trwałe'!D422),"",'Środki trwałe'!D422)</f>
        <v/>
      </c>
      <c r="D121" s="245" t="str">
        <f>IF(ISBLANK('Środki trwałe'!E422),"",'Środki trwałe'!E422)</f>
        <v/>
      </c>
      <c r="E121" s="73">
        <f>IF(AND('Środki trwałe'!F422="tak",'Środki trwałe'!G422="nie"),'Środki trwałe'!H422,0)</f>
        <v>0</v>
      </c>
      <c r="F121" s="94">
        <f t="shared" ref="F121:F155" si="35">IFERROR(IF(E121=0,0,ROUND(E121*C121,0)),0)</f>
        <v>0</v>
      </c>
      <c r="G121" s="33">
        <f>IF(AND('Środki trwałe'!F422="tak",'Środki trwałe'!G422="tak"),'Środki trwałe'!I422,0)</f>
        <v>0</v>
      </c>
      <c r="H121" s="314"/>
      <c r="I121" s="52"/>
      <c r="J121" s="508" t="str">
        <f>IF(ISBLANK('Środki trwałe'!C422),"",'Środki trwałe'!C422)</f>
        <v/>
      </c>
      <c r="K121" s="33">
        <f t="shared" si="34"/>
        <v>0</v>
      </c>
      <c r="L121" s="33">
        <f t="shared" si="34"/>
        <v>0</v>
      </c>
      <c r="M121" s="33">
        <f t="shared" si="34"/>
        <v>0</v>
      </c>
      <c r="N121" s="33">
        <f t="shared" si="34"/>
        <v>0</v>
      </c>
      <c r="O121" s="33">
        <f t="shared" si="34"/>
        <v>0</v>
      </c>
      <c r="P121" s="33">
        <f t="shared" si="34"/>
        <v>0</v>
      </c>
      <c r="Q121" s="33">
        <f t="shared" si="34"/>
        <v>0</v>
      </c>
      <c r="R121" s="33">
        <f t="shared" si="34"/>
        <v>0</v>
      </c>
      <c r="S121" s="33">
        <f t="shared" si="34"/>
        <v>0</v>
      </c>
      <c r="T121" s="33">
        <f t="shared" si="34"/>
        <v>0</v>
      </c>
      <c r="U121" s="33">
        <f t="shared" si="34"/>
        <v>0</v>
      </c>
      <c r="V121" s="33">
        <f t="shared" si="34"/>
        <v>0</v>
      </c>
      <c r="W121" s="33">
        <f t="shared" si="34"/>
        <v>0</v>
      </c>
      <c r="X121" s="33">
        <f t="shared" si="34"/>
        <v>0</v>
      </c>
    </row>
    <row r="122" spans="1:24">
      <c r="B122" s="37" t="str">
        <f>IF(ISBLANK('Środki trwałe'!B423),"",'Środki trwałe'!B423)</f>
        <v/>
      </c>
      <c r="C122" s="33" t="str">
        <f>IF(ISBLANK('Środki trwałe'!D423),"",'Środki trwałe'!D423)</f>
        <v/>
      </c>
      <c r="D122" s="245" t="str">
        <f>IF(ISBLANK('Środki trwałe'!E423),"",'Środki trwałe'!E423)</f>
        <v/>
      </c>
      <c r="E122" s="73">
        <f>IF(AND('Środki trwałe'!F423="tak",'Środki trwałe'!G423="nie"),'Środki trwałe'!H423,0)</f>
        <v>0</v>
      </c>
      <c r="F122" s="94">
        <f t="shared" si="35"/>
        <v>0</v>
      </c>
      <c r="G122" s="33">
        <f>IF(AND('Środki trwałe'!F423="tak",'Środki trwałe'!G423="tak"),'Środki trwałe'!I423,0)</f>
        <v>0</v>
      </c>
      <c r="H122" s="314"/>
      <c r="I122" s="52"/>
      <c r="J122" s="508" t="str">
        <f>IF(ISBLANK('Środki trwałe'!C423),"",'Środki trwałe'!C423)</f>
        <v/>
      </c>
      <c r="K122" s="33">
        <f t="shared" si="34"/>
        <v>0</v>
      </c>
      <c r="L122" s="33">
        <f t="shared" si="34"/>
        <v>0</v>
      </c>
      <c r="M122" s="33">
        <f t="shared" si="34"/>
        <v>0</v>
      </c>
      <c r="N122" s="33">
        <f t="shared" si="34"/>
        <v>0</v>
      </c>
      <c r="O122" s="33">
        <f t="shared" si="34"/>
        <v>0</v>
      </c>
      <c r="P122" s="33">
        <f t="shared" si="34"/>
        <v>0</v>
      </c>
      <c r="Q122" s="33">
        <f t="shared" si="34"/>
        <v>0</v>
      </c>
      <c r="R122" s="33">
        <f t="shared" si="34"/>
        <v>0</v>
      </c>
      <c r="S122" s="33">
        <f t="shared" si="34"/>
        <v>0</v>
      </c>
      <c r="T122" s="33">
        <f t="shared" si="34"/>
        <v>0</v>
      </c>
      <c r="U122" s="33">
        <f t="shared" si="34"/>
        <v>0</v>
      </c>
      <c r="V122" s="33">
        <f t="shared" si="34"/>
        <v>0</v>
      </c>
      <c r="W122" s="33">
        <f t="shared" si="34"/>
        <v>0</v>
      </c>
      <c r="X122" s="33">
        <f t="shared" si="34"/>
        <v>0</v>
      </c>
    </row>
    <row r="123" spans="1:24">
      <c r="B123" s="37" t="str">
        <f>IF(ISBLANK('Środki trwałe'!B424),"",'Środki trwałe'!B424)</f>
        <v/>
      </c>
      <c r="C123" s="33" t="str">
        <f>IF(ISBLANK('Środki trwałe'!D424),"",'Środki trwałe'!D424)</f>
        <v/>
      </c>
      <c r="D123" s="245" t="str">
        <f>IF(ISBLANK('Środki trwałe'!E424),"",'Środki trwałe'!E424)</f>
        <v/>
      </c>
      <c r="E123" s="73">
        <f>IF(AND('Środki trwałe'!F424="tak",'Środki trwałe'!G424="nie"),'Środki trwałe'!H424,0)</f>
        <v>0</v>
      </c>
      <c r="F123" s="94">
        <f t="shared" si="35"/>
        <v>0</v>
      </c>
      <c r="G123" s="33">
        <f>IF(AND('Środki trwałe'!F424="tak",'Środki trwałe'!G424="tak"),'Środki trwałe'!I424,0)</f>
        <v>0</v>
      </c>
      <c r="H123" s="314"/>
      <c r="I123" s="52"/>
      <c r="J123" s="508" t="str">
        <f>IF(ISBLANK('Środki trwałe'!C424),"",'Środki trwałe'!C424)</f>
        <v/>
      </c>
      <c r="K123" s="33">
        <f t="shared" si="34"/>
        <v>0</v>
      </c>
      <c r="L123" s="33">
        <f t="shared" si="34"/>
        <v>0</v>
      </c>
      <c r="M123" s="33">
        <f t="shared" si="34"/>
        <v>0</v>
      </c>
      <c r="N123" s="33">
        <f t="shared" si="34"/>
        <v>0</v>
      </c>
      <c r="O123" s="33">
        <f t="shared" si="34"/>
        <v>0</v>
      </c>
      <c r="P123" s="33">
        <f t="shared" si="34"/>
        <v>0</v>
      </c>
      <c r="Q123" s="33">
        <f t="shared" si="34"/>
        <v>0</v>
      </c>
      <c r="R123" s="33">
        <f t="shared" si="34"/>
        <v>0</v>
      </c>
      <c r="S123" s="33">
        <f t="shared" si="34"/>
        <v>0</v>
      </c>
      <c r="T123" s="33">
        <f t="shared" si="34"/>
        <v>0</v>
      </c>
      <c r="U123" s="33">
        <f t="shared" si="34"/>
        <v>0</v>
      </c>
      <c r="V123" s="33">
        <f t="shared" si="34"/>
        <v>0</v>
      </c>
      <c r="W123" s="33">
        <f t="shared" si="34"/>
        <v>0</v>
      </c>
      <c r="X123" s="33">
        <f t="shared" si="34"/>
        <v>0</v>
      </c>
    </row>
    <row r="124" spans="1:24">
      <c r="B124" s="37" t="str">
        <f>IF(ISBLANK('Środki trwałe'!B425),"",'Środki trwałe'!B425)</f>
        <v/>
      </c>
      <c r="C124" s="33" t="str">
        <f>IF(ISBLANK('Środki trwałe'!D425),"",'Środki trwałe'!D425)</f>
        <v/>
      </c>
      <c r="D124" s="245" t="str">
        <f>IF(ISBLANK('Środki trwałe'!E425),"",'Środki trwałe'!E425)</f>
        <v/>
      </c>
      <c r="E124" s="73">
        <f>IF(AND('Środki trwałe'!F425="tak",'Środki trwałe'!G425="nie"),'Środki trwałe'!H425,0)</f>
        <v>0</v>
      </c>
      <c r="F124" s="94">
        <f t="shared" si="35"/>
        <v>0</v>
      </c>
      <c r="G124" s="33">
        <f>IF(AND('Środki trwałe'!F425="tak",'Środki trwałe'!G425="tak"),'Środki trwałe'!I425,0)</f>
        <v>0</v>
      </c>
      <c r="H124" s="314"/>
      <c r="I124" s="52"/>
      <c r="J124" s="508" t="str">
        <f>IF(ISBLANK('Środki trwałe'!C425),"",'Środki trwałe'!C425)</f>
        <v/>
      </c>
      <c r="K124" s="33">
        <f t="shared" si="34"/>
        <v>0</v>
      </c>
      <c r="L124" s="33">
        <f t="shared" si="34"/>
        <v>0</v>
      </c>
      <c r="M124" s="33">
        <f t="shared" si="34"/>
        <v>0</v>
      </c>
      <c r="N124" s="33">
        <f t="shared" si="34"/>
        <v>0</v>
      </c>
      <c r="O124" s="33">
        <f t="shared" si="34"/>
        <v>0</v>
      </c>
      <c r="P124" s="33">
        <f t="shared" si="34"/>
        <v>0</v>
      </c>
      <c r="Q124" s="33">
        <f t="shared" si="34"/>
        <v>0</v>
      </c>
      <c r="R124" s="33">
        <f t="shared" si="34"/>
        <v>0</v>
      </c>
      <c r="S124" s="33">
        <f t="shared" si="34"/>
        <v>0</v>
      </c>
      <c r="T124" s="33">
        <f t="shared" si="34"/>
        <v>0</v>
      </c>
      <c r="U124" s="33">
        <f t="shared" si="34"/>
        <v>0</v>
      </c>
      <c r="V124" s="33">
        <f t="shared" si="34"/>
        <v>0</v>
      </c>
      <c r="W124" s="33">
        <f t="shared" si="34"/>
        <v>0</v>
      </c>
      <c r="X124" s="33">
        <f t="shared" si="34"/>
        <v>0</v>
      </c>
    </row>
    <row r="125" spans="1:24">
      <c r="B125" s="37" t="str">
        <f>IF(ISBLANK('Środki trwałe'!B426),"",'Środki trwałe'!B426)</f>
        <v/>
      </c>
      <c r="C125" s="33" t="str">
        <f>IF(ISBLANK('Środki trwałe'!D426),"",'Środki trwałe'!D426)</f>
        <v/>
      </c>
      <c r="D125" s="245" t="str">
        <f>IF(ISBLANK('Środki trwałe'!E426),"",'Środki trwałe'!E426)</f>
        <v/>
      </c>
      <c r="E125" s="73">
        <f>IF(AND('Środki trwałe'!F426="tak",'Środki trwałe'!G426="nie"),'Środki trwałe'!H426,0)</f>
        <v>0</v>
      </c>
      <c r="F125" s="94">
        <f t="shared" si="35"/>
        <v>0</v>
      </c>
      <c r="G125" s="33">
        <f>IF(AND('Środki trwałe'!F426="tak",'Środki trwałe'!G426="tak"),'Środki trwałe'!I426,0)</f>
        <v>0</v>
      </c>
      <c r="H125" s="314"/>
      <c r="I125" s="52"/>
      <c r="J125" s="508" t="str">
        <f>IF(ISBLANK('Środki trwałe'!C426),"",'Środki trwałe'!C426)</f>
        <v/>
      </c>
      <c r="K125" s="33">
        <f t="shared" si="34"/>
        <v>0</v>
      </c>
      <c r="L125" s="33">
        <f t="shared" si="34"/>
        <v>0</v>
      </c>
      <c r="M125" s="33">
        <f t="shared" si="34"/>
        <v>0</v>
      </c>
      <c r="N125" s="33">
        <f t="shared" si="34"/>
        <v>0</v>
      </c>
      <c r="O125" s="33">
        <f t="shared" si="34"/>
        <v>0</v>
      </c>
      <c r="P125" s="33">
        <f t="shared" si="34"/>
        <v>0</v>
      </c>
      <c r="Q125" s="33">
        <f t="shared" si="34"/>
        <v>0</v>
      </c>
      <c r="R125" s="33">
        <f t="shared" si="34"/>
        <v>0</v>
      </c>
      <c r="S125" s="33">
        <f t="shared" si="34"/>
        <v>0</v>
      </c>
      <c r="T125" s="33">
        <f t="shared" si="34"/>
        <v>0</v>
      </c>
      <c r="U125" s="33">
        <f t="shared" si="34"/>
        <v>0</v>
      </c>
      <c r="V125" s="33">
        <f t="shared" si="34"/>
        <v>0</v>
      </c>
      <c r="W125" s="33">
        <f t="shared" si="34"/>
        <v>0</v>
      </c>
      <c r="X125" s="33">
        <f t="shared" si="34"/>
        <v>0</v>
      </c>
    </row>
    <row r="126" spans="1:24">
      <c r="B126" s="37" t="str">
        <f>IF(ISBLANK('Środki trwałe'!B427),"",'Środki trwałe'!B427)</f>
        <v/>
      </c>
      <c r="C126" s="33" t="str">
        <f>IF(ISBLANK('Środki trwałe'!D427),"",'Środki trwałe'!D427)</f>
        <v/>
      </c>
      <c r="D126" s="245" t="str">
        <f>IF(ISBLANK('Środki trwałe'!E427),"",'Środki trwałe'!E427)</f>
        <v/>
      </c>
      <c r="E126" s="73">
        <f>IF(AND('Środki trwałe'!F427="tak",'Środki trwałe'!G427="nie"),'Środki trwałe'!H427,0)</f>
        <v>0</v>
      </c>
      <c r="F126" s="94">
        <f t="shared" si="35"/>
        <v>0</v>
      </c>
      <c r="G126" s="33">
        <f>IF(AND('Środki trwałe'!F427="tak",'Środki trwałe'!G427="tak"),'Środki trwałe'!I427,0)</f>
        <v>0</v>
      </c>
      <c r="H126" s="314"/>
      <c r="I126" s="52"/>
      <c r="J126" s="508" t="str">
        <f>IF(ISBLANK('Środki trwałe'!C427),"",'Środki trwałe'!C427)</f>
        <v/>
      </c>
      <c r="K126" s="33">
        <f t="shared" si="34"/>
        <v>0</v>
      </c>
      <c r="L126" s="33">
        <f t="shared" si="34"/>
        <v>0</v>
      </c>
      <c r="M126" s="33">
        <f t="shared" si="34"/>
        <v>0</v>
      </c>
      <c r="N126" s="33">
        <f t="shared" si="34"/>
        <v>0</v>
      </c>
      <c r="O126" s="33">
        <f t="shared" si="34"/>
        <v>0</v>
      </c>
      <c r="P126" s="33">
        <f t="shared" si="34"/>
        <v>0</v>
      </c>
      <c r="Q126" s="33">
        <f t="shared" si="34"/>
        <v>0</v>
      </c>
      <c r="R126" s="33">
        <f t="shared" si="34"/>
        <v>0</v>
      </c>
      <c r="S126" s="33">
        <f t="shared" si="34"/>
        <v>0</v>
      </c>
      <c r="T126" s="33">
        <f t="shared" si="34"/>
        <v>0</v>
      </c>
      <c r="U126" s="33">
        <f t="shared" si="34"/>
        <v>0</v>
      </c>
      <c r="V126" s="33">
        <f t="shared" si="34"/>
        <v>0</v>
      </c>
      <c r="W126" s="33">
        <f t="shared" si="34"/>
        <v>0</v>
      </c>
      <c r="X126" s="33">
        <f t="shared" si="34"/>
        <v>0</v>
      </c>
    </row>
    <row r="127" spans="1:24">
      <c r="B127" s="37" t="str">
        <f>IF(ISBLANK('Środki trwałe'!B428),"",'Środki trwałe'!B428)</f>
        <v/>
      </c>
      <c r="C127" s="33" t="str">
        <f>IF(ISBLANK('Środki trwałe'!D428),"",'Środki trwałe'!D428)</f>
        <v/>
      </c>
      <c r="D127" s="245" t="str">
        <f>IF(ISBLANK('Środki trwałe'!E428),"",'Środki trwałe'!E428)</f>
        <v/>
      </c>
      <c r="E127" s="73">
        <f>IF(AND('Środki trwałe'!F428="tak",'Środki trwałe'!G428="nie"),'Środki trwałe'!H428,0)</f>
        <v>0</v>
      </c>
      <c r="F127" s="94">
        <f t="shared" si="35"/>
        <v>0</v>
      </c>
      <c r="G127" s="33">
        <f>IF(AND('Środki trwałe'!F428="tak",'Środki trwałe'!G428="tak"),'Środki trwałe'!I428,0)</f>
        <v>0</v>
      </c>
      <c r="H127" s="314"/>
      <c r="I127" s="52"/>
      <c r="J127" s="508" t="str">
        <f>IF(ISBLANK('Środki trwałe'!C428),"",'Środki trwałe'!C428)</f>
        <v/>
      </c>
      <c r="K127" s="33">
        <f t="shared" si="34"/>
        <v>0</v>
      </c>
      <c r="L127" s="33">
        <f t="shared" si="34"/>
        <v>0</v>
      </c>
      <c r="M127" s="33">
        <f t="shared" si="34"/>
        <v>0</v>
      </c>
      <c r="N127" s="33">
        <f t="shared" si="34"/>
        <v>0</v>
      </c>
      <c r="O127" s="33">
        <f t="shared" si="34"/>
        <v>0</v>
      </c>
      <c r="P127" s="33">
        <f t="shared" si="34"/>
        <v>0</v>
      </c>
      <c r="Q127" s="33">
        <f t="shared" si="34"/>
        <v>0</v>
      </c>
      <c r="R127" s="33">
        <f t="shared" si="34"/>
        <v>0</v>
      </c>
      <c r="S127" s="33">
        <f t="shared" si="34"/>
        <v>0</v>
      </c>
      <c r="T127" s="33">
        <f t="shared" si="34"/>
        <v>0</v>
      </c>
      <c r="U127" s="33">
        <f t="shared" si="34"/>
        <v>0</v>
      </c>
      <c r="V127" s="33">
        <f t="shared" si="34"/>
        <v>0</v>
      </c>
      <c r="W127" s="33">
        <f t="shared" si="34"/>
        <v>0</v>
      </c>
      <c r="X127" s="33">
        <f t="shared" si="34"/>
        <v>0</v>
      </c>
    </row>
    <row r="128" spans="1:24">
      <c r="B128" s="37" t="str">
        <f>IF(ISBLANK('Środki trwałe'!B429),"",'Środki trwałe'!B429)</f>
        <v/>
      </c>
      <c r="C128" s="33" t="str">
        <f>IF(ISBLANK('Środki trwałe'!D429),"",'Środki trwałe'!D429)</f>
        <v/>
      </c>
      <c r="D128" s="245" t="str">
        <f>IF(ISBLANK('Środki trwałe'!E429),"",'Środki trwałe'!E429)</f>
        <v/>
      </c>
      <c r="E128" s="73">
        <f>IF(AND('Środki trwałe'!F429="tak",'Środki trwałe'!G429="nie"),'Środki trwałe'!H429,0)</f>
        <v>0</v>
      </c>
      <c r="F128" s="94">
        <f t="shared" si="35"/>
        <v>0</v>
      </c>
      <c r="G128" s="33">
        <f>IF(AND('Środki trwałe'!F429="tak",'Środki trwałe'!G429="tak"),'Środki trwałe'!I429,0)</f>
        <v>0</v>
      </c>
      <c r="H128" s="314"/>
      <c r="I128" s="52"/>
      <c r="J128" s="508" t="str">
        <f>IF(ISBLANK('Środki trwałe'!C429),"",'Środki trwałe'!C429)</f>
        <v/>
      </c>
      <c r="K128" s="33">
        <f t="shared" si="34"/>
        <v>0</v>
      </c>
      <c r="L128" s="33">
        <f t="shared" si="34"/>
        <v>0</v>
      </c>
      <c r="M128" s="33">
        <f t="shared" si="34"/>
        <v>0</v>
      </c>
      <c r="N128" s="33">
        <f t="shared" si="34"/>
        <v>0</v>
      </c>
      <c r="O128" s="33">
        <f t="shared" si="34"/>
        <v>0</v>
      </c>
      <c r="P128" s="33">
        <f t="shared" si="34"/>
        <v>0</v>
      </c>
      <c r="Q128" s="33">
        <f t="shared" si="34"/>
        <v>0</v>
      </c>
      <c r="R128" s="33">
        <f t="shared" si="34"/>
        <v>0</v>
      </c>
      <c r="S128" s="33">
        <f t="shared" si="34"/>
        <v>0</v>
      </c>
      <c r="T128" s="33">
        <f t="shared" si="34"/>
        <v>0</v>
      </c>
      <c r="U128" s="33">
        <f t="shared" si="34"/>
        <v>0</v>
      </c>
      <c r="V128" s="33">
        <f t="shared" si="34"/>
        <v>0</v>
      </c>
      <c r="W128" s="33">
        <f t="shared" si="34"/>
        <v>0</v>
      </c>
      <c r="X128" s="33">
        <f t="shared" si="34"/>
        <v>0</v>
      </c>
    </row>
    <row r="129" spans="2:24">
      <c r="B129" s="37" t="str">
        <f>IF(ISBLANK('Środki trwałe'!B430),"",'Środki trwałe'!B430)</f>
        <v/>
      </c>
      <c r="C129" s="33" t="str">
        <f>IF(ISBLANK('Środki trwałe'!D430),"",'Środki trwałe'!D430)</f>
        <v/>
      </c>
      <c r="D129" s="245" t="str">
        <f>IF(ISBLANK('Środki trwałe'!E430),"",'Środki trwałe'!E430)</f>
        <v/>
      </c>
      <c r="E129" s="73">
        <f>IF(AND('Środki trwałe'!F430="tak",'Środki trwałe'!G430="nie"),'Środki trwałe'!H430,0)</f>
        <v>0</v>
      </c>
      <c r="F129" s="94">
        <f t="shared" si="35"/>
        <v>0</v>
      </c>
      <c r="G129" s="33">
        <f>IF(AND('Środki trwałe'!F430="tak",'Środki trwałe'!G430="tak"),'Środki trwałe'!I430,0)</f>
        <v>0</v>
      </c>
      <c r="H129" s="314"/>
      <c r="I129" s="52"/>
      <c r="J129" s="508" t="str">
        <f>IF(ISBLANK('Środki trwałe'!C430),"",'Środki trwałe'!C430)</f>
        <v/>
      </c>
      <c r="K129" s="33">
        <f>IFERROR(ROUND(IF(AND(YEAR($D129)=LataProjekcji,$F129&gt;0),$F129,0),0),0)</f>
        <v>0</v>
      </c>
      <c r="L129" s="33">
        <f>IFERROR(ROUND(IF(AND(YEAR($D129)=LataProjekcji,$F129&gt;0),$F129,0),0),0)</f>
        <v>0</v>
      </c>
      <c r="M129" s="33">
        <f>IFERROR(ROUND(IF(AND(YEAR($D129)=LataProjekcji,$F129&gt;0),$F129,0),0),0)</f>
        <v>0</v>
      </c>
      <c r="N129" s="33">
        <f t="shared" ref="K129:X147" si="36">IFERROR(ROUND(IF(AND(YEAR($D129)=LataProjekcji,$F129&gt;0),$F129,0),0),0)</f>
        <v>0</v>
      </c>
      <c r="O129" s="33">
        <f t="shared" si="36"/>
        <v>0</v>
      </c>
      <c r="P129" s="33">
        <f t="shared" si="36"/>
        <v>0</v>
      </c>
      <c r="Q129" s="33">
        <f t="shared" si="36"/>
        <v>0</v>
      </c>
      <c r="R129" s="33">
        <f t="shared" si="36"/>
        <v>0</v>
      </c>
      <c r="S129" s="33">
        <f t="shared" si="36"/>
        <v>0</v>
      </c>
      <c r="T129" s="33">
        <f t="shared" si="36"/>
        <v>0</v>
      </c>
      <c r="U129" s="33">
        <f t="shared" si="36"/>
        <v>0</v>
      </c>
      <c r="V129" s="33">
        <f t="shared" si="36"/>
        <v>0</v>
      </c>
      <c r="W129" s="33">
        <f t="shared" si="36"/>
        <v>0</v>
      </c>
      <c r="X129" s="33">
        <f t="shared" si="36"/>
        <v>0</v>
      </c>
    </row>
    <row r="130" spans="2:24">
      <c r="B130" s="37" t="str">
        <f>IF(ISBLANK('Środki trwałe'!B431),"",'Środki trwałe'!B431)</f>
        <v/>
      </c>
      <c r="C130" s="33" t="str">
        <f>IF(ISBLANK('Środki trwałe'!D431),"",'Środki trwałe'!D431)</f>
        <v/>
      </c>
      <c r="D130" s="245" t="str">
        <f>IF(ISBLANK('Środki trwałe'!E431),"",'Środki trwałe'!E431)</f>
        <v/>
      </c>
      <c r="E130" s="73">
        <f>IF(AND('Środki trwałe'!F431="tak",'Środki trwałe'!G431="nie"),'Środki trwałe'!H431,0)</f>
        <v>0</v>
      </c>
      <c r="F130" s="94">
        <f t="shared" si="35"/>
        <v>0</v>
      </c>
      <c r="G130" s="33">
        <f>IF(AND('Środki trwałe'!F431="tak",'Środki trwałe'!G431="tak"),'Środki trwałe'!I431,0)</f>
        <v>0</v>
      </c>
      <c r="H130" s="314"/>
      <c r="I130" s="52"/>
      <c r="J130" s="508" t="str">
        <f>IF(ISBLANK('Środki trwałe'!C431),"",'Środki trwałe'!C431)</f>
        <v/>
      </c>
      <c r="K130" s="33">
        <f t="shared" si="36"/>
        <v>0</v>
      </c>
      <c r="L130" s="33">
        <f t="shared" si="36"/>
        <v>0</v>
      </c>
      <c r="M130" s="33">
        <f t="shared" si="36"/>
        <v>0</v>
      </c>
      <c r="N130" s="33">
        <f t="shared" si="36"/>
        <v>0</v>
      </c>
      <c r="O130" s="33">
        <f t="shared" si="36"/>
        <v>0</v>
      </c>
      <c r="P130" s="33">
        <f t="shared" si="36"/>
        <v>0</v>
      </c>
      <c r="Q130" s="33">
        <f t="shared" si="36"/>
        <v>0</v>
      </c>
      <c r="R130" s="33">
        <f t="shared" si="36"/>
        <v>0</v>
      </c>
      <c r="S130" s="33">
        <f t="shared" si="36"/>
        <v>0</v>
      </c>
      <c r="T130" s="33">
        <f t="shared" si="36"/>
        <v>0</v>
      </c>
      <c r="U130" s="33">
        <f t="shared" si="36"/>
        <v>0</v>
      </c>
      <c r="V130" s="33">
        <f t="shared" si="36"/>
        <v>0</v>
      </c>
      <c r="W130" s="33">
        <f t="shared" si="36"/>
        <v>0</v>
      </c>
      <c r="X130" s="33">
        <f t="shared" si="36"/>
        <v>0</v>
      </c>
    </row>
    <row r="131" spans="2:24">
      <c r="B131" s="37" t="str">
        <f>IF(ISBLANK('Środki trwałe'!B432),"",'Środki trwałe'!B432)</f>
        <v/>
      </c>
      <c r="C131" s="33" t="str">
        <f>IF(ISBLANK('Środki trwałe'!D432),"",'Środki trwałe'!D432)</f>
        <v/>
      </c>
      <c r="D131" s="245" t="str">
        <f>IF(ISBLANK('Środki trwałe'!E432),"",'Środki trwałe'!E432)</f>
        <v/>
      </c>
      <c r="E131" s="73">
        <f>IF(AND('Środki trwałe'!F432="tak",'Środki trwałe'!G432="nie"),'Środki trwałe'!H432,0)</f>
        <v>0</v>
      </c>
      <c r="F131" s="94">
        <f t="shared" si="35"/>
        <v>0</v>
      </c>
      <c r="G131" s="33">
        <f>IF(AND('Środki trwałe'!F432="tak",'Środki trwałe'!G432="tak"),'Środki trwałe'!I432,0)</f>
        <v>0</v>
      </c>
      <c r="H131" s="314"/>
      <c r="I131" s="52"/>
      <c r="J131" s="508" t="str">
        <f>IF(ISBLANK('Środki trwałe'!C432),"",'Środki trwałe'!C432)</f>
        <v/>
      </c>
      <c r="K131" s="33">
        <f t="shared" si="36"/>
        <v>0</v>
      </c>
      <c r="L131" s="33">
        <f t="shared" si="36"/>
        <v>0</v>
      </c>
      <c r="M131" s="33">
        <f t="shared" si="36"/>
        <v>0</v>
      </c>
      <c r="N131" s="33">
        <f t="shared" si="36"/>
        <v>0</v>
      </c>
      <c r="O131" s="33">
        <f t="shared" si="36"/>
        <v>0</v>
      </c>
      <c r="P131" s="33">
        <f t="shared" si="36"/>
        <v>0</v>
      </c>
      <c r="Q131" s="33">
        <f t="shared" si="36"/>
        <v>0</v>
      </c>
      <c r="R131" s="33">
        <f t="shared" si="36"/>
        <v>0</v>
      </c>
      <c r="S131" s="33">
        <f t="shared" si="36"/>
        <v>0</v>
      </c>
      <c r="T131" s="33">
        <f t="shared" si="36"/>
        <v>0</v>
      </c>
      <c r="U131" s="33">
        <f t="shared" si="36"/>
        <v>0</v>
      </c>
      <c r="V131" s="33">
        <f t="shared" si="36"/>
        <v>0</v>
      </c>
      <c r="W131" s="33">
        <f t="shared" si="36"/>
        <v>0</v>
      </c>
      <c r="X131" s="33">
        <f t="shared" si="36"/>
        <v>0</v>
      </c>
    </row>
    <row r="132" spans="2:24">
      <c r="B132" s="37" t="str">
        <f>IF(ISBLANK('Środki trwałe'!B433),"",'Środki trwałe'!B433)</f>
        <v/>
      </c>
      <c r="C132" s="33" t="str">
        <f>IF(ISBLANK('Środki trwałe'!D433),"",'Środki trwałe'!D433)</f>
        <v/>
      </c>
      <c r="D132" s="245" t="str">
        <f>IF(ISBLANK('Środki trwałe'!E433),"",'Środki trwałe'!E433)</f>
        <v/>
      </c>
      <c r="E132" s="73">
        <f>IF(AND('Środki trwałe'!F433="tak",'Środki trwałe'!G433="nie"),'Środki trwałe'!H433,0)</f>
        <v>0</v>
      </c>
      <c r="F132" s="94">
        <f t="shared" si="35"/>
        <v>0</v>
      </c>
      <c r="G132" s="33">
        <f>IF(AND('Środki trwałe'!F433="tak",'Środki trwałe'!G433="tak"),'Środki trwałe'!I433,0)</f>
        <v>0</v>
      </c>
      <c r="H132" s="314"/>
      <c r="I132" s="52"/>
      <c r="J132" s="508" t="str">
        <f>IF(ISBLANK('Środki trwałe'!C433),"",'Środki trwałe'!C433)</f>
        <v/>
      </c>
      <c r="K132" s="33">
        <f t="shared" si="36"/>
        <v>0</v>
      </c>
      <c r="L132" s="33">
        <f t="shared" si="36"/>
        <v>0</v>
      </c>
      <c r="M132" s="33">
        <f t="shared" si="36"/>
        <v>0</v>
      </c>
      <c r="N132" s="33">
        <f t="shared" si="36"/>
        <v>0</v>
      </c>
      <c r="O132" s="33">
        <f t="shared" si="36"/>
        <v>0</v>
      </c>
      <c r="P132" s="33">
        <f t="shared" si="36"/>
        <v>0</v>
      </c>
      <c r="Q132" s="33">
        <f t="shared" si="36"/>
        <v>0</v>
      </c>
      <c r="R132" s="33">
        <f t="shared" si="36"/>
        <v>0</v>
      </c>
      <c r="S132" s="33">
        <f t="shared" si="36"/>
        <v>0</v>
      </c>
      <c r="T132" s="33">
        <f t="shared" si="36"/>
        <v>0</v>
      </c>
      <c r="U132" s="33">
        <f t="shared" si="36"/>
        <v>0</v>
      </c>
      <c r="V132" s="33">
        <f t="shared" si="36"/>
        <v>0</v>
      </c>
      <c r="W132" s="33">
        <f t="shared" si="36"/>
        <v>0</v>
      </c>
      <c r="X132" s="33">
        <f t="shared" si="36"/>
        <v>0</v>
      </c>
    </row>
    <row r="133" spans="2:24">
      <c r="B133" s="37" t="str">
        <f>IF(ISBLANK('Środki trwałe'!B434),"",'Środki trwałe'!B434)</f>
        <v/>
      </c>
      <c r="C133" s="33" t="str">
        <f>IF(ISBLANK('Środki trwałe'!D434),"",'Środki trwałe'!D434)</f>
        <v/>
      </c>
      <c r="D133" s="245" t="str">
        <f>IF(ISBLANK('Środki trwałe'!E434),"",'Środki trwałe'!E434)</f>
        <v/>
      </c>
      <c r="E133" s="73">
        <f>IF(AND('Środki trwałe'!F434="tak",'Środki trwałe'!G434="nie"),'Środki trwałe'!H434,0)</f>
        <v>0</v>
      </c>
      <c r="F133" s="94">
        <f t="shared" si="35"/>
        <v>0</v>
      </c>
      <c r="G133" s="33">
        <f>IF(AND('Środki trwałe'!F434="tak",'Środki trwałe'!G434="tak"),'Środki trwałe'!I434,0)</f>
        <v>0</v>
      </c>
      <c r="H133" s="314"/>
      <c r="I133" s="52"/>
      <c r="J133" s="508" t="str">
        <f>IF(ISBLANK('Środki trwałe'!C434),"",'Środki trwałe'!C434)</f>
        <v/>
      </c>
      <c r="K133" s="33">
        <f t="shared" si="36"/>
        <v>0</v>
      </c>
      <c r="L133" s="33">
        <f t="shared" si="36"/>
        <v>0</v>
      </c>
      <c r="M133" s="33">
        <f t="shared" si="36"/>
        <v>0</v>
      </c>
      <c r="N133" s="33">
        <f t="shared" si="36"/>
        <v>0</v>
      </c>
      <c r="O133" s="33">
        <f t="shared" si="36"/>
        <v>0</v>
      </c>
      <c r="P133" s="33">
        <f t="shared" si="36"/>
        <v>0</v>
      </c>
      <c r="Q133" s="33">
        <f t="shared" si="36"/>
        <v>0</v>
      </c>
      <c r="R133" s="33">
        <f t="shared" si="36"/>
        <v>0</v>
      </c>
      <c r="S133" s="33">
        <f t="shared" si="36"/>
        <v>0</v>
      </c>
      <c r="T133" s="33">
        <f t="shared" si="36"/>
        <v>0</v>
      </c>
      <c r="U133" s="33">
        <f t="shared" si="36"/>
        <v>0</v>
      </c>
      <c r="V133" s="33">
        <f t="shared" si="36"/>
        <v>0</v>
      </c>
      <c r="W133" s="33">
        <f t="shared" si="36"/>
        <v>0</v>
      </c>
      <c r="X133" s="33">
        <f t="shared" si="36"/>
        <v>0</v>
      </c>
    </row>
    <row r="134" spans="2:24">
      <c r="B134" s="37" t="str">
        <f>IF(ISBLANK('Środki trwałe'!B435),"",'Środki trwałe'!B435)</f>
        <v/>
      </c>
      <c r="C134" s="33" t="str">
        <f>IF(ISBLANK('Środki trwałe'!D435),"",'Środki trwałe'!D435)</f>
        <v/>
      </c>
      <c r="D134" s="245" t="str">
        <f>IF(ISBLANK('Środki trwałe'!E435),"",'Środki trwałe'!E435)</f>
        <v/>
      </c>
      <c r="E134" s="73">
        <f>IF(AND('Środki trwałe'!F435="tak",'Środki trwałe'!G435="nie"),'Środki trwałe'!H435,0)</f>
        <v>0</v>
      </c>
      <c r="F134" s="94">
        <f t="shared" si="35"/>
        <v>0</v>
      </c>
      <c r="G134" s="33">
        <f>IF(AND('Środki trwałe'!F435="tak",'Środki trwałe'!G435="tak"),'Środki trwałe'!I435,0)</f>
        <v>0</v>
      </c>
      <c r="H134" s="314"/>
      <c r="I134" s="52"/>
      <c r="J134" s="508" t="str">
        <f>IF(ISBLANK('Środki trwałe'!C435),"",'Środki trwałe'!C435)</f>
        <v/>
      </c>
      <c r="K134" s="33">
        <f t="shared" si="36"/>
        <v>0</v>
      </c>
      <c r="L134" s="33">
        <f t="shared" si="36"/>
        <v>0</v>
      </c>
      <c r="M134" s="33">
        <f t="shared" si="36"/>
        <v>0</v>
      </c>
      <c r="N134" s="33">
        <f t="shared" si="36"/>
        <v>0</v>
      </c>
      <c r="O134" s="33">
        <f t="shared" si="36"/>
        <v>0</v>
      </c>
      <c r="P134" s="33">
        <f t="shared" si="36"/>
        <v>0</v>
      </c>
      <c r="Q134" s="33">
        <f t="shared" si="36"/>
        <v>0</v>
      </c>
      <c r="R134" s="33">
        <f t="shared" si="36"/>
        <v>0</v>
      </c>
      <c r="S134" s="33">
        <f t="shared" si="36"/>
        <v>0</v>
      </c>
      <c r="T134" s="33">
        <f t="shared" si="36"/>
        <v>0</v>
      </c>
      <c r="U134" s="33">
        <f t="shared" si="36"/>
        <v>0</v>
      </c>
      <c r="V134" s="33">
        <f t="shared" si="36"/>
        <v>0</v>
      </c>
      <c r="W134" s="33">
        <f t="shared" si="36"/>
        <v>0</v>
      </c>
      <c r="X134" s="33">
        <f t="shared" si="36"/>
        <v>0</v>
      </c>
    </row>
    <row r="135" spans="2:24">
      <c r="B135" s="37" t="str">
        <f>IF(ISBLANK('Środki trwałe'!B436),"",'Środki trwałe'!B436)</f>
        <v/>
      </c>
      <c r="C135" s="33" t="str">
        <f>IF(ISBLANK('Środki trwałe'!D436),"",'Środki trwałe'!D436)</f>
        <v/>
      </c>
      <c r="D135" s="245" t="str">
        <f>IF(ISBLANK('Środki trwałe'!E436),"",'Środki trwałe'!E436)</f>
        <v/>
      </c>
      <c r="E135" s="73">
        <f>IF(AND('Środki trwałe'!F436="tak",'Środki trwałe'!G436="nie"),'Środki trwałe'!H436,0)</f>
        <v>0</v>
      </c>
      <c r="F135" s="94">
        <f t="shared" si="35"/>
        <v>0</v>
      </c>
      <c r="G135" s="33">
        <f>IF(AND('Środki trwałe'!F436="tak",'Środki trwałe'!G436="tak"),'Środki trwałe'!I436,0)</f>
        <v>0</v>
      </c>
      <c r="H135" s="314"/>
      <c r="I135" s="52"/>
      <c r="J135" s="508" t="str">
        <f>IF(ISBLANK('Środki trwałe'!C436),"",'Środki trwałe'!C436)</f>
        <v/>
      </c>
      <c r="K135" s="33">
        <f t="shared" si="36"/>
        <v>0</v>
      </c>
      <c r="L135" s="33">
        <f t="shared" si="36"/>
        <v>0</v>
      </c>
      <c r="M135" s="33">
        <f t="shared" si="36"/>
        <v>0</v>
      </c>
      <c r="N135" s="33">
        <f t="shared" si="36"/>
        <v>0</v>
      </c>
      <c r="O135" s="33">
        <f t="shared" si="36"/>
        <v>0</v>
      </c>
      <c r="P135" s="33">
        <f t="shared" si="36"/>
        <v>0</v>
      </c>
      <c r="Q135" s="33">
        <f t="shared" si="36"/>
        <v>0</v>
      </c>
      <c r="R135" s="33">
        <f t="shared" si="36"/>
        <v>0</v>
      </c>
      <c r="S135" s="33">
        <f t="shared" si="36"/>
        <v>0</v>
      </c>
      <c r="T135" s="33">
        <f t="shared" si="36"/>
        <v>0</v>
      </c>
      <c r="U135" s="33">
        <f t="shared" si="36"/>
        <v>0</v>
      </c>
      <c r="V135" s="33">
        <f t="shared" si="36"/>
        <v>0</v>
      </c>
      <c r="W135" s="33">
        <f t="shared" si="36"/>
        <v>0</v>
      </c>
      <c r="X135" s="33">
        <f t="shared" si="36"/>
        <v>0</v>
      </c>
    </row>
    <row r="136" spans="2:24">
      <c r="B136" s="37" t="str">
        <f>IF(ISBLANK('Środki trwałe'!B437),"",'Środki trwałe'!B437)</f>
        <v/>
      </c>
      <c r="C136" s="33" t="str">
        <f>IF(ISBLANK('Środki trwałe'!D437),"",'Środki trwałe'!D437)</f>
        <v/>
      </c>
      <c r="D136" s="245" t="str">
        <f>IF(ISBLANK('Środki trwałe'!E437),"",'Środki trwałe'!E437)</f>
        <v/>
      </c>
      <c r="E136" s="73">
        <f>IF(AND('Środki trwałe'!F437="tak",'Środki trwałe'!G437="nie"),'Środki trwałe'!H437,0)</f>
        <v>0</v>
      </c>
      <c r="F136" s="94">
        <f t="shared" si="35"/>
        <v>0</v>
      </c>
      <c r="G136" s="33">
        <f>IF(AND('Środki trwałe'!F437="tak",'Środki trwałe'!G437="tak"),'Środki trwałe'!I437,0)</f>
        <v>0</v>
      </c>
      <c r="H136" s="314"/>
      <c r="I136" s="52"/>
      <c r="J136" s="508" t="str">
        <f>IF(ISBLANK('Środki trwałe'!C437),"",'Środki trwałe'!C437)</f>
        <v/>
      </c>
      <c r="K136" s="33">
        <f t="shared" si="36"/>
        <v>0</v>
      </c>
      <c r="L136" s="33">
        <f t="shared" si="36"/>
        <v>0</v>
      </c>
      <c r="M136" s="33">
        <f t="shared" si="36"/>
        <v>0</v>
      </c>
      <c r="N136" s="33">
        <f t="shared" si="36"/>
        <v>0</v>
      </c>
      <c r="O136" s="33">
        <f t="shared" si="36"/>
        <v>0</v>
      </c>
      <c r="P136" s="33">
        <f t="shared" si="36"/>
        <v>0</v>
      </c>
      <c r="Q136" s="33">
        <f t="shared" si="36"/>
        <v>0</v>
      </c>
      <c r="R136" s="33">
        <f t="shared" si="36"/>
        <v>0</v>
      </c>
      <c r="S136" s="33">
        <f t="shared" si="36"/>
        <v>0</v>
      </c>
      <c r="T136" s="33">
        <f t="shared" si="36"/>
        <v>0</v>
      </c>
      <c r="U136" s="33">
        <f t="shared" si="36"/>
        <v>0</v>
      </c>
      <c r="V136" s="33">
        <f t="shared" si="36"/>
        <v>0</v>
      </c>
      <c r="W136" s="33">
        <f t="shared" si="36"/>
        <v>0</v>
      </c>
      <c r="X136" s="33">
        <f t="shared" si="36"/>
        <v>0</v>
      </c>
    </row>
    <row r="137" spans="2:24">
      <c r="B137" s="37" t="str">
        <f>IF(ISBLANK('Środki trwałe'!B438),"",'Środki trwałe'!B438)</f>
        <v/>
      </c>
      <c r="C137" s="33" t="str">
        <f>IF(ISBLANK('Środki trwałe'!D438),"",'Środki trwałe'!D438)</f>
        <v/>
      </c>
      <c r="D137" s="245" t="str">
        <f>IF(ISBLANK('Środki trwałe'!E438),"",'Środki trwałe'!E438)</f>
        <v/>
      </c>
      <c r="E137" s="73">
        <f>IF(AND('Środki trwałe'!F438="tak",'Środki trwałe'!G438="nie"),'Środki trwałe'!H438,0)</f>
        <v>0</v>
      </c>
      <c r="F137" s="94">
        <f t="shared" si="35"/>
        <v>0</v>
      </c>
      <c r="G137" s="33">
        <f>IF(AND('Środki trwałe'!F438="tak",'Środki trwałe'!G438="tak"),'Środki trwałe'!I438,0)</f>
        <v>0</v>
      </c>
      <c r="H137" s="314"/>
      <c r="I137" s="52"/>
      <c r="J137" s="508" t="str">
        <f>IF(ISBLANK('Środki trwałe'!C438),"",'Środki trwałe'!C438)</f>
        <v/>
      </c>
      <c r="K137" s="33">
        <f t="shared" si="36"/>
        <v>0</v>
      </c>
      <c r="L137" s="33">
        <f t="shared" si="36"/>
        <v>0</v>
      </c>
      <c r="M137" s="33">
        <f t="shared" si="36"/>
        <v>0</v>
      </c>
      <c r="N137" s="33">
        <f t="shared" si="36"/>
        <v>0</v>
      </c>
      <c r="O137" s="33">
        <f t="shared" si="36"/>
        <v>0</v>
      </c>
      <c r="P137" s="33">
        <f t="shared" si="36"/>
        <v>0</v>
      </c>
      <c r="Q137" s="33">
        <f t="shared" si="36"/>
        <v>0</v>
      </c>
      <c r="R137" s="33">
        <f t="shared" si="36"/>
        <v>0</v>
      </c>
      <c r="S137" s="33">
        <f t="shared" si="36"/>
        <v>0</v>
      </c>
      <c r="T137" s="33">
        <f t="shared" si="36"/>
        <v>0</v>
      </c>
      <c r="U137" s="33">
        <f t="shared" si="36"/>
        <v>0</v>
      </c>
      <c r="V137" s="33">
        <f t="shared" si="36"/>
        <v>0</v>
      </c>
      <c r="W137" s="33">
        <f t="shared" si="36"/>
        <v>0</v>
      </c>
      <c r="X137" s="33">
        <f t="shared" si="36"/>
        <v>0</v>
      </c>
    </row>
    <row r="138" spans="2:24">
      <c r="B138" s="37" t="str">
        <f>IF(ISBLANK('Środki trwałe'!B439),"",'Środki trwałe'!B439)</f>
        <v/>
      </c>
      <c r="C138" s="33" t="str">
        <f>IF(ISBLANK('Środki trwałe'!D439),"",'Środki trwałe'!D439)</f>
        <v/>
      </c>
      <c r="D138" s="245" t="str">
        <f>IF(ISBLANK('Środki trwałe'!E439),"",'Środki trwałe'!E439)</f>
        <v/>
      </c>
      <c r="E138" s="73">
        <f>IF(AND('Środki trwałe'!F439="tak",'Środki trwałe'!G439="nie"),'Środki trwałe'!H439,0)</f>
        <v>0</v>
      </c>
      <c r="F138" s="94">
        <f t="shared" si="35"/>
        <v>0</v>
      </c>
      <c r="G138" s="33">
        <f>IF(AND('Środki trwałe'!F439="tak",'Środki trwałe'!G439="tak"),'Środki trwałe'!I439,0)</f>
        <v>0</v>
      </c>
      <c r="H138" s="314"/>
      <c r="I138" s="52"/>
      <c r="J138" s="508" t="str">
        <f>IF(ISBLANK('Środki trwałe'!C439),"",'Środki trwałe'!C439)</f>
        <v/>
      </c>
      <c r="K138" s="33">
        <f t="shared" si="36"/>
        <v>0</v>
      </c>
      <c r="L138" s="33">
        <f t="shared" si="36"/>
        <v>0</v>
      </c>
      <c r="M138" s="33">
        <f t="shared" si="36"/>
        <v>0</v>
      </c>
      <c r="N138" s="33">
        <f t="shared" si="36"/>
        <v>0</v>
      </c>
      <c r="O138" s="33">
        <f t="shared" si="36"/>
        <v>0</v>
      </c>
      <c r="P138" s="33">
        <f t="shared" si="36"/>
        <v>0</v>
      </c>
      <c r="Q138" s="33">
        <f t="shared" si="36"/>
        <v>0</v>
      </c>
      <c r="R138" s="33">
        <f t="shared" si="36"/>
        <v>0</v>
      </c>
      <c r="S138" s="33">
        <f t="shared" si="36"/>
        <v>0</v>
      </c>
      <c r="T138" s="33">
        <f t="shared" si="36"/>
        <v>0</v>
      </c>
      <c r="U138" s="33">
        <f t="shared" si="36"/>
        <v>0</v>
      </c>
      <c r="V138" s="33">
        <f t="shared" si="36"/>
        <v>0</v>
      </c>
      <c r="W138" s="33">
        <f t="shared" si="36"/>
        <v>0</v>
      </c>
      <c r="X138" s="33">
        <f t="shared" si="36"/>
        <v>0</v>
      </c>
    </row>
    <row r="139" spans="2:24">
      <c r="B139" s="37" t="str">
        <f>IF(ISBLANK('Środki trwałe'!B440),"",'Środki trwałe'!B440)</f>
        <v/>
      </c>
      <c r="C139" s="33" t="str">
        <f>IF(ISBLANK('Środki trwałe'!D440),"",'Środki trwałe'!D440)</f>
        <v/>
      </c>
      <c r="D139" s="245" t="str">
        <f>IF(ISBLANK('Środki trwałe'!E440),"",'Środki trwałe'!E440)</f>
        <v/>
      </c>
      <c r="E139" s="73">
        <f>IF(AND('Środki trwałe'!F440="tak",'Środki trwałe'!G440="nie"),'Środki trwałe'!H440,0)</f>
        <v>0</v>
      </c>
      <c r="F139" s="94">
        <f t="shared" si="35"/>
        <v>0</v>
      </c>
      <c r="G139" s="33">
        <f>IF(AND('Środki trwałe'!F440="tak",'Środki trwałe'!G440="tak"),'Środki trwałe'!I440,0)</f>
        <v>0</v>
      </c>
      <c r="H139" s="314"/>
      <c r="I139" s="52"/>
      <c r="J139" s="508" t="str">
        <f>IF(ISBLANK('Środki trwałe'!C440),"",'Środki trwałe'!C440)</f>
        <v/>
      </c>
      <c r="K139" s="33">
        <f t="shared" si="36"/>
        <v>0</v>
      </c>
      <c r="L139" s="33">
        <f t="shared" si="36"/>
        <v>0</v>
      </c>
      <c r="M139" s="33">
        <f t="shared" si="36"/>
        <v>0</v>
      </c>
      <c r="N139" s="33">
        <f t="shared" si="36"/>
        <v>0</v>
      </c>
      <c r="O139" s="33">
        <f t="shared" si="36"/>
        <v>0</v>
      </c>
      <c r="P139" s="33">
        <f t="shared" si="36"/>
        <v>0</v>
      </c>
      <c r="Q139" s="33">
        <f t="shared" si="36"/>
        <v>0</v>
      </c>
      <c r="R139" s="33">
        <f t="shared" si="36"/>
        <v>0</v>
      </c>
      <c r="S139" s="33">
        <f t="shared" si="36"/>
        <v>0</v>
      </c>
      <c r="T139" s="33">
        <f t="shared" si="36"/>
        <v>0</v>
      </c>
      <c r="U139" s="33">
        <f t="shared" si="36"/>
        <v>0</v>
      </c>
      <c r="V139" s="33">
        <f t="shared" si="36"/>
        <v>0</v>
      </c>
      <c r="W139" s="33">
        <f t="shared" si="36"/>
        <v>0</v>
      </c>
      <c r="X139" s="33">
        <f t="shared" si="36"/>
        <v>0</v>
      </c>
    </row>
    <row r="140" spans="2:24">
      <c r="B140" s="37" t="str">
        <f>IF(ISBLANK('Środki trwałe'!B441),"",'Środki trwałe'!B441)</f>
        <v/>
      </c>
      <c r="C140" s="33" t="str">
        <f>IF(ISBLANK('Środki trwałe'!D441),"",'Środki trwałe'!D441)</f>
        <v/>
      </c>
      <c r="D140" s="245" t="str">
        <f>IF(ISBLANK('Środki trwałe'!E441),"",'Środki trwałe'!E441)</f>
        <v/>
      </c>
      <c r="E140" s="73">
        <f>IF(AND('Środki trwałe'!F441="tak",'Środki trwałe'!G441="nie"),'Środki trwałe'!H441,0)</f>
        <v>0</v>
      </c>
      <c r="F140" s="94">
        <f t="shared" si="35"/>
        <v>0</v>
      </c>
      <c r="G140" s="33">
        <f>IF(AND('Środki trwałe'!F441="tak",'Środki trwałe'!G441="tak"),'Środki trwałe'!I441,0)</f>
        <v>0</v>
      </c>
      <c r="H140" s="314"/>
      <c r="I140" s="52"/>
      <c r="J140" s="508" t="str">
        <f>IF(ISBLANK('Środki trwałe'!C441),"",'Środki trwałe'!C441)</f>
        <v/>
      </c>
      <c r="K140" s="33">
        <f t="shared" si="36"/>
        <v>0</v>
      </c>
      <c r="L140" s="33">
        <f t="shared" si="36"/>
        <v>0</v>
      </c>
      <c r="M140" s="33">
        <f t="shared" si="36"/>
        <v>0</v>
      </c>
      <c r="N140" s="33">
        <f t="shared" si="36"/>
        <v>0</v>
      </c>
      <c r="O140" s="33">
        <f t="shared" si="36"/>
        <v>0</v>
      </c>
      <c r="P140" s="33">
        <f t="shared" si="36"/>
        <v>0</v>
      </c>
      <c r="Q140" s="33">
        <f t="shared" si="36"/>
        <v>0</v>
      </c>
      <c r="R140" s="33">
        <f t="shared" si="36"/>
        <v>0</v>
      </c>
      <c r="S140" s="33">
        <f t="shared" si="36"/>
        <v>0</v>
      </c>
      <c r="T140" s="33">
        <f t="shared" si="36"/>
        <v>0</v>
      </c>
      <c r="U140" s="33">
        <f t="shared" si="36"/>
        <v>0</v>
      </c>
      <c r="V140" s="33">
        <f t="shared" si="36"/>
        <v>0</v>
      </c>
      <c r="W140" s="33">
        <f t="shared" si="36"/>
        <v>0</v>
      </c>
      <c r="X140" s="33">
        <f t="shared" si="36"/>
        <v>0</v>
      </c>
    </row>
    <row r="141" spans="2:24">
      <c r="B141" s="37" t="str">
        <f>IF(ISBLANK('Środki trwałe'!B442),"",'Środki trwałe'!B442)</f>
        <v/>
      </c>
      <c r="C141" s="33" t="str">
        <f>IF(ISBLANK('Środki trwałe'!D442),"",'Środki trwałe'!D442)</f>
        <v/>
      </c>
      <c r="D141" s="245" t="str">
        <f>IF(ISBLANK('Środki trwałe'!E442),"",'Środki trwałe'!E442)</f>
        <v/>
      </c>
      <c r="E141" s="73">
        <f>IF(AND('Środki trwałe'!F442="tak",'Środki trwałe'!G442="nie"),'Środki trwałe'!H442,0)</f>
        <v>0</v>
      </c>
      <c r="F141" s="94">
        <f t="shared" si="35"/>
        <v>0</v>
      </c>
      <c r="G141" s="33">
        <f>IF(AND('Środki trwałe'!F442="tak",'Środki trwałe'!G442="tak"),'Środki trwałe'!I442,0)</f>
        <v>0</v>
      </c>
      <c r="H141" s="314"/>
      <c r="I141" s="52"/>
      <c r="J141" s="508" t="str">
        <f>IF(ISBLANK('Środki trwałe'!C442),"",'Środki trwałe'!C442)</f>
        <v/>
      </c>
      <c r="K141" s="33">
        <f t="shared" si="36"/>
        <v>0</v>
      </c>
      <c r="L141" s="33">
        <f t="shared" si="36"/>
        <v>0</v>
      </c>
      <c r="M141" s="33">
        <f t="shared" si="36"/>
        <v>0</v>
      </c>
      <c r="N141" s="33">
        <f t="shared" si="36"/>
        <v>0</v>
      </c>
      <c r="O141" s="33">
        <f t="shared" si="36"/>
        <v>0</v>
      </c>
      <c r="P141" s="33">
        <f t="shared" si="36"/>
        <v>0</v>
      </c>
      <c r="Q141" s="33">
        <f t="shared" si="36"/>
        <v>0</v>
      </c>
      <c r="R141" s="33">
        <f t="shared" si="36"/>
        <v>0</v>
      </c>
      <c r="S141" s="33">
        <f t="shared" si="36"/>
        <v>0</v>
      </c>
      <c r="T141" s="33">
        <f t="shared" si="36"/>
        <v>0</v>
      </c>
      <c r="U141" s="33">
        <f t="shared" si="36"/>
        <v>0</v>
      </c>
      <c r="V141" s="33">
        <f t="shared" si="36"/>
        <v>0</v>
      </c>
      <c r="W141" s="33">
        <f t="shared" si="36"/>
        <v>0</v>
      </c>
      <c r="X141" s="33">
        <f t="shared" si="36"/>
        <v>0</v>
      </c>
    </row>
    <row r="142" spans="2:24">
      <c r="B142" s="37" t="str">
        <f>IF(ISBLANK('Środki trwałe'!B443),"",'Środki trwałe'!B443)</f>
        <v/>
      </c>
      <c r="C142" s="33" t="str">
        <f>IF(ISBLANK('Środki trwałe'!D443),"",'Środki trwałe'!D443)</f>
        <v/>
      </c>
      <c r="D142" s="245" t="str">
        <f>IF(ISBLANK('Środki trwałe'!E443),"",'Środki trwałe'!E443)</f>
        <v/>
      </c>
      <c r="E142" s="73">
        <f>IF(AND('Środki trwałe'!F443="tak",'Środki trwałe'!G443="nie"),'Środki trwałe'!H443,0)</f>
        <v>0</v>
      </c>
      <c r="F142" s="94">
        <f t="shared" si="35"/>
        <v>0</v>
      </c>
      <c r="G142" s="33">
        <f>IF(AND('Środki trwałe'!F443="tak",'Środki trwałe'!G443="tak"),'Środki trwałe'!I443,0)</f>
        <v>0</v>
      </c>
      <c r="H142" s="314"/>
      <c r="I142" s="52"/>
      <c r="J142" s="508" t="str">
        <f>IF(ISBLANK('Środki trwałe'!C443),"",'Środki trwałe'!C443)</f>
        <v/>
      </c>
      <c r="K142" s="33">
        <f t="shared" si="36"/>
        <v>0</v>
      </c>
      <c r="L142" s="33">
        <f t="shared" si="36"/>
        <v>0</v>
      </c>
      <c r="M142" s="33">
        <f t="shared" si="36"/>
        <v>0</v>
      </c>
      <c r="N142" s="33">
        <f t="shared" si="36"/>
        <v>0</v>
      </c>
      <c r="O142" s="33">
        <f t="shared" si="36"/>
        <v>0</v>
      </c>
      <c r="P142" s="33">
        <f t="shared" si="36"/>
        <v>0</v>
      </c>
      <c r="Q142" s="33">
        <f t="shared" si="36"/>
        <v>0</v>
      </c>
      <c r="R142" s="33">
        <f t="shared" si="36"/>
        <v>0</v>
      </c>
      <c r="S142" s="33">
        <f t="shared" si="36"/>
        <v>0</v>
      </c>
      <c r="T142" s="33">
        <f t="shared" si="36"/>
        <v>0</v>
      </c>
      <c r="U142" s="33">
        <f t="shared" si="36"/>
        <v>0</v>
      </c>
      <c r="V142" s="33">
        <f t="shared" si="36"/>
        <v>0</v>
      </c>
      <c r="W142" s="33">
        <f t="shared" si="36"/>
        <v>0</v>
      </c>
      <c r="X142" s="33">
        <f t="shared" si="36"/>
        <v>0</v>
      </c>
    </row>
    <row r="143" spans="2:24">
      <c r="B143" s="37" t="str">
        <f>IF(ISBLANK('Środki trwałe'!B444),"",'Środki trwałe'!B444)</f>
        <v/>
      </c>
      <c r="C143" s="33" t="str">
        <f>IF(ISBLANK('Środki trwałe'!D444),"",'Środki trwałe'!D444)</f>
        <v/>
      </c>
      <c r="D143" s="245" t="str">
        <f>IF(ISBLANK('Środki trwałe'!E444),"",'Środki trwałe'!E444)</f>
        <v/>
      </c>
      <c r="E143" s="73">
        <f>IF(AND('Środki trwałe'!F444="tak",'Środki trwałe'!G444="nie"),'Środki trwałe'!H444,0)</f>
        <v>0</v>
      </c>
      <c r="F143" s="94">
        <f t="shared" si="35"/>
        <v>0</v>
      </c>
      <c r="G143" s="33">
        <f>IF(AND('Środki trwałe'!F444="tak",'Środki trwałe'!G444="tak"),'Środki trwałe'!I444,0)</f>
        <v>0</v>
      </c>
      <c r="H143" s="314"/>
      <c r="I143" s="52"/>
      <c r="J143" s="508" t="str">
        <f>IF(ISBLANK('Środki trwałe'!C444),"",'Środki trwałe'!C444)</f>
        <v/>
      </c>
      <c r="K143" s="33">
        <f t="shared" si="36"/>
        <v>0</v>
      </c>
      <c r="L143" s="33">
        <f t="shared" si="36"/>
        <v>0</v>
      </c>
      <c r="M143" s="33">
        <f t="shared" si="36"/>
        <v>0</v>
      </c>
      <c r="N143" s="33">
        <f t="shared" si="36"/>
        <v>0</v>
      </c>
      <c r="O143" s="33">
        <f t="shared" si="36"/>
        <v>0</v>
      </c>
      <c r="P143" s="33">
        <f t="shared" si="36"/>
        <v>0</v>
      </c>
      <c r="Q143" s="33">
        <f t="shared" si="36"/>
        <v>0</v>
      </c>
      <c r="R143" s="33">
        <f t="shared" si="36"/>
        <v>0</v>
      </c>
      <c r="S143" s="33">
        <f t="shared" si="36"/>
        <v>0</v>
      </c>
      <c r="T143" s="33">
        <f t="shared" si="36"/>
        <v>0</v>
      </c>
      <c r="U143" s="33">
        <f t="shared" si="36"/>
        <v>0</v>
      </c>
      <c r="V143" s="33">
        <f t="shared" si="36"/>
        <v>0</v>
      </c>
      <c r="W143" s="33">
        <f t="shared" si="36"/>
        <v>0</v>
      </c>
      <c r="X143" s="33">
        <f t="shared" si="36"/>
        <v>0</v>
      </c>
    </row>
    <row r="144" spans="2:24">
      <c r="B144" s="37" t="str">
        <f>IF(ISBLANK('Środki trwałe'!B445),"",'Środki trwałe'!B445)</f>
        <v/>
      </c>
      <c r="C144" s="33" t="str">
        <f>IF(ISBLANK('Środki trwałe'!D445),"",'Środki trwałe'!D445)</f>
        <v/>
      </c>
      <c r="D144" s="245" t="str">
        <f>IF(ISBLANK('Środki trwałe'!E445),"",'Środki trwałe'!E445)</f>
        <v/>
      </c>
      <c r="E144" s="73">
        <f>IF(AND('Środki trwałe'!F445="tak",'Środki trwałe'!G445="nie"),'Środki trwałe'!H445,0)</f>
        <v>0</v>
      </c>
      <c r="F144" s="94">
        <f t="shared" si="35"/>
        <v>0</v>
      </c>
      <c r="G144" s="33">
        <f>IF(AND('Środki trwałe'!F445="tak",'Środki trwałe'!G445="tak"),'Środki trwałe'!I445,0)</f>
        <v>0</v>
      </c>
      <c r="H144" s="314"/>
      <c r="I144" s="52"/>
      <c r="J144" s="508" t="str">
        <f>IF(ISBLANK('Środki trwałe'!C445),"",'Środki trwałe'!C445)</f>
        <v/>
      </c>
      <c r="K144" s="33">
        <f t="shared" si="36"/>
        <v>0</v>
      </c>
      <c r="L144" s="33">
        <f t="shared" si="36"/>
        <v>0</v>
      </c>
      <c r="M144" s="33">
        <f t="shared" si="36"/>
        <v>0</v>
      </c>
      <c r="N144" s="33">
        <f t="shared" si="36"/>
        <v>0</v>
      </c>
      <c r="O144" s="33">
        <f t="shared" si="36"/>
        <v>0</v>
      </c>
      <c r="P144" s="33">
        <f t="shared" si="36"/>
        <v>0</v>
      </c>
      <c r="Q144" s="33">
        <f t="shared" si="36"/>
        <v>0</v>
      </c>
      <c r="R144" s="33">
        <f t="shared" si="36"/>
        <v>0</v>
      </c>
      <c r="S144" s="33">
        <f t="shared" si="36"/>
        <v>0</v>
      </c>
      <c r="T144" s="33">
        <f t="shared" si="36"/>
        <v>0</v>
      </c>
      <c r="U144" s="33">
        <f t="shared" si="36"/>
        <v>0</v>
      </c>
      <c r="V144" s="33">
        <f t="shared" si="36"/>
        <v>0</v>
      </c>
      <c r="W144" s="33">
        <f t="shared" si="36"/>
        <v>0</v>
      </c>
      <c r="X144" s="33">
        <f t="shared" si="36"/>
        <v>0</v>
      </c>
    </row>
    <row r="145" spans="2:24">
      <c r="B145" s="37" t="str">
        <f>IF(ISBLANK('Środki trwałe'!B446),"",'Środki trwałe'!B446)</f>
        <v/>
      </c>
      <c r="C145" s="33" t="str">
        <f>IF(ISBLANK('Środki trwałe'!D446),"",'Środki trwałe'!D446)</f>
        <v/>
      </c>
      <c r="D145" s="245" t="str">
        <f>IF(ISBLANK('Środki trwałe'!E446),"",'Środki trwałe'!E446)</f>
        <v/>
      </c>
      <c r="E145" s="73">
        <f>IF(AND('Środki trwałe'!F446="tak",'Środki trwałe'!G446="nie"),'Środki trwałe'!H446,0)</f>
        <v>0</v>
      </c>
      <c r="F145" s="94">
        <f t="shared" si="35"/>
        <v>0</v>
      </c>
      <c r="G145" s="33">
        <f>IF(AND('Środki trwałe'!F446="tak",'Środki trwałe'!G446="tak"),'Środki trwałe'!I446,0)</f>
        <v>0</v>
      </c>
      <c r="H145" s="314"/>
      <c r="I145" s="52"/>
      <c r="J145" s="508" t="str">
        <f>IF(ISBLANK('Środki trwałe'!C446),"",'Środki trwałe'!C446)</f>
        <v/>
      </c>
      <c r="K145" s="33">
        <f t="shared" si="36"/>
        <v>0</v>
      </c>
      <c r="L145" s="33">
        <f t="shared" si="36"/>
        <v>0</v>
      </c>
      <c r="M145" s="33">
        <f t="shared" si="36"/>
        <v>0</v>
      </c>
      <c r="N145" s="33">
        <f t="shared" si="36"/>
        <v>0</v>
      </c>
      <c r="O145" s="33">
        <f t="shared" si="36"/>
        <v>0</v>
      </c>
      <c r="P145" s="33">
        <f t="shared" si="36"/>
        <v>0</v>
      </c>
      <c r="Q145" s="33">
        <f t="shared" si="36"/>
        <v>0</v>
      </c>
      <c r="R145" s="33">
        <f t="shared" si="36"/>
        <v>0</v>
      </c>
      <c r="S145" s="33">
        <f t="shared" si="36"/>
        <v>0</v>
      </c>
      <c r="T145" s="33">
        <f t="shared" si="36"/>
        <v>0</v>
      </c>
      <c r="U145" s="33">
        <f t="shared" si="36"/>
        <v>0</v>
      </c>
      <c r="V145" s="33">
        <f t="shared" si="36"/>
        <v>0</v>
      </c>
      <c r="W145" s="33">
        <f t="shared" si="36"/>
        <v>0</v>
      </c>
      <c r="X145" s="33">
        <f t="shared" si="36"/>
        <v>0</v>
      </c>
    </row>
    <row r="146" spans="2:24">
      <c r="B146" s="37" t="str">
        <f>IF(ISBLANK('Środki trwałe'!B447),"",'Środki trwałe'!B447)</f>
        <v/>
      </c>
      <c r="C146" s="33" t="str">
        <f>IF(ISBLANK('Środki trwałe'!D447),"",'Środki trwałe'!D447)</f>
        <v/>
      </c>
      <c r="D146" s="245" t="str">
        <f>IF(ISBLANK('Środki trwałe'!E447),"",'Środki trwałe'!E447)</f>
        <v/>
      </c>
      <c r="E146" s="73">
        <f>IF(AND('Środki trwałe'!F447="tak",'Środki trwałe'!G447="nie"),'Środki trwałe'!H447,0)</f>
        <v>0</v>
      </c>
      <c r="F146" s="94">
        <f t="shared" si="35"/>
        <v>0</v>
      </c>
      <c r="G146" s="33">
        <f>IF(AND('Środki trwałe'!F447="tak",'Środki trwałe'!G447="tak"),'Środki trwałe'!I447,0)</f>
        <v>0</v>
      </c>
      <c r="H146" s="314"/>
      <c r="I146" s="52"/>
      <c r="J146" s="508" t="str">
        <f>IF(ISBLANK('Środki trwałe'!C447),"",'Środki trwałe'!C447)</f>
        <v/>
      </c>
      <c r="K146" s="33">
        <f t="shared" si="36"/>
        <v>0</v>
      </c>
      <c r="L146" s="33">
        <f t="shared" si="36"/>
        <v>0</v>
      </c>
      <c r="M146" s="33">
        <f t="shared" si="36"/>
        <v>0</v>
      </c>
      <c r="N146" s="33">
        <f t="shared" si="36"/>
        <v>0</v>
      </c>
      <c r="O146" s="33">
        <f t="shared" si="36"/>
        <v>0</v>
      </c>
      <c r="P146" s="33">
        <f t="shared" si="36"/>
        <v>0</v>
      </c>
      <c r="Q146" s="33">
        <f t="shared" si="36"/>
        <v>0</v>
      </c>
      <c r="R146" s="33">
        <f t="shared" si="36"/>
        <v>0</v>
      </c>
      <c r="S146" s="33">
        <f t="shared" si="36"/>
        <v>0</v>
      </c>
      <c r="T146" s="33">
        <f t="shared" si="36"/>
        <v>0</v>
      </c>
      <c r="U146" s="33">
        <f t="shared" si="36"/>
        <v>0</v>
      </c>
      <c r="V146" s="33">
        <f t="shared" si="36"/>
        <v>0</v>
      </c>
      <c r="W146" s="33">
        <f t="shared" si="36"/>
        <v>0</v>
      </c>
      <c r="X146" s="33">
        <f t="shared" si="36"/>
        <v>0</v>
      </c>
    </row>
    <row r="147" spans="2:24">
      <c r="B147" s="37" t="str">
        <f>IF(ISBLANK('Środki trwałe'!B448),"",'Środki trwałe'!B448)</f>
        <v/>
      </c>
      <c r="C147" s="33" t="str">
        <f>IF(ISBLANK('Środki trwałe'!D448),"",'Środki trwałe'!D448)</f>
        <v/>
      </c>
      <c r="D147" s="245" t="str">
        <f>IF(ISBLANK('Środki trwałe'!E448),"",'Środki trwałe'!E448)</f>
        <v/>
      </c>
      <c r="E147" s="73">
        <f>IF(AND('Środki trwałe'!F448="tak",'Środki trwałe'!G448="nie"),'Środki trwałe'!H448,0)</f>
        <v>0</v>
      </c>
      <c r="F147" s="94">
        <f t="shared" si="35"/>
        <v>0</v>
      </c>
      <c r="G147" s="33">
        <f>IF(AND('Środki trwałe'!F448="tak",'Środki trwałe'!G448="tak"),'Środki trwałe'!I448,0)</f>
        <v>0</v>
      </c>
      <c r="H147" s="314"/>
      <c r="I147" s="52"/>
      <c r="J147" s="508" t="str">
        <f>IF(ISBLANK('Środki trwałe'!C448),"",'Środki trwałe'!C448)</f>
        <v/>
      </c>
      <c r="K147" s="33">
        <f t="shared" si="36"/>
        <v>0</v>
      </c>
      <c r="L147" s="33">
        <f t="shared" si="36"/>
        <v>0</v>
      </c>
      <c r="M147" s="33">
        <f t="shared" si="36"/>
        <v>0</v>
      </c>
      <c r="N147" s="33">
        <f t="shared" si="36"/>
        <v>0</v>
      </c>
      <c r="O147" s="33">
        <f t="shared" si="36"/>
        <v>0</v>
      </c>
      <c r="P147" s="33">
        <f t="shared" si="36"/>
        <v>0</v>
      </c>
      <c r="Q147" s="33">
        <f t="shared" ref="K147:X155" si="37">IFERROR(ROUND(IF(AND(YEAR($D147)=LataProjekcji,$F147&gt;0),$F147,0),0),0)</f>
        <v>0</v>
      </c>
      <c r="R147" s="33">
        <f t="shared" si="37"/>
        <v>0</v>
      </c>
      <c r="S147" s="33">
        <f t="shared" si="37"/>
        <v>0</v>
      </c>
      <c r="T147" s="33">
        <f t="shared" si="37"/>
        <v>0</v>
      </c>
      <c r="U147" s="33">
        <f t="shared" si="37"/>
        <v>0</v>
      </c>
      <c r="V147" s="33">
        <f t="shared" si="37"/>
        <v>0</v>
      </c>
      <c r="W147" s="33">
        <f t="shared" si="37"/>
        <v>0</v>
      </c>
      <c r="X147" s="33">
        <f t="shared" si="37"/>
        <v>0</v>
      </c>
    </row>
    <row r="148" spans="2:24">
      <c r="B148" s="37" t="str">
        <f>IF(ISBLANK('Środki trwałe'!B449),"",'Środki trwałe'!B449)</f>
        <v/>
      </c>
      <c r="C148" s="33" t="str">
        <f>IF(ISBLANK('Środki trwałe'!D449),"",'Środki trwałe'!D449)</f>
        <v/>
      </c>
      <c r="D148" s="245" t="str">
        <f>IF(ISBLANK('Środki trwałe'!E449),"",'Środki trwałe'!E449)</f>
        <v/>
      </c>
      <c r="E148" s="73">
        <f>IF(AND('Środki trwałe'!F449="tak",'Środki trwałe'!G449="nie"),'Środki trwałe'!H449,0)</f>
        <v>0</v>
      </c>
      <c r="F148" s="94">
        <f t="shared" si="35"/>
        <v>0</v>
      </c>
      <c r="G148" s="33">
        <f>IF(AND('Środki trwałe'!F449="tak",'Środki trwałe'!G449="tak"),'Środki trwałe'!I449,0)</f>
        <v>0</v>
      </c>
      <c r="H148" s="314"/>
      <c r="I148" s="52"/>
      <c r="J148" s="508" t="str">
        <f>IF(ISBLANK('Środki trwałe'!C449),"",'Środki trwałe'!C449)</f>
        <v/>
      </c>
      <c r="K148" s="33">
        <f t="shared" si="37"/>
        <v>0</v>
      </c>
      <c r="L148" s="33">
        <f t="shared" si="37"/>
        <v>0</v>
      </c>
      <c r="M148" s="33">
        <f t="shared" si="37"/>
        <v>0</v>
      </c>
      <c r="N148" s="33">
        <f t="shared" si="37"/>
        <v>0</v>
      </c>
      <c r="O148" s="33">
        <f t="shared" si="37"/>
        <v>0</v>
      </c>
      <c r="P148" s="33">
        <f t="shared" si="37"/>
        <v>0</v>
      </c>
      <c r="Q148" s="33">
        <f t="shared" si="37"/>
        <v>0</v>
      </c>
      <c r="R148" s="33">
        <f t="shared" si="37"/>
        <v>0</v>
      </c>
      <c r="S148" s="33">
        <f t="shared" si="37"/>
        <v>0</v>
      </c>
      <c r="T148" s="33">
        <f t="shared" si="37"/>
        <v>0</v>
      </c>
      <c r="U148" s="33">
        <f t="shared" si="37"/>
        <v>0</v>
      </c>
      <c r="V148" s="33">
        <f t="shared" si="37"/>
        <v>0</v>
      </c>
      <c r="W148" s="33">
        <f t="shared" si="37"/>
        <v>0</v>
      </c>
      <c r="X148" s="33">
        <f t="shared" si="37"/>
        <v>0</v>
      </c>
    </row>
    <row r="149" spans="2:24">
      <c r="B149" s="37" t="str">
        <f>IF(ISBLANK('Środki trwałe'!B450),"",'Środki trwałe'!B450)</f>
        <v/>
      </c>
      <c r="C149" s="33" t="str">
        <f>IF(ISBLANK('Środki trwałe'!D450),"",'Środki trwałe'!D450)</f>
        <v/>
      </c>
      <c r="D149" s="245" t="str">
        <f>IF(ISBLANK('Środki trwałe'!E450),"",'Środki trwałe'!E450)</f>
        <v/>
      </c>
      <c r="E149" s="73">
        <f>IF(AND('Środki trwałe'!F450="tak",'Środki trwałe'!G450="nie"),'Środki trwałe'!H450,0)</f>
        <v>0</v>
      </c>
      <c r="F149" s="94">
        <f t="shared" si="35"/>
        <v>0</v>
      </c>
      <c r="G149" s="33">
        <f>IF(AND('Środki trwałe'!F450="tak",'Środki trwałe'!G450="tak"),'Środki trwałe'!I450,0)</f>
        <v>0</v>
      </c>
      <c r="H149" s="314"/>
      <c r="I149" s="52"/>
      <c r="J149" s="508" t="str">
        <f>IF(ISBLANK('Środki trwałe'!C450),"",'Środki trwałe'!C450)</f>
        <v/>
      </c>
      <c r="K149" s="33">
        <f t="shared" si="37"/>
        <v>0</v>
      </c>
      <c r="L149" s="33">
        <f t="shared" si="37"/>
        <v>0</v>
      </c>
      <c r="M149" s="33">
        <f t="shared" si="37"/>
        <v>0</v>
      </c>
      <c r="N149" s="33">
        <f t="shared" si="37"/>
        <v>0</v>
      </c>
      <c r="O149" s="33">
        <f t="shared" si="37"/>
        <v>0</v>
      </c>
      <c r="P149" s="33">
        <f t="shared" si="37"/>
        <v>0</v>
      </c>
      <c r="Q149" s="33">
        <f t="shared" si="37"/>
        <v>0</v>
      </c>
      <c r="R149" s="33">
        <f t="shared" si="37"/>
        <v>0</v>
      </c>
      <c r="S149" s="33">
        <f t="shared" si="37"/>
        <v>0</v>
      </c>
      <c r="T149" s="33">
        <f t="shared" si="37"/>
        <v>0</v>
      </c>
      <c r="U149" s="33">
        <f t="shared" si="37"/>
        <v>0</v>
      </c>
      <c r="V149" s="33">
        <f t="shared" si="37"/>
        <v>0</v>
      </c>
      <c r="W149" s="33">
        <f t="shared" si="37"/>
        <v>0</v>
      </c>
      <c r="X149" s="33">
        <f t="shared" si="37"/>
        <v>0</v>
      </c>
    </row>
    <row r="150" spans="2:24">
      <c r="B150" s="37" t="str">
        <f>IF(ISBLANK('Środki trwałe'!B451),"",'Środki trwałe'!B451)</f>
        <v/>
      </c>
      <c r="C150" s="33" t="str">
        <f>IF(ISBLANK('Środki trwałe'!D451),"",'Środki trwałe'!D451)</f>
        <v/>
      </c>
      <c r="D150" s="245" t="str">
        <f>IF(ISBLANK('Środki trwałe'!E451),"",'Środki trwałe'!E451)</f>
        <v/>
      </c>
      <c r="E150" s="73">
        <f>IF(AND('Środki trwałe'!F451="tak",'Środki trwałe'!G451="nie"),'Środki trwałe'!H451,0)</f>
        <v>0</v>
      </c>
      <c r="F150" s="94">
        <f t="shared" si="35"/>
        <v>0</v>
      </c>
      <c r="G150" s="33">
        <f>IF(AND('Środki trwałe'!F451="tak",'Środki trwałe'!G451="tak"),'Środki trwałe'!I451,0)</f>
        <v>0</v>
      </c>
      <c r="H150" s="314"/>
      <c r="I150" s="52"/>
      <c r="J150" s="508" t="str">
        <f>IF(ISBLANK('Środki trwałe'!C451),"",'Środki trwałe'!C451)</f>
        <v/>
      </c>
      <c r="K150" s="33">
        <f t="shared" si="37"/>
        <v>0</v>
      </c>
      <c r="L150" s="33">
        <f t="shared" si="37"/>
        <v>0</v>
      </c>
      <c r="M150" s="33">
        <f t="shared" si="37"/>
        <v>0</v>
      </c>
      <c r="N150" s="33">
        <f t="shared" si="37"/>
        <v>0</v>
      </c>
      <c r="O150" s="33">
        <f t="shared" si="37"/>
        <v>0</v>
      </c>
      <c r="P150" s="33">
        <f t="shared" si="37"/>
        <v>0</v>
      </c>
      <c r="Q150" s="33">
        <f t="shared" si="37"/>
        <v>0</v>
      </c>
      <c r="R150" s="33">
        <f t="shared" si="37"/>
        <v>0</v>
      </c>
      <c r="S150" s="33">
        <f t="shared" si="37"/>
        <v>0</v>
      </c>
      <c r="T150" s="33">
        <f t="shared" si="37"/>
        <v>0</v>
      </c>
      <c r="U150" s="33">
        <f t="shared" si="37"/>
        <v>0</v>
      </c>
      <c r="V150" s="33">
        <f t="shared" si="37"/>
        <v>0</v>
      </c>
      <c r="W150" s="33">
        <f t="shared" si="37"/>
        <v>0</v>
      </c>
      <c r="X150" s="33">
        <f t="shared" si="37"/>
        <v>0</v>
      </c>
    </row>
    <row r="151" spans="2:24">
      <c r="B151" s="37" t="str">
        <f>IF(ISBLANK('Środki trwałe'!B452),"",'Środki trwałe'!B452)</f>
        <v/>
      </c>
      <c r="C151" s="33" t="str">
        <f>IF(ISBLANK('Środki trwałe'!D452),"",'Środki trwałe'!D452)</f>
        <v/>
      </c>
      <c r="D151" s="245" t="str">
        <f>IF(ISBLANK('Środki trwałe'!E452),"",'Środki trwałe'!E452)</f>
        <v/>
      </c>
      <c r="E151" s="73">
        <f>IF(AND('Środki trwałe'!F452="tak",'Środki trwałe'!G452="nie"),'Środki trwałe'!H452,0)</f>
        <v>0</v>
      </c>
      <c r="F151" s="94">
        <f t="shared" si="35"/>
        <v>0</v>
      </c>
      <c r="G151" s="33">
        <f>IF(AND('Środki trwałe'!F452="tak",'Środki trwałe'!G452="tak"),'Środki trwałe'!I452,0)</f>
        <v>0</v>
      </c>
      <c r="H151" s="314"/>
      <c r="I151" s="52"/>
      <c r="J151" s="508" t="str">
        <f>IF(ISBLANK('Środki trwałe'!C452),"",'Środki trwałe'!C452)</f>
        <v/>
      </c>
      <c r="K151" s="33">
        <f t="shared" si="37"/>
        <v>0</v>
      </c>
      <c r="L151" s="33">
        <f t="shared" si="37"/>
        <v>0</v>
      </c>
      <c r="M151" s="33">
        <f t="shared" si="37"/>
        <v>0</v>
      </c>
      <c r="N151" s="33">
        <f t="shared" si="37"/>
        <v>0</v>
      </c>
      <c r="O151" s="33">
        <f t="shared" si="37"/>
        <v>0</v>
      </c>
      <c r="P151" s="33">
        <f t="shared" si="37"/>
        <v>0</v>
      </c>
      <c r="Q151" s="33">
        <f t="shared" si="37"/>
        <v>0</v>
      </c>
      <c r="R151" s="33">
        <f t="shared" si="37"/>
        <v>0</v>
      </c>
      <c r="S151" s="33">
        <f t="shared" si="37"/>
        <v>0</v>
      </c>
      <c r="T151" s="33">
        <f t="shared" si="37"/>
        <v>0</v>
      </c>
      <c r="U151" s="33">
        <f t="shared" si="37"/>
        <v>0</v>
      </c>
      <c r="V151" s="33">
        <f t="shared" si="37"/>
        <v>0</v>
      </c>
      <c r="W151" s="33">
        <f t="shared" si="37"/>
        <v>0</v>
      </c>
      <c r="X151" s="33">
        <f t="shared" si="37"/>
        <v>0</v>
      </c>
    </row>
    <row r="152" spans="2:24">
      <c r="B152" s="37" t="str">
        <f>IF(ISBLANK('Środki trwałe'!B453),"",'Środki trwałe'!B453)</f>
        <v/>
      </c>
      <c r="C152" s="33" t="str">
        <f>IF(ISBLANK('Środki trwałe'!D453),"",'Środki trwałe'!D453)</f>
        <v/>
      </c>
      <c r="D152" s="245" t="str">
        <f>IF(ISBLANK('Środki trwałe'!E453),"",'Środki trwałe'!E453)</f>
        <v/>
      </c>
      <c r="E152" s="73">
        <f>IF(AND('Środki trwałe'!F453="tak",'Środki trwałe'!G453="nie"),'Środki trwałe'!H453,0)</f>
        <v>0</v>
      </c>
      <c r="F152" s="94">
        <f t="shared" si="35"/>
        <v>0</v>
      </c>
      <c r="G152" s="33">
        <f>IF(AND('Środki trwałe'!F453="tak",'Środki trwałe'!G453="tak"),'Środki trwałe'!I453,0)</f>
        <v>0</v>
      </c>
      <c r="H152" s="314"/>
      <c r="I152" s="52"/>
      <c r="J152" s="508" t="str">
        <f>IF(ISBLANK('Środki trwałe'!C453),"",'Środki trwałe'!C453)</f>
        <v/>
      </c>
      <c r="K152" s="33">
        <f t="shared" si="37"/>
        <v>0</v>
      </c>
      <c r="L152" s="33">
        <f t="shared" si="37"/>
        <v>0</v>
      </c>
      <c r="M152" s="33">
        <f t="shared" si="37"/>
        <v>0</v>
      </c>
      <c r="N152" s="33">
        <f t="shared" si="37"/>
        <v>0</v>
      </c>
      <c r="O152" s="33">
        <f t="shared" si="37"/>
        <v>0</v>
      </c>
      <c r="P152" s="33">
        <f t="shared" si="37"/>
        <v>0</v>
      </c>
      <c r="Q152" s="33">
        <f t="shared" si="37"/>
        <v>0</v>
      </c>
      <c r="R152" s="33">
        <f t="shared" si="37"/>
        <v>0</v>
      </c>
      <c r="S152" s="33">
        <f t="shared" si="37"/>
        <v>0</v>
      </c>
      <c r="T152" s="33">
        <f t="shared" si="37"/>
        <v>0</v>
      </c>
      <c r="U152" s="33">
        <f t="shared" si="37"/>
        <v>0</v>
      </c>
      <c r="V152" s="33">
        <f t="shared" si="37"/>
        <v>0</v>
      </c>
      <c r="W152" s="33">
        <f t="shared" si="37"/>
        <v>0</v>
      </c>
      <c r="X152" s="33">
        <f t="shared" si="37"/>
        <v>0</v>
      </c>
    </row>
    <row r="153" spans="2:24">
      <c r="B153" s="37" t="str">
        <f>IF(ISBLANK('Środki trwałe'!B454),"",'Środki trwałe'!B454)</f>
        <v/>
      </c>
      <c r="C153" s="33" t="str">
        <f>IF(ISBLANK('Środki trwałe'!D454),"",'Środki trwałe'!D454)</f>
        <v/>
      </c>
      <c r="D153" s="245" t="str">
        <f>IF(ISBLANK('Środki trwałe'!E454),"",'Środki trwałe'!E454)</f>
        <v/>
      </c>
      <c r="E153" s="73">
        <f>IF(AND('Środki trwałe'!F454="tak",'Środki trwałe'!G454="nie"),'Środki trwałe'!H454,0)</f>
        <v>0</v>
      </c>
      <c r="F153" s="94">
        <f t="shared" si="35"/>
        <v>0</v>
      </c>
      <c r="G153" s="33">
        <f>IF(AND('Środki trwałe'!F454="tak",'Środki trwałe'!G454="tak"),'Środki trwałe'!I454,0)</f>
        <v>0</v>
      </c>
      <c r="H153" s="314"/>
      <c r="I153" s="52"/>
      <c r="J153" s="508" t="str">
        <f>IF(ISBLANK('Środki trwałe'!C454),"",'Środki trwałe'!C454)</f>
        <v/>
      </c>
      <c r="K153" s="33">
        <f t="shared" si="37"/>
        <v>0</v>
      </c>
      <c r="L153" s="33">
        <f t="shared" si="37"/>
        <v>0</v>
      </c>
      <c r="M153" s="33">
        <f t="shared" si="37"/>
        <v>0</v>
      </c>
      <c r="N153" s="33">
        <f t="shared" si="37"/>
        <v>0</v>
      </c>
      <c r="O153" s="33">
        <f t="shared" si="37"/>
        <v>0</v>
      </c>
      <c r="P153" s="33">
        <f t="shared" si="37"/>
        <v>0</v>
      </c>
      <c r="Q153" s="33">
        <f t="shared" si="37"/>
        <v>0</v>
      </c>
      <c r="R153" s="33">
        <f t="shared" si="37"/>
        <v>0</v>
      </c>
      <c r="S153" s="33">
        <f t="shared" si="37"/>
        <v>0</v>
      </c>
      <c r="T153" s="33">
        <f t="shared" si="37"/>
        <v>0</v>
      </c>
      <c r="U153" s="33">
        <f t="shared" si="37"/>
        <v>0</v>
      </c>
      <c r="V153" s="33">
        <f t="shared" si="37"/>
        <v>0</v>
      </c>
      <c r="W153" s="33">
        <f t="shared" si="37"/>
        <v>0</v>
      </c>
      <c r="X153" s="33">
        <f t="shared" si="37"/>
        <v>0</v>
      </c>
    </row>
    <row r="154" spans="2:24">
      <c r="B154" s="37" t="str">
        <f>IF(ISBLANK('Środki trwałe'!B455),"",'Środki trwałe'!B455)</f>
        <v/>
      </c>
      <c r="C154" s="33" t="str">
        <f>IF(ISBLANK('Środki trwałe'!D455),"",'Środki trwałe'!D455)</f>
        <v/>
      </c>
      <c r="D154" s="245" t="str">
        <f>IF(ISBLANK('Środki trwałe'!E455),"",'Środki trwałe'!E455)</f>
        <v/>
      </c>
      <c r="E154" s="73">
        <f>IF(AND('Środki trwałe'!F455="tak",'Środki trwałe'!G455="nie"),'Środki trwałe'!H455,0)</f>
        <v>0</v>
      </c>
      <c r="F154" s="94">
        <f t="shared" si="35"/>
        <v>0</v>
      </c>
      <c r="G154" s="33">
        <f>IF(AND('Środki trwałe'!F455="tak",'Środki trwałe'!G455="tak"),'Środki trwałe'!I455,0)</f>
        <v>0</v>
      </c>
      <c r="H154" s="314"/>
      <c r="I154" s="52"/>
      <c r="J154" s="508" t="str">
        <f>IF(ISBLANK('Środki trwałe'!C455),"",'Środki trwałe'!C455)</f>
        <v/>
      </c>
      <c r="K154" s="33">
        <f t="shared" si="37"/>
        <v>0</v>
      </c>
      <c r="L154" s="33">
        <f t="shared" si="37"/>
        <v>0</v>
      </c>
      <c r="M154" s="33">
        <f t="shared" si="37"/>
        <v>0</v>
      </c>
      <c r="N154" s="33">
        <f t="shared" si="37"/>
        <v>0</v>
      </c>
      <c r="O154" s="33">
        <f t="shared" si="37"/>
        <v>0</v>
      </c>
      <c r="P154" s="33">
        <f t="shared" si="37"/>
        <v>0</v>
      </c>
      <c r="Q154" s="33">
        <f t="shared" si="37"/>
        <v>0</v>
      </c>
      <c r="R154" s="33">
        <f t="shared" si="37"/>
        <v>0</v>
      </c>
      <c r="S154" s="33">
        <f t="shared" si="37"/>
        <v>0</v>
      </c>
      <c r="T154" s="33">
        <f t="shared" si="37"/>
        <v>0</v>
      </c>
      <c r="U154" s="33">
        <f t="shared" si="37"/>
        <v>0</v>
      </c>
      <c r="V154" s="33">
        <f t="shared" si="37"/>
        <v>0</v>
      </c>
      <c r="W154" s="33">
        <f t="shared" si="37"/>
        <v>0</v>
      </c>
      <c r="X154" s="33">
        <f t="shared" si="37"/>
        <v>0</v>
      </c>
    </row>
    <row r="155" spans="2:24">
      <c r="B155" s="37" t="str">
        <f>IF(ISBLANK('Środki trwałe'!B456),"",'Środki trwałe'!B456)</f>
        <v/>
      </c>
      <c r="C155" s="33" t="str">
        <f>IF(ISBLANK('Środki trwałe'!D456),"",'Środki trwałe'!D456)</f>
        <v/>
      </c>
      <c r="D155" s="245" t="str">
        <f>IF(ISBLANK('Środki trwałe'!E456),"",'Środki trwałe'!E456)</f>
        <v/>
      </c>
      <c r="E155" s="73">
        <f>IF(AND('Środki trwałe'!F456="tak",'Środki trwałe'!G456="nie"),'Środki trwałe'!H456,0)</f>
        <v>0</v>
      </c>
      <c r="F155" s="94">
        <f t="shared" si="35"/>
        <v>0</v>
      </c>
      <c r="G155" s="33">
        <f>IF(AND('Środki trwałe'!F456="tak",'Środki trwałe'!G456="tak"),'Środki trwałe'!I456,0)</f>
        <v>0</v>
      </c>
      <c r="H155" s="314"/>
      <c r="I155" s="52"/>
      <c r="J155" s="508" t="str">
        <f>IF(ISBLANK('Środki trwałe'!C456),"",'Środki trwałe'!C456)</f>
        <v/>
      </c>
      <c r="K155" s="33">
        <f t="shared" si="37"/>
        <v>0</v>
      </c>
      <c r="L155" s="33">
        <f t="shared" si="37"/>
        <v>0</v>
      </c>
      <c r="M155" s="33">
        <f t="shared" si="37"/>
        <v>0</v>
      </c>
      <c r="N155" s="33">
        <f t="shared" si="37"/>
        <v>0</v>
      </c>
      <c r="O155" s="33">
        <f t="shared" si="37"/>
        <v>0</v>
      </c>
      <c r="P155" s="33">
        <f t="shared" si="37"/>
        <v>0</v>
      </c>
      <c r="Q155" s="33">
        <f t="shared" si="37"/>
        <v>0</v>
      </c>
      <c r="R155" s="33">
        <f t="shared" si="37"/>
        <v>0</v>
      </c>
      <c r="S155" s="33">
        <f t="shared" si="37"/>
        <v>0</v>
      </c>
      <c r="T155" s="33">
        <f t="shared" si="37"/>
        <v>0</v>
      </c>
      <c r="U155" s="33">
        <f t="shared" si="37"/>
        <v>0</v>
      </c>
      <c r="V155" s="33">
        <f t="shared" si="37"/>
        <v>0</v>
      </c>
      <c r="W155" s="33">
        <f t="shared" si="37"/>
        <v>0</v>
      </c>
      <c r="X155" s="33">
        <f t="shared" si="37"/>
        <v>0</v>
      </c>
    </row>
    <row r="156" spans="2:24">
      <c r="B156" s="262" t="str">
        <f>IF(ISBLANK('Środki trwałe'!B457),"",'Środki trwałe'!B457)</f>
        <v/>
      </c>
      <c r="C156" s="263" t="str">
        <f>IF(ISBLANK('Środki trwałe'!D457),"",'Środki trwałe'!D457)</f>
        <v/>
      </c>
      <c r="D156" s="264" t="str">
        <f>IF(ISBLANK('Środki trwałe'!E457),"",'Środki trwałe'!E457)</f>
        <v/>
      </c>
      <c r="E156" s="265">
        <f>IF(AND('Środki trwałe'!F457="tak",'Środki trwałe'!G457="nie"),'Środki trwałe'!H457,0)</f>
        <v>0</v>
      </c>
      <c r="F156" s="175">
        <f t="shared" ref="F156:F161" si="38">IFERROR(IF(E156=0,0,ROUND(E156*C156,0)),0)</f>
        <v>0</v>
      </c>
      <c r="G156" s="33">
        <f>IF(AND('Środki trwałe'!F457="tak",'Środki trwałe'!G457="tak"),'Środki trwałe'!I457,0)</f>
        <v>0</v>
      </c>
      <c r="H156" s="322"/>
      <c r="I156" s="266"/>
      <c r="J156" s="508" t="str">
        <f>IF(ISBLANK('Środki trwałe'!C457),"",'Środki trwałe'!C457)</f>
        <v/>
      </c>
      <c r="K156" s="263">
        <f t="shared" ref="K156:X161" si="39">IFERROR(ROUND(IF(AND(YEAR($D156)=LataProjekcji,$F156&gt;0),$F156,0),0),0)</f>
        <v>0</v>
      </c>
      <c r="L156" s="263">
        <f t="shared" si="39"/>
        <v>0</v>
      </c>
      <c r="M156" s="263">
        <f t="shared" si="39"/>
        <v>0</v>
      </c>
      <c r="N156" s="263">
        <f t="shared" si="39"/>
        <v>0</v>
      </c>
      <c r="O156" s="263">
        <f t="shared" si="39"/>
        <v>0</v>
      </c>
      <c r="P156" s="263">
        <f t="shared" si="39"/>
        <v>0</v>
      </c>
      <c r="Q156" s="263">
        <f t="shared" si="39"/>
        <v>0</v>
      </c>
      <c r="R156" s="263">
        <f t="shared" si="39"/>
        <v>0</v>
      </c>
      <c r="S156" s="263">
        <f t="shared" si="39"/>
        <v>0</v>
      </c>
      <c r="T156" s="263">
        <f t="shared" si="39"/>
        <v>0</v>
      </c>
      <c r="U156" s="263">
        <f t="shared" si="39"/>
        <v>0</v>
      </c>
      <c r="V156" s="263">
        <f t="shared" si="39"/>
        <v>0</v>
      </c>
      <c r="W156" s="263">
        <f t="shared" si="39"/>
        <v>0</v>
      </c>
      <c r="X156" s="263">
        <f t="shared" si="39"/>
        <v>0</v>
      </c>
    </row>
    <row r="157" spans="2:24">
      <c r="B157" s="262" t="str">
        <f>IF(ISBLANK('Środki trwałe'!B458),"",'Środki trwałe'!B458)</f>
        <v/>
      </c>
      <c r="C157" s="263" t="str">
        <f>IF(ISBLANK('Środki trwałe'!D458),"",'Środki trwałe'!D458)</f>
        <v/>
      </c>
      <c r="D157" s="264" t="str">
        <f>IF(ISBLANK('Środki trwałe'!E458),"",'Środki trwałe'!E458)</f>
        <v/>
      </c>
      <c r="E157" s="265">
        <f>IF(AND('Środki trwałe'!F458="tak",'Środki trwałe'!G458="nie"),'Środki trwałe'!H458,0)</f>
        <v>0</v>
      </c>
      <c r="F157" s="175">
        <f t="shared" si="38"/>
        <v>0</v>
      </c>
      <c r="G157" s="33">
        <f>IF(AND('Środki trwałe'!F458="tak",'Środki trwałe'!G458="tak"),'Środki trwałe'!I458,0)</f>
        <v>0</v>
      </c>
      <c r="H157" s="322"/>
      <c r="I157" s="266"/>
      <c r="J157" s="508" t="str">
        <f>IF(ISBLANK('Środki trwałe'!C458),"",'Środki trwałe'!C458)</f>
        <v/>
      </c>
      <c r="K157" s="263">
        <f t="shared" si="39"/>
        <v>0</v>
      </c>
      <c r="L157" s="263">
        <f t="shared" si="39"/>
        <v>0</v>
      </c>
      <c r="M157" s="263">
        <f t="shared" si="39"/>
        <v>0</v>
      </c>
      <c r="N157" s="263">
        <f t="shared" si="39"/>
        <v>0</v>
      </c>
      <c r="O157" s="263">
        <f t="shared" si="39"/>
        <v>0</v>
      </c>
      <c r="P157" s="263">
        <f t="shared" si="39"/>
        <v>0</v>
      </c>
      <c r="Q157" s="263">
        <f t="shared" si="39"/>
        <v>0</v>
      </c>
      <c r="R157" s="263">
        <f t="shared" si="39"/>
        <v>0</v>
      </c>
      <c r="S157" s="263">
        <f t="shared" si="39"/>
        <v>0</v>
      </c>
      <c r="T157" s="263">
        <f t="shared" si="39"/>
        <v>0</v>
      </c>
      <c r="U157" s="263">
        <f t="shared" si="39"/>
        <v>0</v>
      </c>
      <c r="V157" s="263">
        <f t="shared" si="39"/>
        <v>0</v>
      </c>
      <c r="W157" s="263">
        <f t="shared" si="39"/>
        <v>0</v>
      </c>
      <c r="X157" s="263">
        <f t="shared" si="39"/>
        <v>0</v>
      </c>
    </row>
    <row r="158" spans="2:24">
      <c r="B158" s="262" t="str">
        <f>IF(ISBLANK('Środki trwałe'!B459),"",'Środki trwałe'!B459)</f>
        <v/>
      </c>
      <c r="C158" s="263" t="str">
        <f>IF(ISBLANK('Środki trwałe'!D459),"",'Środki trwałe'!D459)</f>
        <v/>
      </c>
      <c r="D158" s="264" t="str">
        <f>IF(ISBLANK('Środki trwałe'!E459),"",'Środki trwałe'!E459)</f>
        <v/>
      </c>
      <c r="E158" s="265">
        <f>IF(AND('Środki trwałe'!F459="tak",'Środki trwałe'!G459="nie"),'Środki trwałe'!H459,0)</f>
        <v>0</v>
      </c>
      <c r="F158" s="175">
        <f t="shared" si="38"/>
        <v>0</v>
      </c>
      <c r="G158" s="33">
        <f>IF(AND('Środki trwałe'!F459="tak",'Środki trwałe'!G459="tak"),'Środki trwałe'!I459,0)</f>
        <v>0</v>
      </c>
      <c r="H158" s="322"/>
      <c r="I158" s="266"/>
      <c r="J158" s="508" t="str">
        <f>IF(ISBLANK('Środki trwałe'!C459),"",'Środki trwałe'!C459)</f>
        <v/>
      </c>
      <c r="K158" s="263">
        <f t="shared" si="39"/>
        <v>0</v>
      </c>
      <c r="L158" s="263">
        <f t="shared" si="39"/>
        <v>0</v>
      </c>
      <c r="M158" s="263">
        <f t="shared" si="39"/>
        <v>0</v>
      </c>
      <c r="N158" s="263">
        <f t="shared" si="39"/>
        <v>0</v>
      </c>
      <c r="O158" s="263">
        <f t="shared" si="39"/>
        <v>0</v>
      </c>
      <c r="P158" s="263">
        <f t="shared" si="39"/>
        <v>0</v>
      </c>
      <c r="Q158" s="263">
        <f t="shared" si="39"/>
        <v>0</v>
      </c>
      <c r="R158" s="263">
        <f t="shared" si="39"/>
        <v>0</v>
      </c>
      <c r="S158" s="263">
        <f t="shared" si="39"/>
        <v>0</v>
      </c>
      <c r="T158" s="263">
        <f t="shared" si="39"/>
        <v>0</v>
      </c>
      <c r="U158" s="263">
        <f t="shared" si="39"/>
        <v>0</v>
      </c>
      <c r="V158" s="263">
        <f t="shared" si="39"/>
        <v>0</v>
      </c>
      <c r="W158" s="263">
        <f t="shared" si="39"/>
        <v>0</v>
      </c>
      <c r="X158" s="263">
        <f t="shared" si="39"/>
        <v>0</v>
      </c>
    </row>
    <row r="159" spans="2:24">
      <c r="B159" s="262" t="str">
        <f>IF(ISBLANK('Środki trwałe'!B460),"",'Środki trwałe'!B460)</f>
        <v/>
      </c>
      <c r="C159" s="263" t="str">
        <f>IF(ISBLANK('Środki trwałe'!D460),"",'Środki trwałe'!D460)</f>
        <v/>
      </c>
      <c r="D159" s="264" t="str">
        <f>IF(ISBLANK('Środki trwałe'!E460),"",'Środki trwałe'!E460)</f>
        <v/>
      </c>
      <c r="E159" s="265">
        <f>IF(AND('Środki trwałe'!F460="tak",'Środki trwałe'!G460="nie"),'Środki trwałe'!H460,0)</f>
        <v>0</v>
      </c>
      <c r="F159" s="175">
        <f t="shared" si="38"/>
        <v>0</v>
      </c>
      <c r="G159" s="33">
        <f>IF(AND('Środki trwałe'!F460="tak",'Środki trwałe'!G460="tak"),'Środki trwałe'!I460,0)</f>
        <v>0</v>
      </c>
      <c r="H159" s="322"/>
      <c r="I159" s="266"/>
      <c r="J159" s="508" t="str">
        <f>IF(ISBLANK('Środki trwałe'!C460),"",'Środki trwałe'!C460)</f>
        <v/>
      </c>
      <c r="K159" s="263">
        <f t="shared" si="39"/>
        <v>0</v>
      </c>
      <c r="L159" s="263">
        <f t="shared" si="39"/>
        <v>0</v>
      </c>
      <c r="M159" s="263">
        <f t="shared" si="39"/>
        <v>0</v>
      </c>
      <c r="N159" s="263">
        <f t="shared" si="39"/>
        <v>0</v>
      </c>
      <c r="O159" s="263">
        <f t="shared" si="39"/>
        <v>0</v>
      </c>
      <c r="P159" s="263">
        <f t="shared" si="39"/>
        <v>0</v>
      </c>
      <c r="Q159" s="263">
        <f t="shared" si="39"/>
        <v>0</v>
      </c>
      <c r="R159" s="263">
        <f t="shared" si="39"/>
        <v>0</v>
      </c>
      <c r="S159" s="263">
        <f t="shared" si="39"/>
        <v>0</v>
      </c>
      <c r="T159" s="263">
        <f t="shared" si="39"/>
        <v>0</v>
      </c>
      <c r="U159" s="263">
        <f t="shared" si="39"/>
        <v>0</v>
      </c>
      <c r="V159" s="263">
        <f t="shared" si="39"/>
        <v>0</v>
      </c>
      <c r="W159" s="263">
        <f t="shared" si="39"/>
        <v>0</v>
      </c>
      <c r="X159" s="263">
        <f t="shared" si="39"/>
        <v>0</v>
      </c>
    </row>
    <row r="160" spans="2:24">
      <c r="B160" s="262" t="str">
        <f>IF(ISBLANK('Środki trwałe'!B461),"",'Środki trwałe'!B461)</f>
        <v/>
      </c>
      <c r="C160" s="263" t="str">
        <f>IF(ISBLANK('Środki trwałe'!D461),"",'Środki trwałe'!D461)</f>
        <v/>
      </c>
      <c r="D160" s="264" t="str">
        <f>IF(ISBLANK('Środki trwałe'!E461),"",'Środki trwałe'!E461)</f>
        <v/>
      </c>
      <c r="E160" s="265">
        <f>IF(AND('Środki trwałe'!F461="tak",'Środki trwałe'!G461="nie"),'Środki trwałe'!H461,0)</f>
        <v>0</v>
      </c>
      <c r="F160" s="175">
        <f t="shared" si="38"/>
        <v>0</v>
      </c>
      <c r="G160" s="33">
        <f>IF(AND('Środki trwałe'!F461="tak",'Środki trwałe'!G461="tak"),'Środki trwałe'!I461,0)</f>
        <v>0</v>
      </c>
      <c r="H160" s="322"/>
      <c r="I160" s="266"/>
      <c r="J160" s="508" t="str">
        <f>IF(ISBLANK('Środki trwałe'!C461),"",'Środki trwałe'!C461)</f>
        <v/>
      </c>
      <c r="K160" s="263">
        <f t="shared" si="39"/>
        <v>0</v>
      </c>
      <c r="L160" s="263">
        <f t="shared" si="39"/>
        <v>0</v>
      </c>
      <c r="M160" s="263">
        <f t="shared" si="39"/>
        <v>0</v>
      </c>
      <c r="N160" s="263">
        <f t="shared" si="39"/>
        <v>0</v>
      </c>
      <c r="O160" s="263">
        <f t="shared" si="39"/>
        <v>0</v>
      </c>
      <c r="P160" s="263">
        <f t="shared" si="39"/>
        <v>0</v>
      </c>
      <c r="Q160" s="263">
        <f t="shared" si="39"/>
        <v>0</v>
      </c>
      <c r="R160" s="263">
        <f t="shared" si="39"/>
        <v>0</v>
      </c>
      <c r="S160" s="263">
        <f t="shared" si="39"/>
        <v>0</v>
      </c>
      <c r="T160" s="263">
        <f t="shared" si="39"/>
        <v>0</v>
      </c>
      <c r="U160" s="263">
        <f t="shared" si="39"/>
        <v>0</v>
      </c>
      <c r="V160" s="263">
        <f t="shared" si="39"/>
        <v>0</v>
      </c>
      <c r="W160" s="263">
        <f t="shared" si="39"/>
        <v>0</v>
      </c>
      <c r="X160" s="263">
        <f t="shared" si="39"/>
        <v>0</v>
      </c>
    </row>
    <row r="161" spans="1:24">
      <c r="B161" s="262" t="str">
        <f>IF(ISBLANK('Środki trwałe'!B462),"",'Środki trwałe'!B462)</f>
        <v/>
      </c>
      <c r="C161" s="263" t="str">
        <f>IF(ISBLANK('Środki trwałe'!D462),"",'Środki trwałe'!D462)</f>
        <v/>
      </c>
      <c r="D161" s="264" t="str">
        <f>IF(ISBLANK('Środki trwałe'!E462),"",'Środki trwałe'!E462)</f>
        <v/>
      </c>
      <c r="E161" s="273">
        <f>IF(AND('Środki trwałe'!F462="tak",'Środki trwałe'!G462="nie"),'Środki trwałe'!H462,0)</f>
        <v>0</v>
      </c>
      <c r="F161" s="175">
        <f t="shared" si="38"/>
        <v>0</v>
      </c>
      <c r="G161" s="33">
        <f>IF(AND('Środki trwałe'!F462="tak",'Środki trwałe'!G462="tak"),'Środki trwałe'!I462,0)</f>
        <v>0</v>
      </c>
      <c r="H161" s="322"/>
      <c r="I161" s="266"/>
      <c r="J161" s="508" t="str">
        <f>IF(ISBLANK('Środki trwałe'!C462),"",'Środki trwałe'!C462)</f>
        <v/>
      </c>
      <c r="K161" s="263">
        <f t="shared" si="39"/>
        <v>0</v>
      </c>
      <c r="L161" s="263">
        <f t="shared" si="39"/>
        <v>0</v>
      </c>
      <c r="M161" s="263">
        <f t="shared" si="39"/>
        <v>0</v>
      </c>
      <c r="N161" s="263">
        <f t="shared" si="39"/>
        <v>0</v>
      </c>
      <c r="O161" s="263">
        <f t="shared" si="39"/>
        <v>0</v>
      </c>
      <c r="P161" s="263">
        <f t="shared" si="39"/>
        <v>0</v>
      </c>
      <c r="Q161" s="263">
        <f t="shared" si="39"/>
        <v>0</v>
      </c>
      <c r="R161" s="263">
        <f t="shared" si="39"/>
        <v>0</v>
      </c>
      <c r="S161" s="263">
        <f t="shared" si="39"/>
        <v>0</v>
      </c>
      <c r="T161" s="263">
        <f t="shared" si="39"/>
        <v>0</v>
      </c>
      <c r="U161" s="263">
        <f t="shared" si="39"/>
        <v>0</v>
      </c>
      <c r="V161" s="263">
        <f t="shared" si="39"/>
        <v>0</v>
      </c>
      <c r="W161" s="263">
        <f t="shared" si="39"/>
        <v>0</v>
      </c>
      <c r="X161" s="263">
        <f t="shared" si="39"/>
        <v>0</v>
      </c>
    </row>
    <row r="162" spans="1:24">
      <c r="B162" s="98" t="s">
        <v>335</v>
      </c>
      <c r="C162" s="97">
        <f>SUM(C117:C161)</f>
        <v>0</v>
      </c>
      <c r="D162" s="199"/>
      <c r="E162" s="96"/>
      <c r="F162" s="97">
        <f>SUM(F117:F161)</f>
        <v>0</v>
      </c>
      <c r="G162" s="97">
        <f>SUM(G117:G161)</f>
        <v>0</v>
      </c>
      <c r="H162" s="319"/>
      <c r="I162" s="96"/>
      <c r="J162" s="509"/>
      <c r="K162" s="97">
        <f t="shared" ref="K162:X162" si="40">ROUND(SUM(K117:K161),0)</f>
        <v>0</v>
      </c>
      <c r="L162" s="97">
        <f t="shared" si="40"/>
        <v>0</v>
      </c>
      <c r="M162" s="97">
        <f t="shared" si="40"/>
        <v>0</v>
      </c>
      <c r="N162" s="97">
        <f t="shared" si="40"/>
        <v>0</v>
      </c>
      <c r="O162" s="97">
        <f t="shared" si="40"/>
        <v>0</v>
      </c>
      <c r="P162" s="97">
        <f t="shared" si="40"/>
        <v>0</v>
      </c>
      <c r="Q162" s="97">
        <f t="shared" si="40"/>
        <v>0</v>
      </c>
      <c r="R162" s="97">
        <f t="shared" si="40"/>
        <v>0</v>
      </c>
      <c r="S162" s="97">
        <f t="shared" si="40"/>
        <v>0</v>
      </c>
      <c r="T162" s="97">
        <f t="shared" si="40"/>
        <v>0</v>
      </c>
      <c r="U162" s="97">
        <f t="shared" si="40"/>
        <v>0</v>
      </c>
      <c r="V162" s="97">
        <f t="shared" si="40"/>
        <v>0</v>
      </c>
      <c r="W162" s="97">
        <f t="shared" si="40"/>
        <v>0</v>
      </c>
      <c r="X162" s="97">
        <f t="shared" si="40"/>
        <v>0</v>
      </c>
    </row>
    <row r="163" spans="1:24">
      <c r="B163" s="103" t="s">
        <v>450</v>
      </c>
      <c r="C163" s="101"/>
      <c r="D163" s="101"/>
      <c r="E163" s="101"/>
      <c r="F163" s="101"/>
      <c r="G163" s="101"/>
      <c r="H163" s="315"/>
      <c r="I163" s="101"/>
      <c r="J163" s="510"/>
      <c r="K163" s="102">
        <f t="shared" ref="K163:X163" ca="1" si="41">ROUND(K726+K733+K740+K747+K999+K1006+K1013+K1020+K1027+K1034+K754+K761+K768+K775+K782+K789+K796+K803+K810+K817+K824+K831+K838+K845+K852+K859+K866+K873+K880+K887+K894+K901+K908+K915+K922+K929+K936+K943+K950+K957+K964+K971+K978+K985+K992,0)</f>
        <v>0</v>
      </c>
      <c r="L163" s="102">
        <f t="shared" ca="1" si="41"/>
        <v>0</v>
      </c>
      <c r="M163" s="102">
        <f t="shared" ca="1" si="41"/>
        <v>0</v>
      </c>
      <c r="N163" s="102">
        <f t="shared" ca="1" si="41"/>
        <v>0</v>
      </c>
      <c r="O163" s="102">
        <f t="shared" ca="1" si="41"/>
        <v>0</v>
      </c>
      <c r="P163" s="102">
        <f t="shared" ca="1" si="41"/>
        <v>0</v>
      </c>
      <c r="Q163" s="102">
        <f t="shared" ca="1" si="41"/>
        <v>0</v>
      </c>
      <c r="R163" s="102">
        <f t="shared" ca="1" si="41"/>
        <v>0</v>
      </c>
      <c r="S163" s="102">
        <f t="shared" ca="1" si="41"/>
        <v>0</v>
      </c>
      <c r="T163" s="102">
        <f t="shared" ca="1" si="41"/>
        <v>0</v>
      </c>
      <c r="U163" s="102">
        <f t="shared" ca="1" si="41"/>
        <v>0</v>
      </c>
      <c r="V163" s="102">
        <f t="shared" ca="1" si="41"/>
        <v>0</v>
      </c>
      <c r="W163" s="102">
        <f t="shared" ca="1" si="41"/>
        <v>0</v>
      </c>
      <c r="X163" s="102">
        <f t="shared" ca="1" si="41"/>
        <v>0</v>
      </c>
    </row>
    <row r="164" spans="1:24">
      <c r="B164" s="37" t="s">
        <v>451</v>
      </c>
      <c r="C164" s="52"/>
      <c r="D164" s="52"/>
      <c r="E164" s="52"/>
      <c r="F164" s="52"/>
      <c r="G164" s="52"/>
      <c r="H164" s="314"/>
      <c r="I164" s="52"/>
      <c r="J164" s="511"/>
      <c r="K164" s="33">
        <f t="shared" ref="K164:X164" ca="1" si="42">ROUND(K727+K734+K741+K748+K1000+K1007+K1014+K1021+K1028+K1035+K755+K762+K769+K776+K783+K790+K797+K804+K811+K818+K825+K832+K839+K846+K853+K860+K867+K874+K881+K888+K895+K902+K909+K916+K923+K930+K937+K944+K951+K958+K965+K972+K979+K986+K993,0)</f>
        <v>0</v>
      </c>
      <c r="L164" s="33">
        <f t="shared" ca="1" si="42"/>
        <v>0</v>
      </c>
      <c r="M164" s="33">
        <f t="shared" ca="1" si="42"/>
        <v>0</v>
      </c>
      <c r="N164" s="33">
        <f t="shared" ca="1" si="42"/>
        <v>0</v>
      </c>
      <c r="O164" s="33">
        <f t="shared" ca="1" si="42"/>
        <v>0</v>
      </c>
      <c r="P164" s="33">
        <f t="shared" ca="1" si="42"/>
        <v>0</v>
      </c>
      <c r="Q164" s="33">
        <f t="shared" ca="1" si="42"/>
        <v>0</v>
      </c>
      <c r="R164" s="33">
        <f t="shared" ca="1" si="42"/>
        <v>0</v>
      </c>
      <c r="S164" s="33">
        <f t="shared" ca="1" si="42"/>
        <v>0</v>
      </c>
      <c r="T164" s="33">
        <f t="shared" ca="1" si="42"/>
        <v>0</v>
      </c>
      <c r="U164" s="33">
        <f t="shared" ca="1" si="42"/>
        <v>0</v>
      </c>
      <c r="V164" s="33">
        <f t="shared" ca="1" si="42"/>
        <v>0</v>
      </c>
      <c r="W164" s="33">
        <f t="shared" ca="1" si="42"/>
        <v>0</v>
      </c>
      <c r="X164" s="33">
        <f t="shared" ca="1" si="42"/>
        <v>0</v>
      </c>
    </row>
    <row r="165" spans="1:24">
      <c r="B165" s="105" t="s">
        <v>452</v>
      </c>
      <c r="C165" s="105"/>
      <c r="D165" s="105"/>
      <c r="E165" s="105"/>
      <c r="F165" s="105"/>
      <c r="G165" s="105"/>
      <c r="H165" s="323"/>
      <c r="I165" s="105"/>
      <c r="J165" s="512"/>
      <c r="K165" s="106">
        <f>'Środki trwałe'!K561</f>
        <v>0</v>
      </c>
      <c r="L165" s="106">
        <f>'Środki trwałe'!L561</f>
        <v>0</v>
      </c>
      <c r="M165" s="106">
        <f>'Środki trwałe'!M561</f>
        <v>0</v>
      </c>
      <c r="N165" s="106">
        <f>'Środki trwałe'!N561</f>
        <v>0</v>
      </c>
      <c r="O165" s="106">
        <f>'Środki trwałe'!O561</f>
        <v>0</v>
      </c>
      <c r="P165" s="106">
        <f>'Środki trwałe'!P561</f>
        <v>0</v>
      </c>
      <c r="Q165" s="106">
        <f>'Środki trwałe'!Q561</f>
        <v>0</v>
      </c>
      <c r="R165" s="106">
        <f>'Środki trwałe'!R561</f>
        <v>0</v>
      </c>
      <c r="S165" s="106">
        <f>'Środki trwałe'!S561</f>
        <v>0</v>
      </c>
      <c r="T165" s="106">
        <f>'Środki trwałe'!T561</f>
        <v>0</v>
      </c>
      <c r="U165" s="106">
        <f>'Środki trwałe'!U561</f>
        <v>0</v>
      </c>
      <c r="V165" s="106">
        <f>'Środki trwałe'!V561</f>
        <v>0</v>
      </c>
      <c r="W165" s="106">
        <f>'Środki trwałe'!W561</f>
        <v>0</v>
      </c>
      <c r="X165" s="106">
        <f>'Środki trwałe'!X561</f>
        <v>0</v>
      </c>
    </row>
    <row r="166" spans="1:24">
      <c r="B166" s="200" t="s">
        <v>453</v>
      </c>
      <c r="C166" s="52"/>
      <c r="D166" s="52"/>
      <c r="E166" s="52"/>
      <c r="F166" s="52"/>
      <c r="G166" s="52"/>
      <c r="H166" s="314"/>
      <c r="I166" s="52"/>
      <c r="J166" s="511"/>
      <c r="K166" s="86">
        <f t="shared" ref="K166:X166" ca="1" si="43">ROUND(K728+K735+K742+K749+K1001+K1008+K1015+K1022+K1029+K1036+K756+K763+K770+K777+K784+K791+K798+K805+K812+K819+K826+K833+K840+K847+K854+K861+K868+K875+K882+K889+K896+K903+K910+K917+K924+K931+K938+K945+K952+K959+K966+K973+K980+K987+K994,0)</f>
        <v>0</v>
      </c>
      <c r="L166" s="86">
        <f t="shared" ca="1" si="43"/>
        <v>0</v>
      </c>
      <c r="M166" s="86">
        <f t="shared" ca="1" si="43"/>
        <v>0</v>
      </c>
      <c r="N166" s="86">
        <f t="shared" ca="1" si="43"/>
        <v>0</v>
      </c>
      <c r="O166" s="86">
        <f t="shared" ca="1" si="43"/>
        <v>0</v>
      </c>
      <c r="P166" s="86">
        <f t="shared" ca="1" si="43"/>
        <v>0</v>
      </c>
      <c r="Q166" s="86">
        <f t="shared" ca="1" si="43"/>
        <v>0</v>
      </c>
      <c r="R166" s="86">
        <f t="shared" ca="1" si="43"/>
        <v>0</v>
      </c>
      <c r="S166" s="86">
        <f t="shared" ca="1" si="43"/>
        <v>0</v>
      </c>
      <c r="T166" s="86">
        <f t="shared" ca="1" si="43"/>
        <v>0</v>
      </c>
      <c r="U166" s="86">
        <f t="shared" ca="1" si="43"/>
        <v>0</v>
      </c>
      <c r="V166" s="86">
        <f t="shared" ca="1" si="43"/>
        <v>0</v>
      </c>
      <c r="W166" s="86">
        <f t="shared" ca="1" si="43"/>
        <v>0</v>
      </c>
      <c r="X166" s="86">
        <f t="shared" ca="1" si="43"/>
        <v>0</v>
      </c>
    </row>
    <row r="167" spans="1:24">
      <c r="J167" s="514"/>
    </row>
    <row r="168" spans="1:24" customFormat="1">
      <c r="A168" s="1"/>
      <c r="J168" s="495"/>
    </row>
    <row r="169" spans="1:24" ht="21">
      <c r="B169" s="227" t="s">
        <v>392</v>
      </c>
      <c r="C169" s="228" t="s">
        <v>406</v>
      </c>
      <c r="D169" s="229" t="s">
        <v>421</v>
      </c>
      <c r="E169" s="229" t="s">
        <v>408</v>
      </c>
      <c r="F169" s="229" t="s">
        <v>409</v>
      </c>
      <c r="G169" s="229" t="s">
        <v>449</v>
      </c>
      <c r="H169" s="311"/>
      <c r="I169" s="230"/>
      <c r="J169" s="513"/>
      <c r="K169" s="231" t="str">
        <f t="shared" ref="K169:X169" si="44">LataProjekcji</f>
        <v>Uzupełnij dane</v>
      </c>
      <c r="L169" s="231" t="str">
        <f t="shared" si="44"/>
        <v/>
      </c>
      <c r="M169" s="231" t="str">
        <f t="shared" si="44"/>
        <v/>
      </c>
      <c r="N169" s="231" t="str">
        <f t="shared" si="44"/>
        <v/>
      </c>
      <c r="O169" s="231" t="str">
        <f t="shared" si="44"/>
        <v/>
      </c>
      <c r="P169" s="231" t="str">
        <f t="shared" si="44"/>
        <v/>
      </c>
      <c r="Q169" s="231" t="str">
        <f t="shared" si="44"/>
        <v/>
      </c>
      <c r="R169" s="231" t="str">
        <f t="shared" si="44"/>
        <v/>
      </c>
      <c r="S169" s="231" t="str">
        <f t="shared" si="44"/>
        <v/>
      </c>
      <c r="T169" s="231" t="str">
        <f t="shared" si="44"/>
        <v/>
      </c>
      <c r="U169" s="231" t="str">
        <f t="shared" si="44"/>
        <v/>
      </c>
      <c r="V169" s="231" t="str">
        <f t="shared" si="44"/>
        <v/>
      </c>
      <c r="W169" s="231" t="str">
        <f t="shared" si="44"/>
        <v/>
      </c>
      <c r="X169" s="231" t="str">
        <f t="shared" si="44"/>
        <v/>
      </c>
    </row>
    <row r="170" spans="1:24">
      <c r="B170" s="103" t="str">
        <f>IF(ISBLANK('Środki trwałe'!B574),"",'Środki trwałe'!B574)</f>
        <v/>
      </c>
      <c r="C170" s="102" t="str">
        <f>IF(ISBLANK('Środki trwałe'!D574),"",'Środki trwałe'!D574)</f>
        <v/>
      </c>
      <c r="D170" s="245" t="str">
        <f>IF(ISBLANK('Środki trwałe'!E574),"",'Środki trwałe'!E574)</f>
        <v/>
      </c>
      <c r="E170" s="197">
        <f>IF(AND('Środki trwałe'!F574="tak",'Środki trwałe'!G574="nie"),'Środki trwałe'!H574,0)</f>
        <v>0</v>
      </c>
      <c r="F170" s="94">
        <f t="shared" ref="F170:F179" si="45">IFERROR(IF(E170=0,0,ROUND(E170*C170,0)),0)</f>
        <v>0</v>
      </c>
      <c r="G170" s="102">
        <f>IF(AND('Środki trwałe'!F574="tak",'Środki trwałe'!G574="tak"),'Środki trwałe'!I574,0)</f>
        <v>0</v>
      </c>
      <c r="H170" s="315"/>
      <c r="I170" s="101"/>
      <c r="J170" s="515" t="str">
        <f>IF(ISBLANK('Środki trwałe'!C574),"",'Środki trwałe'!C574)</f>
        <v/>
      </c>
      <c r="K170" s="102">
        <f t="shared" ref="K170:X179" si="46">IFERROR(ROUND(IF(AND(YEAR($D170)=LataProjekcji,$F170&gt;0),$F170,0),0),0)</f>
        <v>0</v>
      </c>
      <c r="L170" s="102">
        <f t="shared" si="46"/>
        <v>0</v>
      </c>
      <c r="M170" s="102">
        <f t="shared" si="46"/>
        <v>0</v>
      </c>
      <c r="N170" s="102">
        <f t="shared" si="46"/>
        <v>0</v>
      </c>
      <c r="O170" s="102">
        <f t="shared" si="46"/>
        <v>0</v>
      </c>
      <c r="P170" s="102">
        <f t="shared" si="46"/>
        <v>0</v>
      </c>
      <c r="Q170" s="102">
        <f t="shared" si="46"/>
        <v>0</v>
      </c>
      <c r="R170" s="102">
        <f t="shared" si="46"/>
        <v>0</v>
      </c>
      <c r="S170" s="102">
        <f t="shared" si="46"/>
        <v>0</v>
      </c>
      <c r="T170" s="102">
        <f t="shared" si="46"/>
        <v>0</v>
      </c>
      <c r="U170" s="102">
        <f t="shared" si="46"/>
        <v>0</v>
      </c>
      <c r="V170" s="102">
        <f t="shared" si="46"/>
        <v>0</v>
      </c>
      <c r="W170" s="102">
        <f t="shared" si="46"/>
        <v>0</v>
      </c>
      <c r="X170" s="102">
        <f t="shared" si="46"/>
        <v>0</v>
      </c>
    </row>
    <row r="171" spans="1:24">
      <c r="B171" s="37" t="str">
        <f>IF(ISBLANK('Środki trwałe'!B575),"",'Środki trwałe'!B575)</f>
        <v/>
      </c>
      <c r="C171" s="33" t="str">
        <f>IF(ISBLANK('Środki trwałe'!D575),"",'Środki trwałe'!D575)</f>
        <v/>
      </c>
      <c r="D171" s="245" t="str">
        <f>IF(ISBLANK('Środki trwałe'!E575),"",'Środki trwałe'!E575)</f>
        <v/>
      </c>
      <c r="E171" s="73">
        <f>IF(AND('Środki trwałe'!F575="tak",'Środki trwałe'!G575="nie"),'Środki trwałe'!H575,0)</f>
        <v>0</v>
      </c>
      <c r="F171" s="94">
        <f t="shared" si="45"/>
        <v>0</v>
      </c>
      <c r="G171" s="33">
        <f ca="1">IF(AND('Środki trwałe'!F1707="tak",'Środki trwałe'!G1707="tak"),'Środki trwałe'!I1707,0)</f>
        <v>0</v>
      </c>
      <c r="H171" s="314"/>
      <c r="I171" s="52"/>
      <c r="J171" s="508" t="str">
        <f>IF(ISBLANK('Środki trwałe'!C575),"",'Środki trwałe'!C575)</f>
        <v/>
      </c>
      <c r="K171" s="33">
        <f t="shared" si="46"/>
        <v>0</v>
      </c>
      <c r="L171" s="33">
        <f t="shared" si="46"/>
        <v>0</v>
      </c>
      <c r="M171" s="33">
        <f t="shared" si="46"/>
        <v>0</v>
      </c>
      <c r="N171" s="33">
        <f t="shared" si="46"/>
        <v>0</v>
      </c>
      <c r="O171" s="33">
        <f t="shared" si="46"/>
        <v>0</v>
      </c>
      <c r="P171" s="33">
        <f t="shared" si="46"/>
        <v>0</v>
      </c>
      <c r="Q171" s="33">
        <f t="shared" si="46"/>
        <v>0</v>
      </c>
      <c r="R171" s="33">
        <f t="shared" si="46"/>
        <v>0</v>
      </c>
      <c r="S171" s="33">
        <f t="shared" si="46"/>
        <v>0</v>
      </c>
      <c r="T171" s="33">
        <f t="shared" si="46"/>
        <v>0</v>
      </c>
      <c r="U171" s="33">
        <f t="shared" si="46"/>
        <v>0</v>
      </c>
      <c r="V171" s="33">
        <f t="shared" si="46"/>
        <v>0</v>
      </c>
      <c r="W171" s="33">
        <f t="shared" si="46"/>
        <v>0</v>
      </c>
      <c r="X171" s="33">
        <f t="shared" si="46"/>
        <v>0</v>
      </c>
    </row>
    <row r="172" spans="1:24">
      <c r="B172" s="37" t="str">
        <f>IF(ISBLANK('Środki trwałe'!B576),"",'Środki trwałe'!B576)</f>
        <v/>
      </c>
      <c r="C172" s="33" t="str">
        <f>IF(ISBLANK('Środki trwałe'!D576),"",'Środki trwałe'!D576)</f>
        <v/>
      </c>
      <c r="D172" s="245" t="str">
        <f>IF(ISBLANK('Środki trwałe'!E576),"",'Środki trwałe'!E576)</f>
        <v/>
      </c>
      <c r="E172" s="73">
        <f>IF(AND('Środki trwałe'!F576="tak",'Środki trwałe'!G576="nie"),'Środki trwałe'!H576,0)</f>
        <v>0</v>
      </c>
      <c r="F172" s="94">
        <f t="shared" si="45"/>
        <v>0</v>
      </c>
      <c r="G172" s="33">
        <f>IF(AND('Środki trwałe'!F1708="tak",'Środki trwałe'!G1708="tak"),'Środki trwałe'!I1708,0)</f>
        <v>0</v>
      </c>
      <c r="H172" s="314"/>
      <c r="I172" s="52"/>
      <c r="J172" s="508" t="str">
        <f>IF(ISBLANK('Środki trwałe'!C576),"",'Środki trwałe'!C576)</f>
        <v/>
      </c>
      <c r="K172" s="33">
        <f t="shared" si="46"/>
        <v>0</v>
      </c>
      <c r="L172" s="33">
        <f t="shared" si="46"/>
        <v>0</v>
      </c>
      <c r="M172" s="33">
        <f t="shared" si="46"/>
        <v>0</v>
      </c>
      <c r="N172" s="33">
        <f t="shared" si="46"/>
        <v>0</v>
      </c>
      <c r="O172" s="33">
        <f t="shared" si="46"/>
        <v>0</v>
      </c>
      <c r="P172" s="33">
        <f t="shared" si="46"/>
        <v>0</v>
      </c>
      <c r="Q172" s="33">
        <f t="shared" si="46"/>
        <v>0</v>
      </c>
      <c r="R172" s="33">
        <f t="shared" si="46"/>
        <v>0</v>
      </c>
      <c r="S172" s="33">
        <f t="shared" si="46"/>
        <v>0</v>
      </c>
      <c r="T172" s="33">
        <f t="shared" si="46"/>
        <v>0</v>
      </c>
      <c r="U172" s="33">
        <f t="shared" si="46"/>
        <v>0</v>
      </c>
      <c r="V172" s="33">
        <f t="shared" si="46"/>
        <v>0</v>
      </c>
      <c r="W172" s="33">
        <f t="shared" si="46"/>
        <v>0</v>
      </c>
      <c r="X172" s="33">
        <f t="shared" si="46"/>
        <v>0</v>
      </c>
    </row>
    <row r="173" spans="1:24">
      <c r="B173" s="37" t="str">
        <f>IF(ISBLANK('Środki trwałe'!B577),"",'Środki trwałe'!B577)</f>
        <v/>
      </c>
      <c r="C173" s="33" t="str">
        <f>IF(ISBLANK('Środki trwałe'!D577),"",'Środki trwałe'!D577)</f>
        <v/>
      </c>
      <c r="D173" s="245" t="str">
        <f>IF(ISBLANK('Środki trwałe'!E577),"",'Środki trwałe'!E577)</f>
        <v/>
      </c>
      <c r="E173" s="73">
        <f>IF(AND('Środki trwałe'!F577="tak",'Środki trwałe'!G577="nie"),'Środki trwałe'!H577,0)</f>
        <v>0</v>
      </c>
      <c r="F173" s="94">
        <f t="shared" si="45"/>
        <v>0</v>
      </c>
      <c r="G173" s="33">
        <f>IF(AND('Środki trwałe'!F1709="tak",'Środki trwałe'!G1709="tak"),'Środki trwałe'!I1709,0)</f>
        <v>0</v>
      </c>
      <c r="H173" s="314"/>
      <c r="I173" s="52"/>
      <c r="J173" s="508" t="str">
        <f>IF(ISBLANK('Środki trwałe'!C577),"",'Środki trwałe'!C577)</f>
        <v/>
      </c>
      <c r="K173" s="33">
        <f t="shared" si="46"/>
        <v>0</v>
      </c>
      <c r="L173" s="33">
        <f t="shared" si="46"/>
        <v>0</v>
      </c>
      <c r="M173" s="33">
        <f t="shared" si="46"/>
        <v>0</v>
      </c>
      <c r="N173" s="33">
        <f t="shared" si="46"/>
        <v>0</v>
      </c>
      <c r="O173" s="33">
        <f t="shared" si="46"/>
        <v>0</v>
      </c>
      <c r="P173" s="33">
        <f t="shared" si="46"/>
        <v>0</v>
      </c>
      <c r="Q173" s="33">
        <f t="shared" si="46"/>
        <v>0</v>
      </c>
      <c r="R173" s="33">
        <f t="shared" si="46"/>
        <v>0</v>
      </c>
      <c r="S173" s="33">
        <f t="shared" si="46"/>
        <v>0</v>
      </c>
      <c r="T173" s="33">
        <f t="shared" si="46"/>
        <v>0</v>
      </c>
      <c r="U173" s="33">
        <f t="shared" si="46"/>
        <v>0</v>
      </c>
      <c r="V173" s="33">
        <f t="shared" si="46"/>
        <v>0</v>
      </c>
      <c r="W173" s="33">
        <f t="shared" si="46"/>
        <v>0</v>
      </c>
      <c r="X173" s="33">
        <f t="shared" si="46"/>
        <v>0</v>
      </c>
    </row>
    <row r="174" spans="1:24">
      <c r="B174" s="37" t="str">
        <f>IF(ISBLANK('Środki trwałe'!B578),"",'Środki trwałe'!B578)</f>
        <v/>
      </c>
      <c r="C174" s="33" t="str">
        <f>IF(ISBLANK('Środki trwałe'!D578),"",'Środki trwałe'!D578)</f>
        <v/>
      </c>
      <c r="D174" s="245" t="str">
        <f>IF(ISBLANK('Środki trwałe'!E578),"",'Środki trwałe'!E578)</f>
        <v/>
      </c>
      <c r="E174" s="73">
        <f>IF(AND('Środki trwałe'!F578="tak",'Środki trwałe'!G578="nie"),'Środki trwałe'!H578,0)</f>
        <v>0</v>
      </c>
      <c r="F174" s="94">
        <f t="shared" si="45"/>
        <v>0</v>
      </c>
      <c r="G174" s="33">
        <f>IF(AND('Środki trwałe'!F1710="tak",'Środki trwałe'!G1710="tak"),'Środki trwałe'!I1710,0)</f>
        <v>0</v>
      </c>
      <c r="H174" s="314"/>
      <c r="I174" s="52"/>
      <c r="J174" s="508" t="str">
        <f>IF(ISBLANK('Środki trwałe'!C578),"",'Środki trwałe'!C578)</f>
        <v/>
      </c>
      <c r="K174" s="33">
        <f t="shared" si="46"/>
        <v>0</v>
      </c>
      <c r="L174" s="33">
        <f t="shared" si="46"/>
        <v>0</v>
      </c>
      <c r="M174" s="33">
        <f t="shared" si="46"/>
        <v>0</v>
      </c>
      <c r="N174" s="33">
        <f t="shared" si="46"/>
        <v>0</v>
      </c>
      <c r="O174" s="33">
        <f t="shared" si="46"/>
        <v>0</v>
      </c>
      <c r="P174" s="33">
        <f t="shared" si="46"/>
        <v>0</v>
      </c>
      <c r="Q174" s="33">
        <f t="shared" si="46"/>
        <v>0</v>
      </c>
      <c r="R174" s="33">
        <f t="shared" si="46"/>
        <v>0</v>
      </c>
      <c r="S174" s="33">
        <f t="shared" si="46"/>
        <v>0</v>
      </c>
      <c r="T174" s="33">
        <f t="shared" si="46"/>
        <v>0</v>
      </c>
      <c r="U174" s="33">
        <f t="shared" si="46"/>
        <v>0</v>
      </c>
      <c r="V174" s="33">
        <f t="shared" si="46"/>
        <v>0</v>
      </c>
      <c r="W174" s="33">
        <f t="shared" si="46"/>
        <v>0</v>
      </c>
      <c r="X174" s="33">
        <f t="shared" si="46"/>
        <v>0</v>
      </c>
    </row>
    <row r="175" spans="1:24">
      <c r="B175" s="37" t="str">
        <f>IF(ISBLANK('Środki trwałe'!B579),"",'Środki trwałe'!B579)</f>
        <v/>
      </c>
      <c r="C175" s="33" t="str">
        <f>IF(ISBLANK('Środki trwałe'!D579),"",'Środki trwałe'!D579)</f>
        <v/>
      </c>
      <c r="D175" s="245" t="str">
        <f>IF(ISBLANK('Środki trwałe'!E579),"",'Środki trwałe'!E579)</f>
        <v/>
      </c>
      <c r="E175" s="73">
        <f>IF(AND('Środki trwałe'!F579="tak",'Środki trwałe'!G579="nie"),'Środki trwałe'!H579,0)</f>
        <v>0</v>
      </c>
      <c r="F175" s="94">
        <f t="shared" si="45"/>
        <v>0</v>
      </c>
      <c r="G175" s="33">
        <f>IF(AND('Środki trwałe'!F1711="tak",'Środki trwałe'!G1711="tak"),'Środki trwałe'!I1711,0)</f>
        <v>0</v>
      </c>
      <c r="H175" s="314"/>
      <c r="I175" s="52"/>
      <c r="J175" s="508" t="str">
        <f>IF(ISBLANK('Środki trwałe'!C579),"",'Środki trwałe'!C579)</f>
        <v/>
      </c>
      <c r="K175" s="33">
        <f t="shared" si="46"/>
        <v>0</v>
      </c>
      <c r="L175" s="33">
        <f t="shared" si="46"/>
        <v>0</v>
      </c>
      <c r="M175" s="33">
        <f t="shared" si="46"/>
        <v>0</v>
      </c>
      <c r="N175" s="33">
        <f t="shared" si="46"/>
        <v>0</v>
      </c>
      <c r="O175" s="33">
        <f t="shared" si="46"/>
        <v>0</v>
      </c>
      <c r="P175" s="33">
        <f t="shared" si="46"/>
        <v>0</v>
      </c>
      <c r="Q175" s="33">
        <f t="shared" si="46"/>
        <v>0</v>
      </c>
      <c r="R175" s="33">
        <f t="shared" si="46"/>
        <v>0</v>
      </c>
      <c r="S175" s="33">
        <f t="shared" si="46"/>
        <v>0</v>
      </c>
      <c r="T175" s="33">
        <f t="shared" si="46"/>
        <v>0</v>
      </c>
      <c r="U175" s="33">
        <f t="shared" si="46"/>
        <v>0</v>
      </c>
      <c r="V175" s="33">
        <f t="shared" si="46"/>
        <v>0</v>
      </c>
      <c r="W175" s="33">
        <f t="shared" si="46"/>
        <v>0</v>
      </c>
      <c r="X175" s="33">
        <f t="shared" si="46"/>
        <v>0</v>
      </c>
    </row>
    <row r="176" spans="1:24">
      <c r="B176" s="37" t="str">
        <f>IF(ISBLANK('Środki trwałe'!B580),"",'Środki trwałe'!B580)</f>
        <v/>
      </c>
      <c r="C176" s="33" t="str">
        <f>IF(ISBLANK('Środki trwałe'!D580),"",'Środki trwałe'!D580)</f>
        <v/>
      </c>
      <c r="D176" s="245" t="str">
        <f>IF(ISBLANK('Środki trwałe'!E580),"",'Środki trwałe'!E580)</f>
        <v/>
      </c>
      <c r="E176" s="73">
        <f>IF(AND('Środki trwałe'!F580="tak",'Środki trwałe'!G580="nie"),'Środki trwałe'!H580,0)</f>
        <v>0</v>
      </c>
      <c r="F176" s="94">
        <f t="shared" si="45"/>
        <v>0</v>
      </c>
      <c r="G176" s="33">
        <f>IF(AND('Środki trwałe'!F1712="tak",'Środki trwałe'!G1712="tak"),'Środki trwałe'!I1712,0)</f>
        <v>0</v>
      </c>
      <c r="H176" s="314"/>
      <c r="I176" s="52"/>
      <c r="J176" s="508" t="str">
        <f>IF(ISBLANK('Środki trwałe'!C580),"",'Środki trwałe'!C580)</f>
        <v/>
      </c>
      <c r="K176" s="33">
        <f t="shared" si="46"/>
        <v>0</v>
      </c>
      <c r="L176" s="33">
        <f t="shared" si="46"/>
        <v>0</v>
      </c>
      <c r="M176" s="33">
        <f t="shared" si="46"/>
        <v>0</v>
      </c>
      <c r="N176" s="33">
        <f t="shared" si="46"/>
        <v>0</v>
      </c>
      <c r="O176" s="33">
        <f t="shared" si="46"/>
        <v>0</v>
      </c>
      <c r="P176" s="33">
        <f t="shared" si="46"/>
        <v>0</v>
      </c>
      <c r="Q176" s="33">
        <f t="shared" si="46"/>
        <v>0</v>
      </c>
      <c r="R176" s="33">
        <f t="shared" si="46"/>
        <v>0</v>
      </c>
      <c r="S176" s="33">
        <f t="shared" si="46"/>
        <v>0</v>
      </c>
      <c r="T176" s="33">
        <f t="shared" si="46"/>
        <v>0</v>
      </c>
      <c r="U176" s="33">
        <f t="shared" si="46"/>
        <v>0</v>
      </c>
      <c r="V176" s="33">
        <f t="shared" si="46"/>
        <v>0</v>
      </c>
      <c r="W176" s="33">
        <f t="shared" si="46"/>
        <v>0</v>
      </c>
      <c r="X176" s="33">
        <f t="shared" si="46"/>
        <v>0</v>
      </c>
    </row>
    <row r="177" spans="1:24">
      <c r="B177" s="37" t="str">
        <f>IF(ISBLANK('Środki trwałe'!B581),"",'Środki trwałe'!B581)</f>
        <v/>
      </c>
      <c r="C177" s="33" t="str">
        <f>IF(ISBLANK('Środki trwałe'!D581),"",'Środki trwałe'!D581)</f>
        <v/>
      </c>
      <c r="D177" s="245" t="str">
        <f>IF(ISBLANK('Środki trwałe'!E581),"",'Środki trwałe'!E581)</f>
        <v/>
      </c>
      <c r="E177" s="73">
        <f>IF(AND('Środki trwałe'!F581="tak",'Środki trwałe'!G581="nie"),'Środki trwałe'!H581,0)</f>
        <v>0</v>
      </c>
      <c r="F177" s="94">
        <f t="shared" si="45"/>
        <v>0</v>
      </c>
      <c r="G177" s="33">
        <f ca="1">IF(AND('Środki trwałe'!F1713="tak",'Środki trwałe'!G1713="tak"),'Środki trwałe'!I1713,0)</f>
        <v>0</v>
      </c>
      <c r="H177" s="314"/>
      <c r="I177" s="52"/>
      <c r="J177" s="508" t="str">
        <f>IF(ISBLANK('Środki trwałe'!C581),"",'Środki trwałe'!C581)</f>
        <v/>
      </c>
      <c r="K177" s="33">
        <f t="shared" si="46"/>
        <v>0</v>
      </c>
      <c r="L177" s="33">
        <f t="shared" si="46"/>
        <v>0</v>
      </c>
      <c r="M177" s="33">
        <f t="shared" si="46"/>
        <v>0</v>
      </c>
      <c r="N177" s="33">
        <f t="shared" si="46"/>
        <v>0</v>
      </c>
      <c r="O177" s="33">
        <f t="shared" si="46"/>
        <v>0</v>
      </c>
      <c r="P177" s="33">
        <f t="shared" si="46"/>
        <v>0</v>
      </c>
      <c r="Q177" s="33">
        <f t="shared" si="46"/>
        <v>0</v>
      </c>
      <c r="R177" s="33">
        <f t="shared" si="46"/>
        <v>0</v>
      </c>
      <c r="S177" s="33">
        <f t="shared" si="46"/>
        <v>0</v>
      </c>
      <c r="T177" s="33">
        <f t="shared" si="46"/>
        <v>0</v>
      </c>
      <c r="U177" s="33">
        <f t="shared" si="46"/>
        <v>0</v>
      </c>
      <c r="V177" s="33">
        <f t="shared" si="46"/>
        <v>0</v>
      </c>
      <c r="W177" s="33">
        <f t="shared" si="46"/>
        <v>0</v>
      </c>
      <c r="X177" s="33">
        <f t="shared" si="46"/>
        <v>0</v>
      </c>
    </row>
    <row r="178" spans="1:24">
      <c r="B178" s="37" t="str">
        <f>IF(ISBLANK('Środki trwałe'!B582),"",'Środki trwałe'!B582)</f>
        <v/>
      </c>
      <c r="C178" s="33" t="str">
        <f>IF(ISBLANK('Środki trwałe'!D582),"",'Środki trwałe'!D582)</f>
        <v/>
      </c>
      <c r="D178" s="245" t="str">
        <f>IF(ISBLANK('Środki trwałe'!E582),"",'Środki trwałe'!E582)</f>
        <v/>
      </c>
      <c r="E178" s="73">
        <f>IF(AND('Środki trwałe'!F582="tak",'Środki trwałe'!G582="nie"),'Środki trwałe'!H582,0)</f>
        <v>0</v>
      </c>
      <c r="F178" s="94">
        <f t="shared" si="45"/>
        <v>0</v>
      </c>
      <c r="G178" s="33">
        <f ca="1">IF(AND('Środki trwałe'!F1714="tak",'Środki trwałe'!G1714="tak"),'Środki trwałe'!I1714,0)</f>
        <v>0</v>
      </c>
      <c r="H178" s="314"/>
      <c r="I178" s="52"/>
      <c r="J178" s="508" t="str">
        <f>IF(ISBLANK('Środki trwałe'!C582),"",'Środki trwałe'!C582)</f>
        <v/>
      </c>
      <c r="K178" s="33">
        <f t="shared" si="46"/>
        <v>0</v>
      </c>
      <c r="L178" s="33">
        <f t="shared" si="46"/>
        <v>0</v>
      </c>
      <c r="M178" s="33">
        <f t="shared" si="46"/>
        <v>0</v>
      </c>
      <c r="N178" s="33">
        <f t="shared" si="46"/>
        <v>0</v>
      </c>
      <c r="O178" s="33">
        <f t="shared" si="46"/>
        <v>0</v>
      </c>
      <c r="P178" s="33">
        <f t="shared" si="46"/>
        <v>0</v>
      </c>
      <c r="Q178" s="33">
        <f t="shared" si="46"/>
        <v>0</v>
      </c>
      <c r="R178" s="33">
        <f t="shared" si="46"/>
        <v>0</v>
      </c>
      <c r="S178" s="33">
        <f t="shared" si="46"/>
        <v>0</v>
      </c>
      <c r="T178" s="33">
        <f t="shared" si="46"/>
        <v>0</v>
      </c>
      <c r="U178" s="33">
        <f t="shared" si="46"/>
        <v>0</v>
      </c>
      <c r="V178" s="33">
        <f t="shared" si="46"/>
        <v>0</v>
      </c>
      <c r="W178" s="33">
        <f t="shared" si="46"/>
        <v>0</v>
      </c>
      <c r="X178" s="33">
        <f t="shared" si="46"/>
        <v>0</v>
      </c>
    </row>
    <row r="179" spans="1:24">
      <c r="B179" s="37" t="str">
        <f>IF(ISBLANK('Środki trwałe'!B583),"",'Środki trwałe'!B583)</f>
        <v/>
      </c>
      <c r="C179" s="33" t="str">
        <f>IF(ISBLANK('Środki trwałe'!D583),"",'Środki trwałe'!D583)</f>
        <v/>
      </c>
      <c r="D179" s="245" t="str">
        <f>IF(ISBLANK('Środki trwałe'!E583),"",'Środki trwałe'!E583)</f>
        <v/>
      </c>
      <c r="E179" s="198">
        <f>IF(AND('Środki trwałe'!F583="tak",'Środki trwałe'!G583="nie"),'Środki trwałe'!H583,0)</f>
        <v>0</v>
      </c>
      <c r="F179" s="94">
        <f t="shared" si="45"/>
        <v>0</v>
      </c>
      <c r="G179" s="33">
        <f>IF(AND('Środki trwałe'!F1715="tak",'Środki trwałe'!G1715="tak"),'Środki trwałe'!I1715,0)</f>
        <v>0</v>
      </c>
      <c r="H179" s="314"/>
      <c r="I179" s="52"/>
      <c r="J179" s="508" t="str">
        <f>IF(ISBLANK('Środki trwałe'!C583),"",'Środki trwałe'!C583)</f>
        <v/>
      </c>
      <c r="K179" s="33">
        <f t="shared" si="46"/>
        <v>0</v>
      </c>
      <c r="L179" s="33">
        <f t="shared" si="46"/>
        <v>0</v>
      </c>
      <c r="M179" s="33">
        <f t="shared" si="46"/>
        <v>0</v>
      </c>
      <c r="N179" s="33">
        <f t="shared" si="46"/>
        <v>0</v>
      </c>
      <c r="O179" s="33">
        <f t="shared" si="46"/>
        <v>0</v>
      </c>
      <c r="P179" s="33">
        <f t="shared" si="46"/>
        <v>0</v>
      </c>
      <c r="Q179" s="33">
        <f t="shared" si="46"/>
        <v>0</v>
      </c>
      <c r="R179" s="33">
        <f t="shared" si="46"/>
        <v>0</v>
      </c>
      <c r="S179" s="33">
        <f t="shared" si="46"/>
        <v>0</v>
      </c>
      <c r="T179" s="33">
        <f t="shared" si="46"/>
        <v>0</v>
      </c>
      <c r="U179" s="33">
        <f t="shared" si="46"/>
        <v>0</v>
      </c>
      <c r="V179" s="33">
        <f t="shared" si="46"/>
        <v>0</v>
      </c>
      <c r="W179" s="33">
        <f t="shared" si="46"/>
        <v>0</v>
      </c>
      <c r="X179" s="33">
        <f t="shared" si="46"/>
        <v>0</v>
      </c>
    </row>
    <row r="180" spans="1:24">
      <c r="B180" s="98" t="s">
        <v>335</v>
      </c>
      <c r="C180" s="97">
        <f>SUM(C170:C179)</f>
        <v>0</v>
      </c>
      <c r="D180" s="199"/>
      <c r="E180" s="96"/>
      <c r="F180" s="97">
        <f>SUM(F170:F179)</f>
        <v>0</v>
      </c>
      <c r="G180" s="97">
        <f ca="1">SUM(G170:G179)</f>
        <v>0</v>
      </c>
      <c r="H180" s="319"/>
      <c r="I180" s="96"/>
      <c r="J180" s="509"/>
      <c r="K180" s="97">
        <f t="shared" ref="K180:X180" si="47">ROUND(SUM(K170:K179),0)</f>
        <v>0</v>
      </c>
      <c r="L180" s="97">
        <f t="shared" si="47"/>
        <v>0</v>
      </c>
      <c r="M180" s="97">
        <f t="shared" si="47"/>
        <v>0</v>
      </c>
      <c r="N180" s="97">
        <f t="shared" si="47"/>
        <v>0</v>
      </c>
      <c r="O180" s="97">
        <f t="shared" si="47"/>
        <v>0</v>
      </c>
      <c r="P180" s="97">
        <f t="shared" si="47"/>
        <v>0</v>
      </c>
      <c r="Q180" s="97">
        <f t="shared" si="47"/>
        <v>0</v>
      </c>
      <c r="R180" s="97">
        <f t="shared" si="47"/>
        <v>0</v>
      </c>
      <c r="S180" s="97">
        <f t="shared" si="47"/>
        <v>0</v>
      </c>
      <c r="T180" s="97">
        <f t="shared" si="47"/>
        <v>0</v>
      </c>
      <c r="U180" s="97">
        <f t="shared" si="47"/>
        <v>0</v>
      </c>
      <c r="V180" s="97">
        <f t="shared" si="47"/>
        <v>0</v>
      </c>
      <c r="W180" s="97">
        <f t="shared" si="47"/>
        <v>0</v>
      </c>
      <c r="X180" s="97">
        <f t="shared" si="47"/>
        <v>0</v>
      </c>
    </row>
    <row r="181" spans="1:24">
      <c r="B181" s="103" t="s">
        <v>450</v>
      </c>
      <c r="C181" s="101"/>
      <c r="D181" s="101"/>
      <c r="E181" s="101"/>
      <c r="F181" s="101"/>
      <c r="G181" s="101"/>
      <c r="H181" s="315"/>
      <c r="I181" s="101"/>
      <c r="J181" s="510"/>
      <c r="K181" s="102">
        <f t="shared" ref="K181:X181" ca="1" si="48">ROUND(K1044+K1051+K1058+K1065+K1107+K1072+K1079+K1086+K1093+K1100,0)</f>
        <v>0</v>
      </c>
      <c r="L181" s="102">
        <f t="shared" ca="1" si="48"/>
        <v>0</v>
      </c>
      <c r="M181" s="102">
        <f t="shared" ca="1" si="48"/>
        <v>0</v>
      </c>
      <c r="N181" s="102">
        <f t="shared" ca="1" si="48"/>
        <v>0</v>
      </c>
      <c r="O181" s="102">
        <f t="shared" ca="1" si="48"/>
        <v>0</v>
      </c>
      <c r="P181" s="102">
        <f t="shared" ca="1" si="48"/>
        <v>0</v>
      </c>
      <c r="Q181" s="102">
        <f t="shared" ca="1" si="48"/>
        <v>0</v>
      </c>
      <c r="R181" s="102">
        <f t="shared" ca="1" si="48"/>
        <v>0</v>
      </c>
      <c r="S181" s="102">
        <f t="shared" ca="1" si="48"/>
        <v>0</v>
      </c>
      <c r="T181" s="102">
        <f t="shared" ca="1" si="48"/>
        <v>0</v>
      </c>
      <c r="U181" s="102">
        <f t="shared" ca="1" si="48"/>
        <v>0</v>
      </c>
      <c r="V181" s="102">
        <f t="shared" ca="1" si="48"/>
        <v>0</v>
      </c>
      <c r="W181" s="102">
        <f t="shared" ca="1" si="48"/>
        <v>0</v>
      </c>
      <c r="X181" s="102">
        <f t="shared" ca="1" si="48"/>
        <v>0</v>
      </c>
    </row>
    <row r="182" spans="1:24">
      <c r="B182" s="37" t="s">
        <v>451</v>
      </c>
      <c r="C182" s="52"/>
      <c r="D182" s="52"/>
      <c r="E182" s="52"/>
      <c r="F182" s="52"/>
      <c r="G182" s="52"/>
      <c r="H182" s="314"/>
      <c r="I182" s="52"/>
      <c r="J182" s="511"/>
      <c r="K182" s="33">
        <f t="shared" ref="K182:X182" ca="1" si="49">ROUND(K1045+K1052+K1059+K1066+K1108+K1073+K1080+K1087+K1094+K1101,0)</f>
        <v>0</v>
      </c>
      <c r="L182" s="33">
        <f t="shared" ca="1" si="49"/>
        <v>0</v>
      </c>
      <c r="M182" s="33">
        <f t="shared" ca="1" si="49"/>
        <v>0</v>
      </c>
      <c r="N182" s="33">
        <f t="shared" ca="1" si="49"/>
        <v>0</v>
      </c>
      <c r="O182" s="33">
        <f t="shared" ca="1" si="49"/>
        <v>0</v>
      </c>
      <c r="P182" s="33">
        <f t="shared" ca="1" si="49"/>
        <v>0</v>
      </c>
      <c r="Q182" s="33">
        <f t="shared" ca="1" si="49"/>
        <v>0</v>
      </c>
      <c r="R182" s="33">
        <f t="shared" ca="1" si="49"/>
        <v>0</v>
      </c>
      <c r="S182" s="33">
        <f t="shared" ca="1" si="49"/>
        <v>0</v>
      </c>
      <c r="T182" s="33">
        <f t="shared" ca="1" si="49"/>
        <v>0</v>
      </c>
      <c r="U182" s="33">
        <f t="shared" ca="1" si="49"/>
        <v>0</v>
      </c>
      <c r="V182" s="33">
        <f t="shared" ca="1" si="49"/>
        <v>0</v>
      </c>
      <c r="W182" s="33">
        <f t="shared" ca="1" si="49"/>
        <v>0</v>
      </c>
      <c r="X182" s="33">
        <f t="shared" ca="1" si="49"/>
        <v>0</v>
      </c>
    </row>
    <row r="183" spans="1:24">
      <c r="B183" s="105" t="s">
        <v>452</v>
      </c>
      <c r="C183" s="105"/>
      <c r="D183" s="105"/>
      <c r="E183" s="105"/>
      <c r="F183" s="105"/>
      <c r="G183" s="105"/>
      <c r="H183" s="323"/>
      <c r="I183" s="105"/>
      <c r="J183" s="512"/>
      <c r="K183" s="106">
        <f>'Środki trwałe'!K612</f>
        <v>0</v>
      </c>
      <c r="L183" s="106">
        <f>'Środki trwałe'!L612</f>
        <v>0</v>
      </c>
      <c r="M183" s="106">
        <f>'Środki trwałe'!M612</f>
        <v>0</v>
      </c>
      <c r="N183" s="106">
        <f>'Środki trwałe'!N612</f>
        <v>0</v>
      </c>
      <c r="O183" s="106">
        <f>'Środki trwałe'!O612</f>
        <v>0</v>
      </c>
      <c r="P183" s="106">
        <f>'Środki trwałe'!P612</f>
        <v>0</v>
      </c>
      <c r="Q183" s="106">
        <f>'Środki trwałe'!Q612</f>
        <v>0</v>
      </c>
      <c r="R183" s="106">
        <f>'Środki trwałe'!R612</f>
        <v>0</v>
      </c>
      <c r="S183" s="106">
        <f>'Środki trwałe'!S612</f>
        <v>0</v>
      </c>
      <c r="T183" s="106">
        <f>'Środki trwałe'!T612</f>
        <v>0</v>
      </c>
      <c r="U183" s="106">
        <f>'Środki trwałe'!U612</f>
        <v>0</v>
      </c>
      <c r="V183" s="106">
        <f>'Środki trwałe'!V612</f>
        <v>0</v>
      </c>
      <c r="W183" s="106">
        <f>'Środki trwałe'!W612</f>
        <v>0</v>
      </c>
      <c r="X183" s="106">
        <f>'Środki trwałe'!X612</f>
        <v>0</v>
      </c>
    </row>
    <row r="184" spans="1:24">
      <c r="B184" s="200" t="s">
        <v>453</v>
      </c>
      <c r="C184" s="52"/>
      <c r="D184" s="52"/>
      <c r="E184" s="52"/>
      <c r="F184" s="52"/>
      <c r="G184" s="52"/>
      <c r="H184" s="314"/>
      <c r="I184" s="52"/>
      <c r="J184" s="511"/>
      <c r="K184" s="86">
        <f t="shared" ref="K184:X184" ca="1" si="50">ROUND(K1046+K1053+K1060+K1067+K1109+K1074+K1081+K1088+K1095+K1102,0)</f>
        <v>0</v>
      </c>
      <c r="L184" s="86">
        <f t="shared" ca="1" si="50"/>
        <v>0</v>
      </c>
      <c r="M184" s="86">
        <f t="shared" ca="1" si="50"/>
        <v>0</v>
      </c>
      <c r="N184" s="86">
        <f t="shared" ca="1" si="50"/>
        <v>0</v>
      </c>
      <c r="O184" s="86">
        <f t="shared" ca="1" si="50"/>
        <v>0</v>
      </c>
      <c r="P184" s="86">
        <f t="shared" ca="1" si="50"/>
        <v>0</v>
      </c>
      <c r="Q184" s="86">
        <f t="shared" ca="1" si="50"/>
        <v>0</v>
      </c>
      <c r="R184" s="86">
        <f t="shared" ca="1" si="50"/>
        <v>0</v>
      </c>
      <c r="S184" s="86">
        <f t="shared" ca="1" si="50"/>
        <v>0</v>
      </c>
      <c r="T184" s="86">
        <f t="shared" ca="1" si="50"/>
        <v>0</v>
      </c>
      <c r="U184" s="86">
        <f t="shared" ca="1" si="50"/>
        <v>0</v>
      </c>
      <c r="V184" s="86">
        <f t="shared" ca="1" si="50"/>
        <v>0</v>
      </c>
      <c r="W184" s="86">
        <f t="shared" ca="1" si="50"/>
        <v>0</v>
      </c>
      <c r="X184" s="86">
        <f t="shared" ca="1" si="50"/>
        <v>0</v>
      </c>
    </row>
    <row r="185" spans="1:24">
      <c r="J185" s="514"/>
    </row>
    <row r="186" spans="1:24" customFormat="1">
      <c r="A186" s="1"/>
      <c r="J186" s="495"/>
    </row>
    <row r="187" spans="1:24" ht="21">
      <c r="B187" s="227" t="s">
        <v>393</v>
      </c>
      <c r="C187" s="228" t="s">
        <v>406</v>
      </c>
      <c r="D187" s="229" t="s">
        <v>421</v>
      </c>
      <c r="E187" s="229" t="s">
        <v>408</v>
      </c>
      <c r="F187" s="229" t="s">
        <v>409</v>
      </c>
      <c r="G187" s="229" t="s">
        <v>449</v>
      </c>
      <c r="H187" s="311"/>
      <c r="I187" s="230"/>
      <c r="J187" s="513"/>
      <c r="K187" s="231" t="str">
        <f t="shared" ref="K187:X187" si="51">LataProjekcji</f>
        <v>Uzupełnij dane</v>
      </c>
      <c r="L187" s="231" t="str">
        <f t="shared" si="51"/>
        <v/>
      </c>
      <c r="M187" s="231" t="str">
        <f t="shared" si="51"/>
        <v/>
      </c>
      <c r="N187" s="231" t="str">
        <f t="shared" si="51"/>
        <v/>
      </c>
      <c r="O187" s="231" t="str">
        <f t="shared" si="51"/>
        <v/>
      </c>
      <c r="P187" s="231" t="str">
        <f t="shared" si="51"/>
        <v/>
      </c>
      <c r="Q187" s="231" t="str">
        <f t="shared" si="51"/>
        <v/>
      </c>
      <c r="R187" s="231" t="str">
        <f t="shared" si="51"/>
        <v/>
      </c>
      <c r="S187" s="231" t="str">
        <f t="shared" si="51"/>
        <v/>
      </c>
      <c r="T187" s="231" t="str">
        <f t="shared" si="51"/>
        <v/>
      </c>
      <c r="U187" s="231" t="str">
        <f t="shared" si="51"/>
        <v/>
      </c>
      <c r="V187" s="231" t="str">
        <f t="shared" si="51"/>
        <v/>
      </c>
      <c r="W187" s="231" t="str">
        <f t="shared" si="51"/>
        <v/>
      </c>
      <c r="X187" s="231" t="str">
        <f t="shared" si="51"/>
        <v/>
      </c>
    </row>
    <row r="188" spans="1:24">
      <c r="B188" s="103" t="str">
        <f>IF(ISBLANK('Środki trwałe'!B616),"",'Środki trwałe'!B616)</f>
        <v/>
      </c>
      <c r="C188" s="102" t="str">
        <f>IF(ISBLANK('Środki trwałe'!D616),"",'Środki trwałe'!D616)</f>
        <v/>
      </c>
      <c r="D188" s="245" t="str">
        <f>IF(ISBLANK('Środki trwałe'!E616),"",'Środki trwałe'!E616)</f>
        <v/>
      </c>
      <c r="E188" s="197">
        <f>IF(AND('Środki trwałe'!F616="tak",'Środki trwałe'!G616="nie"),'Środki trwałe'!H616,0)</f>
        <v>0</v>
      </c>
      <c r="F188" s="94">
        <f t="shared" ref="F188:F197" si="52">IFERROR(IF(E188=0,0,ROUND(E188*C188,0)),0)</f>
        <v>0</v>
      </c>
      <c r="G188" s="102">
        <f>IF(AND('Środki trwałe'!F616="tak",'Środki trwałe'!G616="tak"),'Środki trwałe'!I616,0)</f>
        <v>0</v>
      </c>
      <c r="H188" s="315"/>
      <c r="I188" s="101"/>
      <c r="J188" s="515" t="str">
        <f>IF(ISBLANK('Środki trwałe'!C616),"",'Środki trwałe'!C616)</f>
        <v/>
      </c>
      <c r="K188" s="102">
        <f t="shared" ref="K188:X197" si="53">IFERROR(ROUND(IF(AND(YEAR($D188)=LataProjekcji,$F188&gt;0),$F188,0),0),0)</f>
        <v>0</v>
      </c>
      <c r="L188" s="102">
        <f t="shared" si="53"/>
        <v>0</v>
      </c>
      <c r="M188" s="102">
        <f t="shared" si="53"/>
        <v>0</v>
      </c>
      <c r="N188" s="102">
        <f t="shared" si="53"/>
        <v>0</v>
      </c>
      <c r="O188" s="102">
        <f t="shared" si="53"/>
        <v>0</v>
      </c>
      <c r="P188" s="102">
        <f t="shared" si="53"/>
        <v>0</v>
      </c>
      <c r="Q188" s="102">
        <f t="shared" si="53"/>
        <v>0</v>
      </c>
      <c r="R188" s="102">
        <f t="shared" si="53"/>
        <v>0</v>
      </c>
      <c r="S188" s="102">
        <f t="shared" si="53"/>
        <v>0</v>
      </c>
      <c r="T188" s="102">
        <f t="shared" si="53"/>
        <v>0</v>
      </c>
      <c r="U188" s="102">
        <f t="shared" si="53"/>
        <v>0</v>
      </c>
      <c r="V188" s="102">
        <f t="shared" si="53"/>
        <v>0</v>
      </c>
      <c r="W188" s="102">
        <f t="shared" si="53"/>
        <v>0</v>
      </c>
      <c r="X188" s="102">
        <f t="shared" si="53"/>
        <v>0</v>
      </c>
    </row>
    <row r="189" spans="1:24">
      <c r="B189" s="37" t="str">
        <f>IF(ISBLANK('Środki trwałe'!B617),"",'Środki trwałe'!B617)</f>
        <v/>
      </c>
      <c r="C189" s="33" t="str">
        <f>IF(ISBLANK('Środki trwałe'!D617),"",'Środki trwałe'!D617)</f>
        <v/>
      </c>
      <c r="D189" s="245" t="str">
        <f>IF(ISBLANK('Środki trwałe'!E617),"",'Środki trwałe'!E617)</f>
        <v/>
      </c>
      <c r="E189" s="73">
        <f>IF(AND('Środki trwałe'!F617="tak",'Środki trwałe'!G617="nie"),'Środki trwałe'!H617,0)</f>
        <v>0</v>
      </c>
      <c r="F189" s="94">
        <f t="shared" si="52"/>
        <v>0</v>
      </c>
      <c r="G189" s="33">
        <f>IF(AND('Środki trwałe'!F617="tak",'Środki trwałe'!G617="tak"),'Środki trwałe'!I617,0)</f>
        <v>0</v>
      </c>
      <c r="H189" s="314"/>
      <c r="I189" s="52"/>
      <c r="J189" s="508" t="str">
        <f>IF(ISBLANK('Środki trwałe'!C617),"",'Środki trwałe'!C617)</f>
        <v/>
      </c>
      <c r="K189" s="33">
        <f t="shared" si="53"/>
        <v>0</v>
      </c>
      <c r="L189" s="33">
        <f t="shared" si="53"/>
        <v>0</v>
      </c>
      <c r="M189" s="33">
        <f t="shared" si="53"/>
        <v>0</v>
      </c>
      <c r="N189" s="33">
        <f t="shared" si="53"/>
        <v>0</v>
      </c>
      <c r="O189" s="33">
        <f t="shared" si="53"/>
        <v>0</v>
      </c>
      <c r="P189" s="33">
        <f t="shared" si="53"/>
        <v>0</v>
      </c>
      <c r="Q189" s="33">
        <f t="shared" si="53"/>
        <v>0</v>
      </c>
      <c r="R189" s="33">
        <f t="shared" si="53"/>
        <v>0</v>
      </c>
      <c r="S189" s="33">
        <f t="shared" si="53"/>
        <v>0</v>
      </c>
      <c r="T189" s="33">
        <f t="shared" si="53"/>
        <v>0</v>
      </c>
      <c r="U189" s="33">
        <f t="shared" si="53"/>
        <v>0</v>
      </c>
      <c r="V189" s="33">
        <f t="shared" si="53"/>
        <v>0</v>
      </c>
      <c r="W189" s="33">
        <f t="shared" si="53"/>
        <v>0</v>
      </c>
      <c r="X189" s="33">
        <f t="shared" si="53"/>
        <v>0</v>
      </c>
    </row>
    <row r="190" spans="1:24">
      <c r="B190" s="37" t="str">
        <f>IF(ISBLANK('Środki trwałe'!B618),"",'Środki trwałe'!B618)</f>
        <v/>
      </c>
      <c r="C190" s="33" t="str">
        <f>IF(ISBLANK('Środki trwałe'!D618),"",'Środki trwałe'!D618)</f>
        <v/>
      </c>
      <c r="D190" s="245" t="str">
        <f>IF(ISBLANK('Środki trwałe'!E618),"",'Środki trwałe'!E618)</f>
        <v/>
      </c>
      <c r="E190" s="73">
        <f>IF(AND('Środki trwałe'!F618="tak",'Środki trwałe'!G618="nie"),'Środki trwałe'!H618,0)</f>
        <v>0</v>
      </c>
      <c r="F190" s="94">
        <f t="shared" si="52"/>
        <v>0</v>
      </c>
      <c r="G190" s="33">
        <f>IF(AND('Środki trwałe'!F618="tak",'Środki trwałe'!G618="tak"),'Środki trwałe'!I618,0)</f>
        <v>0</v>
      </c>
      <c r="H190" s="314"/>
      <c r="I190" s="52"/>
      <c r="J190" s="508" t="str">
        <f>IF(ISBLANK('Środki trwałe'!C618),"",'Środki trwałe'!C618)</f>
        <v/>
      </c>
      <c r="K190" s="33">
        <f t="shared" si="53"/>
        <v>0</v>
      </c>
      <c r="L190" s="33">
        <f t="shared" si="53"/>
        <v>0</v>
      </c>
      <c r="M190" s="33">
        <f t="shared" si="53"/>
        <v>0</v>
      </c>
      <c r="N190" s="33">
        <f t="shared" si="53"/>
        <v>0</v>
      </c>
      <c r="O190" s="33">
        <f t="shared" si="53"/>
        <v>0</v>
      </c>
      <c r="P190" s="33">
        <f t="shared" si="53"/>
        <v>0</v>
      </c>
      <c r="Q190" s="33">
        <f t="shared" si="53"/>
        <v>0</v>
      </c>
      <c r="R190" s="33">
        <f t="shared" si="53"/>
        <v>0</v>
      </c>
      <c r="S190" s="33">
        <f t="shared" si="53"/>
        <v>0</v>
      </c>
      <c r="T190" s="33">
        <f t="shared" si="53"/>
        <v>0</v>
      </c>
      <c r="U190" s="33">
        <f t="shared" si="53"/>
        <v>0</v>
      </c>
      <c r="V190" s="33">
        <f t="shared" si="53"/>
        <v>0</v>
      </c>
      <c r="W190" s="33">
        <f t="shared" si="53"/>
        <v>0</v>
      </c>
      <c r="X190" s="33">
        <f t="shared" si="53"/>
        <v>0</v>
      </c>
    </row>
    <row r="191" spans="1:24">
      <c r="B191" s="37" t="str">
        <f>IF(ISBLANK('Środki trwałe'!B619),"",'Środki trwałe'!B619)</f>
        <v/>
      </c>
      <c r="C191" s="33" t="str">
        <f>IF(ISBLANK('Środki trwałe'!D619),"",'Środki trwałe'!D619)</f>
        <v/>
      </c>
      <c r="D191" s="245" t="str">
        <f>IF(ISBLANK('Środki trwałe'!E619),"",'Środki trwałe'!E619)</f>
        <v/>
      </c>
      <c r="E191" s="73">
        <f>IF(AND('Środki trwałe'!F619="tak",'Środki trwałe'!G619="nie"),'Środki trwałe'!H619,0)</f>
        <v>0</v>
      </c>
      <c r="F191" s="94">
        <f t="shared" si="52"/>
        <v>0</v>
      </c>
      <c r="G191" s="33">
        <f>IF(AND('Środki trwałe'!F619="tak",'Środki trwałe'!G619="tak"),'Środki trwałe'!I619,0)</f>
        <v>0</v>
      </c>
      <c r="H191" s="314"/>
      <c r="I191" s="52"/>
      <c r="J191" s="508" t="str">
        <f>IF(ISBLANK('Środki trwałe'!C619),"",'Środki trwałe'!C619)</f>
        <v/>
      </c>
      <c r="K191" s="33">
        <f t="shared" si="53"/>
        <v>0</v>
      </c>
      <c r="L191" s="33">
        <f t="shared" si="53"/>
        <v>0</v>
      </c>
      <c r="M191" s="33">
        <f t="shared" si="53"/>
        <v>0</v>
      </c>
      <c r="N191" s="33">
        <f t="shared" si="53"/>
        <v>0</v>
      </c>
      <c r="O191" s="33">
        <f t="shared" si="53"/>
        <v>0</v>
      </c>
      <c r="P191" s="33">
        <f t="shared" si="53"/>
        <v>0</v>
      </c>
      <c r="Q191" s="33">
        <f t="shared" si="53"/>
        <v>0</v>
      </c>
      <c r="R191" s="33">
        <f t="shared" si="53"/>
        <v>0</v>
      </c>
      <c r="S191" s="33">
        <f t="shared" si="53"/>
        <v>0</v>
      </c>
      <c r="T191" s="33">
        <f t="shared" si="53"/>
        <v>0</v>
      </c>
      <c r="U191" s="33">
        <f t="shared" si="53"/>
        <v>0</v>
      </c>
      <c r="V191" s="33">
        <f t="shared" si="53"/>
        <v>0</v>
      </c>
      <c r="W191" s="33">
        <f t="shared" si="53"/>
        <v>0</v>
      </c>
      <c r="X191" s="33">
        <f t="shared" si="53"/>
        <v>0</v>
      </c>
    </row>
    <row r="192" spans="1:24">
      <c r="B192" s="37" t="str">
        <f>IF(ISBLANK('Środki trwałe'!B620),"",'Środki trwałe'!B620)</f>
        <v/>
      </c>
      <c r="C192" s="33" t="str">
        <f>IF(ISBLANK('Środki trwałe'!D620),"",'Środki trwałe'!D620)</f>
        <v/>
      </c>
      <c r="D192" s="245" t="str">
        <f>IF(ISBLANK('Środki trwałe'!E620),"",'Środki trwałe'!E620)</f>
        <v/>
      </c>
      <c r="E192" s="73">
        <f>IF(AND('Środki trwałe'!F620="tak",'Środki trwałe'!G620="nie"),'Środki trwałe'!H620,0)</f>
        <v>0</v>
      </c>
      <c r="F192" s="94">
        <f t="shared" si="52"/>
        <v>0</v>
      </c>
      <c r="G192" s="33">
        <f>IF(AND('Środki trwałe'!F620="tak",'Środki trwałe'!G620="tak"),'Środki trwałe'!I620,0)</f>
        <v>0</v>
      </c>
      <c r="H192" s="314"/>
      <c r="I192" s="52"/>
      <c r="J192" s="508" t="str">
        <f>IF(ISBLANK('Środki trwałe'!C620),"",'Środki trwałe'!C620)</f>
        <v/>
      </c>
      <c r="K192" s="33">
        <f t="shared" si="53"/>
        <v>0</v>
      </c>
      <c r="L192" s="33">
        <f t="shared" si="53"/>
        <v>0</v>
      </c>
      <c r="M192" s="33">
        <f t="shared" si="53"/>
        <v>0</v>
      </c>
      <c r="N192" s="33">
        <f t="shared" si="53"/>
        <v>0</v>
      </c>
      <c r="O192" s="33">
        <f t="shared" si="53"/>
        <v>0</v>
      </c>
      <c r="P192" s="33">
        <f t="shared" si="53"/>
        <v>0</v>
      </c>
      <c r="Q192" s="33">
        <f t="shared" si="53"/>
        <v>0</v>
      </c>
      <c r="R192" s="33">
        <f t="shared" si="53"/>
        <v>0</v>
      </c>
      <c r="S192" s="33">
        <f t="shared" si="53"/>
        <v>0</v>
      </c>
      <c r="T192" s="33">
        <f t="shared" si="53"/>
        <v>0</v>
      </c>
      <c r="U192" s="33">
        <f t="shared" si="53"/>
        <v>0</v>
      </c>
      <c r="V192" s="33">
        <f t="shared" si="53"/>
        <v>0</v>
      </c>
      <c r="W192" s="33">
        <f t="shared" si="53"/>
        <v>0</v>
      </c>
      <c r="X192" s="33">
        <f t="shared" si="53"/>
        <v>0</v>
      </c>
    </row>
    <row r="193" spans="2:24">
      <c r="B193" s="37" t="str">
        <f>IF(ISBLANK('Środki trwałe'!B621),"",'Środki trwałe'!B621)</f>
        <v/>
      </c>
      <c r="C193" s="33" t="str">
        <f>IF(ISBLANK('Środki trwałe'!D621),"",'Środki trwałe'!D621)</f>
        <v/>
      </c>
      <c r="D193" s="245" t="str">
        <f>IF(ISBLANK('Środki trwałe'!E621),"",'Środki trwałe'!E621)</f>
        <v/>
      </c>
      <c r="E193" s="73">
        <f>IF(AND('Środki trwałe'!F621="tak",'Środki trwałe'!G621="nie"),'Środki trwałe'!H621,0)</f>
        <v>0</v>
      </c>
      <c r="F193" s="94">
        <f t="shared" si="52"/>
        <v>0</v>
      </c>
      <c r="G193" s="33">
        <f>IF(AND('Środki trwałe'!F621="tak",'Środki trwałe'!G621="tak"),'Środki trwałe'!I621,0)</f>
        <v>0</v>
      </c>
      <c r="H193" s="314"/>
      <c r="I193" s="52"/>
      <c r="J193" s="508" t="str">
        <f>IF(ISBLANK('Środki trwałe'!C621),"",'Środki trwałe'!C621)</f>
        <v/>
      </c>
      <c r="K193" s="33">
        <f t="shared" si="53"/>
        <v>0</v>
      </c>
      <c r="L193" s="33">
        <f t="shared" si="53"/>
        <v>0</v>
      </c>
      <c r="M193" s="33">
        <f t="shared" si="53"/>
        <v>0</v>
      </c>
      <c r="N193" s="33">
        <f t="shared" si="53"/>
        <v>0</v>
      </c>
      <c r="O193" s="33">
        <f t="shared" si="53"/>
        <v>0</v>
      </c>
      <c r="P193" s="33">
        <f t="shared" si="53"/>
        <v>0</v>
      </c>
      <c r="Q193" s="33">
        <f t="shared" si="53"/>
        <v>0</v>
      </c>
      <c r="R193" s="33">
        <f t="shared" si="53"/>
        <v>0</v>
      </c>
      <c r="S193" s="33">
        <f t="shared" si="53"/>
        <v>0</v>
      </c>
      <c r="T193" s="33">
        <f t="shared" si="53"/>
        <v>0</v>
      </c>
      <c r="U193" s="33">
        <f t="shared" si="53"/>
        <v>0</v>
      </c>
      <c r="V193" s="33">
        <f t="shared" si="53"/>
        <v>0</v>
      </c>
      <c r="W193" s="33">
        <f t="shared" si="53"/>
        <v>0</v>
      </c>
      <c r="X193" s="33">
        <f t="shared" si="53"/>
        <v>0</v>
      </c>
    </row>
    <row r="194" spans="2:24">
      <c r="B194" s="37" t="str">
        <f>IF(ISBLANK('Środki trwałe'!B622),"",'Środki trwałe'!B622)</f>
        <v/>
      </c>
      <c r="C194" s="33" t="str">
        <f>IF(ISBLANK('Środki trwałe'!D622),"",'Środki trwałe'!D622)</f>
        <v/>
      </c>
      <c r="D194" s="245" t="str">
        <f>IF(ISBLANK('Środki trwałe'!E622),"",'Środki trwałe'!E622)</f>
        <v/>
      </c>
      <c r="E194" s="73">
        <f>IF(AND('Środki trwałe'!F622="tak",'Środki trwałe'!G622="nie"),'Środki trwałe'!H622,0)</f>
        <v>0</v>
      </c>
      <c r="F194" s="94">
        <f t="shared" si="52"/>
        <v>0</v>
      </c>
      <c r="G194" s="33">
        <f>IF(AND('Środki trwałe'!F622="tak",'Środki trwałe'!G622="tak"),'Środki trwałe'!I622,0)</f>
        <v>0</v>
      </c>
      <c r="H194" s="314"/>
      <c r="I194" s="52"/>
      <c r="J194" s="508" t="str">
        <f>IF(ISBLANK('Środki trwałe'!C622),"",'Środki trwałe'!C622)</f>
        <v/>
      </c>
      <c r="K194" s="33">
        <f t="shared" si="53"/>
        <v>0</v>
      </c>
      <c r="L194" s="33">
        <f t="shared" si="53"/>
        <v>0</v>
      </c>
      <c r="M194" s="33">
        <f t="shared" si="53"/>
        <v>0</v>
      </c>
      <c r="N194" s="33">
        <f t="shared" si="53"/>
        <v>0</v>
      </c>
      <c r="O194" s="33">
        <f t="shared" si="53"/>
        <v>0</v>
      </c>
      <c r="P194" s="33">
        <f t="shared" si="53"/>
        <v>0</v>
      </c>
      <c r="Q194" s="33">
        <f t="shared" si="53"/>
        <v>0</v>
      </c>
      <c r="R194" s="33">
        <f t="shared" si="53"/>
        <v>0</v>
      </c>
      <c r="S194" s="33">
        <f t="shared" si="53"/>
        <v>0</v>
      </c>
      <c r="T194" s="33">
        <f t="shared" si="53"/>
        <v>0</v>
      </c>
      <c r="U194" s="33">
        <f t="shared" si="53"/>
        <v>0</v>
      </c>
      <c r="V194" s="33">
        <f t="shared" si="53"/>
        <v>0</v>
      </c>
      <c r="W194" s="33">
        <f t="shared" si="53"/>
        <v>0</v>
      </c>
      <c r="X194" s="33">
        <f t="shared" si="53"/>
        <v>0</v>
      </c>
    </row>
    <row r="195" spans="2:24">
      <c r="B195" s="37" t="str">
        <f>IF(ISBLANK('Środki trwałe'!B623),"",'Środki trwałe'!B623)</f>
        <v/>
      </c>
      <c r="C195" s="33" t="str">
        <f>IF(ISBLANK('Środki trwałe'!D623),"",'Środki trwałe'!D623)</f>
        <v/>
      </c>
      <c r="D195" s="245" t="str">
        <f>IF(ISBLANK('Środki trwałe'!E623),"",'Środki trwałe'!E623)</f>
        <v/>
      </c>
      <c r="E195" s="73">
        <f>IF(AND('Środki trwałe'!F623="tak",'Środki trwałe'!G623="nie"),'Środki trwałe'!H623,0)</f>
        <v>0</v>
      </c>
      <c r="F195" s="94">
        <f t="shared" si="52"/>
        <v>0</v>
      </c>
      <c r="G195" s="33">
        <f>IF(AND('Środki trwałe'!F623="tak",'Środki trwałe'!G623="tak"),'Środki trwałe'!I623,0)</f>
        <v>0</v>
      </c>
      <c r="H195" s="314"/>
      <c r="I195" s="52"/>
      <c r="J195" s="508" t="str">
        <f>IF(ISBLANK('Środki trwałe'!C623),"",'Środki trwałe'!C623)</f>
        <v/>
      </c>
      <c r="K195" s="33">
        <f t="shared" si="53"/>
        <v>0</v>
      </c>
      <c r="L195" s="33">
        <f t="shared" si="53"/>
        <v>0</v>
      </c>
      <c r="M195" s="33">
        <f t="shared" si="53"/>
        <v>0</v>
      </c>
      <c r="N195" s="33">
        <f t="shared" si="53"/>
        <v>0</v>
      </c>
      <c r="O195" s="33">
        <f t="shared" si="53"/>
        <v>0</v>
      </c>
      <c r="P195" s="33">
        <f t="shared" si="53"/>
        <v>0</v>
      </c>
      <c r="Q195" s="33">
        <f t="shared" si="53"/>
        <v>0</v>
      </c>
      <c r="R195" s="33">
        <f t="shared" si="53"/>
        <v>0</v>
      </c>
      <c r="S195" s="33">
        <f t="shared" si="53"/>
        <v>0</v>
      </c>
      <c r="T195" s="33">
        <f t="shared" si="53"/>
        <v>0</v>
      </c>
      <c r="U195" s="33">
        <f t="shared" si="53"/>
        <v>0</v>
      </c>
      <c r="V195" s="33">
        <f t="shared" si="53"/>
        <v>0</v>
      </c>
      <c r="W195" s="33">
        <f t="shared" si="53"/>
        <v>0</v>
      </c>
      <c r="X195" s="33">
        <f t="shared" si="53"/>
        <v>0</v>
      </c>
    </row>
    <row r="196" spans="2:24">
      <c r="B196" s="37" t="str">
        <f>IF(ISBLANK('Środki trwałe'!B624),"",'Środki trwałe'!B624)</f>
        <v/>
      </c>
      <c r="C196" s="33" t="str">
        <f>IF(ISBLANK('Środki trwałe'!D624),"",'Środki trwałe'!D624)</f>
        <v/>
      </c>
      <c r="D196" s="245" t="str">
        <f>IF(ISBLANK('Środki trwałe'!E624),"",'Środki trwałe'!E624)</f>
        <v/>
      </c>
      <c r="E196" s="73">
        <f>IF(AND('Środki trwałe'!F624="tak",'Środki trwałe'!G624="nie"),'Środki trwałe'!H624,0)</f>
        <v>0</v>
      </c>
      <c r="F196" s="94">
        <f t="shared" si="52"/>
        <v>0</v>
      </c>
      <c r="G196" s="33">
        <f>IF(AND('Środki trwałe'!F624="tak",'Środki trwałe'!G624="tak"),'Środki trwałe'!I624,0)</f>
        <v>0</v>
      </c>
      <c r="H196" s="314"/>
      <c r="I196" s="52"/>
      <c r="J196" s="508" t="str">
        <f>IF(ISBLANK('Środki trwałe'!C624),"",'Środki trwałe'!C624)</f>
        <v/>
      </c>
      <c r="K196" s="33">
        <f t="shared" si="53"/>
        <v>0</v>
      </c>
      <c r="L196" s="33">
        <f t="shared" si="53"/>
        <v>0</v>
      </c>
      <c r="M196" s="33">
        <f t="shared" si="53"/>
        <v>0</v>
      </c>
      <c r="N196" s="33">
        <f t="shared" si="53"/>
        <v>0</v>
      </c>
      <c r="O196" s="33">
        <f t="shared" si="53"/>
        <v>0</v>
      </c>
      <c r="P196" s="33">
        <f t="shared" si="53"/>
        <v>0</v>
      </c>
      <c r="Q196" s="33">
        <f t="shared" si="53"/>
        <v>0</v>
      </c>
      <c r="R196" s="33">
        <f t="shared" si="53"/>
        <v>0</v>
      </c>
      <c r="S196" s="33">
        <f t="shared" si="53"/>
        <v>0</v>
      </c>
      <c r="T196" s="33">
        <f t="shared" si="53"/>
        <v>0</v>
      </c>
      <c r="U196" s="33">
        <f t="shared" si="53"/>
        <v>0</v>
      </c>
      <c r="V196" s="33">
        <f t="shared" si="53"/>
        <v>0</v>
      </c>
      <c r="W196" s="33">
        <f t="shared" si="53"/>
        <v>0</v>
      </c>
      <c r="X196" s="33">
        <f t="shared" si="53"/>
        <v>0</v>
      </c>
    </row>
    <row r="197" spans="2:24">
      <c r="B197" s="37" t="str">
        <f>IF(ISBLANK('Środki trwałe'!B625),"",'Środki trwałe'!B625)</f>
        <v/>
      </c>
      <c r="C197" s="33" t="str">
        <f>IF(ISBLANK('Środki trwałe'!D625),"",'Środki trwałe'!D625)</f>
        <v/>
      </c>
      <c r="D197" s="245" t="str">
        <f>IF(ISBLANK('Środki trwałe'!E625),"",'Środki trwałe'!E625)</f>
        <v/>
      </c>
      <c r="E197" s="198">
        <f>IF(AND('Środki trwałe'!F625="tak",'Środki trwałe'!G625="nie"),'Środki trwałe'!H625,0)</f>
        <v>0</v>
      </c>
      <c r="F197" s="94">
        <f t="shared" si="52"/>
        <v>0</v>
      </c>
      <c r="G197" s="33">
        <f>IF(AND('Środki trwałe'!F625="tak",'Środki trwałe'!G625="tak"),'Środki trwałe'!I625,0)</f>
        <v>0</v>
      </c>
      <c r="H197" s="314"/>
      <c r="I197" s="52"/>
      <c r="J197" s="508" t="str">
        <f>IF(ISBLANK('Środki trwałe'!C625),"",'Środki trwałe'!C625)</f>
        <v/>
      </c>
      <c r="K197" s="33">
        <f t="shared" si="53"/>
        <v>0</v>
      </c>
      <c r="L197" s="33">
        <f t="shared" si="53"/>
        <v>0</v>
      </c>
      <c r="M197" s="33">
        <f t="shared" si="53"/>
        <v>0</v>
      </c>
      <c r="N197" s="33">
        <f t="shared" si="53"/>
        <v>0</v>
      </c>
      <c r="O197" s="33">
        <f t="shared" si="53"/>
        <v>0</v>
      </c>
      <c r="P197" s="33">
        <f t="shared" si="53"/>
        <v>0</v>
      </c>
      <c r="Q197" s="33">
        <f t="shared" si="53"/>
        <v>0</v>
      </c>
      <c r="R197" s="33">
        <f t="shared" si="53"/>
        <v>0</v>
      </c>
      <c r="S197" s="33">
        <f t="shared" si="53"/>
        <v>0</v>
      </c>
      <c r="T197" s="33">
        <f t="shared" si="53"/>
        <v>0</v>
      </c>
      <c r="U197" s="33">
        <f t="shared" si="53"/>
        <v>0</v>
      </c>
      <c r="V197" s="33">
        <f t="shared" si="53"/>
        <v>0</v>
      </c>
      <c r="W197" s="33">
        <f t="shared" si="53"/>
        <v>0</v>
      </c>
      <c r="X197" s="33">
        <f t="shared" si="53"/>
        <v>0</v>
      </c>
    </row>
    <row r="198" spans="2:24">
      <c r="B198" s="98" t="s">
        <v>335</v>
      </c>
      <c r="C198" s="97">
        <f>SUM(C188:C197)</f>
        <v>0</v>
      </c>
      <c r="D198" s="199"/>
      <c r="E198" s="96"/>
      <c r="F198" s="97">
        <f>SUM(F188:F197)</f>
        <v>0</v>
      </c>
      <c r="G198" s="97">
        <f>SUM(G188:G197)</f>
        <v>0</v>
      </c>
      <c r="H198" s="319"/>
      <c r="I198" s="96"/>
      <c r="J198" s="509"/>
      <c r="K198" s="97">
        <f t="shared" ref="K198:X198" si="54">ROUND(SUM(K188:K197),0)</f>
        <v>0</v>
      </c>
      <c r="L198" s="97">
        <f t="shared" si="54"/>
        <v>0</v>
      </c>
      <c r="M198" s="97">
        <f t="shared" si="54"/>
        <v>0</v>
      </c>
      <c r="N198" s="97">
        <f t="shared" si="54"/>
        <v>0</v>
      </c>
      <c r="O198" s="97">
        <f t="shared" si="54"/>
        <v>0</v>
      </c>
      <c r="P198" s="97">
        <f t="shared" si="54"/>
        <v>0</v>
      </c>
      <c r="Q198" s="97">
        <f t="shared" si="54"/>
        <v>0</v>
      </c>
      <c r="R198" s="97">
        <f t="shared" si="54"/>
        <v>0</v>
      </c>
      <c r="S198" s="97">
        <f t="shared" si="54"/>
        <v>0</v>
      </c>
      <c r="T198" s="97">
        <f t="shared" si="54"/>
        <v>0</v>
      </c>
      <c r="U198" s="97">
        <f t="shared" si="54"/>
        <v>0</v>
      </c>
      <c r="V198" s="97">
        <f t="shared" si="54"/>
        <v>0</v>
      </c>
      <c r="W198" s="97">
        <f t="shared" si="54"/>
        <v>0</v>
      </c>
      <c r="X198" s="97">
        <f t="shared" si="54"/>
        <v>0</v>
      </c>
    </row>
    <row r="199" spans="2:24">
      <c r="B199" s="103" t="s">
        <v>450</v>
      </c>
      <c r="C199" s="101"/>
      <c r="D199" s="101"/>
      <c r="E199" s="101"/>
      <c r="F199" s="101"/>
      <c r="G199" s="101"/>
      <c r="H199" s="315"/>
      <c r="I199" s="101"/>
      <c r="J199" s="510"/>
      <c r="K199" s="102">
        <f t="shared" ref="K199:X199" ca="1" si="55">ROUND(K1117+K1124+K1131+K1138+K1180+K1145+K1152+K1159+K1166+K1173,0)</f>
        <v>0</v>
      </c>
      <c r="L199" s="102">
        <f t="shared" ca="1" si="55"/>
        <v>0</v>
      </c>
      <c r="M199" s="102">
        <f t="shared" ca="1" si="55"/>
        <v>0</v>
      </c>
      <c r="N199" s="102">
        <f t="shared" ca="1" si="55"/>
        <v>0</v>
      </c>
      <c r="O199" s="102">
        <f t="shared" ca="1" si="55"/>
        <v>0</v>
      </c>
      <c r="P199" s="102">
        <f t="shared" ca="1" si="55"/>
        <v>0</v>
      </c>
      <c r="Q199" s="102">
        <f t="shared" ca="1" si="55"/>
        <v>0</v>
      </c>
      <c r="R199" s="102">
        <f t="shared" ca="1" si="55"/>
        <v>0</v>
      </c>
      <c r="S199" s="102">
        <f t="shared" ca="1" si="55"/>
        <v>0</v>
      </c>
      <c r="T199" s="102">
        <f t="shared" ca="1" si="55"/>
        <v>0</v>
      </c>
      <c r="U199" s="102">
        <f t="shared" ca="1" si="55"/>
        <v>0</v>
      </c>
      <c r="V199" s="102">
        <f t="shared" ca="1" si="55"/>
        <v>0</v>
      </c>
      <c r="W199" s="102">
        <f t="shared" ca="1" si="55"/>
        <v>0</v>
      </c>
      <c r="X199" s="102">
        <f t="shared" ca="1" si="55"/>
        <v>0</v>
      </c>
    </row>
    <row r="200" spans="2:24">
      <c r="B200" s="37" t="s">
        <v>451</v>
      </c>
      <c r="C200" s="52"/>
      <c r="D200" s="52"/>
      <c r="E200" s="52"/>
      <c r="F200" s="52"/>
      <c r="G200" s="52"/>
      <c r="H200" s="314"/>
      <c r="I200" s="52"/>
      <c r="J200" s="511"/>
      <c r="K200" s="33">
        <f t="shared" ref="K200:X200" ca="1" si="56">ROUND(K1118+K1125+K1132+K1139+K1181+K1146+K1153+K1160+K1167+K1174,0)</f>
        <v>0</v>
      </c>
      <c r="L200" s="33">
        <f t="shared" ca="1" si="56"/>
        <v>0</v>
      </c>
      <c r="M200" s="33">
        <f t="shared" ca="1" si="56"/>
        <v>0</v>
      </c>
      <c r="N200" s="33">
        <f t="shared" ca="1" si="56"/>
        <v>0</v>
      </c>
      <c r="O200" s="33">
        <f t="shared" ca="1" si="56"/>
        <v>0</v>
      </c>
      <c r="P200" s="33">
        <f t="shared" ca="1" si="56"/>
        <v>0</v>
      </c>
      <c r="Q200" s="33">
        <f t="shared" ca="1" si="56"/>
        <v>0</v>
      </c>
      <c r="R200" s="33">
        <f t="shared" ca="1" si="56"/>
        <v>0</v>
      </c>
      <c r="S200" s="33">
        <f t="shared" ca="1" si="56"/>
        <v>0</v>
      </c>
      <c r="T200" s="33">
        <f t="shared" ca="1" si="56"/>
        <v>0</v>
      </c>
      <c r="U200" s="33">
        <f t="shared" ca="1" si="56"/>
        <v>0</v>
      </c>
      <c r="V200" s="33">
        <f t="shared" ca="1" si="56"/>
        <v>0</v>
      </c>
      <c r="W200" s="33">
        <f t="shared" ca="1" si="56"/>
        <v>0</v>
      </c>
      <c r="X200" s="33">
        <f t="shared" ca="1" si="56"/>
        <v>0</v>
      </c>
    </row>
    <row r="201" spans="2:24">
      <c r="B201" s="105" t="s">
        <v>452</v>
      </c>
      <c r="C201" s="105"/>
      <c r="D201" s="105"/>
      <c r="E201" s="105"/>
      <c r="F201" s="105"/>
      <c r="G201" s="105"/>
      <c r="H201" s="323"/>
      <c r="I201" s="105"/>
      <c r="J201" s="512"/>
      <c r="K201" s="106">
        <f>'Środki trwałe'!K654</f>
        <v>0</v>
      </c>
      <c r="L201" s="106">
        <f>'Środki trwałe'!L654</f>
        <v>0</v>
      </c>
      <c r="M201" s="106">
        <f>'Środki trwałe'!M654</f>
        <v>0</v>
      </c>
      <c r="N201" s="106">
        <f>'Środki trwałe'!N654</f>
        <v>0</v>
      </c>
      <c r="O201" s="106">
        <f>'Środki trwałe'!O654</f>
        <v>0</v>
      </c>
      <c r="P201" s="106">
        <f>'Środki trwałe'!P654</f>
        <v>0</v>
      </c>
      <c r="Q201" s="106">
        <f>'Środki trwałe'!Q654</f>
        <v>0</v>
      </c>
      <c r="R201" s="106">
        <f>'Środki trwałe'!R654</f>
        <v>0</v>
      </c>
      <c r="S201" s="106">
        <f>'Środki trwałe'!S654</f>
        <v>0</v>
      </c>
      <c r="T201" s="106">
        <f>'Środki trwałe'!T654</f>
        <v>0</v>
      </c>
      <c r="U201" s="106">
        <f>'Środki trwałe'!U654</f>
        <v>0</v>
      </c>
      <c r="V201" s="106">
        <f>'Środki trwałe'!V654</f>
        <v>0</v>
      </c>
      <c r="W201" s="106">
        <f>'Środki trwałe'!W654</f>
        <v>0</v>
      </c>
      <c r="X201" s="106">
        <f>'Środki trwałe'!X654</f>
        <v>0</v>
      </c>
    </row>
    <row r="202" spans="2:24">
      <c r="B202" s="200" t="s">
        <v>453</v>
      </c>
      <c r="C202" s="52"/>
      <c r="D202" s="52"/>
      <c r="E202" s="52"/>
      <c r="F202" s="52"/>
      <c r="G202" s="52"/>
      <c r="H202" s="314"/>
      <c r="I202" s="52"/>
      <c r="J202" s="511"/>
      <c r="K202" s="86">
        <f t="shared" ref="K202:X202" ca="1" si="57">ROUND(K1119+K1126+K1133+K1140+K1182+K1147+K1154+K1161+K1168+K1175,0)</f>
        <v>0</v>
      </c>
      <c r="L202" s="86">
        <f t="shared" ca="1" si="57"/>
        <v>0</v>
      </c>
      <c r="M202" s="86">
        <f t="shared" ca="1" si="57"/>
        <v>0</v>
      </c>
      <c r="N202" s="86">
        <f t="shared" ca="1" si="57"/>
        <v>0</v>
      </c>
      <c r="O202" s="86">
        <f t="shared" ca="1" si="57"/>
        <v>0</v>
      </c>
      <c r="P202" s="86">
        <f t="shared" ca="1" si="57"/>
        <v>0</v>
      </c>
      <c r="Q202" s="86">
        <f t="shared" ca="1" si="57"/>
        <v>0</v>
      </c>
      <c r="R202" s="86">
        <f t="shared" ca="1" si="57"/>
        <v>0</v>
      </c>
      <c r="S202" s="86">
        <f t="shared" ca="1" si="57"/>
        <v>0</v>
      </c>
      <c r="T202" s="86">
        <f t="shared" ca="1" si="57"/>
        <v>0</v>
      </c>
      <c r="U202" s="86">
        <f t="shared" ca="1" si="57"/>
        <v>0</v>
      </c>
      <c r="V202" s="86">
        <f t="shared" ca="1" si="57"/>
        <v>0</v>
      </c>
      <c r="W202" s="86">
        <f t="shared" ca="1" si="57"/>
        <v>0</v>
      </c>
      <c r="X202" s="86">
        <f t="shared" ca="1" si="57"/>
        <v>0</v>
      </c>
    </row>
    <row r="203" spans="2:24">
      <c r="J203" s="514"/>
    </row>
    <row r="204" spans="2:24">
      <c r="H204" s="1"/>
      <c r="J204" s="514"/>
    </row>
    <row r="205" spans="2:24" ht="24">
      <c r="B205" s="227" t="s">
        <v>680</v>
      </c>
      <c r="C205" s="228" t="s">
        <v>686</v>
      </c>
      <c r="D205" s="335"/>
      <c r="E205" s="336"/>
      <c r="F205" s="229"/>
      <c r="G205" s="229" t="s">
        <v>449</v>
      </c>
      <c r="H205" s="336"/>
      <c r="I205" s="336"/>
      <c r="J205" s="513"/>
      <c r="K205" s="231" t="str">
        <f t="shared" ref="K205:X205" si="58">LataProjekcji</f>
        <v>Uzupełnij dane</v>
      </c>
      <c r="L205" s="231" t="str">
        <f t="shared" si="58"/>
        <v/>
      </c>
      <c r="M205" s="231" t="str">
        <f t="shared" si="58"/>
        <v/>
      </c>
      <c r="N205" s="231" t="str">
        <f t="shared" si="58"/>
        <v/>
      </c>
      <c r="O205" s="231" t="str">
        <f t="shared" si="58"/>
        <v/>
      </c>
      <c r="P205" s="231" t="str">
        <f t="shared" si="58"/>
        <v/>
      </c>
      <c r="Q205" s="231" t="str">
        <f t="shared" si="58"/>
        <v/>
      </c>
      <c r="R205" s="231" t="str">
        <f t="shared" si="58"/>
        <v/>
      </c>
      <c r="S205" s="231" t="str">
        <f t="shared" si="58"/>
        <v/>
      </c>
      <c r="T205" s="231" t="str">
        <f t="shared" si="58"/>
        <v/>
      </c>
      <c r="U205" s="231" t="str">
        <f t="shared" si="58"/>
        <v/>
      </c>
      <c r="V205" s="231" t="str">
        <f t="shared" si="58"/>
        <v/>
      </c>
      <c r="W205" s="231" t="str">
        <f t="shared" si="58"/>
        <v/>
      </c>
      <c r="X205" s="231" t="str">
        <f t="shared" si="58"/>
        <v/>
      </c>
    </row>
    <row r="206" spans="2:24">
      <c r="B206" s="103" t="str">
        <f>IF(ISBLANK('Środki trwałe'!B658),"",'Środki trwałe'!B658)</f>
        <v/>
      </c>
      <c r="C206" s="102">
        <f>IF(ISBLANK('Środki trwałe'!E658),"",'Środki trwałe'!E658)</f>
        <v>0</v>
      </c>
      <c r="D206" s="337"/>
      <c r="E206" s="337"/>
      <c r="F206" s="341"/>
      <c r="G206" s="102">
        <f>IF(ISBLANK('Środki trwałe'!I658),"",'Środki trwałe'!I658)</f>
        <v>0</v>
      </c>
      <c r="H206" s="338"/>
      <c r="I206" s="339"/>
      <c r="J206" s="539" t="str">
        <f>IF(ISBLANK('Środki trwałe'!C658),"",'Środki trwałe'!C658)</f>
        <v/>
      </c>
      <c r="K206" s="342">
        <f>'Środki trwałe'!K744</f>
        <v>0</v>
      </c>
      <c r="L206" s="342">
        <f>'Środki trwałe'!L744</f>
        <v>0</v>
      </c>
      <c r="M206" s="342">
        <f>'Środki trwałe'!M744</f>
        <v>0</v>
      </c>
      <c r="N206" s="342">
        <f>'Środki trwałe'!N744</f>
        <v>0</v>
      </c>
      <c r="O206" s="342">
        <f>'Środki trwałe'!O744</f>
        <v>0</v>
      </c>
      <c r="P206" s="342">
        <f>'Środki trwałe'!P744</f>
        <v>0</v>
      </c>
      <c r="Q206" s="342">
        <f>'Środki trwałe'!Q744</f>
        <v>0</v>
      </c>
      <c r="R206" s="342">
        <f>'Środki trwałe'!R744</f>
        <v>0</v>
      </c>
      <c r="S206" s="342">
        <f>'Środki trwałe'!S744</f>
        <v>0</v>
      </c>
      <c r="T206" s="342">
        <f>'Środki trwałe'!T744</f>
        <v>0</v>
      </c>
      <c r="U206" s="342">
        <f>'Środki trwałe'!U744</f>
        <v>0</v>
      </c>
      <c r="V206" s="342">
        <f>'Środki trwałe'!V744</f>
        <v>0</v>
      </c>
      <c r="W206" s="342">
        <f>'Środki trwałe'!W744</f>
        <v>0</v>
      </c>
      <c r="X206" s="342">
        <f>'Środki trwałe'!X744</f>
        <v>0</v>
      </c>
    </row>
    <row r="207" spans="2:24">
      <c r="B207" s="37" t="str">
        <f>IF(ISBLANK('Środki trwałe'!B659),"",'Środki trwałe'!B659)</f>
        <v/>
      </c>
      <c r="C207" s="33">
        <f>IF(ISBLANK('Środki trwałe'!E659),"",'Środki trwałe'!E659)</f>
        <v>0</v>
      </c>
      <c r="D207" s="337"/>
      <c r="E207" s="337"/>
      <c r="F207" s="341"/>
      <c r="G207" s="33">
        <f>IF(ISBLANK('Środki trwałe'!I659),"",'Środki trwałe'!I659)</f>
        <v>0</v>
      </c>
      <c r="H207" s="340"/>
      <c r="I207" s="337"/>
      <c r="J207" s="542" t="str">
        <f>IF(ISBLANK('Środki trwałe'!C659),"",'Środki trwałe'!C659)</f>
        <v/>
      </c>
      <c r="K207" s="342">
        <f>'Środki trwałe'!K745</f>
        <v>0</v>
      </c>
      <c r="L207" s="342">
        <f>'Środki trwałe'!L745</f>
        <v>0</v>
      </c>
      <c r="M207" s="342">
        <f>'Środki trwałe'!M745</f>
        <v>0</v>
      </c>
      <c r="N207" s="342">
        <f>'Środki trwałe'!N745</f>
        <v>0</v>
      </c>
      <c r="O207" s="342">
        <f>'Środki trwałe'!O745</f>
        <v>0</v>
      </c>
      <c r="P207" s="342">
        <f>'Środki trwałe'!P745</f>
        <v>0</v>
      </c>
      <c r="Q207" s="342">
        <f>'Środki trwałe'!Q745</f>
        <v>0</v>
      </c>
      <c r="R207" s="342">
        <f>'Środki trwałe'!R745</f>
        <v>0</v>
      </c>
      <c r="S207" s="342">
        <f>'Środki trwałe'!S745</f>
        <v>0</v>
      </c>
      <c r="T207" s="342">
        <f>'Środki trwałe'!T745</f>
        <v>0</v>
      </c>
      <c r="U207" s="342">
        <f>'Środki trwałe'!U745</f>
        <v>0</v>
      </c>
      <c r="V207" s="342">
        <f>'Środki trwałe'!V745</f>
        <v>0</v>
      </c>
      <c r="W207" s="342">
        <f>'Środki trwałe'!W745</f>
        <v>0</v>
      </c>
      <c r="X207" s="342">
        <f>'Środki trwałe'!X745</f>
        <v>0</v>
      </c>
    </row>
    <row r="208" spans="2:24">
      <c r="B208" s="37" t="str">
        <f>IF(ISBLANK('Środki trwałe'!B660),"",'Środki trwałe'!B660)</f>
        <v/>
      </c>
      <c r="C208" s="33">
        <f>IF(ISBLANK('Środki trwałe'!E660),"",'Środki trwałe'!E660)</f>
        <v>0</v>
      </c>
      <c r="D208" s="337"/>
      <c r="E208" s="337"/>
      <c r="F208" s="341"/>
      <c r="G208" s="33">
        <f>IF(ISBLANK('Środki trwałe'!I660),"",'Środki trwałe'!I660)</f>
        <v>0</v>
      </c>
      <c r="H208" s="340"/>
      <c r="I208" s="337"/>
      <c r="J208" s="542" t="str">
        <f>IF(ISBLANK('Środki trwałe'!C660),"",'Środki trwałe'!C660)</f>
        <v/>
      </c>
      <c r="K208" s="342">
        <f>'Środki trwałe'!K746</f>
        <v>0</v>
      </c>
      <c r="L208" s="342">
        <f>'Środki trwałe'!L746</f>
        <v>0</v>
      </c>
      <c r="M208" s="342">
        <f>'Środki trwałe'!M746</f>
        <v>0</v>
      </c>
      <c r="N208" s="342">
        <f>'Środki trwałe'!N746</f>
        <v>0</v>
      </c>
      <c r="O208" s="342">
        <f>'Środki trwałe'!O746</f>
        <v>0</v>
      </c>
      <c r="P208" s="342">
        <f>'Środki trwałe'!P746</f>
        <v>0</v>
      </c>
      <c r="Q208" s="342">
        <f>'Środki trwałe'!Q746</f>
        <v>0</v>
      </c>
      <c r="R208" s="342">
        <f>'Środki trwałe'!R746</f>
        <v>0</v>
      </c>
      <c r="S208" s="342">
        <f>'Środki trwałe'!S746</f>
        <v>0</v>
      </c>
      <c r="T208" s="342">
        <f>'Środki trwałe'!T746</f>
        <v>0</v>
      </c>
      <c r="U208" s="342">
        <f>'Środki trwałe'!U746</f>
        <v>0</v>
      </c>
      <c r="V208" s="342">
        <f>'Środki trwałe'!V746</f>
        <v>0</v>
      </c>
      <c r="W208" s="342">
        <f>'Środki trwałe'!W746</f>
        <v>0</v>
      </c>
      <c r="X208" s="342">
        <f>'Środki trwałe'!X746</f>
        <v>0</v>
      </c>
    </row>
    <row r="209" spans="2:24">
      <c r="B209" s="37" t="str">
        <f>IF(ISBLANK('Środki trwałe'!B661),"",'Środki trwałe'!B661)</f>
        <v/>
      </c>
      <c r="C209" s="33">
        <f>IF(ISBLANK('Środki trwałe'!E661),"",'Środki trwałe'!E661)</f>
        <v>0</v>
      </c>
      <c r="D209" s="337"/>
      <c r="E209" s="337"/>
      <c r="F209" s="341"/>
      <c r="G209" s="33">
        <f>IF(ISBLANK('Środki trwałe'!I661),"",'Środki trwałe'!I661)</f>
        <v>0</v>
      </c>
      <c r="H209" s="340"/>
      <c r="I209" s="337"/>
      <c r="J209" s="542" t="str">
        <f>IF(ISBLANK('Środki trwałe'!C661),"",'Środki trwałe'!C661)</f>
        <v/>
      </c>
      <c r="K209" s="342">
        <f>'Środki trwałe'!K747</f>
        <v>0</v>
      </c>
      <c r="L209" s="342">
        <f>'Środki trwałe'!L747</f>
        <v>0</v>
      </c>
      <c r="M209" s="342">
        <f>'Środki trwałe'!M747</f>
        <v>0</v>
      </c>
      <c r="N209" s="342">
        <f>'Środki trwałe'!N747</f>
        <v>0</v>
      </c>
      <c r="O209" s="342">
        <f>'Środki trwałe'!O747</f>
        <v>0</v>
      </c>
      <c r="P209" s="342">
        <f>'Środki trwałe'!P747</f>
        <v>0</v>
      </c>
      <c r="Q209" s="342">
        <f>'Środki trwałe'!Q747</f>
        <v>0</v>
      </c>
      <c r="R209" s="342">
        <f>'Środki trwałe'!R747</f>
        <v>0</v>
      </c>
      <c r="S209" s="342">
        <f>'Środki trwałe'!S747</f>
        <v>0</v>
      </c>
      <c r="T209" s="342">
        <f>'Środki trwałe'!T747</f>
        <v>0</v>
      </c>
      <c r="U209" s="342">
        <f>'Środki trwałe'!U747</f>
        <v>0</v>
      </c>
      <c r="V209" s="342">
        <f>'Środki trwałe'!V747</f>
        <v>0</v>
      </c>
      <c r="W209" s="342">
        <f>'Środki trwałe'!W747</f>
        <v>0</v>
      </c>
      <c r="X209" s="342">
        <f>'Środki trwałe'!X747</f>
        <v>0</v>
      </c>
    </row>
    <row r="210" spans="2:24">
      <c r="B210" s="37" t="str">
        <f>IF(ISBLANK('Środki trwałe'!B662),"",'Środki trwałe'!B662)</f>
        <v/>
      </c>
      <c r="C210" s="33">
        <f>IF(ISBLANK('Środki trwałe'!E662),"",'Środki trwałe'!E662)</f>
        <v>0</v>
      </c>
      <c r="D210" s="337"/>
      <c r="E210" s="337"/>
      <c r="F210" s="341"/>
      <c r="G210" s="33">
        <f>IF(ISBLANK('Środki trwałe'!I662),"",'Środki trwałe'!I662)</f>
        <v>0</v>
      </c>
      <c r="H210" s="340"/>
      <c r="I210" s="337"/>
      <c r="J210" s="542" t="str">
        <f>IF(ISBLANK('Środki trwałe'!C662),"",'Środki trwałe'!C662)</f>
        <v/>
      </c>
      <c r="K210" s="342">
        <f>'Środki trwałe'!K748</f>
        <v>0</v>
      </c>
      <c r="L210" s="342">
        <f>'Środki trwałe'!L748</f>
        <v>0</v>
      </c>
      <c r="M210" s="342">
        <f>'Środki trwałe'!M748</f>
        <v>0</v>
      </c>
      <c r="N210" s="342">
        <f>'Środki trwałe'!N748</f>
        <v>0</v>
      </c>
      <c r="O210" s="342">
        <f>'Środki trwałe'!O748</f>
        <v>0</v>
      </c>
      <c r="P210" s="342">
        <f>'Środki trwałe'!P748</f>
        <v>0</v>
      </c>
      <c r="Q210" s="342">
        <f>'Środki trwałe'!Q748</f>
        <v>0</v>
      </c>
      <c r="R210" s="342">
        <f>'Środki trwałe'!R748</f>
        <v>0</v>
      </c>
      <c r="S210" s="342">
        <f>'Środki trwałe'!S748</f>
        <v>0</v>
      </c>
      <c r="T210" s="342">
        <f>'Środki trwałe'!T748</f>
        <v>0</v>
      </c>
      <c r="U210" s="342">
        <f>'Środki trwałe'!U748</f>
        <v>0</v>
      </c>
      <c r="V210" s="342">
        <f>'Środki trwałe'!V748</f>
        <v>0</v>
      </c>
      <c r="W210" s="342">
        <f>'Środki trwałe'!W748</f>
        <v>0</v>
      </c>
      <c r="X210" s="342">
        <f>'Środki trwałe'!X748</f>
        <v>0</v>
      </c>
    </row>
    <row r="211" spans="2:24">
      <c r="B211" s="37" t="str">
        <f>IF(ISBLANK('Środki trwałe'!B663),"",'Środki trwałe'!B663)</f>
        <v/>
      </c>
      <c r="C211" s="33">
        <f>IF(ISBLANK('Środki trwałe'!E663),"",'Środki trwałe'!E663)</f>
        <v>0</v>
      </c>
      <c r="D211" s="337"/>
      <c r="E211" s="337"/>
      <c r="F211" s="341"/>
      <c r="G211" s="33">
        <f>IF(ISBLANK('Środki trwałe'!I663),"",'Środki trwałe'!I663)</f>
        <v>0</v>
      </c>
      <c r="H211" s="340"/>
      <c r="I211" s="337"/>
      <c r="J211" s="542" t="str">
        <f>IF(ISBLANK('Środki trwałe'!C663),"",'Środki trwałe'!C663)</f>
        <v/>
      </c>
      <c r="K211" s="342">
        <f>'Środki trwałe'!K749</f>
        <v>0</v>
      </c>
      <c r="L211" s="342">
        <f>'Środki trwałe'!L749</f>
        <v>0</v>
      </c>
      <c r="M211" s="342">
        <f>'Środki trwałe'!M749</f>
        <v>0</v>
      </c>
      <c r="N211" s="342">
        <f>'Środki trwałe'!N749</f>
        <v>0</v>
      </c>
      <c r="O211" s="342">
        <f>'Środki trwałe'!O749</f>
        <v>0</v>
      </c>
      <c r="P211" s="342">
        <f>'Środki trwałe'!P749</f>
        <v>0</v>
      </c>
      <c r="Q211" s="342">
        <f>'Środki trwałe'!Q749</f>
        <v>0</v>
      </c>
      <c r="R211" s="342">
        <f>'Środki trwałe'!R749</f>
        <v>0</v>
      </c>
      <c r="S211" s="342">
        <f>'Środki trwałe'!S749</f>
        <v>0</v>
      </c>
      <c r="T211" s="342">
        <f>'Środki trwałe'!T749</f>
        <v>0</v>
      </c>
      <c r="U211" s="342">
        <f>'Środki trwałe'!U749</f>
        <v>0</v>
      </c>
      <c r="V211" s="342">
        <f>'Środki trwałe'!V749</f>
        <v>0</v>
      </c>
      <c r="W211" s="342">
        <f>'Środki trwałe'!W749</f>
        <v>0</v>
      </c>
      <c r="X211" s="342">
        <f>'Środki trwałe'!X749</f>
        <v>0</v>
      </c>
    </row>
    <row r="212" spans="2:24">
      <c r="B212" s="37" t="str">
        <f>IF(ISBLANK('Środki trwałe'!B664),"",'Środki trwałe'!B664)</f>
        <v/>
      </c>
      <c r="C212" s="33">
        <f>IF(ISBLANK('Środki trwałe'!E664),"",'Środki trwałe'!E664)</f>
        <v>0</v>
      </c>
      <c r="D212" s="337"/>
      <c r="E212" s="337"/>
      <c r="F212" s="341"/>
      <c r="G212" s="33">
        <f>IF(ISBLANK('Środki trwałe'!I664),"",'Środki trwałe'!I664)</f>
        <v>0</v>
      </c>
      <c r="H212" s="340"/>
      <c r="I212" s="337"/>
      <c r="J212" s="542" t="str">
        <f>IF(ISBLANK('Środki trwałe'!C664),"",'Środki trwałe'!C664)</f>
        <v/>
      </c>
      <c r="K212" s="342">
        <f>'Środki trwałe'!K750</f>
        <v>0</v>
      </c>
      <c r="L212" s="342">
        <f>'Środki trwałe'!L750</f>
        <v>0</v>
      </c>
      <c r="M212" s="342">
        <f>'Środki trwałe'!M750</f>
        <v>0</v>
      </c>
      <c r="N212" s="342">
        <f>'Środki trwałe'!N750</f>
        <v>0</v>
      </c>
      <c r="O212" s="342">
        <f>'Środki trwałe'!O750</f>
        <v>0</v>
      </c>
      <c r="P212" s="342">
        <f>'Środki trwałe'!P750</f>
        <v>0</v>
      </c>
      <c r="Q212" s="342">
        <f>'Środki trwałe'!Q750</f>
        <v>0</v>
      </c>
      <c r="R212" s="342">
        <f>'Środki trwałe'!R750</f>
        <v>0</v>
      </c>
      <c r="S212" s="342">
        <f>'Środki trwałe'!S750</f>
        <v>0</v>
      </c>
      <c r="T212" s="342">
        <f>'Środki trwałe'!T750</f>
        <v>0</v>
      </c>
      <c r="U212" s="342">
        <f>'Środki trwałe'!U750</f>
        <v>0</v>
      </c>
      <c r="V212" s="342">
        <f>'Środki trwałe'!V750</f>
        <v>0</v>
      </c>
      <c r="W212" s="342">
        <f>'Środki trwałe'!W750</f>
        <v>0</v>
      </c>
      <c r="X212" s="342">
        <f>'Środki trwałe'!X750</f>
        <v>0</v>
      </c>
    </row>
    <row r="213" spans="2:24">
      <c r="B213" s="37" t="str">
        <f>IF(ISBLANK('Środki trwałe'!B665),"",'Środki trwałe'!B665)</f>
        <v/>
      </c>
      <c r="C213" s="33">
        <f>IF(ISBLANK('Środki trwałe'!E665),"",'Środki trwałe'!E665)</f>
        <v>0</v>
      </c>
      <c r="D213" s="337"/>
      <c r="E213" s="337"/>
      <c r="F213" s="341"/>
      <c r="G213" s="33">
        <f>IF(ISBLANK('Środki trwałe'!I665),"",'Środki trwałe'!I665)</f>
        <v>0</v>
      </c>
      <c r="H213" s="340"/>
      <c r="I213" s="337"/>
      <c r="J213" s="542" t="str">
        <f>IF(ISBLANK('Środki trwałe'!C665),"",'Środki trwałe'!C665)</f>
        <v/>
      </c>
      <c r="K213" s="342">
        <f>'Środki trwałe'!K751</f>
        <v>0</v>
      </c>
      <c r="L213" s="342">
        <f>'Środki trwałe'!L751</f>
        <v>0</v>
      </c>
      <c r="M213" s="342">
        <f>'Środki trwałe'!M751</f>
        <v>0</v>
      </c>
      <c r="N213" s="342">
        <f>'Środki trwałe'!N751</f>
        <v>0</v>
      </c>
      <c r="O213" s="342">
        <f>'Środki trwałe'!O751</f>
        <v>0</v>
      </c>
      <c r="P213" s="342">
        <f>'Środki trwałe'!P751</f>
        <v>0</v>
      </c>
      <c r="Q213" s="342">
        <f>'Środki trwałe'!Q751</f>
        <v>0</v>
      </c>
      <c r="R213" s="342">
        <f>'Środki trwałe'!R751</f>
        <v>0</v>
      </c>
      <c r="S213" s="342">
        <f>'Środki trwałe'!S751</f>
        <v>0</v>
      </c>
      <c r="T213" s="342">
        <f>'Środki trwałe'!T751</f>
        <v>0</v>
      </c>
      <c r="U213" s="342">
        <f>'Środki trwałe'!U751</f>
        <v>0</v>
      </c>
      <c r="V213" s="342">
        <f>'Środki trwałe'!V751</f>
        <v>0</v>
      </c>
      <c r="W213" s="342">
        <f>'Środki trwałe'!W751</f>
        <v>0</v>
      </c>
      <c r="X213" s="342">
        <f>'Środki trwałe'!X751</f>
        <v>0</v>
      </c>
    </row>
    <row r="214" spans="2:24">
      <c r="B214" s="37" t="str">
        <f>IF(ISBLANK('Środki trwałe'!B666),"",'Środki trwałe'!B666)</f>
        <v/>
      </c>
      <c r="C214" s="33">
        <f>IF(ISBLANK('Środki trwałe'!E666),"",'Środki trwałe'!E666)</f>
        <v>0</v>
      </c>
      <c r="D214" s="337"/>
      <c r="E214" s="337"/>
      <c r="F214" s="341"/>
      <c r="G214" s="33">
        <f>IF(ISBLANK('Środki trwałe'!I666),"",'Środki trwałe'!I666)</f>
        <v>0</v>
      </c>
      <c r="H214" s="340"/>
      <c r="I214" s="337"/>
      <c r="J214" s="542" t="str">
        <f>IF(ISBLANK('Środki trwałe'!C666),"",'Środki trwałe'!C666)</f>
        <v/>
      </c>
      <c r="K214" s="342">
        <f>'Środki trwałe'!K752</f>
        <v>0</v>
      </c>
      <c r="L214" s="342">
        <f>'Środki trwałe'!L752</f>
        <v>0</v>
      </c>
      <c r="M214" s="342">
        <f>'Środki trwałe'!M752</f>
        <v>0</v>
      </c>
      <c r="N214" s="342">
        <f>'Środki trwałe'!N752</f>
        <v>0</v>
      </c>
      <c r="O214" s="342">
        <f>'Środki trwałe'!O752</f>
        <v>0</v>
      </c>
      <c r="P214" s="342">
        <f>'Środki trwałe'!P752</f>
        <v>0</v>
      </c>
      <c r="Q214" s="342">
        <f>'Środki trwałe'!Q752</f>
        <v>0</v>
      </c>
      <c r="R214" s="342">
        <f>'Środki trwałe'!R752</f>
        <v>0</v>
      </c>
      <c r="S214" s="342">
        <f>'Środki trwałe'!S752</f>
        <v>0</v>
      </c>
      <c r="T214" s="342">
        <f>'Środki trwałe'!T752</f>
        <v>0</v>
      </c>
      <c r="U214" s="342">
        <f>'Środki trwałe'!U752</f>
        <v>0</v>
      </c>
      <c r="V214" s="342">
        <f>'Środki trwałe'!V752</f>
        <v>0</v>
      </c>
      <c r="W214" s="342">
        <f>'Środki trwałe'!W752</f>
        <v>0</v>
      </c>
      <c r="X214" s="342">
        <f>'Środki trwałe'!X752</f>
        <v>0</v>
      </c>
    </row>
    <row r="215" spans="2:24">
      <c r="B215" s="37" t="str">
        <f>IF(ISBLANK('Środki trwałe'!B667),"",'Środki trwałe'!B667)</f>
        <v/>
      </c>
      <c r="C215" s="33">
        <f>IF(ISBLANK('Środki trwałe'!E667),"",'Środki trwałe'!E667)</f>
        <v>0</v>
      </c>
      <c r="D215" s="337"/>
      <c r="E215" s="337"/>
      <c r="F215" s="341"/>
      <c r="G215" s="33">
        <f>IF(ISBLANK('Środki trwałe'!I667),"",'Środki trwałe'!I667)</f>
        <v>0</v>
      </c>
      <c r="H215" s="340"/>
      <c r="I215" s="337"/>
      <c r="J215" s="542" t="str">
        <f>IF(ISBLANK('Środki trwałe'!C667),"",'Środki trwałe'!C667)</f>
        <v/>
      </c>
      <c r="K215" s="342">
        <f>'Środki trwałe'!K753</f>
        <v>0</v>
      </c>
      <c r="L215" s="342">
        <f>'Środki trwałe'!L753</f>
        <v>0</v>
      </c>
      <c r="M215" s="342">
        <f>'Środki trwałe'!M753</f>
        <v>0</v>
      </c>
      <c r="N215" s="342">
        <f>'Środki trwałe'!N753</f>
        <v>0</v>
      </c>
      <c r="O215" s="342">
        <f>'Środki trwałe'!O753</f>
        <v>0</v>
      </c>
      <c r="P215" s="342">
        <f>'Środki trwałe'!P753</f>
        <v>0</v>
      </c>
      <c r="Q215" s="342">
        <f>'Środki trwałe'!Q753</f>
        <v>0</v>
      </c>
      <c r="R215" s="342">
        <f>'Środki trwałe'!R753</f>
        <v>0</v>
      </c>
      <c r="S215" s="342">
        <f>'Środki trwałe'!S753</f>
        <v>0</v>
      </c>
      <c r="T215" s="342">
        <f>'Środki trwałe'!T753</f>
        <v>0</v>
      </c>
      <c r="U215" s="342">
        <f>'Środki trwałe'!U753</f>
        <v>0</v>
      </c>
      <c r="V215" s="342">
        <f>'Środki trwałe'!V753</f>
        <v>0</v>
      </c>
      <c r="W215" s="342">
        <f>'Środki trwałe'!W753</f>
        <v>0</v>
      </c>
      <c r="X215" s="342">
        <f>'Środki trwałe'!X753</f>
        <v>0</v>
      </c>
    </row>
    <row r="216" spans="2:24">
      <c r="B216" s="37" t="str">
        <f>IF(ISBLANK('Środki trwałe'!B668),"",'Środki trwałe'!B668)</f>
        <v/>
      </c>
      <c r="C216" s="33">
        <f>IF(ISBLANK('Środki trwałe'!E668),"",'Środki trwałe'!E668)</f>
        <v>0</v>
      </c>
      <c r="D216" s="337"/>
      <c r="E216" s="337"/>
      <c r="F216" s="341"/>
      <c r="G216" s="33">
        <f>IF(ISBLANK('Środki trwałe'!I668),"",'Środki trwałe'!I668)</f>
        <v>0</v>
      </c>
      <c r="H216" s="340"/>
      <c r="I216" s="337"/>
      <c r="J216" s="542" t="str">
        <f>IF(ISBLANK('Środki trwałe'!C668),"",'Środki trwałe'!C668)</f>
        <v/>
      </c>
      <c r="K216" s="342">
        <f>'Środki trwałe'!K754</f>
        <v>0</v>
      </c>
      <c r="L216" s="342">
        <f>'Środki trwałe'!L754</f>
        <v>0</v>
      </c>
      <c r="M216" s="342">
        <f>'Środki trwałe'!M754</f>
        <v>0</v>
      </c>
      <c r="N216" s="342">
        <f>'Środki trwałe'!N754</f>
        <v>0</v>
      </c>
      <c r="O216" s="342">
        <f>'Środki trwałe'!O754</f>
        <v>0</v>
      </c>
      <c r="P216" s="342">
        <f>'Środki trwałe'!P754</f>
        <v>0</v>
      </c>
      <c r="Q216" s="342">
        <f>'Środki trwałe'!Q754</f>
        <v>0</v>
      </c>
      <c r="R216" s="342">
        <f>'Środki trwałe'!R754</f>
        <v>0</v>
      </c>
      <c r="S216" s="342">
        <f>'Środki trwałe'!S754</f>
        <v>0</v>
      </c>
      <c r="T216" s="342">
        <f>'Środki trwałe'!T754</f>
        <v>0</v>
      </c>
      <c r="U216" s="342">
        <f>'Środki trwałe'!U754</f>
        <v>0</v>
      </c>
      <c r="V216" s="342">
        <f>'Środki trwałe'!V754</f>
        <v>0</v>
      </c>
      <c r="W216" s="342">
        <f>'Środki trwałe'!W754</f>
        <v>0</v>
      </c>
      <c r="X216" s="342">
        <f>'Środki trwałe'!X754</f>
        <v>0</v>
      </c>
    </row>
    <row r="217" spans="2:24">
      <c r="B217" s="37" t="str">
        <f>IF(ISBLANK('Środki trwałe'!B669),"",'Środki trwałe'!B669)</f>
        <v/>
      </c>
      <c r="C217" s="33">
        <f>IF(ISBLANK('Środki trwałe'!E669),"",'Środki trwałe'!E669)</f>
        <v>0</v>
      </c>
      <c r="D217" s="337"/>
      <c r="E217" s="337"/>
      <c r="F217" s="341"/>
      <c r="G217" s="33">
        <f>IF(ISBLANK('Środki trwałe'!I669),"",'Środki trwałe'!I669)</f>
        <v>0</v>
      </c>
      <c r="H217" s="340"/>
      <c r="I217" s="337"/>
      <c r="J217" s="542" t="str">
        <f>IF(ISBLANK('Środki trwałe'!C669),"",'Środki trwałe'!C669)</f>
        <v/>
      </c>
      <c r="K217" s="342">
        <f>'Środki trwałe'!K755</f>
        <v>0</v>
      </c>
      <c r="L217" s="342">
        <f>'Środki trwałe'!L755</f>
        <v>0</v>
      </c>
      <c r="M217" s="342">
        <f>'Środki trwałe'!M755</f>
        <v>0</v>
      </c>
      <c r="N217" s="342">
        <f>'Środki trwałe'!N755</f>
        <v>0</v>
      </c>
      <c r="O217" s="342">
        <f>'Środki trwałe'!O755</f>
        <v>0</v>
      </c>
      <c r="P217" s="342">
        <f>'Środki trwałe'!P755</f>
        <v>0</v>
      </c>
      <c r="Q217" s="342">
        <f>'Środki trwałe'!Q755</f>
        <v>0</v>
      </c>
      <c r="R217" s="342">
        <f>'Środki trwałe'!R755</f>
        <v>0</v>
      </c>
      <c r="S217" s="342">
        <f>'Środki trwałe'!S755</f>
        <v>0</v>
      </c>
      <c r="T217" s="342">
        <f>'Środki trwałe'!T755</f>
        <v>0</v>
      </c>
      <c r="U217" s="342">
        <f>'Środki trwałe'!U755</f>
        <v>0</v>
      </c>
      <c r="V217" s="342">
        <f>'Środki trwałe'!V755</f>
        <v>0</v>
      </c>
      <c r="W217" s="342">
        <f>'Środki trwałe'!W755</f>
        <v>0</v>
      </c>
      <c r="X217" s="342">
        <f>'Środki trwałe'!X755</f>
        <v>0</v>
      </c>
    </row>
    <row r="218" spans="2:24">
      <c r="B218" s="37" t="str">
        <f>IF(ISBLANK('Środki trwałe'!B670),"",'Środki trwałe'!B670)</f>
        <v/>
      </c>
      <c r="C218" s="33">
        <f>IF(ISBLANK('Środki trwałe'!E670),"",'Środki trwałe'!E670)</f>
        <v>0</v>
      </c>
      <c r="D218" s="337"/>
      <c r="E218" s="337"/>
      <c r="F218" s="341"/>
      <c r="G218" s="33">
        <f>IF(ISBLANK('Środki trwałe'!I670),"",'Środki trwałe'!I670)</f>
        <v>0</v>
      </c>
      <c r="H218" s="340"/>
      <c r="I218" s="337"/>
      <c r="J218" s="542" t="str">
        <f>IF(ISBLANK('Środki trwałe'!C670),"",'Środki trwałe'!C670)</f>
        <v/>
      </c>
      <c r="K218" s="342">
        <f>'Środki trwałe'!K756</f>
        <v>0</v>
      </c>
      <c r="L218" s="342">
        <f>'Środki trwałe'!L756</f>
        <v>0</v>
      </c>
      <c r="M218" s="342">
        <f>'Środki trwałe'!M756</f>
        <v>0</v>
      </c>
      <c r="N218" s="342">
        <f>'Środki trwałe'!N756</f>
        <v>0</v>
      </c>
      <c r="O218" s="342">
        <f>'Środki trwałe'!O756</f>
        <v>0</v>
      </c>
      <c r="P218" s="342">
        <f>'Środki trwałe'!P756</f>
        <v>0</v>
      </c>
      <c r="Q218" s="342">
        <f>'Środki trwałe'!Q756</f>
        <v>0</v>
      </c>
      <c r="R218" s="342">
        <f>'Środki trwałe'!R756</f>
        <v>0</v>
      </c>
      <c r="S218" s="342">
        <f>'Środki trwałe'!S756</f>
        <v>0</v>
      </c>
      <c r="T218" s="342">
        <f>'Środki trwałe'!T756</f>
        <v>0</v>
      </c>
      <c r="U218" s="342">
        <f>'Środki trwałe'!U756</f>
        <v>0</v>
      </c>
      <c r="V218" s="342">
        <f>'Środki trwałe'!V756</f>
        <v>0</v>
      </c>
      <c r="W218" s="342">
        <f>'Środki trwałe'!W756</f>
        <v>0</v>
      </c>
      <c r="X218" s="342">
        <f>'Środki trwałe'!X756</f>
        <v>0</v>
      </c>
    </row>
    <row r="219" spans="2:24">
      <c r="B219" s="37" t="str">
        <f>IF(ISBLANK('Środki trwałe'!B671),"",'Środki trwałe'!B671)</f>
        <v/>
      </c>
      <c r="C219" s="33">
        <f>IF(ISBLANK('Środki trwałe'!E671),"",'Środki trwałe'!E671)</f>
        <v>0</v>
      </c>
      <c r="D219" s="337"/>
      <c r="E219" s="337"/>
      <c r="F219" s="341"/>
      <c r="G219" s="33">
        <f>IF(ISBLANK('Środki trwałe'!I671),"",'Środki trwałe'!I671)</f>
        <v>0</v>
      </c>
      <c r="H219" s="340"/>
      <c r="I219" s="337"/>
      <c r="J219" s="542" t="str">
        <f>IF(ISBLANK('Środki trwałe'!C671),"",'Środki trwałe'!C671)</f>
        <v/>
      </c>
      <c r="K219" s="342">
        <f>'Środki trwałe'!K757</f>
        <v>0</v>
      </c>
      <c r="L219" s="342">
        <f>'Środki trwałe'!L757</f>
        <v>0</v>
      </c>
      <c r="M219" s="342">
        <f>'Środki trwałe'!M757</f>
        <v>0</v>
      </c>
      <c r="N219" s="342">
        <f>'Środki trwałe'!N757</f>
        <v>0</v>
      </c>
      <c r="O219" s="342">
        <f>'Środki trwałe'!O757</f>
        <v>0</v>
      </c>
      <c r="P219" s="342">
        <f>'Środki trwałe'!P757</f>
        <v>0</v>
      </c>
      <c r="Q219" s="342">
        <f>'Środki trwałe'!Q757</f>
        <v>0</v>
      </c>
      <c r="R219" s="342">
        <f>'Środki trwałe'!R757</f>
        <v>0</v>
      </c>
      <c r="S219" s="342">
        <f>'Środki trwałe'!S757</f>
        <v>0</v>
      </c>
      <c r="T219" s="342">
        <f>'Środki trwałe'!T757</f>
        <v>0</v>
      </c>
      <c r="U219" s="342">
        <f>'Środki trwałe'!U757</f>
        <v>0</v>
      </c>
      <c r="V219" s="342">
        <f>'Środki trwałe'!V757</f>
        <v>0</v>
      </c>
      <c r="W219" s="342">
        <f>'Środki trwałe'!W757</f>
        <v>0</v>
      </c>
      <c r="X219" s="342">
        <f>'Środki trwałe'!X757</f>
        <v>0</v>
      </c>
    </row>
    <row r="220" spans="2:24">
      <c r="B220" s="37" t="str">
        <f>IF(ISBLANK('Środki trwałe'!B672),"",'Środki trwałe'!B672)</f>
        <v/>
      </c>
      <c r="C220" s="33">
        <f>IF(ISBLANK('Środki trwałe'!E672),"",'Środki trwałe'!E672)</f>
        <v>0</v>
      </c>
      <c r="D220" s="337"/>
      <c r="E220" s="337"/>
      <c r="F220" s="341"/>
      <c r="G220" s="33">
        <f>IF(ISBLANK('Środki trwałe'!I672),"",'Środki trwałe'!I672)</f>
        <v>0</v>
      </c>
      <c r="H220" s="340"/>
      <c r="I220" s="337"/>
      <c r="J220" s="542" t="str">
        <f>IF(ISBLANK('Środki trwałe'!C672),"",'Środki trwałe'!C672)</f>
        <v/>
      </c>
      <c r="K220" s="342">
        <f>'Środki trwałe'!K758</f>
        <v>0</v>
      </c>
      <c r="L220" s="342">
        <f>'Środki trwałe'!L758</f>
        <v>0</v>
      </c>
      <c r="M220" s="342">
        <f>'Środki trwałe'!M758</f>
        <v>0</v>
      </c>
      <c r="N220" s="342">
        <f>'Środki trwałe'!N758</f>
        <v>0</v>
      </c>
      <c r="O220" s="342">
        <f>'Środki trwałe'!O758</f>
        <v>0</v>
      </c>
      <c r="P220" s="342">
        <f>'Środki trwałe'!P758</f>
        <v>0</v>
      </c>
      <c r="Q220" s="342">
        <f>'Środki trwałe'!Q758</f>
        <v>0</v>
      </c>
      <c r="R220" s="342">
        <f>'Środki trwałe'!R758</f>
        <v>0</v>
      </c>
      <c r="S220" s="342">
        <f>'Środki trwałe'!S758</f>
        <v>0</v>
      </c>
      <c r="T220" s="342">
        <f>'Środki trwałe'!T758</f>
        <v>0</v>
      </c>
      <c r="U220" s="342">
        <f>'Środki trwałe'!U758</f>
        <v>0</v>
      </c>
      <c r="V220" s="342">
        <f>'Środki trwałe'!V758</f>
        <v>0</v>
      </c>
      <c r="W220" s="342">
        <f>'Środki trwałe'!W758</f>
        <v>0</v>
      </c>
      <c r="X220" s="342">
        <f>'Środki trwałe'!X758</f>
        <v>0</v>
      </c>
    </row>
    <row r="221" spans="2:24">
      <c r="B221" s="37" t="str">
        <f>IF(ISBLANK('Środki trwałe'!B673),"",'Środki trwałe'!B673)</f>
        <v/>
      </c>
      <c r="C221" s="33">
        <f>IF(ISBLANK('Środki trwałe'!E673),"",'Środki trwałe'!E673)</f>
        <v>0</v>
      </c>
      <c r="D221" s="337"/>
      <c r="E221" s="337"/>
      <c r="F221" s="341"/>
      <c r="G221" s="33">
        <f>IF(ISBLANK('Środki trwałe'!I673),"",'Środki trwałe'!I673)</f>
        <v>0</v>
      </c>
      <c r="H221" s="340"/>
      <c r="I221" s="337"/>
      <c r="J221" s="542" t="str">
        <f>IF(ISBLANK('Środki trwałe'!C673),"",'Środki trwałe'!C673)</f>
        <v/>
      </c>
      <c r="K221" s="342">
        <f>'Środki trwałe'!K759</f>
        <v>0</v>
      </c>
      <c r="L221" s="342">
        <f>'Środki trwałe'!L759</f>
        <v>0</v>
      </c>
      <c r="M221" s="342">
        <f>'Środki trwałe'!M759</f>
        <v>0</v>
      </c>
      <c r="N221" s="342">
        <f>'Środki trwałe'!N759</f>
        <v>0</v>
      </c>
      <c r="O221" s="342">
        <f>'Środki trwałe'!O759</f>
        <v>0</v>
      </c>
      <c r="P221" s="342">
        <f>'Środki trwałe'!P759</f>
        <v>0</v>
      </c>
      <c r="Q221" s="342">
        <f>'Środki trwałe'!Q759</f>
        <v>0</v>
      </c>
      <c r="R221" s="342">
        <f>'Środki trwałe'!R759</f>
        <v>0</v>
      </c>
      <c r="S221" s="342">
        <f>'Środki trwałe'!S759</f>
        <v>0</v>
      </c>
      <c r="T221" s="342">
        <f>'Środki trwałe'!T759</f>
        <v>0</v>
      </c>
      <c r="U221" s="342">
        <f>'Środki trwałe'!U759</f>
        <v>0</v>
      </c>
      <c r="V221" s="342">
        <f>'Środki trwałe'!V759</f>
        <v>0</v>
      </c>
      <c r="W221" s="342">
        <f>'Środki trwałe'!W759</f>
        <v>0</v>
      </c>
      <c r="X221" s="342">
        <f>'Środki trwałe'!X759</f>
        <v>0</v>
      </c>
    </row>
    <row r="222" spans="2:24">
      <c r="B222" s="37" t="str">
        <f>IF(ISBLANK('Środki trwałe'!B674),"",'Środki trwałe'!B674)</f>
        <v/>
      </c>
      <c r="C222" s="33">
        <f>IF(ISBLANK('Środki trwałe'!E674),"",'Środki trwałe'!E674)</f>
        <v>0</v>
      </c>
      <c r="D222" s="337"/>
      <c r="E222" s="337"/>
      <c r="F222" s="341"/>
      <c r="G222" s="33">
        <f>IF(ISBLANK('Środki trwałe'!I674),"",'Środki trwałe'!I674)</f>
        <v>0</v>
      </c>
      <c r="H222" s="340"/>
      <c r="I222" s="337"/>
      <c r="J222" s="542" t="str">
        <f>IF(ISBLANK('Środki trwałe'!C674),"",'Środki trwałe'!C674)</f>
        <v/>
      </c>
      <c r="K222" s="342">
        <f>'Środki trwałe'!K760</f>
        <v>0</v>
      </c>
      <c r="L222" s="342">
        <f>'Środki trwałe'!L760</f>
        <v>0</v>
      </c>
      <c r="M222" s="342">
        <f>'Środki trwałe'!M760</f>
        <v>0</v>
      </c>
      <c r="N222" s="342">
        <f>'Środki trwałe'!N760</f>
        <v>0</v>
      </c>
      <c r="O222" s="342">
        <f>'Środki trwałe'!O760</f>
        <v>0</v>
      </c>
      <c r="P222" s="342">
        <f>'Środki trwałe'!P760</f>
        <v>0</v>
      </c>
      <c r="Q222" s="342">
        <f>'Środki trwałe'!Q760</f>
        <v>0</v>
      </c>
      <c r="R222" s="342">
        <f>'Środki trwałe'!R760</f>
        <v>0</v>
      </c>
      <c r="S222" s="342">
        <f>'Środki trwałe'!S760</f>
        <v>0</v>
      </c>
      <c r="T222" s="342">
        <f>'Środki trwałe'!T760</f>
        <v>0</v>
      </c>
      <c r="U222" s="342">
        <f>'Środki trwałe'!U760</f>
        <v>0</v>
      </c>
      <c r="V222" s="342">
        <f>'Środki trwałe'!V760</f>
        <v>0</v>
      </c>
      <c r="W222" s="342">
        <f>'Środki trwałe'!W760</f>
        <v>0</v>
      </c>
      <c r="X222" s="342">
        <f>'Środki trwałe'!X760</f>
        <v>0</v>
      </c>
    </row>
    <row r="223" spans="2:24">
      <c r="B223" s="37" t="str">
        <f>IF(ISBLANK('Środki trwałe'!B675),"",'Środki trwałe'!B675)</f>
        <v/>
      </c>
      <c r="C223" s="33">
        <f>IF(ISBLANK('Środki trwałe'!E675),"",'Środki trwałe'!E675)</f>
        <v>0</v>
      </c>
      <c r="D223" s="337"/>
      <c r="E223" s="337"/>
      <c r="F223" s="341"/>
      <c r="G223" s="33">
        <f>IF(ISBLANK('Środki trwałe'!I675),"",'Środki trwałe'!I675)</f>
        <v>0</v>
      </c>
      <c r="H223" s="340"/>
      <c r="I223" s="337"/>
      <c r="J223" s="542" t="str">
        <f>IF(ISBLANK('Środki trwałe'!C675),"",'Środki trwałe'!C675)</f>
        <v/>
      </c>
      <c r="K223" s="342">
        <f>'Środki trwałe'!K761</f>
        <v>0</v>
      </c>
      <c r="L223" s="342">
        <f>'Środki trwałe'!L761</f>
        <v>0</v>
      </c>
      <c r="M223" s="342">
        <f>'Środki trwałe'!M761</f>
        <v>0</v>
      </c>
      <c r="N223" s="342">
        <f>'Środki trwałe'!N761</f>
        <v>0</v>
      </c>
      <c r="O223" s="342">
        <f>'Środki trwałe'!O761</f>
        <v>0</v>
      </c>
      <c r="P223" s="342">
        <f>'Środki trwałe'!P761</f>
        <v>0</v>
      </c>
      <c r="Q223" s="342">
        <f>'Środki trwałe'!Q761</f>
        <v>0</v>
      </c>
      <c r="R223" s="342">
        <f>'Środki trwałe'!R761</f>
        <v>0</v>
      </c>
      <c r="S223" s="342">
        <f>'Środki trwałe'!S761</f>
        <v>0</v>
      </c>
      <c r="T223" s="342">
        <f>'Środki trwałe'!T761</f>
        <v>0</v>
      </c>
      <c r="U223" s="342">
        <f>'Środki trwałe'!U761</f>
        <v>0</v>
      </c>
      <c r="V223" s="342">
        <f>'Środki trwałe'!V761</f>
        <v>0</v>
      </c>
      <c r="W223" s="342">
        <f>'Środki trwałe'!W761</f>
        <v>0</v>
      </c>
      <c r="X223" s="342">
        <f>'Środki trwałe'!X761</f>
        <v>0</v>
      </c>
    </row>
    <row r="224" spans="2:24">
      <c r="B224" s="37" t="str">
        <f>IF(ISBLANK('Środki trwałe'!B676),"",'Środki trwałe'!B676)</f>
        <v/>
      </c>
      <c r="C224" s="33">
        <f>IF(ISBLANK('Środki trwałe'!E676),"",'Środki trwałe'!E676)</f>
        <v>0</v>
      </c>
      <c r="D224" s="337"/>
      <c r="E224" s="337"/>
      <c r="F224" s="341"/>
      <c r="G224" s="33">
        <f>IF(ISBLANK('Środki trwałe'!I676),"",'Środki trwałe'!I676)</f>
        <v>0</v>
      </c>
      <c r="H224" s="340"/>
      <c r="I224" s="337"/>
      <c r="J224" s="542" t="str">
        <f>IF(ISBLANK('Środki trwałe'!C676),"",'Środki trwałe'!C676)</f>
        <v/>
      </c>
      <c r="K224" s="342">
        <f>'Środki trwałe'!K762</f>
        <v>0</v>
      </c>
      <c r="L224" s="342">
        <f>'Środki trwałe'!L762</f>
        <v>0</v>
      </c>
      <c r="M224" s="342">
        <f>'Środki trwałe'!M762</f>
        <v>0</v>
      </c>
      <c r="N224" s="342">
        <f>'Środki trwałe'!N762</f>
        <v>0</v>
      </c>
      <c r="O224" s="342">
        <f>'Środki trwałe'!O762</f>
        <v>0</v>
      </c>
      <c r="P224" s="342">
        <f>'Środki trwałe'!P762</f>
        <v>0</v>
      </c>
      <c r="Q224" s="342">
        <f>'Środki trwałe'!Q762</f>
        <v>0</v>
      </c>
      <c r="R224" s="342">
        <f>'Środki trwałe'!R762</f>
        <v>0</v>
      </c>
      <c r="S224" s="342">
        <f>'Środki trwałe'!S762</f>
        <v>0</v>
      </c>
      <c r="T224" s="342">
        <f>'Środki trwałe'!T762</f>
        <v>0</v>
      </c>
      <c r="U224" s="342">
        <f>'Środki trwałe'!U762</f>
        <v>0</v>
      </c>
      <c r="V224" s="342">
        <f>'Środki trwałe'!V762</f>
        <v>0</v>
      </c>
      <c r="W224" s="342">
        <f>'Środki trwałe'!W762</f>
        <v>0</v>
      </c>
      <c r="X224" s="342">
        <f>'Środki trwałe'!X762</f>
        <v>0</v>
      </c>
    </row>
    <row r="225" spans="2:24">
      <c r="B225" s="37" t="str">
        <f>IF(ISBLANK('Środki trwałe'!B677),"",'Środki trwałe'!B677)</f>
        <v/>
      </c>
      <c r="C225" s="33">
        <f>IF(ISBLANK('Środki trwałe'!E677),"",'Środki trwałe'!E677)</f>
        <v>0</v>
      </c>
      <c r="D225" s="337"/>
      <c r="E225" s="337"/>
      <c r="F225" s="341"/>
      <c r="G225" s="33">
        <f>IF(ISBLANK('Środki trwałe'!I677),"",'Środki trwałe'!I677)</f>
        <v>0</v>
      </c>
      <c r="H225" s="340"/>
      <c r="I225" s="337"/>
      <c r="J225" s="542" t="str">
        <f>IF(ISBLANK('Środki trwałe'!C677),"",'Środki trwałe'!C677)</f>
        <v/>
      </c>
      <c r="K225" s="342">
        <f>'Środki trwałe'!K763</f>
        <v>0</v>
      </c>
      <c r="L225" s="342">
        <f>'Środki trwałe'!L763</f>
        <v>0</v>
      </c>
      <c r="M225" s="342">
        <f>'Środki trwałe'!M763</f>
        <v>0</v>
      </c>
      <c r="N225" s="342">
        <f>'Środki trwałe'!N763</f>
        <v>0</v>
      </c>
      <c r="O225" s="342">
        <f>'Środki trwałe'!O763</f>
        <v>0</v>
      </c>
      <c r="P225" s="342">
        <f>'Środki trwałe'!P763</f>
        <v>0</v>
      </c>
      <c r="Q225" s="342">
        <f>'Środki trwałe'!Q763</f>
        <v>0</v>
      </c>
      <c r="R225" s="342">
        <f>'Środki trwałe'!R763</f>
        <v>0</v>
      </c>
      <c r="S225" s="342">
        <f>'Środki trwałe'!S763</f>
        <v>0</v>
      </c>
      <c r="T225" s="342">
        <f>'Środki trwałe'!T763</f>
        <v>0</v>
      </c>
      <c r="U225" s="342">
        <f>'Środki trwałe'!U763</f>
        <v>0</v>
      </c>
      <c r="V225" s="342">
        <f>'Środki trwałe'!V763</f>
        <v>0</v>
      </c>
      <c r="W225" s="342">
        <f>'Środki trwałe'!W763</f>
        <v>0</v>
      </c>
      <c r="X225" s="342">
        <f>'Środki trwałe'!X763</f>
        <v>0</v>
      </c>
    </row>
    <row r="226" spans="2:24">
      <c r="B226" s="37" t="str">
        <f>IF(ISBLANK('Środki trwałe'!B678),"",'Środki trwałe'!B678)</f>
        <v/>
      </c>
      <c r="C226" s="33">
        <f>IF(ISBLANK('Środki trwałe'!E678),"",'Środki trwałe'!E678)</f>
        <v>0</v>
      </c>
      <c r="D226" s="337"/>
      <c r="E226" s="337"/>
      <c r="F226" s="341"/>
      <c r="G226" s="33">
        <f>IF(ISBLANK('Środki trwałe'!I678),"",'Środki trwałe'!I678)</f>
        <v>0</v>
      </c>
      <c r="H226" s="340"/>
      <c r="I226" s="337"/>
      <c r="J226" s="542" t="str">
        <f>IF(ISBLANK('Środki trwałe'!C678),"",'Środki trwałe'!C678)</f>
        <v/>
      </c>
      <c r="K226" s="342">
        <f>'Środki trwałe'!K764</f>
        <v>0</v>
      </c>
      <c r="L226" s="342">
        <f>'Środki trwałe'!L764</f>
        <v>0</v>
      </c>
      <c r="M226" s="342">
        <f>'Środki trwałe'!M764</f>
        <v>0</v>
      </c>
      <c r="N226" s="342">
        <f>'Środki trwałe'!N764</f>
        <v>0</v>
      </c>
      <c r="O226" s="342">
        <f>'Środki trwałe'!O764</f>
        <v>0</v>
      </c>
      <c r="P226" s="342">
        <f>'Środki trwałe'!P764</f>
        <v>0</v>
      </c>
      <c r="Q226" s="342">
        <f>'Środki trwałe'!Q764</f>
        <v>0</v>
      </c>
      <c r="R226" s="342">
        <f>'Środki trwałe'!R764</f>
        <v>0</v>
      </c>
      <c r="S226" s="342">
        <f>'Środki trwałe'!S764</f>
        <v>0</v>
      </c>
      <c r="T226" s="342">
        <f>'Środki trwałe'!T764</f>
        <v>0</v>
      </c>
      <c r="U226" s="342">
        <f>'Środki trwałe'!U764</f>
        <v>0</v>
      </c>
      <c r="V226" s="342">
        <f>'Środki trwałe'!V764</f>
        <v>0</v>
      </c>
      <c r="W226" s="342">
        <f>'Środki trwałe'!W764</f>
        <v>0</v>
      </c>
      <c r="X226" s="342">
        <f>'Środki trwałe'!X764</f>
        <v>0</v>
      </c>
    </row>
    <row r="227" spans="2:24">
      <c r="B227" s="37" t="str">
        <f>IF(ISBLANK('Środki trwałe'!B679),"",'Środki trwałe'!B679)</f>
        <v/>
      </c>
      <c r="C227" s="33">
        <f>IF(ISBLANK('Środki trwałe'!E679),"",'Środki trwałe'!E679)</f>
        <v>0</v>
      </c>
      <c r="D227" s="337"/>
      <c r="E227" s="337"/>
      <c r="F227" s="341"/>
      <c r="G227" s="33">
        <f>IF(ISBLANK('Środki trwałe'!I679),"",'Środki trwałe'!I679)</f>
        <v>0</v>
      </c>
      <c r="H227" s="340"/>
      <c r="I227" s="337"/>
      <c r="J227" s="542" t="str">
        <f>IF(ISBLANK('Środki trwałe'!C679),"",'Środki trwałe'!C679)</f>
        <v/>
      </c>
      <c r="K227" s="342">
        <f>'Środki trwałe'!K765</f>
        <v>0</v>
      </c>
      <c r="L227" s="342">
        <f>'Środki trwałe'!L765</f>
        <v>0</v>
      </c>
      <c r="M227" s="342">
        <f>'Środki trwałe'!M765</f>
        <v>0</v>
      </c>
      <c r="N227" s="342">
        <f>'Środki trwałe'!N765</f>
        <v>0</v>
      </c>
      <c r="O227" s="342">
        <f>'Środki trwałe'!O765</f>
        <v>0</v>
      </c>
      <c r="P227" s="342">
        <f>'Środki trwałe'!P765</f>
        <v>0</v>
      </c>
      <c r="Q227" s="342">
        <f>'Środki trwałe'!Q765</f>
        <v>0</v>
      </c>
      <c r="R227" s="342">
        <f>'Środki trwałe'!R765</f>
        <v>0</v>
      </c>
      <c r="S227" s="342">
        <f>'Środki trwałe'!S765</f>
        <v>0</v>
      </c>
      <c r="T227" s="342">
        <f>'Środki trwałe'!T765</f>
        <v>0</v>
      </c>
      <c r="U227" s="342">
        <f>'Środki trwałe'!U765</f>
        <v>0</v>
      </c>
      <c r="V227" s="342">
        <f>'Środki trwałe'!V765</f>
        <v>0</v>
      </c>
      <c r="W227" s="342">
        <f>'Środki trwałe'!W765</f>
        <v>0</v>
      </c>
      <c r="X227" s="342">
        <f>'Środki trwałe'!X765</f>
        <v>0</v>
      </c>
    </row>
    <row r="228" spans="2:24">
      <c r="B228" s="37" t="str">
        <f>IF(ISBLANK('Środki trwałe'!B680),"",'Środki trwałe'!B680)</f>
        <v/>
      </c>
      <c r="C228" s="33">
        <f>IF(ISBLANK('Środki trwałe'!E680),"",'Środki trwałe'!E680)</f>
        <v>0</v>
      </c>
      <c r="D228" s="337"/>
      <c r="E228" s="337"/>
      <c r="F228" s="341"/>
      <c r="G228" s="33">
        <f>IF(ISBLANK('Środki trwałe'!I680),"",'Środki trwałe'!I680)</f>
        <v>0</v>
      </c>
      <c r="H228" s="340"/>
      <c r="I228" s="337"/>
      <c r="J228" s="542" t="str">
        <f>IF(ISBLANK('Środki trwałe'!C680),"",'Środki trwałe'!C680)</f>
        <v/>
      </c>
      <c r="K228" s="342">
        <f>'Środki trwałe'!K766</f>
        <v>0</v>
      </c>
      <c r="L228" s="342">
        <f>'Środki trwałe'!L766</f>
        <v>0</v>
      </c>
      <c r="M228" s="342">
        <f>'Środki trwałe'!M766</f>
        <v>0</v>
      </c>
      <c r="N228" s="342">
        <f>'Środki trwałe'!N766</f>
        <v>0</v>
      </c>
      <c r="O228" s="342">
        <f>'Środki trwałe'!O766</f>
        <v>0</v>
      </c>
      <c r="P228" s="342">
        <f>'Środki trwałe'!P766</f>
        <v>0</v>
      </c>
      <c r="Q228" s="342">
        <f>'Środki trwałe'!Q766</f>
        <v>0</v>
      </c>
      <c r="R228" s="342">
        <f>'Środki trwałe'!R766</f>
        <v>0</v>
      </c>
      <c r="S228" s="342">
        <f>'Środki trwałe'!S766</f>
        <v>0</v>
      </c>
      <c r="T228" s="342">
        <f>'Środki trwałe'!T766</f>
        <v>0</v>
      </c>
      <c r="U228" s="342">
        <f>'Środki trwałe'!U766</f>
        <v>0</v>
      </c>
      <c r="V228" s="342">
        <f>'Środki trwałe'!V766</f>
        <v>0</v>
      </c>
      <c r="W228" s="342">
        <f>'Środki trwałe'!W766</f>
        <v>0</v>
      </c>
      <c r="X228" s="342">
        <f>'Środki trwałe'!X766</f>
        <v>0</v>
      </c>
    </row>
    <row r="229" spans="2:24">
      <c r="B229" s="37" t="str">
        <f>IF(ISBLANK('Środki trwałe'!B681),"",'Środki trwałe'!B681)</f>
        <v/>
      </c>
      <c r="C229" s="33">
        <f>IF(ISBLANK('Środki trwałe'!E681),"",'Środki trwałe'!E681)</f>
        <v>0</v>
      </c>
      <c r="D229" s="337"/>
      <c r="E229" s="337"/>
      <c r="F229" s="341"/>
      <c r="G229" s="33">
        <f>IF(ISBLANK('Środki trwałe'!I681),"",'Środki trwałe'!I681)</f>
        <v>0</v>
      </c>
      <c r="H229" s="340"/>
      <c r="I229" s="337"/>
      <c r="J229" s="542" t="str">
        <f>IF(ISBLANK('Środki trwałe'!C681),"",'Środki trwałe'!C681)</f>
        <v/>
      </c>
      <c r="K229" s="342">
        <f>'Środki trwałe'!K767</f>
        <v>0</v>
      </c>
      <c r="L229" s="342">
        <f>'Środki trwałe'!L767</f>
        <v>0</v>
      </c>
      <c r="M229" s="342">
        <f>'Środki trwałe'!M767</f>
        <v>0</v>
      </c>
      <c r="N229" s="342">
        <f>'Środki trwałe'!N767</f>
        <v>0</v>
      </c>
      <c r="O229" s="342">
        <f>'Środki trwałe'!O767</f>
        <v>0</v>
      </c>
      <c r="P229" s="342">
        <f>'Środki trwałe'!P767</f>
        <v>0</v>
      </c>
      <c r="Q229" s="342">
        <f>'Środki trwałe'!Q767</f>
        <v>0</v>
      </c>
      <c r="R229" s="342">
        <f>'Środki trwałe'!R767</f>
        <v>0</v>
      </c>
      <c r="S229" s="342">
        <f>'Środki trwałe'!S767</f>
        <v>0</v>
      </c>
      <c r="T229" s="342">
        <f>'Środki trwałe'!T767</f>
        <v>0</v>
      </c>
      <c r="U229" s="342">
        <f>'Środki trwałe'!U767</f>
        <v>0</v>
      </c>
      <c r="V229" s="342">
        <f>'Środki trwałe'!V767</f>
        <v>0</v>
      </c>
      <c r="W229" s="342">
        <f>'Środki trwałe'!W767</f>
        <v>0</v>
      </c>
      <c r="X229" s="342">
        <f>'Środki trwałe'!X767</f>
        <v>0</v>
      </c>
    </row>
    <row r="230" spans="2:24">
      <c r="B230" s="37" t="str">
        <f>IF(ISBLANK('Środki trwałe'!B682),"",'Środki trwałe'!B682)</f>
        <v/>
      </c>
      <c r="C230" s="33">
        <f>IF(ISBLANK('Środki trwałe'!E682),"",'Środki trwałe'!E682)</f>
        <v>0</v>
      </c>
      <c r="D230" s="337"/>
      <c r="E230" s="337"/>
      <c r="F230" s="341"/>
      <c r="G230" s="33">
        <f>IF(ISBLANK('Środki trwałe'!I682),"",'Środki trwałe'!I682)</f>
        <v>0</v>
      </c>
      <c r="H230" s="340"/>
      <c r="I230" s="337"/>
      <c r="J230" s="542" t="str">
        <f>IF(ISBLANK('Środki trwałe'!C682),"",'Środki trwałe'!C682)</f>
        <v/>
      </c>
      <c r="K230" s="342">
        <f>'Środki trwałe'!K768</f>
        <v>0</v>
      </c>
      <c r="L230" s="342">
        <f>'Środki trwałe'!L768</f>
        <v>0</v>
      </c>
      <c r="M230" s="342">
        <f>'Środki trwałe'!M768</f>
        <v>0</v>
      </c>
      <c r="N230" s="342">
        <f>'Środki trwałe'!N768</f>
        <v>0</v>
      </c>
      <c r="O230" s="342">
        <f>'Środki trwałe'!O768</f>
        <v>0</v>
      </c>
      <c r="P230" s="342">
        <f>'Środki trwałe'!P768</f>
        <v>0</v>
      </c>
      <c r="Q230" s="342">
        <f>'Środki trwałe'!Q768</f>
        <v>0</v>
      </c>
      <c r="R230" s="342">
        <f>'Środki trwałe'!R768</f>
        <v>0</v>
      </c>
      <c r="S230" s="342">
        <f>'Środki trwałe'!S768</f>
        <v>0</v>
      </c>
      <c r="T230" s="342">
        <f>'Środki trwałe'!T768</f>
        <v>0</v>
      </c>
      <c r="U230" s="342">
        <f>'Środki trwałe'!U768</f>
        <v>0</v>
      </c>
      <c r="V230" s="342">
        <f>'Środki trwałe'!V768</f>
        <v>0</v>
      </c>
      <c r="W230" s="342">
        <f>'Środki trwałe'!W768</f>
        <v>0</v>
      </c>
      <c r="X230" s="342">
        <f>'Środki trwałe'!X768</f>
        <v>0</v>
      </c>
    </row>
    <row r="231" spans="2:24">
      <c r="B231" s="37" t="str">
        <f>IF(ISBLANK('Środki trwałe'!B683),"",'Środki trwałe'!B683)</f>
        <v/>
      </c>
      <c r="C231" s="33">
        <f>IF(ISBLANK('Środki trwałe'!E683),"",'Środki trwałe'!E683)</f>
        <v>0</v>
      </c>
      <c r="D231" s="337"/>
      <c r="E231" s="337"/>
      <c r="F231" s="341"/>
      <c r="G231" s="33">
        <f>IF(ISBLANK('Środki trwałe'!I683),"",'Środki trwałe'!I683)</f>
        <v>0</v>
      </c>
      <c r="H231" s="340"/>
      <c r="I231" s="337"/>
      <c r="J231" s="542" t="str">
        <f>IF(ISBLANK('Środki trwałe'!C683),"",'Środki trwałe'!C683)</f>
        <v/>
      </c>
      <c r="K231" s="342">
        <f>'Środki trwałe'!K769</f>
        <v>0</v>
      </c>
      <c r="L231" s="342">
        <f>'Środki trwałe'!L769</f>
        <v>0</v>
      </c>
      <c r="M231" s="342">
        <f>'Środki trwałe'!M769</f>
        <v>0</v>
      </c>
      <c r="N231" s="342">
        <f>'Środki trwałe'!N769</f>
        <v>0</v>
      </c>
      <c r="O231" s="342">
        <f>'Środki trwałe'!O769</f>
        <v>0</v>
      </c>
      <c r="P231" s="342">
        <f>'Środki trwałe'!P769</f>
        <v>0</v>
      </c>
      <c r="Q231" s="342">
        <f>'Środki trwałe'!Q769</f>
        <v>0</v>
      </c>
      <c r="R231" s="342">
        <f>'Środki trwałe'!R769</f>
        <v>0</v>
      </c>
      <c r="S231" s="342">
        <f>'Środki trwałe'!S769</f>
        <v>0</v>
      </c>
      <c r="T231" s="342">
        <f>'Środki trwałe'!T769</f>
        <v>0</v>
      </c>
      <c r="U231" s="342">
        <f>'Środki trwałe'!U769</f>
        <v>0</v>
      </c>
      <c r="V231" s="342">
        <f>'Środki trwałe'!V769</f>
        <v>0</v>
      </c>
      <c r="W231" s="342">
        <f>'Środki trwałe'!W769</f>
        <v>0</v>
      </c>
      <c r="X231" s="342">
        <f>'Środki trwałe'!X769</f>
        <v>0</v>
      </c>
    </row>
    <row r="232" spans="2:24">
      <c r="B232" s="37" t="str">
        <f>IF(ISBLANK('Środki trwałe'!B684),"",'Środki trwałe'!B684)</f>
        <v/>
      </c>
      <c r="C232" s="33">
        <f>IF(ISBLANK('Środki trwałe'!E684),"",'Środki trwałe'!E684)</f>
        <v>0</v>
      </c>
      <c r="D232" s="337"/>
      <c r="E232" s="337"/>
      <c r="F232" s="341"/>
      <c r="G232" s="33">
        <f>IF(ISBLANK('Środki trwałe'!I684),"",'Środki trwałe'!I684)</f>
        <v>0</v>
      </c>
      <c r="H232" s="340"/>
      <c r="I232" s="337"/>
      <c r="J232" s="542" t="str">
        <f>IF(ISBLANK('Środki trwałe'!C684),"",'Środki trwałe'!C684)</f>
        <v/>
      </c>
      <c r="K232" s="342">
        <f>'Środki trwałe'!K770</f>
        <v>0</v>
      </c>
      <c r="L232" s="342">
        <f>'Środki trwałe'!L770</f>
        <v>0</v>
      </c>
      <c r="M232" s="342">
        <f>'Środki trwałe'!M770</f>
        <v>0</v>
      </c>
      <c r="N232" s="342">
        <f>'Środki trwałe'!N770</f>
        <v>0</v>
      </c>
      <c r="O232" s="342">
        <f>'Środki trwałe'!O770</f>
        <v>0</v>
      </c>
      <c r="P232" s="342">
        <f>'Środki trwałe'!P770</f>
        <v>0</v>
      </c>
      <c r="Q232" s="342">
        <f>'Środki trwałe'!Q770</f>
        <v>0</v>
      </c>
      <c r="R232" s="342">
        <f>'Środki trwałe'!R770</f>
        <v>0</v>
      </c>
      <c r="S232" s="342">
        <f>'Środki trwałe'!S770</f>
        <v>0</v>
      </c>
      <c r="T232" s="342">
        <f>'Środki trwałe'!T770</f>
        <v>0</v>
      </c>
      <c r="U232" s="342">
        <f>'Środki trwałe'!U770</f>
        <v>0</v>
      </c>
      <c r="V232" s="342">
        <f>'Środki trwałe'!V770</f>
        <v>0</v>
      </c>
      <c r="W232" s="342">
        <f>'Środki trwałe'!W770</f>
        <v>0</v>
      </c>
      <c r="X232" s="342">
        <f>'Środki trwałe'!X770</f>
        <v>0</v>
      </c>
    </row>
    <row r="233" spans="2:24">
      <c r="B233" s="37" t="str">
        <f>IF(ISBLANK('Środki trwałe'!B685),"",'Środki trwałe'!B685)</f>
        <v/>
      </c>
      <c r="C233" s="33">
        <f>IF(ISBLANK('Środki trwałe'!E685),"",'Środki trwałe'!E685)</f>
        <v>0</v>
      </c>
      <c r="D233" s="337"/>
      <c r="E233" s="337"/>
      <c r="F233" s="341"/>
      <c r="G233" s="33">
        <f>IF(ISBLANK('Środki trwałe'!I685),"",'Środki trwałe'!I685)</f>
        <v>0</v>
      </c>
      <c r="H233" s="340"/>
      <c r="I233" s="337"/>
      <c r="J233" s="542" t="str">
        <f>IF(ISBLANK('Środki trwałe'!C685),"",'Środki trwałe'!C685)</f>
        <v/>
      </c>
      <c r="K233" s="342">
        <f>'Środki trwałe'!K771</f>
        <v>0</v>
      </c>
      <c r="L233" s="342">
        <f>'Środki trwałe'!L771</f>
        <v>0</v>
      </c>
      <c r="M233" s="342">
        <f>'Środki trwałe'!M771</f>
        <v>0</v>
      </c>
      <c r="N233" s="342">
        <f>'Środki trwałe'!N771</f>
        <v>0</v>
      </c>
      <c r="O233" s="342">
        <f>'Środki trwałe'!O771</f>
        <v>0</v>
      </c>
      <c r="P233" s="342">
        <f>'Środki trwałe'!P771</f>
        <v>0</v>
      </c>
      <c r="Q233" s="342">
        <f>'Środki trwałe'!Q771</f>
        <v>0</v>
      </c>
      <c r="R233" s="342">
        <f>'Środki trwałe'!R771</f>
        <v>0</v>
      </c>
      <c r="S233" s="342">
        <f>'Środki trwałe'!S771</f>
        <v>0</v>
      </c>
      <c r="T233" s="342">
        <f>'Środki trwałe'!T771</f>
        <v>0</v>
      </c>
      <c r="U233" s="342">
        <f>'Środki trwałe'!U771</f>
        <v>0</v>
      </c>
      <c r="V233" s="342">
        <f>'Środki trwałe'!V771</f>
        <v>0</v>
      </c>
      <c r="W233" s="342">
        <f>'Środki trwałe'!W771</f>
        <v>0</v>
      </c>
      <c r="X233" s="342">
        <f>'Środki trwałe'!X771</f>
        <v>0</v>
      </c>
    </row>
    <row r="234" spans="2:24">
      <c r="B234" s="37" t="str">
        <f>IF(ISBLANK('Środki trwałe'!B686),"",'Środki trwałe'!B686)</f>
        <v/>
      </c>
      <c r="C234" s="33">
        <f>IF(ISBLANK('Środki trwałe'!E686),"",'Środki trwałe'!E686)</f>
        <v>0</v>
      </c>
      <c r="D234" s="337"/>
      <c r="E234" s="337"/>
      <c r="F234" s="341"/>
      <c r="G234" s="33">
        <f>IF(ISBLANK('Środki trwałe'!I686),"",'Środki trwałe'!I686)</f>
        <v>0</v>
      </c>
      <c r="H234" s="340"/>
      <c r="I234" s="337"/>
      <c r="J234" s="542" t="str">
        <f>IF(ISBLANK('Środki trwałe'!C686),"",'Środki trwałe'!C686)</f>
        <v/>
      </c>
      <c r="K234" s="342">
        <f>'Środki trwałe'!K772</f>
        <v>0</v>
      </c>
      <c r="L234" s="342">
        <f>'Środki trwałe'!L772</f>
        <v>0</v>
      </c>
      <c r="M234" s="342">
        <f>'Środki trwałe'!M772</f>
        <v>0</v>
      </c>
      <c r="N234" s="342">
        <f>'Środki trwałe'!N772</f>
        <v>0</v>
      </c>
      <c r="O234" s="342">
        <f>'Środki trwałe'!O772</f>
        <v>0</v>
      </c>
      <c r="P234" s="342">
        <f>'Środki trwałe'!P772</f>
        <v>0</v>
      </c>
      <c r="Q234" s="342">
        <f>'Środki trwałe'!Q772</f>
        <v>0</v>
      </c>
      <c r="R234" s="342">
        <f>'Środki trwałe'!R772</f>
        <v>0</v>
      </c>
      <c r="S234" s="342">
        <f>'Środki trwałe'!S772</f>
        <v>0</v>
      </c>
      <c r="T234" s="342">
        <f>'Środki trwałe'!T772</f>
        <v>0</v>
      </c>
      <c r="U234" s="342">
        <f>'Środki trwałe'!U772</f>
        <v>0</v>
      </c>
      <c r="V234" s="342">
        <f>'Środki trwałe'!V772</f>
        <v>0</v>
      </c>
      <c r="W234" s="342">
        <f>'Środki trwałe'!W772</f>
        <v>0</v>
      </c>
      <c r="X234" s="342">
        <f>'Środki trwałe'!X772</f>
        <v>0</v>
      </c>
    </row>
    <row r="235" spans="2:24">
      <c r="B235" s="37" t="str">
        <f>IF(ISBLANK('Środki trwałe'!B687),"",'Środki trwałe'!B687)</f>
        <v/>
      </c>
      <c r="C235" s="33">
        <f>IF(ISBLANK('Środki trwałe'!E687),"",'Środki trwałe'!E687)</f>
        <v>0</v>
      </c>
      <c r="D235" s="337"/>
      <c r="E235" s="337"/>
      <c r="F235" s="341"/>
      <c r="G235" s="33">
        <f>IF(ISBLANK('Środki trwałe'!I687),"",'Środki trwałe'!I687)</f>
        <v>0</v>
      </c>
      <c r="H235" s="340"/>
      <c r="I235" s="337"/>
      <c r="J235" s="542" t="str">
        <f>IF(ISBLANK('Środki trwałe'!C687),"",'Środki trwałe'!C687)</f>
        <v/>
      </c>
      <c r="K235" s="342">
        <f>'Środki trwałe'!K773</f>
        <v>0</v>
      </c>
      <c r="L235" s="342">
        <f>'Środki trwałe'!L773</f>
        <v>0</v>
      </c>
      <c r="M235" s="342">
        <f>'Środki trwałe'!M773</f>
        <v>0</v>
      </c>
      <c r="N235" s="342">
        <f>'Środki trwałe'!N773</f>
        <v>0</v>
      </c>
      <c r="O235" s="342">
        <f>'Środki trwałe'!O773</f>
        <v>0</v>
      </c>
      <c r="P235" s="342">
        <f>'Środki trwałe'!P773</f>
        <v>0</v>
      </c>
      <c r="Q235" s="342">
        <f>'Środki trwałe'!Q773</f>
        <v>0</v>
      </c>
      <c r="R235" s="342">
        <f>'Środki trwałe'!R773</f>
        <v>0</v>
      </c>
      <c r="S235" s="342">
        <f>'Środki trwałe'!S773</f>
        <v>0</v>
      </c>
      <c r="T235" s="342">
        <f>'Środki trwałe'!T773</f>
        <v>0</v>
      </c>
      <c r="U235" s="342">
        <f>'Środki trwałe'!U773</f>
        <v>0</v>
      </c>
      <c r="V235" s="342">
        <f>'Środki trwałe'!V773</f>
        <v>0</v>
      </c>
      <c r="W235" s="342">
        <f>'Środki trwałe'!W773</f>
        <v>0</v>
      </c>
      <c r="X235" s="342">
        <f>'Środki trwałe'!X773</f>
        <v>0</v>
      </c>
    </row>
    <row r="236" spans="2:24">
      <c r="B236" s="37" t="str">
        <f>IF(ISBLANK('Środki trwałe'!B688),"",'Środki trwałe'!B688)</f>
        <v/>
      </c>
      <c r="C236" s="33">
        <f>IF(ISBLANK('Środki trwałe'!E688),"",'Środki trwałe'!E688)</f>
        <v>0</v>
      </c>
      <c r="D236" s="337"/>
      <c r="E236" s="337"/>
      <c r="F236" s="341"/>
      <c r="G236" s="33">
        <f>IF(ISBLANK('Środki trwałe'!I688),"",'Środki trwałe'!I688)</f>
        <v>0</v>
      </c>
      <c r="H236" s="340"/>
      <c r="I236" s="337"/>
      <c r="J236" s="542" t="str">
        <f>IF(ISBLANK('Środki trwałe'!C688),"",'Środki trwałe'!C688)</f>
        <v/>
      </c>
      <c r="K236" s="342">
        <f>'Środki trwałe'!K774</f>
        <v>0</v>
      </c>
      <c r="L236" s="342">
        <f>'Środki trwałe'!L774</f>
        <v>0</v>
      </c>
      <c r="M236" s="342">
        <f>'Środki trwałe'!M774</f>
        <v>0</v>
      </c>
      <c r="N236" s="342">
        <f>'Środki trwałe'!N774</f>
        <v>0</v>
      </c>
      <c r="O236" s="342">
        <f>'Środki trwałe'!O774</f>
        <v>0</v>
      </c>
      <c r="P236" s="342">
        <f>'Środki trwałe'!P774</f>
        <v>0</v>
      </c>
      <c r="Q236" s="342">
        <f>'Środki trwałe'!Q774</f>
        <v>0</v>
      </c>
      <c r="R236" s="342">
        <f>'Środki trwałe'!R774</f>
        <v>0</v>
      </c>
      <c r="S236" s="342">
        <f>'Środki trwałe'!S774</f>
        <v>0</v>
      </c>
      <c r="T236" s="342">
        <f>'Środki trwałe'!T774</f>
        <v>0</v>
      </c>
      <c r="U236" s="342">
        <f>'Środki trwałe'!U774</f>
        <v>0</v>
      </c>
      <c r="V236" s="342">
        <f>'Środki trwałe'!V774</f>
        <v>0</v>
      </c>
      <c r="W236" s="342">
        <f>'Środki trwałe'!W774</f>
        <v>0</v>
      </c>
      <c r="X236" s="342">
        <f>'Środki trwałe'!X774</f>
        <v>0</v>
      </c>
    </row>
    <row r="237" spans="2:24">
      <c r="B237" s="37" t="str">
        <f>IF(ISBLANK('Środki trwałe'!B689),"",'Środki trwałe'!B689)</f>
        <v/>
      </c>
      <c r="C237" s="33">
        <f>IF(ISBLANK('Środki trwałe'!E689),"",'Środki trwałe'!E689)</f>
        <v>0</v>
      </c>
      <c r="D237" s="337"/>
      <c r="E237" s="337"/>
      <c r="F237" s="341"/>
      <c r="G237" s="33">
        <f>IF(ISBLANK('Środki trwałe'!I689),"",'Środki trwałe'!I689)</f>
        <v>0</v>
      </c>
      <c r="H237" s="340"/>
      <c r="I237" s="337"/>
      <c r="J237" s="542" t="str">
        <f>IF(ISBLANK('Środki trwałe'!C689),"",'Środki trwałe'!C689)</f>
        <v/>
      </c>
      <c r="K237" s="342">
        <f>'Środki trwałe'!K775</f>
        <v>0</v>
      </c>
      <c r="L237" s="342">
        <f>'Środki trwałe'!L775</f>
        <v>0</v>
      </c>
      <c r="M237" s="342">
        <f>'Środki trwałe'!M775</f>
        <v>0</v>
      </c>
      <c r="N237" s="342">
        <f>'Środki trwałe'!N775</f>
        <v>0</v>
      </c>
      <c r="O237" s="342">
        <f>'Środki trwałe'!O775</f>
        <v>0</v>
      </c>
      <c r="P237" s="342">
        <f>'Środki trwałe'!P775</f>
        <v>0</v>
      </c>
      <c r="Q237" s="342">
        <f>'Środki trwałe'!Q775</f>
        <v>0</v>
      </c>
      <c r="R237" s="342">
        <f>'Środki trwałe'!R775</f>
        <v>0</v>
      </c>
      <c r="S237" s="342">
        <f>'Środki trwałe'!S775</f>
        <v>0</v>
      </c>
      <c r="T237" s="342">
        <f>'Środki trwałe'!T775</f>
        <v>0</v>
      </c>
      <c r="U237" s="342">
        <f>'Środki trwałe'!U775</f>
        <v>0</v>
      </c>
      <c r="V237" s="342">
        <f>'Środki trwałe'!V775</f>
        <v>0</v>
      </c>
      <c r="W237" s="342">
        <f>'Środki trwałe'!W775</f>
        <v>0</v>
      </c>
      <c r="X237" s="342">
        <f>'Środki trwałe'!X775</f>
        <v>0</v>
      </c>
    </row>
    <row r="238" spans="2:24">
      <c r="B238" s="37" t="str">
        <f>IF(ISBLANK('Środki trwałe'!B690),"",'Środki trwałe'!B690)</f>
        <v/>
      </c>
      <c r="C238" s="33">
        <f>IF(ISBLANK('Środki trwałe'!E690),"",'Środki trwałe'!E690)</f>
        <v>0</v>
      </c>
      <c r="D238" s="337"/>
      <c r="E238" s="337"/>
      <c r="F238" s="341"/>
      <c r="G238" s="33">
        <f>IF(ISBLANK('Środki trwałe'!I690),"",'Środki trwałe'!I690)</f>
        <v>0</v>
      </c>
      <c r="H238" s="340"/>
      <c r="I238" s="337"/>
      <c r="J238" s="542" t="str">
        <f>IF(ISBLANK('Środki trwałe'!C690),"",'Środki trwałe'!C690)</f>
        <v/>
      </c>
      <c r="K238" s="342">
        <f>'Środki trwałe'!K776</f>
        <v>0</v>
      </c>
      <c r="L238" s="342">
        <f>'Środki trwałe'!L776</f>
        <v>0</v>
      </c>
      <c r="M238" s="342">
        <f>'Środki trwałe'!M776</f>
        <v>0</v>
      </c>
      <c r="N238" s="342">
        <f>'Środki trwałe'!N776</f>
        <v>0</v>
      </c>
      <c r="O238" s="342">
        <f>'Środki trwałe'!O776</f>
        <v>0</v>
      </c>
      <c r="P238" s="342">
        <f>'Środki trwałe'!P776</f>
        <v>0</v>
      </c>
      <c r="Q238" s="342">
        <f>'Środki trwałe'!Q776</f>
        <v>0</v>
      </c>
      <c r="R238" s="342">
        <f>'Środki trwałe'!R776</f>
        <v>0</v>
      </c>
      <c r="S238" s="342">
        <f>'Środki trwałe'!S776</f>
        <v>0</v>
      </c>
      <c r="T238" s="342">
        <f>'Środki trwałe'!T776</f>
        <v>0</v>
      </c>
      <c r="U238" s="342">
        <f>'Środki trwałe'!U776</f>
        <v>0</v>
      </c>
      <c r="V238" s="342">
        <f>'Środki trwałe'!V776</f>
        <v>0</v>
      </c>
      <c r="W238" s="342">
        <f>'Środki trwałe'!W776</f>
        <v>0</v>
      </c>
      <c r="X238" s="342">
        <f>'Środki trwałe'!X776</f>
        <v>0</v>
      </c>
    </row>
    <row r="239" spans="2:24">
      <c r="B239" s="37" t="str">
        <f>IF(ISBLANK('Środki trwałe'!B691),"",'Środki trwałe'!B691)</f>
        <v/>
      </c>
      <c r="C239" s="33">
        <f>IF(ISBLANK('Środki trwałe'!E691),"",'Środki trwałe'!E691)</f>
        <v>0</v>
      </c>
      <c r="D239" s="337"/>
      <c r="E239" s="337"/>
      <c r="F239" s="341"/>
      <c r="G239" s="33">
        <f>IF(ISBLANK('Środki trwałe'!I691),"",'Środki trwałe'!I691)</f>
        <v>0</v>
      </c>
      <c r="H239" s="340"/>
      <c r="I239" s="337"/>
      <c r="J239" s="542" t="str">
        <f>IF(ISBLANK('Środki trwałe'!C691),"",'Środki trwałe'!C691)</f>
        <v/>
      </c>
      <c r="K239" s="342">
        <f>'Środki trwałe'!K777</f>
        <v>0</v>
      </c>
      <c r="L239" s="342">
        <f>'Środki trwałe'!L777</f>
        <v>0</v>
      </c>
      <c r="M239" s="342">
        <f>'Środki trwałe'!M777</f>
        <v>0</v>
      </c>
      <c r="N239" s="342">
        <f>'Środki trwałe'!N777</f>
        <v>0</v>
      </c>
      <c r="O239" s="342">
        <f>'Środki trwałe'!O777</f>
        <v>0</v>
      </c>
      <c r="P239" s="342">
        <f>'Środki trwałe'!P777</f>
        <v>0</v>
      </c>
      <c r="Q239" s="342">
        <f>'Środki trwałe'!Q777</f>
        <v>0</v>
      </c>
      <c r="R239" s="342">
        <f>'Środki trwałe'!R777</f>
        <v>0</v>
      </c>
      <c r="S239" s="342">
        <f>'Środki trwałe'!S777</f>
        <v>0</v>
      </c>
      <c r="T239" s="342">
        <f>'Środki trwałe'!T777</f>
        <v>0</v>
      </c>
      <c r="U239" s="342">
        <f>'Środki trwałe'!U777</f>
        <v>0</v>
      </c>
      <c r="V239" s="342">
        <f>'Środki trwałe'!V777</f>
        <v>0</v>
      </c>
      <c r="W239" s="342">
        <f>'Środki trwałe'!W777</f>
        <v>0</v>
      </c>
      <c r="X239" s="342">
        <f>'Środki trwałe'!X777</f>
        <v>0</v>
      </c>
    </row>
    <row r="240" spans="2:24">
      <c r="B240" s="37" t="str">
        <f>IF(ISBLANK('Środki trwałe'!B692),"",'Środki trwałe'!B692)</f>
        <v/>
      </c>
      <c r="C240" s="33">
        <f>IF(ISBLANK('Środki trwałe'!E692),"",'Środki trwałe'!E692)</f>
        <v>0</v>
      </c>
      <c r="D240" s="337"/>
      <c r="E240" s="337"/>
      <c r="F240" s="341"/>
      <c r="G240" s="33">
        <f>IF(ISBLANK('Środki trwałe'!I692),"",'Środki trwałe'!I692)</f>
        <v>0</v>
      </c>
      <c r="H240" s="340"/>
      <c r="I240" s="337"/>
      <c r="J240" s="542" t="str">
        <f>IF(ISBLANK('Środki trwałe'!C692),"",'Środki trwałe'!C692)</f>
        <v/>
      </c>
      <c r="K240" s="342">
        <f>'Środki trwałe'!K778</f>
        <v>0</v>
      </c>
      <c r="L240" s="342">
        <f>'Środki trwałe'!L778</f>
        <v>0</v>
      </c>
      <c r="M240" s="342">
        <f>'Środki trwałe'!M778</f>
        <v>0</v>
      </c>
      <c r="N240" s="342">
        <f>'Środki trwałe'!N778</f>
        <v>0</v>
      </c>
      <c r="O240" s="342">
        <f>'Środki trwałe'!O778</f>
        <v>0</v>
      </c>
      <c r="P240" s="342">
        <f>'Środki trwałe'!P778</f>
        <v>0</v>
      </c>
      <c r="Q240" s="342">
        <f>'Środki trwałe'!Q778</f>
        <v>0</v>
      </c>
      <c r="R240" s="342">
        <f>'Środki trwałe'!R778</f>
        <v>0</v>
      </c>
      <c r="S240" s="342">
        <f>'Środki trwałe'!S778</f>
        <v>0</v>
      </c>
      <c r="T240" s="342">
        <f>'Środki trwałe'!T778</f>
        <v>0</v>
      </c>
      <c r="U240" s="342">
        <f>'Środki trwałe'!U778</f>
        <v>0</v>
      </c>
      <c r="V240" s="342">
        <f>'Środki trwałe'!V778</f>
        <v>0</v>
      </c>
      <c r="W240" s="342">
        <f>'Środki trwałe'!W778</f>
        <v>0</v>
      </c>
      <c r="X240" s="342">
        <f>'Środki trwałe'!X778</f>
        <v>0</v>
      </c>
    </row>
    <row r="241" spans="2:24">
      <c r="B241" s="37" t="str">
        <f>IF(ISBLANK('Środki trwałe'!B693),"",'Środki trwałe'!B693)</f>
        <v/>
      </c>
      <c r="C241" s="33">
        <f>IF(ISBLANK('Środki trwałe'!E693),"",'Środki trwałe'!E693)</f>
        <v>0</v>
      </c>
      <c r="D241" s="337"/>
      <c r="E241" s="337"/>
      <c r="F241" s="341"/>
      <c r="G241" s="33">
        <f>IF(ISBLANK('Środki trwałe'!I693),"",'Środki trwałe'!I693)</f>
        <v>0</v>
      </c>
      <c r="H241" s="340"/>
      <c r="I241" s="337"/>
      <c r="J241" s="542" t="str">
        <f>IF(ISBLANK('Środki trwałe'!C693),"",'Środki trwałe'!C693)</f>
        <v/>
      </c>
      <c r="K241" s="342">
        <f>'Środki trwałe'!K779</f>
        <v>0</v>
      </c>
      <c r="L241" s="342">
        <f>'Środki trwałe'!L779</f>
        <v>0</v>
      </c>
      <c r="M241" s="342">
        <f>'Środki trwałe'!M779</f>
        <v>0</v>
      </c>
      <c r="N241" s="342">
        <f>'Środki trwałe'!N779</f>
        <v>0</v>
      </c>
      <c r="O241" s="342">
        <f>'Środki trwałe'!O779</f>
        <v>0</v>
      </c>
      <c r="P241" s="342">
        <f>'Środki trwałe'!P779</f>
        <v>0</v>
      </c>
      <c r="Q241" s="342">
        <f>'Środki trwałe'!Q779</f>
        <v>0</v>
      </c>
      <c r="R241" s="342">
        <f>'Środki trwałe'!R779</f>
        <v>0</v>
      </c>
      <c r="S241" s="342">
        <f>'Środki trwałe'!S779</f>
        <v>0</v>
      </c>
      <c r="T241" s="342">
        <f>'Środki trwałe'!T779</f>
        <v>0</v>
      </c>
      <c r="U241" s="342">
        <f>'Środki trwałe'!U779</f>
        <v>0</v>
      </c>
      <c r="V241" s="342">
        <f>'Środki trwałe'!V779</f>
        <v>0</v>
      </c>
      <c r="W241" s="342">
        <f>'Środki trwałe'!W779</f>
        <v>0</v>
      </c>
      <c r="X241" s="342">
        <f>'Środki trwałe'!X779</f>
        <v>0</v>
      </c>
    </row>
    <row r="242" spans="2:24">
      <c r="B242" s="37" t="str">
        <f>IF(ISBLANK('Środki trwałe'!B694),"",'Środki trwałe'!B694)</f>
        <v/>
      </c>
      <c r="C242" s="33">
        <f>IF(ISBLANK('Środki trwałe'!E694),"",'Środki trwałe'!E694)</f>
        <v>0</v>
      </c>
      <c r="D242" s="337"/>
      <c r="E242" s="337"/>
      <c r="F242" s="341"/>
      <c r="G242" s="33">
        <f>IF(ISBLANK('Środki trwałe'!I694),"",'Środki trwałe'!I694)</f>
        <v>0</v>
      </c>
      <c r="H242" s="340"/>
      <c r="I242" s="337"/>
      <c r="J242" s="542" t="str">
        <f>IF(ISBLANK('Środki trwałe'!C694),"",'Środki trwałe'!C694)</f>
        <v/>
      </c>
      <c r="K242" s="342">
        <f>'Środki trwałe'!K780</f>
        <v>0</v>
      </c>
      <c r="L242" s="342">
        <f>'Środki trwałe'!L780</f>
        <v>0</v>
      </c>
      <c r="M242" s="342">
        <f>'Środki trwałe'!M780</f>
        <v>0</v>
      </c>
      <c r="N242" s="342">
        <f>'Środki trwałe'!N780</f>
        <v>0</v>
      </c>
      <c r="O242" s="342">
        <f>'Środki trwałe'!O780</f>
        <v>0</v>
      </c>
      <c r="P242" s="342">
        <f>'Środki trwałe'!P780</f>
        <v>0</v>
      </c>
      <c r="Q242" s="342">
        <f>'Środki trwałe'!Q780</f>
        <v>0</v>
      </c>
      <c r="R242" s="342">
        <f>'Środki trwałe'!R780</f>
        <v>0</v>
      </c>
      <c r="S242" s="342">
        <f>'Środki trwałe'!S780</f>
        <v>0</v>
      </c>
      <c r="T242" s="342">
        <f>'Środki trwałe'!T780</f>
        <v>0</v>
      </c>
      <c r="U242" s="342">
        <f>'Środki trwałe'!U780</f>
        <v>0</v>
      </c>
      <c r="V242" s="342">
        <f>'Środki trwałe'!V780</f>
        <v>0</v>
      </c>
      <c r="W242" s="342">
        <f>'Środki trwałe'!W780</f>
        <v>0</v>
      </c>
      <c r="X242" s="342">
        <f>'Środki trwałe'!X780</f>
        <v>0</v>
      </c>
    </row>
    <row r="243" spans="2:24">
      <c r="B243" s="37" t="str">
        <f>IF(ISBLANK('Środki trwałe'!B695),"",'Środki trwałe'!B695)</f>
        <v/>
      </c>
      <c r="C243" s="33">
        <f>IF(ISBLANK('Środki trwałe'!E695),"",'Środki trwałe'!E695)</f>
        <v>0</v>
      </c>
      <c r="D243" s="337"/>
      <c r="E243" s="337"/>
      <c r="F243" s="341"/>
      <c r="G243" s="33">
        <f>IF(ISBLANK('Środki trwałe'!I695),"",'Środki trwałe'!I695)</f>
        <v>0</v>
      </c>
      <c r="H243" s="340"/>
      <c r="I243" s="337"/>
      <c r="J243" s="542" t="str">
        <f>IF(ISBLANK('Środki trwałe'!C695),"",'Środki trwałe'!C695)</f>
        <v/>
      </c>
      <c r="K243" s="342">
        <f>'Środki trwałe'!K781</f>
        <v>0</v>
      </c>
      <c r="L243" s="342">
        <f>'Środki trwałe'!L781</f>
        <v>0</v>
      </c>
      <c r="M243" s="342">
        <f>'Środki trwałe'!M781</f>
        <v>0</v>
      </c>
      <c r="N243" s="342">
        <f>'Środki trwałe'!N781</f>
        <v>0</v>
      </c>
      <c r="O243" s="342">
        <f>'Środki trwałe'!O781</f>
        <v>0</v>
      </c>
      <c r="P243" s="342">
        <f>'Środki trwałe'!P781</f>
        <v>0</v>
      </c>
      <c r="Q243" s="342">
        <f>'Środki trwałe'!Q781</f>
        <v>0</v>
      </c>
      <c r="R243" s="342">
        <f>'Środki trwałe'!R781</f>
        <v>0</v>
      </c>
      <c r="S243" s="342">
        <f>'Środki trwałe'!S781</f>
        <v>0</v>
      </c>
      <c r="T243" s="342">
        <f>'Środki trwałe'!T781</f>
        <v>0</v>
      </c>
      <c r="U243" s="342">
        <f>'Środki trwałe'!U781</f>
        <v>0</v>
      </c>
      <c r="V243" s="342">
        <f>'Środki trwałe'!V781</f>
        <v>0</v>
      </c>
      <c r="W243" s="342">
        <f>'Środki trwałe'!W781</f>
        <v>0</v>
      </c>
      <c r="X243" s="342">
        <f>'Środki trwałe'!X781</f>
        <v>0</v>
      </c>
    </row>
    <row r="244" spans="2:24">
      <c r="B244" s="37" t="str">
        <f>IF(ISBLANK('Środki trwałe'!B696),"",'Środki trwałe'!B696)</f>
        <v/>
      </c>
      <c r="C244" s="33">
        <f>IF(ISBLANK('Środki trwałe'!E696),"",'Środki trwałe'!E696)</f>
        <v>0</v>
      </c>
      <c r="D244" s="337"/>
      <c r="E244" s="337"/>
      <c r="F244" s="341"/>
      <c r="G244" s="33">
        <f>IF(ISBLANK('Środki trwałe'!I696),"",'Środki trwałe'!I696)</f>
        <v>0</v>
      </c>
      <c r="H244" s="340"/>
      <c r="I244" s="337"/>
      <c r="J244" s="542" t="str">
        <f>IF(ISBLANK('Środki trwałe'!C696),"",'Środki trwałe'!C696)</f>
        <v/>
      </c>
      <c r="K244" s="342">
        <f>'Środki trwałe'!K782</f>
        <v>0</v>
      </c>
      <c r="L244" s="342">
        <f>'Środki trwałe'!L782</f>
        <v>0</v>
      </c>
      <c r="M244" s="342">
        <f>'Środki trwałe'!M782</f>
        <v>0</v>
      </c>
      <c r="N244" s="342">
        <f>'Środki trwałe'!N782</f>
        <v>0</v>
      </c>
      <c r="O244" s="342">
        <f>'Środki trwałe'!O782</f>
        <v>0</v>
      </c>
      <c r="P244" s="342">
        <f>'Środki trwałe'!P782</f>
        <v>0</v>
      </c>
      <c r="Q244" s="342">
        <f>'Środki trwałe'!Q782</f>
        <v>0</v>
      </c>
      <c r="R244" s="342">
        <f>'Środki trwałe'!R782</f>
        <v>0</v>
      </c>
      <c r="S244" s="342">
        <f>'Środki trwałe'!S782</f>
        <v>0</v>
      </c>
      <c r="T244" s="342">
        <f>'Środki trwałe'!T782</f>
        <v>0</v>
      </c>
      <c r="U244" s="342">
        <f>'Środki trwałe'!U782</f>
        <v>0</v>
      </c>
      <c r="V244" s="342">
        <f>'Środki trwałe'!V782</f>
        <v>0</v>
      </c>
      <c r="W244" s="342">
        <f>'Środki trwałe'!W782</f>
        <v>0</v>
      </c>
      <c r="X244" s="342">
        <f>'Środki trwałe'!X782</f>
        <v>0</v>
      </c>
    </row>
    <row r="245" spans="2:24">
      <c r="B245" s="37" t="str">
        <f>IF(ISBLANK('Środki trwałe'!B697),"",'Środki trwałe'!B697)</f>
        <v/>
      </c>
      <c r="C245" s="33">
        <f>IF(ISBLANK('Środki trwałe'!E697),"",'Środki trwałe'!E697)</f>
        <v>0</v>
      </c>
      <c r="D245" s="337"/>
      <c r="E245" s="337"/>
      <c r="F245" s="341"/>
      <c r="G245" s="33">
        <f>IF(ISBLANK('Środki trwałe'!I697),"",'Środki trwałe'!I697)</f>
        <v>0</v>
      </c>
      <c r="H245" s="340"/>
      <c r="I245" s="337"/>
      <c r="J245" s="542" t="str">
        <f>IF(ISBLANK('Środki trwałe'!C697),"",'Środki trwałe'!C697)</f>
        <v/>
      </c>
      <c r="K245" s="342">
        <f>'Środki trwałe'!K783</f>
        <v>0</v>
      </c>
      <c r="L245" s="342">
        <f>'Środki trwałe'!L783</f>
        <v>0</v>
      </c>
      <c r="M245" s="342">
        <f>'Środki trwałe'!M783</f>
        <v>0</v>
      </c>
      <c r="N245" s="342">
        <f>'Środki trwałe'!N783</f>
        <v>0</v>
      </c>
      <c r="O245" s="342">
        <f>'Środki trwałe'!O783</f>
        <v>0</v>
      </c>
      <c r="P245" s="342">
        <f>'Środki trwałe'!P783</f>
        <v>0</v>
      </c>
      <c r="Q245" s="342">
        <f>'Środki trwałe'!Q783</f>
        <v>0</v>
      </c>
      <c r="R245" s="342">
        <f>'Środki trwałe'!R783</f>
        <v>0</v>
      </c>
      <c r="S245" s="342">
        <f>'Środki trwałe'!S783</f>
        <v>0</v>
      </c>
      <c r="T245" s="342">
        <f>'Środki trwałe'!T783</f>
        <v>0</v>
      </c>
      <c r="U245" s="342">
        <f>'Środki trwałe'!U783</f>
        <v>0</v>
      </c>
      <c r="V245" s="342">
        <f>'Środki trwałe'!V783</f>
        <v>0</v>
      </c>
      <c r="W245" s="342">
        <f>'Środki trwałe'!W783</f>
        <v>0</v>
      </c>
      <c r="X245" s="342">
        <f>'Środki trwałe'!X783</f>
        <v>0</v>
      </c>
    </row>
    <row r="246" spans="2:24">
      <c r="B246" s="404" t="s">
        <v>684</v>
      </c>
      <c r="C246" s="404"/>
      <c r="D246" s="405"/>
      <c r="E246" s="405"/>
      <c r="F246" s="406"/>
      <c r="G246" s="405">
        <f>SUM(G206:G245)</f>
        <v>0</v>
      </c>
      <c r="H246" s="406"/>
      <c r="I246" s="405"/>
      <c r="J246" s="406"/>
      <c r="K246" s="405">
        <f>ROUND(SUM(K206:K245),0)</f>
        <v>0</v>
      </c>
      <c r="L246" s="405">
        <f t="shared" ref="L246:X246" si="59">ROUND(SUM(L206:L245),0)</f>
        <v>0</v>
      </c>
      <c r="M246" s="405">
        <f t="shared" si="59"/>
        <v>0</v>
      </c>
      <c r="N246" s="405">
        <f t="shared" si="59"/>
        <v>0</v>
      </c>
      <c r="O246" s="405">
        <f t="shared" si="59"/>
        <v>0</v>
      </c>
      <c r="P246" s="405">
        <f t="shared" si="59"/>
        <v>0</v>
      </c>
      <c r="Q246" s="405">
        <f t="shared" si="59"/>
        <v>0</v>
      </c>
      <c r="R246" s="405">
        <f t="shared" si="59"/>
        <v>0</v>
      </c>
      <c r="S246" s="405">
        <f t="shared" si="59"/>
        <v>0</v>
      </c>
      <c r="T246" s="405">
        <f t="shared" si="59"/>
        <v>0</v>
      </c>
      <c r="U246" s="405">
        <f t="shared" si="59"/>
        <v>0</v>
      </c>
      <c r="V246" s="405">
        <f t="shared" si="59"/>
        <v>0</v>
      </c>
      <c r="W246" s="405">
        <f t="shared" si="59"/>
        <v>0</v>
      </c>
      <c r="X246" s="405">
        <f t="shared" si="59"/>
        <v>0</v>
      </c>
    </row>
    <row r="247" spans="2:24">
      <c r="H247" s="1"/>
    </row>
    <row r="248" spans="2:24"/>
    <row r="249" spans="2:24">
      <c r="B249" s="52" t="s">
        <v>455</v>
      </c>
      <c r="C249" s="52"/>
      <c r="D249" s="52"/>
      <c r="E249" s="52"/>
      <c r="F249" s="52"/>
      <c r="G249" s="52"/>
      <c r="H249" s="314"/>
      <c r="I249" s="52"/>
      <c r="J249" s="52"/>
      <c r="K249" s="33">
        <f t="shared" ref="K249:X249" si="60">IF(AND(LataProjekcji&gt;=Poczatek,LataProjekcji&lt;=Koniec),ROUND(K199+K181+K163+K110+K87+K74+K51,0),0)</f>
        <v>0</v>
      </c>
      <c r="L249" s="33">
        <f t="shared" ca="1" si="60"/>
        <v>0</v>
      </c>
      <c r="M249" s="33">
        <f t="shared" ca="1" si="60"/>
        <v>0</v>
      </c>
      <c r="N249" s="33">
        <f t="shared" ca="1" si="60"/>
        <v>0</v>
      </c>
      <c r="O249" s="33">
        <f t="shared" ca="1" si="60"/>
        <v>0</v>
      </c>
      <c r="P249" s="33">
        <f t="shared" ca="1" si="60"/>
        <v>0</v>
      </c>
      <c r="Q249" s="33">
        <f t="shared" ca="1" si="60"/>
        <v>0</v>
      </c>
      <c r="R249" s="33">
        <f t="shared" ca="1" si="60"/>
        <v>0</v>
      </c>
      <c r="S249" s="33">
        <f t="shared" ca="1" si="60"/>
        <v>0</v>
      </c>
      <c r="T249" s="33">
        <f t="shared" ca="1" si="60"/>
        <v>0</v>
      </c>
      <c r="U249" s="33">
        <f t="shared" ca="1" si="60"/>
        <v>0</v>
      </c>
      <c r="V249" s="33">
        <f t="shared" ca="1" si="60"/>
        <v>0</v>
      </c>
      <c r="W249" s="33">
        <f t="shared" ca="1" si="60"/>
        <v>0</v>
      </c>
      <c r="X249" s="33">
        <f t="shared" ca="1" si="60"/>
        <v>0</v>
      </c>
    </row>
    <row r="250" spans="2:24">
      <c r="B250" s="52" t="s">
        <v>456</v>
      </c>
      <c r="C250" s="52"/>
      <c r="D250" s="52"/>
      <c r="E250" s="52"/>
      <c r="F250" s="52"/>
      <c r="G250" s="52"/>
      <c r="H250" s="314"/>
      <c r="I250" s="52"/>
      <c r="J250" s="52"/>
      <c r="K250" s="33">
        <f>IF(AND(LataProjekcji&gt;=Poczatek,LataProjekcji&lt;=Koniec),ROUND('Koszty operacyjne'!K1651,0),0)</f>
        <v>0</v>
      </c>
      <c r="L250" s="33">
        <f>IF(AND(LataProjekcji&gt;=Poczatek,LataProjekcji&lt;=Koniec),ROUND('Koszty operacyjne'!L1651,0),0)</f>
        <v>0</v>
      </c>
      <c r="M250" s="33">
        <f>IF(AND(LataProjekcji&gt;=Poczatek,LataProjekcji&lt;=Koniec),ROUND('Koszty operacyjne'!M1651,0),0)</f>
        <v>0</v>
      </c>
      <c r="N250" s="33">
        <f>IF(AND(LataProjekcji&gt;=Poczatek,LataProjekcji&lt;=Koniec),ROUND('Koszty operacyjne'!N1651,0),0)</f>
        <v>0</v>
      </c>
      <c r="O250" s="33">
        <f>IF(AND(LataProjekcji&gt;=Poczatek,LataProjekcji&lt;=Koniec),ROUND('Koszty operacyjne'!O1651,0),0)</f>
        <v>0</v>
      </c>
      <c r="P250" s="33">
        <f>IF(AND(LataProjekcji&gt;=Poczatek,LataProjekcji&lt;=Koniec),ROUND('Koszty operacyjne'!P1651,0),0)</f>
        <v>0</v>
      </c>
      <c r="Q250" s="33">
        <f>IF(AND(LataProjekcji&gt;=Poczatek,LataProjekcji&lt;=Koniec),ROUND('Koszty operacyjne'!Q1651,0),0)</f>
        <v>0</v>
      </c>
      <c r="R250" s="33">
        <f>IF(AND(LataProjekcji&gt;=Poczatek,LataProjekcji&lt;=Koniec),ROUND('Koszty operacyjne'!R1651,0),0)</f>
        <v>0</v>
      </c>
      <c r="S250" s="33">
        <f>IF(AND(LataProjekcji&gt;=Poczatek,LataProjekcji&lt;=Koniec),ROUND('Koszty operacyjne'!S1651,0),0)</f>
        <v>0</v>
      </c>
      <c r="T250" s="33">
        <f>IF(AND(LataProjekcji&gt;=Poczatek,LataProjekcji&lt;=Koniec),ROUND('Koszty operacyjne'!T1651,0),0)</f>
        <v>0</v>
      </c>
      <c r="U250" s="33">
        <f>IF(AND(LataProjekcji&gt;=Poczatek,LataProjekcji&lt;=Koniec),ROUND('Koszty operacyjne'!U1651,0),0)</f>
        <v>0</v>
      </c>
      <c r="V250" s="33">
        <f>IF(AND(LataProjekcji&gt;=Poczatek,LataProjekcji&lt;=Koniec),ROUND('Koszty operacyjne'!V1651,0),0)</f>
        <v>0</v>
      </c>
      <c r="W250" s="33">
        <f>IF(AND(LataProjekcji&gt;=Poczatek,LataProjekcji&lt;=Koniec),ROUND('Koszty operacyjne'!W1651,0),0)</f>
        <v>0</v>
      </c>
      <c r="X250" s="33">
        <f>IF(AND(LataProjekcji&gt;=Poczatek,LataProjekcji&lt;=Koniec),ROUND('Koszty operacyjne'!X1651,0),0)</f>
        <v>0</v>
      </c>
    </row>
    <row r="251" spans="2:24">
      <c r="B251" s="89" t="s">
        <v>457</v>
      </c>
      <c r="C251" s="89"/>
      <c r="D251" s="89"/>
      <c r="E251" s="89"/>
      <c r="F251" s="89"/>
      <c r="G251" s="89"/>
      <c r="H251" s="313"/>
      <c r="I251" s="89"/>
      <c r="J251" s="89"/>
      <c r="K251" s="90">
        <f t="shared" ref="K251:X251" si="61">IF(AND(LataProjekcji&gt;=Poczatek,LataProjekcji&lt;=Koniec),(K201+K183+K165+K112+K89+K76+K53+K246),0)</f>
        <v>0</v>
      </c>
      <c r="L251" s="90">
        <f t="shared" si="61"/>
        <v>0</v>
      </c>
      <c r="M251" s="90">
        <f t="shared" si="61"/>
        <v>0</v>
      </c>
      <c r="N251" s="90">
        <f t="shared" si="61"/>
        <v>0</v>
      </c>
      <c r="O251" s="90">
        <f t="shared" si="61"/>
        <v>0</v>
      </c>
      <c r="P251" s="90">
        <f t="shared" si="61"/>
        <v>0</v>
      </c>
      <c r="Q251" s="90">
        <f t="shared" si="61"/>
        <v>0</v>
      </c>
      <c r="R251" s="90">
        <f t="shared" si="61"/>
        <v>0</v>
      </c>
      <c r="S251" s="90">
        <f t="shared" si="61"/>
        <v>0</v>
      </c>
      <c r="T251" s="90">
        <f t="shared" si="61"/>
        <v>0</v>
      </c>
      <c r="U251" s="90">
        <f t="shared" si="61"/>
        <v>0</v>
      </c>
      <c r="V251" s="90">
        <f t="shared" si="61"/>
        <v>0</v>
      </c>
      <c r="W251" s="90">
        <f t="shared" si="61"/>
        <v>0</v>
      </c>
      <c r="X251" s="90">
        <f t="shared" si="61"/>
        <v>0</v>
      </c>
    </row>
    <row r="252" spans="2:24">
      <c r="B252" s="98" t="s">
        <v>458</v>
      </c>
      <c r="C252" s="96"/>
      <c r="D252" s="96"/>
      <c r="E252" s="96"/>
      <c r="F252" s="96"/>
      <c r="G252" s="96"/>
      <c r="H252" s="319"/>
      <c r="I252" s="96"/>
      <c r="J252" s="96"/>
      <c r="K252" s="97">
        <f t="shared" ref="K252:X252" si="62">IF(AND(LataProjekcji&gt;=Poczatek,LataProjekcji&lt;=Koniec),SUM(K249:K251),0)</f>
        <v>0</v>
      </c>
      <c r="L252" s="97">
        <f t="shared" ca="1" si="62"/>
        <v>0</v>
      </c>
      <c r="M252" s="97">
        <f t="shared" ca="1" si="62"/>
        <v>0</v>
      </c>
      <c r="N252" s="97">
        <f t="shared" ca="1" si="62"/>
        <v>0</v>
      </c>
      <c r="O252" s="97">
        <f t="shared" ca="1" si="62"/>
        <v>0</v>
      </c>
      <c r="P252" s="97">
        <f t="shared" ca="1" si="62"/>
        <v>0</v>
      </c>
      <c r="Q252" s="97">
        <f t="shared" ca="1" si="62"/>
        <v>0</v>
      </c>
      <c r="R252" s="97">
        <f t="shared" ca="1" si="62"/>
        <v>0</v>
      </c>
      <c r="S252" s="97">
        <f t="shared" ca="1" si="62"/>
        <v>0</v>
      </c>
      <c r="T252" s="97">
        <f t="shared" ca="1" si="62"/>
        <v>0</v>
      </c>
      <c r="U252" s="97">
        <f t="shared" ca="1" si="62"/>
        <v>0</v>
      </c>
      <c r="V252" s="97">
        <f t="shared" ca="1" si="62"/>
        <v>0</v>
      </c>
      <c r="W252" s="97">
        <f t="shared" ca="1" si="62"/>
        <v>0</v>
      </c>
      <c r="X252" s="97">
        <f t="shared" ca="1" si="62"/>
        <v>0</v>
      </c>
    </row>
    <row r="253" spans="2:24"/>
    <row r="254" spans="2:24"/>
    <row r="255" spans="2:24">
      <c r="B255" s="52" t="s">
        <v>459</v>
      </c>
      <c r="C255" s="52"/>
      <c r="D255" s="52"/>
      <c r="E255" s="52"/>
      <c r="F255" s="52"/>
      <c r="G255" s="52"/>
      <c r="H255" s="314"/>
      <c r="I255" s="52"/>
      <c r="J255" s="52"/>
      <c r="K255" s="33">
        <f t="shared" ref="K255:X255" ca="1" si="63">ROUND(K202+K184+K166+K113+K90+K77+K54,0)</f>
        <v>0</v>
      </c>
      <c r="L255" s="33">
        <f t="shared" ca="1" si="63"/>
        <v>0</v>
      </c>
      <c r="M255" s="33">
        <f t="shared" ca="1" si="63"/>
        <v>0</v>
      </c>
      <c r="N255" s="33">
        <f t="shared" ca="1" si="63"/>
        <v>0</v>
      </c>
      <c r="O255" s="33">
        <f t="shared" ca="1" si="63"/>
        <v>0</v>
      </c>
      <c r="P255" s="33">
        <f t="shared" ca="1" si="63"/>
        <v>0</v>
      </c>
      <c r="Q255" s="33">
        <f t="shared" ca="1" si="63"/>
        <v>0</v>
      </c>
      <c r="R255" s="33">
        <f t="shared" ca="1" si="63"/>
        <v>0</v>
      </c>
      <c r="S255" s="33">
        <f t="shared" ca="1" si="63"/>
        <v>0</v>
      </c>
      <c r="T255" s="33">
        <f t="shared" ca="1" si="63"/>
        <v>0</v>
      </c>
      <c r="U255" s="33">
        <f t="shared" ca="1" si="63"/>
        <v>0</v>
      </c>
      <c r="V255" s="33">
        <f t="shared" ca="1" si="63"/>
        <v>0</v>
      </c>
      <c r="W255" s="33">
        <f t="shared" ca="1" si="63"/>
        <v>0</v>
      </c>
      <c r="X255" s="33">
        <f t="shared" ca="1" si="63"/>
        <v>0</v>
      </c>
    </row>
    <row r="256" spans="2:24">
      <c r="B256" s="52" t="s">
        <v>460</v>
      </c>
      <c r="C256" s="52"/>
      <c r="D256" s="52"/>
      <c r="E256" s="52"/>
      <c r="F256" s="52"/>
      <c r="G256" s="52"/>
      <c r="H256" s="314"/>
      <c r="I256" s="52"/>
      <c r="J256" s="52"/>
      <c r="K256" s="33">
        <f>ROUND(IF(LataProjekcji&lt;Koniec_Projekt,'Środki trwałe'!K2082,0),0)</f>
        <v>0</v>
      </c>
      <c r="L256" s="33">
        <f>ROUND(IF(LataProjekcji&lt;Koniec_Projekt,'Środki trwałe'!L2082,0),0)</f>
        <v>0</v>
      </c>
      <c r="M256" s="33">
        <f>ROUND(IF(LataProjekcji&lt;Koniec_Projekt,'Środki trwałe'!M2082,0),0)</f>
        <v>0</v>
      </c>
      <c r="N256" s="33">
        <f>ROUND(IF(LataProjekcji&lt;Koniec_Projekt,'Środki trwałe'!N2082,0),0)</f>
        <v>0</v>
      </c>
      <c r="O256" s="33">
        <f>ROUND(IF(LataProjekcji&lt;Koniec_Projekt,'Środki trwałe'!O2082,0),0)</f>
        <v>0</v>
      </c>
      <c r="P256" s="33">
        <f>ROUND(IF(LataProjekcji&lt;Koniec_Projekt,'Środki trwałe'!P2082,0),0)</f>
        <v>0</v>
      </c>
      <c r="Q256" s="33">
        <f>ROUND(IF(LataProjekcji&lt;Koniec_Projekt,'Środki trwałe'!Q2082,0),0)</f>
        <v>0</v>
      </c>
      <c r="R256" s="33">
        <f>ROUND(IF(LataProjekcji&lt;Koniec_Projekt,'Środki trwałe'!R2082,0),0)</f>
        <v>0</v>
      </c>
      <c r="S256" s="33">
        <f>ROUND(IF(LataProjekcji&lt;Koniec_Projekt,'Środki trwałe'!S2082,0),0)</f>
        <v>0</v>
      </c>
      <c r="T256" s="33">
        <f>ROUND(IF(LataProjekcji&lt;Koniec_Projekt,'Środki trwałe'!T2082,0),0)</f>
        <v>0</v>
      </c>
      <c r="U256" s="33">
        <f>ROUND(IF(LataProjekcji&lt;Koniec_Projekt,'Środki trwałe'!U2082,0),0)</f>
        <v>0</v>
      </c>
      <c r="V256" s="33">
        <f>ROUND(IF(LataProjekcji&lt;Koniec_Projekt,'Środki trwałe'!V2082,0),0)</f>
        <v>0</v>
      </c>
      <c r="W256" s="33">
        <f>ROUND(IF(LataProjekcji&lt;Koniec_Projekt,'Środki trwałe'!W2082,0),0)</f>
        <v>0</v>
      </c>
      <c r="X256" s="33">
        <f>ROUND(IF(LataProjekcji&lt;Koniec_Projekt,'Środki trwałe'!X2082,0),0)</f>
        <v>0</v>
      </c>
    </row>
    <row r="257" spans="2:24">
      <c r="B257" s="89" t="s">
        <v>461</v>
      </c>
      <c r="C257" s="89"/>
      <c r="D257" s="89"/>
      <c r="E257" s="89"/>
      <c r="F257" s="89"/>
      <c r="G257" s="89"/>
      <c r="H257" s="313"/>
      <c r="I257" s="89"/>
      <c r="J257" s="89"/>
      <c r="K257" s="90">
        <f>ROUND(IF(LataProjekcji&lt;Koniec_Projekt,'Koszty operacyjne'!K1412,0),0)</f>
        <v>0</v>
      </c>
      <c r="L257" s="90">
        <f>ROUND(IF(LataProjekcji&lt;Koniec_Projekt,'Koszty operacyjne'!L1412,0),0)</f>
        <v>0</v>
      </c>
      <c r="M257" s="90">
        <f>ROUND(IF(LataProjekcji&lt;Koniec_Projekt,'Koszty operacyjne'!M1412,0),0)</f>
        <v>0</v>
      </c>
      <c r="N257" s="90">
        <f>ROUND(IF(LataProjekcji&lt;Koniec_Projekt,'Koszty operacyjne'!N1412,0),0)</f>
        <v>0</v>
      </c>
      <c r="O257" s="90">
        <f>ROUND(IF(LataProjekcji&lt;Koniec_Projekt,'Koszty operacyjne'!O1412,0),0)</f>
        <v>0</v>
      </c>
      <c r="P257" s="90">
        <f>ROUND(IF(LataProjekcji&lt;Koniec_Projekt,'Koszty operacyjne'!P1412,0),0)</f>
        <v>0</v>
      </c>
      <c r="Q257" s="90">
        <f>ROUND(IF(LataProjekcji&lt;Koniec_Projekt,'Koszty operacyjne'!Q1412,0),0)</f>
        <v>0</v>
      </c>
      <c r="R257" s="90">
        <f>ROUND(IF(LataProjekcji&lt;Koniec_Projekt,'Koszty operacyjne'!R1412,0),0)</f>
        <v>0</v>
      </c>
      <c r="S257" s="90">
        <f>ROUND(IF(LataProjekcji&lt;Koniec_Projekt,'Koszty operacyjne'!S1412,0),0)</f>
        <v>0</v>
      </c>
      <c r="T257" s="90">
        <f>ROUND(IF(LataProjekcji&lt;Koniec_Projekt,'Koszty operacyjne'!T1412,0),0)</f>
        <v>0</v>
      </c>
      <c r="U257" s="90">
        <f>ROUND(IF(LataProjekcji&lt;Koniec_Projekt,'Koszty operacyjne'!U1412,0),0)</f>
        <v>0</v>
      </c>
      <c r="V257" s="90">
        <f>ROUND(IF(LataProjekcji&lt;Koniec_Projekt,'Koszty operacyjne'!V1412,0),0)</f>
        <v>0</v>
      </c>
      <c r="W257" s="90">
        <f>ROUND(IF(LataProjekcji&lt;Koniec_Projekt,'Koszty operacyjne'!W1412,0),0)</f>
        <v>0</v>
      </c>
      <c r="X257" s="90">
        <f>ROUND(IF(LataProjekcji&lt;Koniec_Projekt,'Koszty operacyjne'!X1412,0),0)</f>
        <v>0</v>
      </c>
    </row>
    <row r="258" spans="2:24">
      <c r="B258" s="98" t="s">
        <v>462</v>
      </c>
      <c r="C258" s="96"/>
      <c r="D258" s="96"/>
      <c r="E258" s="96"/>
      <c r="F258" s="96"/>
      <c r="G258" s="96"/>
      <c r="H258" s="319"/>
      <c r="I258" s="96"/>
      <c r="J258" s="96"/>
      <c r="K258" s="97">
        <f t="shared" ref="K258:X258" si="64">IF(LataProjekcji&lt;=Koniec,ROUND(SUM(K255:K257),0),0)</f>
        <v>0</v>
      </c>
      <c r="L258" s="97">
        <f t="shared" ca="1" si="64"/>
        <v>0</v>
      </c>
      <c r="M258" s="97">
        <f t="shared" ca="1" si="64"/>
        <v>0</v>
      </c>
      <c r="N258" s="97">
        <f t="shared" ca="1" si="64"/>
        <v>0</v>
      </c>
      <c r="O258" s="97">
        <f t="shared" ca="1" si="64"/>
        <v>0</v>
      </c>
      <c r="P258" s="97">
        <f t="shared" ca="1" si="64"/>
        <v>0</v>
      </c>
      <c r="Q258" s="97">
        <f t="shared" ca="1" si="64"/>
        <v>0</v>
      </c>
      <c r="R258" s="97">
        <f t="shared" ca="1" si="64"/>
        <v>0</v>
      </c>
      <c r="S258" s="97">
        <f t="shared" ca="1" si="64"/>
        <v>0</v>
      </c>
      <c r="T258" s="97">
        <f t="shared" ca="1" si="64"/>
        <v>0</v>
      </c>
      <c r="U258" s="97">
        <f t="shared" ca="1" si="64"/>
        <v>0</v>
      </c>
      <c r="V258" s="97">
        <f t="shared" ca="1" si="64"/>
        <v>0</v>
      </c>
      <c r="W258" s="97">
        <f t="shared" ca="1" si="64"/>
        <v>0</v>
      </c>
      <c r="X258" s="97">
        <f t="shared" ca="1" si="64"/>
        <v>0</v>
      </c>
    </row>
    <row r="259" spans="2:24"/>
    <row r="260" spans="2:24" ht="14.5">
      <c r="B260" s="11" t="s">
        <v>51</v>
      </c>
    </row>
    <row r="261" spans="2:24"/>
    <row r="262" spans="2:24"/>
    <row r="263" spans="2:24"/>
    <row r="264" spans="2:24"/>
    <row r="265" spans="2:24"/>
    <row r="266" spans="2:24"/>
    <row r="267" spans="2:24"/>
    <row r="268" spans="2:24"/>
    <row r="269" spans="2:24"/>
    <row r="270" spans="2:24"/>
    <row r="271" spans="2:24"/>
    <row r="272" spans="2:24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 spans="1:24"/>
    <row r="306" spans="1:24"/>
    <row r="307" spans="1:24"/>
    <row r="308" spans="1:24"/>
    <row r="310" spans="1:24" ht="12.5" hidden="1" thickBot="1"/>
    <row r="311" spans="1:24" ht="12.5" hidden="1" thickBot="1">
      <c r="A311" s="258"/>
      <c r="B311" s="20" t="s">
        <v>454</v>
      </c>
      <c r="C311" s="249">
        <v>0</v>
      </c>
      <c r="D311" s="21"/>
      <c r="E311" s="472">
        <v>0</v>
      </c>
      <c r="F311" s="21"/>
      <c r="G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idden="1">
      <c r="A312" s="258"/>
      <c r="B312" s="21" t="s">
        <v>414</v>
      </c>
      <c r="C312" s="164">
        <f ca="1">IFERROR(YEAR(OFFSET($D$28,C311,0)),0)</f>
        <v>0</v>
      </c>
      <c r="D312" s="164">
        <f ca="1">IFERROR(MONTH(OFFSET($D$28,C311,0)),0)</f>
        <v>0</v>
      </c>
      <c r="E312" s="21">
        <f ca="1">12-$D312</f>
        <v>12</v>
      </c>
      <c r="F312" s="21"/>
      <c r="G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</row>
    <row r="313" spans="1:24" hidden="1">
      <c r="A313" s="258"/>
      <c r="B313" s="21" t="s">
        <v>406</v>
      </c>
      <c r="C313" s="244">
        <f>IF(F28&lt;0,0,F28)</f>
        <v>0</v>
      </c>
      <c r="D313" s="22">
        <f ca="1">OFFSET($C$28,C311,0)</f>
        <v>0</v>
      </c>
      <c r="E313" s="22">
        <f>IF($C28&gt;3.5,ROUND(($C314/12)*$E312,0),$C313)</f>
        <v>0</v>
      </c>
      <c r="F313" s="21"/>
      <c r="G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idden="1">
      <c r="A314" s="258"/>
      <c r="B314" s="21" t="s">
        <v>415</v>
      </c>
      <c r="C314" s="244">
        <f>IF(ISBLANK(D28),0,IF(C28&gt;3.5,ROUND(C313*am_prace_rozwojowe,0),IF(C313&lt;0,0,C313)))</f>
        <v>0</v>
      </c>
      <c r="D314" s="21"/>
      <c r="E314" s="21"/>
      <c r="F314" s="21"/>
      <c r="G314" s="21"/>
      <c r="I314" s="21"/>
      <c r="J314" s="473" t="str" cm="1">
        <f t="array" aca="1" ref="J314" ca="1">OFFSET('Środki trwałe'!$C$195,'Rozliczenie dotacji'!E311,,)</f>
        <v/>
      </c>
      <c r="K314" s="75">
        <f ca="1">IFERROR(ROUND(IF(($C312+1)=K$25,$C314,0),0),0)</f>
        <v>0</v>
      </c>
      <c r="L314" s="247">
        <f ca="1">ROUND(IF(OR(AND($C312=LataProjekcji,$E312&gt;0),AND($C312=LataProjekcji,$E312=0,$D313&lt;=10)),$E313,IF($C312&lt;LataProjekcji,IF((SUM($K314:K314)+$C314)&lt;$C313,$C314,$C313-SUM($K314:K314)),0)),0)</f>
        <v>0</v>
      </c>
      <c r="M314" s="247">
        <f ca="1">ROUND(IF(OR(AND($C312=LataProjekcji,$E312&gt;0),AND($C312=LataProjekcji,$E312=0,$D313&lt;=10)),$E313,IF($C312&lt;LataProjekcji,IF((SUM($K314:L314)+$C314)&lt;$C313,$C314,$C313-SUM($K314:L314)),0)),0)</f>
        <v>0</v>
      </c>
      <c r="N314" s="247">
        <f ca="1">ROUND(IF(OR(AND($C312=LataProjekcji,$E312&gt;0),AND($C312=LataProjekcji,$E312=0,$D313&lt;=10)),$E313,IF($C312&lt;LataProjekcji,IF((SUM($K314:M314)+$C314)&lt;$C313,$C314,$C313-SUM($K314:M314)),0)),0)</f>
        <v>0</v>
      </c>
      <c r="O314" s="247">
        <f ca="1">ROUND(IF(OR(AND($C312=LataProjekcji,$E312&gt;0),AND($C312=LataProjekcji,$E312=0,$D313&lt;=10)),$E313,IF($C312&lt;LataProjekcji,IF((SUM($K314:N314)+$C314)&lt;$C313,$C314,$C313-SUM($K314:N314)),0)),0)</f>
        <v>0</v>
      </c>
      <c r="P314" s="247">
        <f ca="1">ROUND(IF(OR(AND($C312=LataProjekcji,$E312&gt;0),AND($C312=LataProjekcji,$E312=0,$D313&lt;=10)),$E313,IF($C312&lt;LataProjekcji,IF((SUM($K314:O314)+$C314)&lt;$C313,$C314,$C313-SUM($K314:O314)),0)),0)</f>
        <v>0</v>
      </c>
      <c r="Q314" s="247">
        <f ca="1">ROUND(IF(OR(AND($C312=LataProjekcji,$E312&gt;0),AND($C312=LataProjekcji,$E312=0,$D313&lt;=10)),$E313,IF($C312&lt;LataProjekcji,IF((SUM($K314:P314)+$C314)&lt;$C313,$C314,$C313-SUM($K314:P314)),0)),0)</f>
        <v>0</v>
      </c>
      <c r="R314" s="247">
        <f ca="1">ROUND(IF(OR(AND($C312=LataProjekcji,$E312&gt;0),AND($C312=LataProjekcji,$E312=0,$D313&lt;=10)),$E313,IF($C312&lt;LataProjekcji,IF((SUM($K314:Q314)+$C314)&lt;$C313,$C314,$C313-SUM($K314:Q314)),0)),0)</f>
        <v>0</v>
      </c>
      <c r="S314" s="247">
        <f ca="1">ROUND(IF(OR(AND($C312=LataProjekcji,$E312&gt;0),AND($C312=LataProjekcji,$E312=0,$D313&lt;=10)),$E313,IF($C312&lt;LataProjekcji,IF((SUM($K314:R314)+$C314)&lt;$C313,$C314,$C313-SUM($K314:R314)),0)),0)</f>
        <v>0</v>
      </c>
      <c r="T314" s="247">
        <f ca="1">ROUND(IF(OR(AND($C312=LataProjekcji,$E312&gt;0),AND($C312=LataProjekcji,$E312=0,$D313&lt;=10)),$E313,IF($C312&lt;LataProjekcji,IF((SUM($K314:S314)+$C314)&lt;$C313,$C314,$C313-SUM($K314:S314)),0)),0)</f>
        <v>0</v>
      </c>
      <c r="U314" s="247">
        <f ca="1">ROUND(IF(OR(AND($C312=LataProjekcji,$E312&gt;0),AND($C312=LataProjekcji,$E312=0,$D313&lt;=10)),$E313,IF($C312&lt;LataProjekcji,IF((SUM($K314:T314)+$C314)&lt;$C313,$C314,$C313-SUM($K314:T314)),0)),0)</f>
        <v>0</v>
      </c>
      <c r="V314" s="247">
        <f ca="1">ROUND(IF(OR(AND($C312=LataProjekcji,$E312&gt;0),AND($C312=LataProjekcji,$E312=0,$D313&lt;=10)),$E313,IF($C312&lt;LataProjekcji,IF((SUM($K314:U314)+$C314)&lt;$C313,$C314,$C313-SUM($K314:U314)),0)),0)</f>
        <v>0</v>
      </c>
      <c r="W314" s="247">
        <f ca="1">ROUND(IF(OR(AND($C312=LataProjekcji,$E312&gt;0),AND($C312=LataProjekcji,$E312=0,$D313&lt;=10)),$E313,IF($C312&lt;LataProjekcji,IF((SUM($K314:V314)+$C314)&lt;$C313,$C314,$C313-SUM($K314:V314)),0)),0)</f>
        <v>0</v>
      </c>
      <c r="X314" s="247">
        <f ca="1">ROUND(IF(OR(AND($C312=LataProjekcji,$E312&gt;0),AND($C312=LataProjekcji,$E312=0,$D313&lt;=10)),$E313,IF($C312&lt;LataProjekcji,IF((SUM($K314:W314)+$C314)&lt;$C313,$C314,$C313-SUM($K314:W314)),0)),0)</f>
        <v>0</v>
      </c>
    </row>
    <row r="315" spans="1:24" hidden="1">
      <c r="A315" s="258"/>
      <c r="B315" s="21" t="s">
        <v>416</v>
      </c>
      <c r="C315" s="22"/>
      <c r="D315" s="21"/>
      <c r="E315" s="21"/>
      <c r="F315" s="21"/>
      <c r="G315" s="21"/>
      <c r="I315" s="21"/>
      <c r="J315" s="21"/>
      <c r="K315" s="22">
        <f ca="1">ROUND(K314,0)</f>
        <v>0</v>
      </c>
      <c r="L315" s="22">
        <f ca="1">ROUND(K315+L314,0)</f>
        <v>0</v>
      </c>
      <c r="M315" s="22">
        <f t="shared" ref="M315:X315" ca="1" si="65">ROUND(L315+M314,0)</f>
        <v>0</v>
      </c>
      <c r="N315" s="22">
        <f t="shared" ca="1" si="65"/>
        <v>0</v>
      </c>
      <c r="O315" s="22">
        <f t="shared" ca="1" si="65"/>
        <v>0</v>
      </c>
      <c r="P315" s="22">
        <f t="shared" ca="1" si="65"/>
        <v>0</v>
      </c>
      <c r="Q315" s="22">
        <f t="shared" ca="1" si="65"/>
        <v>0</v>
      </c>
      <c r="R315" s="22">
        <f t="shared" ca="1" si="65"/>
        <v>0</v>
      </c>
      <c r="S315" s="22">
        <f t="shared" ca="1" si="65"/>
        <v>0</v>
      </c>
      <c r="T315" s="22">
        <f t="shared" ca="1" si="65"/>
        <v>0</v>
      </c>
      <c r="U315" s="22">
        <f t="shared" ca="1" si="65"/>
        <v>0</v>
      </c>
      <c r="V315" s="22">
        <f t="shared" ca="1" si="65"/>
        <v>0</v>
      </c>
      <c r="W315" s="22">
        <f t="shared" ca="1" si="65"/>
        <v>0</v>
      </c>
      <c r="X315" s="22">
        <f t="shared" ca="1" si="65"/>
        <v>0</v>
      </c>
    </row>
    <row r="316" spans="1:24" hidden="1">
      <c r="A316" s="258"/>
      <c r="B316" s="21" t="s">
        <v>406</v>
      </c>
      <c r="C316" s="22"/>
      <c r="D316" s="21"/>
      <c r="E316" s="21"/>
      <c r="F316" s="21"/>
      <c r="G316" s="21"/>
      <c r="I316" s="21"/>
      <c r="J316" s="21"/>
      <c r="K316" s="77">
        <f t="shared" ref="K316:X316" ca="1" si="66">IF($C312=K$25,$C313,ROUND(IF(K314=0,0,$C313-K315),0))</f>
        <v>0</v>
      </c>
      <c r="L316" s="77">
        <f t="shared" ca="1" si="66"/>
        <v>0</v>
      </c>
      <c r="M316" s="77">
        <f t="shared" ca="1" si="66"/>
        <v>0</v>
      </c>
      <c r="N316" s="77">
        <f t="shared" ca="1" si="66"/>
        <v>0</v>
      </c>
      <c r="O316" s="77">
        <f t="shared" ca="1" si="66"/>
        <v>0</v>
      </c>
      <c r="P316" s="77">
        <f t="shared" ca="1" si="66"/>
        <v>0</v>
      </c>
      <c r="Q316" s="77">
        <f t="shared" ca="1" si="66"/>
        <v>0</v>
      </c>
      <c r="R316" s="77">
        <f t="shared" ca="1" si="66"/>
        <v>0</v>
      </c>
      <c r="S316" s="77">
        <f t="shared" ca="1" si="66"/>
        <v>0</v>
      </c>
      <c r="T316" s="77">
        <f t="shared" ca="1" si="66"/>
        <v>0</v>
      </c>
      <c r="U316" s="77">
        <f t="shared" ca="1" si="66"/>
        <v>0</v>
      </c>
      <c r="V316" s="77">
        <f t="shared" ca="1" si="66"/>
        <v>0</v>
      </c>
      <c r="W316" s="77">
        <f t="shared" ca="1" si="66"/>
        <v>0</v>
      </c>
      <c r="X316" s="77">
        <f t="shared" ca="1" si="66"/>
        <v>0</v>
      </c>
    </row>
    <row r="317" spans="1:24" hidden="1">
      <c r="A317" s="258"/>
      <c r="B317" s="21"/>
      <c r="C317" s="22"/>
      <c r="D317" s="21"/>
      <c r="E317" s="21"/>
      <c r="F317" s="21"/>
      <c r="G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idden="1">
      <c r="A318" s="258"/>
      <c r="B318" s="20" t="s">
        <v>454</v>
      </c>
      <c r="C318" s="21">
        <f>C311+1</f>
        <v>1</v>
      </c>
      <c r="D318" s="21"/>
      <c r="E318" s="473">
        <f>E311+1</f>
        <v>1</v>
      </c>
      <c r="F318" s="21"/>
      <c r="G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idden="1">
      <c r="A319" s="258"/>
      <c r="B319" s="21" t="s">
        <v>414</v>
      </c>
      <c r="C319" s="164">
        <f ca="1">IFERROR(YEAR(OFFSET($D$28,C318,0)),0)</f>
        <v>0</v>
      </c>
      <c r="D319" s="21"/>
      <c r="E319" s="21"/>
      <c r="F319" s="21"/>
      <c r="G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</row>
    <row r="320" spans="1:24" hidden="1">
      <c r="A320" s="258"/>
      <c r="B320" s="21" t="s">
        <v>406</v>
      </c>
      <c r="C320" s="22">
        <f ca="1">F29</f>
        <v>0</v>
      </c>
      <c r="D320" s="21"/>
      <c r="E320" s="21"/>
      <c r="F320" s="21"/>
      <c r="G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idden="1">
      <c r="A321" s="258"/>
      <c r="B321" s="21" t="s">
        <v>415</v>
      </c>
      <c r="C321" s="22">
        <f ca="1">ROUND(C320*am_prace_rozwojowe,0)</f>
        <v>0</v>
      </c>
      <c r="D321" s="21"/>
      <c r="E321" s="21"/>
      <c r="F321" s="21"/>
      <c r="G321" s="21"/>
      <c r="I321" s="21"/>
      <c r="J321" s="473" t="str" cm="1">
        <f t="array" aca="1" ref="J321" ca="1">OFFSET('Środki trwałe'!$C$195,'Rozliczenie dotacji'!E318,,)</f>
        <v/>
      </c>
      <c r="K321" s="75">
        <f ca="1">IFERROR(ROUND(IF(($C319+1)=K$25,$C321,0),0),0)</f>
        <v>0</v>
      </c>
      <c r="L321" s="247">
        <f ca="1">ROUND(IF(OR(AND($C319=LataProjekcji,$E319&gt;0),AND($C319=LataProjekcji,$E319=0,$D320&lt;=10)),$E320,IF($C319&lt;LataProjekcji,IF((SUM($K321:K321)+$C321)&lt;$C320,$C321,$C320-SUM($K321:K321)),0)),0)</f>
        <v>0</v>
      </c>
      <c r="M321" s="247">
        <f ca="1">ROUND(IF(OR(AND($C319=LataProjekcji,$E319&gt;0),AND($C319=LataProjekcji,$E319=0,$D320&lt;=10)),$E320,IF($C319&lt;LataProjekcji,IF((SUM($K321:L321)+$C321)&lt;$C320,$C321,$C320-SUM($K321:L321)),0)),0)</f>
        <v>0</v>
      </c>
      <c r="N321" s="247">
        <f ca="1">ROUND(IF(OR(AND($C319=LataProjekcji,$E319&gt;0),AND($C319=LataProjekcji,$E319=0,$D320&lt;=10)),$E320,IF($C319&lt;LataProjekcji,IF((SUM($K321:M321)+$C321)&lt;$C320,$C321,$C320-SUM($K321:M321)),0)),0)</f>
        <v>0</v>
      </c>
      <c r="O321" s="247">
        <f ca="1">ROUND(IF(OR(AND($C319=LataProjekcji,$E319&gt;0),AND($C319=LataProjekcji,$E319=0,$D320&lt;=10)),$E320,IF($C319&lt;LataProjekcji,IF((SUM($K321:N321)+$C321)&lt;$C320,$C321,$C320-SUM($K321:N321)),0)),0)</f>
        <v>0</v>
      </c>
      <c r="P321" s="247">
        <f ca="1">ROUND(IF(OR(AND($C319=LataProjekcji,$E319&gt;0),AND($C319=LataProjekcji,$E319=0,$D320&lt;=10)),$E320,IF($C319&lt;LataProjekcji,IF((SUM($K321:O321)+$C321)&lt;$C320,$C321,$C320-SUM($K321:O321)),0)),0)</f>
        <v>0</v>
      </c>
      <c r="Q321" s="247">
        <f ca="1">ROUND(IF(OR(AND($C319=LataProjekcji,$E319&gt;0),AND($C319=LataProjekcji,$E319=0,$D320&lt;=10)),$E320,IF($C319&lt;LataProjekcji,IF((SUM($K321:P321)+$C321)&lt;$C320,$C321,$C320-SUM($K321:P321)),0)),0)</f>
        <v>0</v>
      </c>
      <c r="R321" s="247">
        <f ca="1">ROUND(IF(OR(AND($C319=LataProjekcji,$E319&gt;0),AND($C319=LataProjekcji,$E319=0,$D320&lt;=10)),$E320,IF($C319&lt;LataProjekcji,IF((SUM($K321:Q321)+$C321)&lt;$C320,$C321,$C320-SUM($K321:Q321)),0)),0)</f>
        <v>0</v>
      </c>
      <c r="S321" s="247">
        <f ca="1">ROUND(IF(OR(AND($C319=LataProjekcji,$E319&gt;0),AND($C319=LataProjekcji,$E319=0,$D320&lt;=10)),$E320,IF($C319&lt;LataProjekcji,IF((SUM($K321:R321)+$C321)&lt;$C320,$C321,$C320-SUM($K321:R321)),0)),0)</f>
        <v>0</v>
      </c>
      <c r="T321" s="247">
        <f ca="1">ROUND(IF(OR(AND($C319=LataProjekcji,$E319&gt;0),AND($C319=LataProjekcji,$E319=0,$D320&lt;=10)),$E320,IF($C319&lt;LataProjekcji,IF((SUM($K321:S321)+$C321)&lt;$C320,$C321,$C320-SUM($K321:S321)),0)),0)</f>
        <v>0</v>
      </c>
      <c r="U321" s="247">
        <f ca="1">ROUND(IF(OR(AND($C319=LataProjekcji,$E319&gt;0),AND($C319=LataProjekcji,$E319=0,$D320&lt;=10)),$E320,IF($C319&lt;LataProjekcji,IF((SUM($K321:T321)+$C321)&lt;$C320,$C321,$C320-SUM($K321:T321)),0)),0)</f>
        <v>0</v>
      </c>
      <c r="V321" s="247">
        <f ca="1">ROUND(IF(OR(AND($C319=LataProjekcji,$E319&gt;0),AND($C319=LataProjekcji,$E319=0,$D320&lt;=10)),$E320,IF($C319&lt;LataProjekcji,IF((SUM($K321:U321)+$C321)&lt;$C320,$C321,$C320-SUM($K321:U321)),0)),0)</f>
        <v>0</v>
      </c>
      <c r="W321" s="247">
        <f ca="1">ROUND(IF(OR(AND($C319=LataProjekcji,$E319&gt;0),AND($C319=LataProjekcji,$E319=0,$D320&lt;=10)),$E320,IF($C319&lt;LataProjekcji,IF((SUM($K321:V321)+$C321)&lt;$C320,$C321,$C320-SUM($K321:V321)),0)),0)</f>
        <v>0</v>
      </c>
      <c r="X321" s="247">
        <f ca="1">ROUND(IF(OR(AND($C319=LataProjekcji,$E319&gt;0),AND($C319=LataProjekcji,$E319=0,$D320&lt;=10)),$E320,IF($C319&lt;LataProjekcji,IF((SUM($K321:W321)+$C321)&lt;$C320,$C321,$C320-SUM($K321:W321)),0)),0)</f>
        <v>0</v>
      </c>
    </row>
    <row r="322" spans="1:24" hidden="1">
      <c r="A322" s="258"/>
      <c r="B322" s="21" t="s">
        <v>416</v>
      </c>
      <c r="C322" s="22"/>
      <c r="D322" s="21"/>
      <c r="E322" s="21"/>
      <c r="F322" s="21"/>
      <c r="G322" s="21"/>
      <c r="I322" s="21"/>
      <c r="J322" s="21"/>
      <c r="K322" s="22">
        <f ca="1">ROUND(K321,0)</f>
        <v>0</v>
      </c>
      <c r="L322" s="22">
        <f t="shared" ref="L322:X322" ca="1" si="67">ROUND(K322+L321,0)</f>
        <v>0</v>
      </c>
      <c r="M322" s="22">
        <f t="shared" ca="1" si="67"/>
        <v>0</v>
      </c>
      <c r="N322" s="22">
        <f t="shared" ca="1" si="67"/>
        <v>0</v>
      </c>
      <c r="O322" s="22">
        <f t="shared" ca="1" si="67"/>
        <v>0</v>
      </c>
      <c r="P322" s="22">
        <f t="shared" ca="1" si="67"/>
        <v>0</v>
      </c>
      <c r="Q322" s="22">
        <f t="shared" ca="1" si="67"/>
        <v>0</v>
      </c>
      <c r="R322" s="22">
        <f t="shared" ca="1" si="67"/>
        <v>0</v>
      </c>
      <c r="S322" s="22">
        <f t="shared" ca="1" si="67"/>
        <v>0</v>
      </c>
      <c r="T322" s="22">
        <f t="shared" ca="1" si="67"/>
        <v>0</v>
      </c>
      <c r="U322" s="22">
        <f t="shared" ca="1" si="67"/>
        <v>0</v>
      </c>
      <c r="V322" s="22">
        <f t="shared" ca="1" si="67"/>
        <v>0</v>
      </c>
      <c r="W322" s="22">
        <f t="shared" ca="1" si="67"/>
        <v>0</v>
      </c>
      <c r="X322" s="22">
        <f t="shared" ca="1" si="67"/>
        <v>0</v>
      </c>
    </row>
    <row r="323" spans="1:24" hidden="1">
      <c r="A323" s="258"/>
      <c r="B323" s="21" t="s">
        <v>406</v>
      </c>
      <c r="C323" s="22"/>
      <c r="D323" s="21"/>
      <c r="E323" s="21"/>
      <c r="F323" s="21"/>
      <c r="G323" s="21"/>
      <c r="I323" s="21"/>
      <c r="J323" s="21"/>
      <c r="K323" s="77">
        <f t="shared" ref="K323:X323" ca="1" si="68">IF($C319=K$25,$C320,ROUND(IF(K321=0,0,$C320-K322),0))</f>
        <v>0</v>
      </c>
      <c r="L323" s="77">
        <f t="shared" ca="1" si="68"/>
        <v>0</v>
      </c>
      <c r="M323" s="77">
        <f t="shared" ca="1" si="68"/>
        <v>0</v>
      </c>
      <c r="N323" s="77">
        <f t="shared" ca="1" si="68"/>
        <v>0</v>
      </c>
      <c r="O323" s="77">
        <f t="shared" ca="1" si="68"/>
        <v>0</v>
      </c>
      <c r="P323" s="77">
        <f t="shared" ca="1" si="68"/>
        <v>0</v>
      </c>
      <c r="Q323" s="77">
        <f t="shared" ca="1" si="68"/>
        <v>0</v>
      </c>
      <c r="R323" s="77">
        <f t="shared" ca="1" si="68"/>
        <v>0</v>
      </c>
      <c r="S323" s="77">
        <f t="shared" ca="1" si="68"/>
        <v>0</v>
      </c>
      <c r="T323" s="77">
        <f t="shared" ca="1" si="68"/>
        <v>0</v>
      </c>
      <c r="U323" s="77">
        <f t="shared" ca="1" si="68"/>
        <v>0</v>
      </c>
      <c r="V323" s="77">
        <f t="shared" ca="1" si="68"/>
        <v>0</v>
      </c>
      <c r="W323" s="77">
        <f t="shared" ca="1" si="68"/>
        <v>0</v>
      </c>
      <c r="X323" s="77">
        <f t="shared" ca="1" si="68"/>
        <v>0</v>
      </c>
    </row>
    <row r="324" spans="1:24" hidden="1">
      <c r="A324" s="258"/>
      <c r="B324" s="20"/>
      <c r="C324" s="21"/>
      <c r="D324" s="21"/>
      <c r="E324" s="21"/>
      <c r="F324" s="21"/>
      <c r="G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 spans="1:24" hidden="1">
      <c r="A325" s="258"/>
      <c r="B325" s="20" t="s">
        <v>454</v>
      </c>
      <c r="C325" s="21">
        <f>C318+1</f>
        <v>2</v>
      </c>
      <c r="D325" s="21">
        <f ca="1">OFFSET($B$28,C325,0)</f>
        <v>0</v>
      </c>
      <c r="E325" s="473">
        <f>E318+1</f>
        <v>2</v>
      </c>
      <c r="F325" s="21"/>
      <c r="G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 spans="1:24" hidden="1">
      <c r="A326" s="258"/>
      <c r="B326" s="21" t="s">
        <v>414</v>
      </c>
      <c r="C326" s="164">
        <f ca="1">IFERROR(YEAR(OFFSET($D$28,C325,0)),0)</f>
        <v>1900</v>
      </c>
      <c r="D326" s="21"/>
      <c r="E326" s="21"/>
      <c r="F326" s="21"/>
      <c r="G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idden="1">
      <c r="A327" s="258"/>
      <c r="B327" s="21" t="s">
        <v>406</v>
      </c>
      <c r="C327" s="22">
        <f ca="1">OFFSET($F$28,C325,0)</f>
        <v>0</v>
      </c>
      <c r="D327" s="21"/>
      <c r="E327" s="21"/>
      <c r="F327" s="21"/>
      <c r="G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 spans="1:24" hidden="1">
      <c r="A328" s="258"/>
      <c r="B328" s="21" t="s">
        <v>415</v>
      </c>
      <c r="C328" s="22">
        <f ca="1">ROUND(C327*am_prace_rozwojowe,0)</f>
        <v>0</v>
      </c>
      <c r="D328" s="21"/>
      <c r="E328" s="21"/>
      <c r="F328" s="21"/>
      <c r="G328" s="21"/>
      <c r="I328" s="21"/>
      <c r="J328" s="473" cm="1">
        <f t="array" aca="1" ref="J328" ca="1">OFFSET('Środki trwałe'!$C$195,'Rozliczenie dotacji'!E325,,)</f>
        <v>0</v>
      </c>
      <c r="K328" s="75">
        <f ca="1">IFERROR(ROUND(IF(($C326+1)=K$25,$C328,0),0),0)</f>
        <v>0</v>
      </c>
      <c r="L328" s="247">
        <f ca="1">ROUND(IF(OR(AND($C326=LataProjekcji,$E326&gt;0),AND($C326=LataProjekcji,$E326=0,$D327&lt;=10)),$E327,IF($C326&lt;LataProjekcji,IF((SUM($K328:K328)+$C328)&lt;$C327,$C328,$C327-SUM($K328:K328)),0)),0)</f>
        <v>0</v>
      </c>
      <c r="M328" s="247">
        <f ca="1">ROUND(IF(OR(AND($C326=LataProjekcji,$E326&gt;0),AND($C326=LataProjekcji,$E326=0,$D327&lt;=10)),$E327,IF($C326&lt;LataProjekcji,IF((SUM($K328:L328)+$C328)&lt;$C327,$C328,$C327-SUM($K328:L328)),0)),0)</f>
        <v>0</v>
      </c>
      <c r="N328" s="247">
        <f ca="1">ROUND(IF(OR(AND($C326=LataProjekcji,$E326&gt;0),AND($C326=LataProjekcji,$E326=0,$D327&lt;=10)),$E327,IF($C326&lt;LataProjekcji,IF((SUM($K328:M328)+$C328)&lt;$C327,$C328,$C327-SUM($K328:M328)),0)),0)</f>
        <v>0</v>
      </c>
      <c r="O328" s="247">
        <f ca="1">ROUND(IF(OR(AND($C326=LataProjekcji,$E326&gt;0),AND($C326=LataProjekcji,$E326=0,$D327&lt;=10)),$E327,IF($C326&lt;LataProjekcji,IF((SUM($K328:N328)+$C328)&lt;$C327,$C328,$C327-SUM($K328:N328)),0)),0)</f>
        <v>0</v>
      </c>
      <c r="P328" s="247">
        <f ca="1">ROUND(IF(OR(AND($C326=LataProjekcji,$E326&gt;0),AND($C326=LataProjekcji,$E326=0,$D327&lt;=10)),$E327,IF($C326&lt;LataProjekcji,IF((SUM($K328:O328)+$C328)&lt;$C327,$C328,$C327-SUM($K328:O328)),0)),0)</f>
        <v>0</v>
      </c>
      <c r="Q328" s="247">
        <f ca="1">ROUND(IF(OR(AND($C326=LataProjekcji,$E326&gt;0),AND($C326=LataProjekcji,$E326=0,$D327&lt;=10)),$E327,IF($C326&lt;LataProjekcji,IF((SUM($K328:P328)+$C328)&lt;$C327,$C328,$C327-SUM($K328:P328)),0)),0)</f>
        <v>0</v>
      </c>
      <c r="R328" s="247">
        <f ca="1">ROUND(IF(OR(AND($C326=LataProjekcji,$E326&gt;0),AND($C326=LataProjekcji,$E326=0,$D327&lt;=10)),$E327,IF($C326&lt;LataProjekcji,IF((SUM($K328:Q328)+$C328)&lt;$C327,$C328,$C327-SUM($K328:Q328)),0)),0)</f>
        <v>0</v>
      </c>
      <c r="S328" s="247">
        <f ca="1">ROUND(IF(OR(AND($C326=LataProjekcji,$E326&gt;0),AND($C326=LataProjekcji,$E326=0,$D327&lt;=10)),$E327,IF($C326&lt;LataProjekcji,IF((SUM($K328:R328)+$C328)&lt;$C327,$C328,$C327-SUM($K328:R328)),0)),0)</f>
        <v>0</v>
      </c>
      <c r="T328" s="247">
        <f ca="1">ROUND(IF(OR(AND($C326=LataProjekcji,$E326&gt;0),AND($C326=LataProjekcji,$E326=0,$D327&lt;=10)),$E327,IF($C326&lt;LataProjekcji,IF((SUM($K328:S328)+$C328)&lt;$C327,$C328,$C327-SUM($K328:S328)),0)),0)</f>
        <v>0</v>
      </c>
      <c r="U328" s="247">
        <f ca="1">ROUND(IF(OR(AND($C326=LataProjekcji,$E326&gt;0),AND($C326=LataProjekcji,$E326=0,$D327&lt;=10)),$E327,IF($C326&lt;LataProjekcji,IF((SUM($K328:T328)+$C328)&lt;$C327,$C328,$C327-SUM($K328:T328)),0)),0)</f>
        <v>0</v>
      </c>
      <c r="V328" s="247">
        <f ca="1">ROUND(IF(OR(AND($C326=LataProjekcji,$E326&gt;0),AND($C326=LataProjekcji,$E326=0,$D327&lt;=10)),$E327,IF($C326&lt;LataProjekcji,IF((SUM($K328:U328)+$C328)&lt;$C327,$C328,$C327-SUM($K328:U328)),0)),0)</f>
        <v>0</v>
      </c>
      <c r="W328" s="247">
        <f ca="1">ROUND(IF(OR(AND($C326=LataProjekcji,$E326&gt;0),AND($C326=LataProjekcji,$E326=0,$D327&lt;=10)),$E327,IF($C326&lt;LataProjekcji,IF((SUM($K328:V328)+$C328)&lt;$C327,$C328,$C327-SUM($K328:V328)),0)),0)</f>
        <v>0</v>
      </c>
      <c r="X328" s="247">
        <f ca="1">ROUND(IF(OR(AND($C326=LataProjekcji,$E326&gt;0),AND($C326=LataProjekcji,$E326=0,$D327&lt;=10)),$E327,IF($C326&lt;LataProjekcji,IF((SUM($K328:W328)+$C328)&lt;$C327,$C328,$C327-SUM($K328:W328)),0)),0)</f>
        <v>0</v>
      </c>
    </row>
    <row r="329" spans="1:24" hidden="1">
      <c r="A329" s="258"/>
      <c r="B329" s="21" t="s">
        <v>416</v>
      </c>
      <c r="C329" s="22"/>
      <c r="D329" s="21"/>
      <c r="E329" s="21"/>
      <c r="F329" s="21"/>
      <c r="G329" s="21"/>
      <c r="I329" s="21"/>
      <c r="J329" s="21"/>
      <c r="K329" s="22">
        <f ca="1">ROUND(K328,0)</f>
        <v>0</v>
      </c>
      <c r="L329" s="22">
        <f t="shared" ref="L329:X329" ca="1" si="69">ROUND(K329+L328,0)</f>
        <v>0</v>
      </c>
      <c r="M329" s="22">
        <f t="shared" ca="1" si="69"/>
        <v>0</v>
      </c>
      <c r="N329" s="22">
        <f t="shared" ca="1" si="69"/>
        <v>0</v>
      </c>
      <c r="O329" s="22">
        <f t="shared" ca="1" si="69"/>
        <v>0</v>
      </c>
      <c r="P329" s="22">
        <f t="shared" ca="1" si="69"/>
        <v>0</v>
      </c>
      <c r="Q329" s="22">
        <f t="shared" ca="1" si="69"/>
        <v>0</v>
      </c>
      <c r="R329" s="22">
        <f t="shared" ca="1" si="69"/>
        <v>0</v>
      </c>
      <c r="S329" s="22">
        <f t="shared" ca="1" si="69"/>
        <v>0</v>
      </c>
      <c r="T329" s="22">
        <f t="shared" ca="1" si="69"/>
        <v>0</v>
      </c>
      <c r="U329" s="22">
        <f t="shared" ca="1" si="69"/>
        <v>0</v>
      </c>
      <c r="V329" s="22">
        <f t="shared" ca="1" si="69"/>
        <v>0</v>
      </c>
      <c r="W329" s="22">
        <f t="shared" ca="1" si="69"/>
        <v>0</v>
      </c>
      <c r="X329" s="22">
        <f t="shared" ca="1" si="69"/>
        <v>0</v>
      </c>
    </row>
    <row r="330" spans="1:24" hidden="1">
      <c r="A330" s="258"/>
      <c r="B330" s="21" t="s">
        <v>406</v>
      </c>
      <c r="C330" s="22"/>
      <c r="D330" s="21"/>
      <c r="E330" s="21"/>
      <c r="F330" s="21"/>
      <c r="G330" s="21"/>
      <c r="I330" s="21"/>
      <c r="J330" s="21"/>
      <c r="K330" s="77">
        <f t="shared" ref="K330:X330" ca="1" si="70">IF($C326=K$25,$C327,ROUND(IF(K328=0,0,$C327-K329),0))</f>
        <v>0</v>
      </c>
      <c r="L330" s="77">
        <f t="shared" ca="1" si="70"/>
        <v>0</v>
      </c>
      <c r="M330" s="77">
        <f t="shared" ca="1" si="70"/>
        <v>0</v>
      </c>
      <c r="N330" s="77">
        <f t="shared" ca="1" si="70"/>
        <v>0</v>
      </c>
      <c r="O330" s="77">
        <f t="shared" ca="1" si="70"/>
        <v>0</v>
      </c>
      <c r="P330" s="77">
        <f t="shared" ca="1" si="70"/>
        <v>0</v>
      </c>
      <c r="Q330" s="77">
        <f t="shared" ca="1" si="70"/>
        <v>0</v>
      </c>
      <c r="R330" s="77">
        <f t="shared" ca="1" si="70"/>
        <v>0</v>
      </c>
      <c r="S330" s="77">
        <f t="shared" ca="1" si="70"/>
        <v>0</v>
      </c>
      <c r="T330" s="77">
        <f t="shared" ca="1" si="70"/>
        <v>0</v>
      </c>
      <c r="U330" s="77">
        <f t="shared" ca="1" si="70"/>
        <v>0</v>
      </c>
      <c r="V330" s="77">
        <f t="shared" ca="1" si="70"/>
        <v>0</v>
      </c>
      <c r="W330" s="77">
        <f t="shared" ca="1" si="70"/>
        <v>0</v>
      </c>
      <c r="X330" s="77">
        <f t="shared" ca="1" si="70"/>
        <v>0</v>
      </c>
    </row>
    <row r="331" spans="1:24" hidden="1">
      <c r="A331" s="258"/>
      <c r="B331" s="21"/>
      <c r="C331" s="22"/>
      <c r="D331" s="21"/>
      <c r="E331" s="21"/>
      <c r="F331" s="21"/>
      <c r="G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idden="1">
      <c r="A332" s="258"/>
      <c r="B332" s="20" t="s">
        <v>454</v>
      </c>
      <c r="C332" s="21">
        <f>C325+1</f>
        <v>3</v>
      </c>
      <c r="D332" s="21">
        <f ca="1">OFFSET($B$28,C332,0)</f>
        <v>0</v>
      </c>
      <c r="E332" s="473">
        <f>E325+1</f>
        <v>3</v>
      </c>
      <c r="F332" s="21"/>
      <c r="G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idden="1">
      <c r="A333" s="258"/>
      <c r="B333" s="21" t="s">
        <v>414</v>
      </c>
      <c r="C333" s="164">
        <f ca="1">IFERROR(YEAR(OFFSET($D$28,C332,0)),0)</f>
        <v>1900</v>
      </c>
      <c r="D333" s="21"/>
      <c r="E333" s="21"/>
      <c r="F333" s="21"/>
      <c r="G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</row>
    <row r="334" spans="1:24" hidden="1">
      <c r="A334" s="258"/>
      <c r="B334" s="21" t="s">
        <v>406</v>
      </c>
      <c r="C334" s="22">
        <f ca="1">OFFSET($F$28,C332,0)</f>
        <v>0</v>
      </c>
      <c r="D334" s="21"/>
      <c r="E334" s="21"/>
      <c r="F334" s="21"/>
      <c r="G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idden="1">
      <c r="A335" s="258"/>
      <c r="B335" s="21" t="s">
        <v>415</v>
      </c>
      <c r="C335" s="22">
        <f ca="1">ROUND(C334*am_prace_rozwojowe,0)</f>
        <v>0</v>
      </c>
      <c r="D335" s="21"/>
      <c r="E335" s="21"/>
      <c r="F335" s="21"/>
      <c r="G335" s="21"/>
      <c r="I335" s="21"/>
      <c r="J335" s="473" cm="1">
        <f t="array" aca="1" ref="J335" ca="1">OFFSET('Środki trwałe'!$C$195,'Rozliczenie dotacji'!E332,,)</f>
        <v>0</v>
      </c>
      <c r="K335" s="75">
        <f ca="1">IFERROR(ROUND(IF(($C333+1)=K$25,$C335,0),0),0)</f>
        <v>0</v>
      </c>
      <c r="L335" s="247">
        <f ca="1">ROUND(IF(OR(AND($C333=LataProjekcji,$E333&gt;0),AND($C333=LataProjekcji,$E333=0,$D334&lt;=10)),$E334,IF($C333&lt;LataProjekcji,IF((SUM($K335:K335)+$C335)&lt;$C334,$C335,$C334-SUM($K335:K335)),0)),0)</f>
        <v>0</v>
      </c>
      <c r="M335" s="247">
        <f ca="1">ROUND(IF(OR(AND($C333=LataProjekcji,$E333&gt;0),AND($C333=LataProjekcji,$E333=0,$D334&lt;=10)),$E334,IF($C333&lt;LataProjekcji,IF((SUM($K335:L335)+$C335)&lt;$C334,$C335,$C334-SUM($K335:L335)),0)),0)</f>
        <v>0</v>
      </c>
      <c r="N335" s="247">
        <f ca="1">ROUND(IF(OR(AND($C333=LataProjekcji,$E333&gt;0),AND($C333=LataProjekcji,$E333=0,$D334&lt;=10)),$E334,IF($C333&lt;LataProjekcji,IF((SUM($K335:M335)+$C335)&lt;$C334,$C335,$C334-SUM($K335:M335)),0)),0)</f>
        <v>0</v>
      </c>
      <c r="O335" s="247">
        <f ca="1">ROUND(IF(OR(AND($C333=LataProjekcji,$E333&gt;0),AND($C333=LataProjekcji,$E333=0,$D334&lt;=10)),$E334,IF($C333&lt;LataProjekcji,IF((SUM($K335:N335)+$C335)&lt;$C334,$C335,$C334-SUM($K335:N335)),0)),0)</f>
        <v>0</v>
      </c>
      <c r="P335" s="247">
        <f ca="1">ROUND(IF(OR(AND($C333=LataProjekcji,$E333&gt;0),AND($C333=LataProjekcji,$E333=0,$D334&lt;=10)),$E334,IF($C333&lt;LataProjekcji,IF((SUM($K335:O335)+$C335)&lt;$C334,$C335,$C334-SUM($K335:O335)),0)),0)</f>
        <v>0</v>
      </c>
      <c r="Q335" s="247">
        <f ca="1">ROUND(IF(OR(AND($C333=LataProjekcji,$E333&gt;0),AND($C333=LataProjekcji,$E333=0,$D334&lt;=10)),$E334,IF($C333&lt;LataProjekcji,IF((SUM($K335:P335)+$C335)&lt;$C334,$C335,$C334-SUM($K335:P335)),0)),0)</f>
        <v>0</v>
      </c>
      <c r="R335" s="247">
        <f ca="1">ROUND(IF(OR(AND($C333=LataProjekcji,$E333&gt;0),AND($C333=LataProjekcji,$E333=0,$D334&lt;=10)),$E334,IF($C333&lt;LataProjekcji,IF((SUM($K335:Q335)+$C335)&lt;$C334,$C335,$C334-SUM($K335:Q335)),0)),0)</f>
        <v>0</v>
      </c>
      <c r="S335" s="247">
        <f ca="1">ROUND(IF(OR(AND($C333=LataProjekcji,$E333&gt;0),AND($C333=LataProjekcji,$E333=0,$D334&lt;=10)),$E334,IF($C333&lt;LataProjekcji,IF((SUM($K335:R335)+$C335)&lt;$C334,$C335,$C334-SUM($K335:R335)),0)),0)</f>
        <v>0</v>
      </c>
      <c r="T335" s="247">
        <f ca="1">ROUND(IF(OR(AND($C333=LataProjekcji,$E333&gt;0),AND($C333=LataProjekcji,$E333=0,$D334&lt;=10)),$E334,IF($C333&lt;LataProjekcji,IF((SUM($K335:S335)+$C335)&lt;$C334,$C335,$C334-SUM($K335:S335)),0)),0)</f>
        <v>0</v>
      </c>
      <c r="U335" s="247">
        <f ca="1">ROUND(IF(OR(AND($C333=LataProjekcji,$E333&gt;0),AND($C333=LataProjekcji,$E333=0,$D334&lt;=10)),$E334,IF($C333&lt;LataProjekcji,IF((SUM($K335:T335)+$C335)&lt;$C334,$C335,$C334-SUM($K335:T335)),0)),0)</f>
        <v>0</v>
      </c>
      <c r="V335" s="247">
        <f ca="1">ROUND(IF(OR(AND($C333=LataProjekcji,$E333&gt;0),AND($C333=LataProjekcji,$E333=0,$D334&lt;=10)),$E334,IF($C333&lt;LataProjekcji,IF((SUM($K335:U335)+$C335)&lt;$C334,$C335,$C334-SUM($K335:U335)),0)),0)</f>
        <v>0</v>
      </c>
      <c r="W335" s="247">
        <f ca="1">ROUND(IF(OR(AND($C333=LataProjekcji,$E333&gt;0),AND($C333=LataProjekcji,$E333=0,$D334&lt;=10)),$E334,IF($C333&lt;LataProjekcji,IF((SUM($K335:V335)+$C335)&lt;$C334,$C335,$C334-SUM($K335:V335)),0)),0)</f>
        <v>0</v>
      </c>
      <c r="X335" s="247">
        <f ca="1">ROUND(IF(OR(AND($C333=LataProjekcji,$E333&gt;0),AND($C333=LataProjekcji,$E333=0,$D334&lt;=10)),$E334,IF($C333&lt;LataProjekcji,IF((SUM($K335:W335)+$C335)&lt;$C334,$C335,$C334-SUM($K335:W335)),0)),0)</f>
        <v>0</v>
      </c>
    </row>
    <row r="336" spans="1:24" hidden="1">
      <c r="A336" s="258"/>
      <c r="B336" s="21" t="s">
        <v>416</v>
      </c>
      <c r="C336" s="22"/>
      <c r="D336" s="21"/>
      <c r="E336" s="21"/>
      <c r="F336" s="21"/>
      <c r="G336" s="21"/>
      <c r="I336" s="21"/>
      <c r="J336" s="21"/>
      <c r="K336" s="22">
        <f ca="1">ROUND(K335,0)</f>
        <v>0</v>
      </c>
      <c r="L336" s="22">
        <f t="shared" ref="L336:X336" ca="1" si="71">ROUND(K336+L335,0)</f>
        <v>0</v>
      </c>
      <c r="M336" s="22">
        <f t="shared" ca="1" si="71"/>
        <v>0</v>
      </c>
      <c r="N336" s="22">
        <f t="shared" ca="1" si="71"/>
        <v>0</v>
      </c>
      <c r="O336" s="22">
        <f t="shared" ca="1" si="71"/>
        <v>0</v>
      </c>
      <c r="P336" s="22">
        <f t="shared" ca="1" si="71"/>
        <v>0</v>
      </c>
      <c r="Q336" s="22">
        <f t="shared" ca="1" si="71"/>
        <v>0</v>
      </c>
      <c r="R336" s="22">
        <f t="shared" ca="1" si="71"/>
        <v>0</v>
      </c>
      <c r="S336" s="22">
        <f t="shared" ca="1" si="71"/>
        <v>0</v>
      </c>
      <c r="T336" s="22">
        <f t="shared" ca="1" si="71"/>
        <v>0</v>
      </c>
      <c r="U336" s="22">
        <f t="shared" ca="1" si="71"/>
        <v>0</v>
      </c>
      <c r="V336" s="22">
        <f t="shared" ca="1" si="71"/>
        <v>0</v>
      </c>
      <c r="W336" s="22">
        <f t="shared" ca="1" si="71"/>
        <v>0</v>
      </c>
      <c r="X336" s="22">
        <f t="shared" ca="1" si="71"/>
        <v>0</v>
      </c>
    </row>
    <row r="337" spans="1:24" hidden="1">
      <c r="A337" s="258"/>
      <c r="B337" s="21" t="s">
        <v>406</v>
      </c>
      <c r="C337" s="22"/>
      <c r="D337" s="21"/>
      <c r="E337" s="21"/>
      <c r="F337" s="21"/>
      <c r="G337" s="21"/>
      <c r="I337" s="21"/>
      <c r="J337" s="21"/>
      <c r="K337" s="77">
        <f t="shared" ref="K337:X337" ca="1" si="72">IF($C333=K$25,$C334,ROUND(IF(K335=0,0,$C334-K336),0))</f>
        <v>0</v>
      </c>
      <c r="L337" s="77">
        <f t="shared" ca="1" si="72"/>
        <v>0</v>
      </c>
      <c r="M337" s="77">
        <f t="shared" ca="1" si="72"/>
        <v>0</v>
      </c>
      <c r="N337" s="77">
        <f t="shared" ca="1" si="72"/>
        <v>0</v>
      </c>
      <c r="O337" s="77">
        <f t="shared" ca="1" si="72"/>
        <v>0</v>
      </c>
      <c r="P337" s="77">
        <f t="shared" ca="1" si="72"/>
        <v>0</v>
      </c>
      <c r="Q337" s="77">
        <f t="shared" ca="1" si="72"/>
        <v>0</v>
      </c>
      <c r="R337" s="77">
        <f t="shared" ca="1" si="72"/>
        <v>0</v>
      </c>
      <c r="S337" s="77">
        <f t="shared" ca="1" si="72"/>
        <v>0</v>
      </c>
      <c r="T337" s="77">
        <f t="shared" ca="1" si="72"/>
        <v>0</v>
      </c>
      <c r="U337" s="77">
        <f t="shared" ca="1" si="72"/>
        <v>0</v>
      </c>
      <c r="V337" s="77">
        <f t="shared" ca="1" si="72"/>
        <v>0</v>
      </c>
      <c r="W337" s="77">
        <f t="shared" ca="1" si="72"/>
        <v>0</v>
      </c>
      <c r="X337" s="77">
        <f t="shared" ca="1" si="72"/>
        <v>0</v>
      </c>
    </row>
    <row r="338" spans="1:24" hidden="1">
      <c r="A338" s="258"/>
      <c r="B338" s="21"/>
      <c r="C338" s="22"/>
      <c r="D338" s="21"/>
      <c r="E338" s="21"/>
      <c r="F338" s="21"/>
      <c r="G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</row>
    <row r="339" spans="1:24" hidden="1">
      <c r="A339" s="258"/>
      <c r="B339" s="20" t="s">
        <v>454</v>
      </c>
      <c r="C339" s="21">
        <f>C332+1</f>
        <v>4</v>
      </c>
      <c r="D339" s="21">
        <f ca="1">OFFSET($B$28,C339,0)</f>
        <v>0</v>
      </c>
      <c r="E339" s="473">
        <f>E332+1</f>
        <v>4</v>
      </c>
      <c r="F339" s="21"/>
      <c r="G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idden="1">
      <c r="A340" s="258"/>
      <c r="B340" s="21" t="s">
        <v>414</v>
      </c>
      <c r="C340" s="164">
        <f ca="1">IFERROR(YEAR(OFFSET($D$28,C339,0)),0)</f>
        <v>1900</v>
      </c>
      <c r="D340" s="21"/>
      <c r="E340" s="21"/>
      <c r="F340" s="21"/>
      <c r="G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idden="1">
      <c r="A341" s="258"/>
      <c r="B341" s="21" t="s">
        <v>406</v>
      </c>
      <c r="C341" s="22">
        <f ca="1">OFFSET($F$28,C339,0)</f>
        <v>0</v>
      </c>
      <c r="D341" s="21"/>
      <c r="E341" s="21"/>
      <c r="F341" s="21"/>
      <c r="G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idden="1">
      <c r="A342" s="258"/>
      <c r="B342" s="21" t="s">
        <v>415</v>
      </c>
      <c r="C342" s="22">
        <f ca="1">ROUND(C341*am_prace_rozwojowe,0)</f>
        <v>0</v>
      </c>
      <c r="D342" s="21"/>
      <c r="E342" s="21"/>
      <c r="F342" s="21"/>
      <c r="G342" s="21"/>
      <c r="I342" s="21"/>
      <c r="J342" s="473" cm="1">
        <f t="array" aca="1" ref="J342" ca="1">OFFSET('Środki trwałe'!$C$195,'Rozliczenie dotacji'!E339,,)</f>
        <v>0</v>
      </c>
      <c r="K342" s="75">
        <f ca="1">IFERROR(ROUND(IF(($C340+1)=K$25,$C342,0),0),0)</f>
        <v>0</v>
      </c>
      <c r="L342" s="247">
        <f ca="1">ROUND(IF(OR(AND($C340=LataProjekcji,$E340&gt;0),AND($C340=LataProjekcji,$E340=0,$D341&lt;=10)),$E341,IF($C340&lt;LataProjekcji,IF((SUM($K342:K342)+$C342)&lt;$C341,$C342,$C341-SUM($K342:K342)),0)),0)</f>
        <v>0</v>
      </c>
      <c r="M342" s="247">
        <f ca="1">ROUND(IF(OR(AND($C340=LataProjekcji,$E340&gt;0),AND($C340=LataProjekcji,$E340=0,$D341&lt;=10)),$E341,IF($C340&lt;LataProjekcji,IF((SUM($K342:L342)+$C342)&lt;$C341,$C342,$C341-SUM($K342:L342)),0)),0)</f>
        <v>0</v>
      </c>
      <c r="N342" s="247">
        <f ca="1">ROUND(IF(OR(AND($C340=LataProjekcji,$E340&gt;0),AND($C340=LataProjekcji,$E340=0,$D341&lt;=10)),$E341,IF($C340&lt;LataProjekcji,IF((SUM($K342:M342)+$C342)&lt;$C341,$C342,$C341-SUM($K342:M342)),0)),0)</f>
        <v>0</v>
      </c>
      <c r="O342" s="247">
        <f ca="1">ROUND(IF(OR(AND($C340=LataProjekcji,$E340&gt;0),AND($C340=LataProjekcji,$E340=0,$D341&lt;=10)),$E341,IF($C340&lt;LataProjekcji,IF((SUM($K342:N342)+$C342)&lt;$C341,$C342,$C341-SUM($K342:N342)),0)),0)</f>
        <v>0</v>
      </c>
      <c r="P342" s="247">
        <f ca="1">ROUND(IF(OR(AND($C340=LataProjekcji,$E340&gt;0),AND($C340=LataProjekcji,$E340=0,$D341&lt;=10)),$E341,IF($C340&lt;LataProjekcji,IF((SUM($K342:O342)+$C342)&lt;$C341,$C342,$C341-SUM($K342:O342)),0)),0)</f>
        <v>0</v>
      </c>
      <c r="Q342" s="247">
        <f ca="1">ROUND(IF(OR(AND($C340=LataProjekcji,$E340&gt;0),AND($C340=LataProjekcji,$E340=0,$D341&lt;=10)),$E341,IF($C340&lt;LataProjekcji,IF((SUM($K342:P342)+$C342)&lt;$C341,$C342,$C341-SUM($K342:P342)),0)),0)</f>
        <v>0</v>
      </c>
      <c r="R342" s="247">
        <f ca="1">ROUND(IF(OR(AND($C340=LataProjekcji,$E340&gt;0),AND($C340=LataProjekcji,$E340=0,$D341&lt;=10)),$E341,IF($C340&lt;LataProjekcji,IF((SUM($K342:Q342)+$C342)&lt;$C341,$C342,$C341-SUM($K342:Q342)),0)),0)</f>
        <v>0</v>
      </c>
      <c r="S342" s="247">
        <f ca="1">ROUND(IF(OR(AND($C340=LataProjekcji,$E340&gt;0),AND($C340=LataProjekcji,$E340=0,$D341&lt;=10)),$E341,IF($C340&lt;LataProjekcji,IF((SUM($K342:R342)+$C342)&lt;$C341,$C342,$C341-SUM($K342:R342)),0)),0)</f>
        <v>0</v>
      </c>
      <c r="T342" s="247">
        <f ca="1">ROUND(IF(OR(AND($C340=LataProjekcji,$E340&gt;0),AND($C340=LataProjekcji,$E340=0,$D341&lt;=10)),$E341,IF($C340&lt;LataProjekcji,IF((SUM($K342:S342)+$C342)&lt;$C341,$C342,$C341-SUM($K342:S342)),0)),0)</f>
        <v>0</v>
      </c>
      <c r="U342" s="247">
        <f ca="1">ROUND(IF(OR(AND($C340=LataProjekcji,$E340&gt;0),AND($C340=LataProjekcji,$E340=0,$D341&lt;=10)),$E341,IF($C340&lt;LataProjekcji,IF((SUM($K342:T342)+$C342)&lt;$C341,$C342,$C341-SUM($K342:T342)),0)),0)</f>
        <v>0</v>
      </c>
      <c r="V342" s="247">
        <f ca="1">ROUND(IF(OR(AND($C340=LataProjekcji,$E340&gt;0),AND($C340=LataProjekcji,$E340=0,$D341&lt;=10)),$E341,IF($C340&lt;LataProjekcji,IF((SUM($K342:U342)+$C342)&lt;$C341,$C342,$C341-SUM($K342:U342)),0)),0)</f>
        <v>0</v>
      </c>
      <c r="W342" s="247">
        <f ca="1">ROUND(IF(OR(AND($C340=LataProjekcji,$E340&gt;0),AND($C340=LataProjekcji,$E340=0,$D341&lt;=10)),$E341,IF($C340&lt;LataProjekcji,IF((SUM($K342:V342)+$C342)&lt;$C341,$C342,$C341-SUM($K342:V342)),0)),0)</f>
        <v>0</v>
      </c>
      <c r="X342" s="247">
        <f ca="1">ROUND(IF(OR(AND($C340=LataProjekcji,$E340&gt;0),AND($C340=LataProjekcji,$E340=0,$D341&lt;=10)),$E341,IF($C340&lt;LataProjekcji,IF((SUM($K342:W342)+$C342)&lt;$C341,$C342,$C341-SUM($K342:W342)),0)),0)</f>
        <v>0</v>
      </c>
    </row>
    <row r="343" spans="1:24" hidden="1">
      <c r="A343" s="258"/>
      <c r="B343" s="21" t="s">
        <v>416</v>
      </c>
      <c r="C343" s="22"/>
      <c r="D343" s="21"/>
      <c r="E343" s="21"/>
      <c r="F343" s="21"/>
      <c r="G343" s="21"/>
      <c r="I343" s="21"/>
      <c r="J343" s="21"/>
      <c r="K343" s="22">
        <f ca="1">ROUND(K342,0)</f>
        <v>0</v>
      </c>
      <c r="L343" s="22">
        <f t="shared" ref="L343" ca="1" si="73">ROUND(K343+L342,0)</f>
        <v>0</v>
      </c>
      <c r="M343" s="22">
        <f t="shared" ref="M343" ca="1" si="74">ROUND(L343+M342,0)</f>
        <v>0</v>
      </c>
      <c r="N343" s="22">
        <f t="shared" ref="N343" ca="1" si="75">ROUND(M343+N342,0)</f>
        <v>0</v>
      </c>
      <c r="O343" s="22">
        <f t="shared" ref="O343" ca="1" si="76">ROUND(N343+O342,0)</f>
        <v>0</v>
      </c>
      <c r="P343" s="22">
        <f t="shared" ref="P343" ca="1" si="77">ROUND(O343+P342,0)</f>
        <v>0</v>
      </c>
      <c r="Q343" s="22">
        <f t="shared" ref="Q343" ca="1" si="78">ROUND(P343+Q342,0)</f>
        <v>0</v>
      </c>
      <c r="R343" s="22">
        <f t="shared" ref="R343" ca="1" si="79">ROUND(Q343+R342,0)</f>
        <v>0</v>
      </c>
      <c r="S343" s="22">
        <f t="shared" ref="S343" ca="1" si="80">ROUND(R343+S342,0)</f>
        <v>0</v>
      </c>
      <c r="T343" s="22">
        <f t="shared" ref="T343" ca="1" si="81">ROUND(S343+T342,0)</f>
        <v>0</v>
      </c>
      <c r="U343" s="22">
        <f t="shared" ref="U343" ca="1" si="82">ROUND(T343+U342,0)</f>
        <v>0</v>
      </c>
      <c r="V343" s="22">
        <f t="shared" ref="V343" ca="1" si="83">ROUND(U343+V342,0)</f>
        <v>0</v>
      </c>
      <c r="W343" s="22">
        <f t="shared" ref="W343" ca="1" si="84">ROUND(V343+W342,0)</f>
        <v>0</v>
      </c>
      <c r="X343" s="22">
        <f t="shared" ref="X343" ca="1" si="85">ROUND(W343+X342,0)</f>
        <v>0</v>
      </c>
    </row>
    <row r="344" spans="1:24" hidden="1">
      <c r="A344" s="258"/>
      <c r="B344" s="21" t="s">
        <v>406</v>
      </c>
      <c r="C344" s="22"/>
      <c r="D344" s="21"/>
      <c r="E344" s="21"/>
      <c r="F344" s="21"/>
      <c r="G344" s="21"/>
      <c r="I344" s="21"/>
      <c r="J344" s="21"/>
      <c r="K344" s="77">
        <f t="shared" ref="K344:X344" ca="1" si="86">IF($C340=K$25,$C341,ROUND(IF(K342=0,0,$C341-K343),0))</f>
        <v>0</v>
      </c>
      <c r="L344" s="77">
        <f t="shared" ca="1" si="86"/>
        <v>0</v>
      </c>
      <c r="M344" s="77">
        <f t="shared" ca="1" si="86"/>
        <v>0</v>
      </c>
      <c r="N344" s="77">
        <f t="shared" ca="1" si="86"/>
        <v>0</v>
      </c>
      <c r="O344" s="77">
        <f t="shared" ca="1" si="86"/>
        <v>0</v>
      </c>
      <c r="P344" s="77">
        <f t="shared" ca="1" si="86"/>
        <v>0</v>
      </c>
      <c r="Q344" s="77">
        <f t="shared" ca="1" si="86"/>
        <v>0</v>
      </c>
      <c r="R344" s="77">
        <f t="shared" ca="1" si="86"/>
        <v>0</v>
      </c>
      <c r="S344" s="77">
        <f t="shared" ca="1" si="86"/>
        <v>0</v>
      </c>
      <c r="T344" s="77">
        <f t="shared" ca="1" si="86"/>
        <v>0</v>
      </c>
      <c r="U344" s="77">
        <f t="shared" ca="1" si="86"/>
        <v>0</v>
      </c>
      <c r="V344" s="77">
        <f t="shared" ca="1" si="86"/>
        <v>0</v>
      </c>
      <c r="W344" s="77">
        <f t="shared" ca="1" si="86"/>
        <v>0</v>
      </c>
      <c r="X344" s="77">
        <f t="shared" ca="1" si="86"/>
        <v>0</v>
      </c>
    </row>
    <row r="345" spans="1:24" hidden="1">
      <c r="A345" s="258"/>
      <c r="B345" s="20"/>
      <c r="C345" s="21"/>
      <c r="D345" s="21"/>
      <c r="E345" s="21"/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0" t="s">
        <v>454</v>
      </c>
      <c r="C346" s="21">
        <f>C339+1</f>
        <v>5</v>
      </c>
      <c r="D346" s="21" t="str">
        <f ca="1">OFFSET($B$28,C346,0)</f>
        <v/>
      </c>
      <c r="E346" s="473">
        <f>E339+1</f>
        <v>5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414</v>
      </c>
      <c r="C347" s="164">
        <f ca="1">IFERROR(YEAR(OFFSET($D$28,C346,0)),0)</f>
        <v>0</v>
      </c>
      <c r="D347" s="21"/>
      <c r="E347" s="21"/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406</v>
      </c>
      <c r="C348" s="22">
        <f ca="1">OFFSET($F$28,C346,0)</f>
        <v>0</v>
      </c>
      <c r="D348" s="21"/>
      <c r="E348" s="21"/>
      <c r="F348" s="21"/>
      <c r="G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</row>
    <row r="349" spans="1:24" hidden="1">
      <c r="A349" s="258"/>
      <c r="B349" s="21" t="s">
        <v>415</v>
      </c>
      <c r="C349" s="22">
        <f ca="1">ROUND(C348*am_prace_rozwojowe,0)</f>
        <v>0</v>
      </c>
      <c r="D349" s="21"/>
      <c r="E349" s="21"/>
      <c r="F349" s="21"/>
      <c r="G349" s="21"/>
      <c r="I349" s="21"/>
      <c r="J349" s="473" cm="1">
        <f t="array" aca="1" ref="J349" ca="1">OFFSET('Środki trwałe'!$C$195,'Rozliczenie dotacji'!E346,,)</f>
        <v>0</v>
      </c>
      <c r="K349" s="75">
        <f ca="1">IFERROR(ROUND(IF(($C347+1)=K$25,$C349,0),0),0)</f>
        <v>0</v>
      </c>
      <c r="L349" s="247">
        <f ca="1">ROUND(IF(OR(AND($C347=LataProjekcji,$E347&gt;0),AND($C347=LataProjekcji,$E347=0,$D348&lt;=10)),$E348,IF($C347&lt;LataProjekcji,IF((SUM($K349:K349)+$C349)&lt;$C348,$C349,$C348-SUM($K349:K349)),0)),0)</f>
        <v>0</v>
      </c>
      <c r="M349" s="247">
        <f ca="1">ROUND(IF(OR(AND($C347=LataProjekcji,$E347&gt;0),AND($C347=LataProjekcji,$E347=0,$D348&lt;=10)),$E348,IF($C347&lt;LataProjekcji,IF((SUM($K349:L349)+$C349)&lt;$C348,$C349,$C348-SUM($K349:L349)),0)),0)</f>
        <v>0</v>
      </c>
      <c r="N349" s="247">
        <f ca="1">ROUND(IF(OR(AND($C347=LataProjekcji,$E347&gt;0),AND($C347=LataProjekcji,$E347=0,$D348&lt;=10)),$E348,IF($C347&lt;LataProjekcji,IF((SUM($K349:M349)+$C349)&lt;$C348,$C349,$C348-SUM($K349:M349)),0)),0)</f>
        <v>0</v>
      </c>
      <c r="O349" s="247">
        <f ca="1">ROUND(IF(OR(AND($C347=LataProjekcji,$E347&gt;0),AND($C347=LataProjekcji,$E347=0,$D348&lt;=10)),$E348,IF($C347&lt;LataProjekcji,IF((SUM($K349:N349)+$C349)&lt;$C348,$C349,$C348-SUM($K349:N349)),0)),0)</f>
        <v>0</v>
      </c>
      <c r="P349" s="247">
        <f ca="1">ROUND(IF(OR(AND($C347=LataProjekcji,$E347&gt;0),AND($C347=LataProjekcji,$E347=0,$D348&lt;=10)),$E348,IF($C347&lt;LataProjekcji,IF((SUM($K349:O349)+$C349)&lt;$C348,$C349,$C348-SUM($K349:O349)),0)),0)</f>
        <v>0</v>
      </c>
      <c r="Q349" s="247">
        <f ca="1">ROUND(IF(OR(AND($C347=LataProjekcji,$E347&gt;0),AND($C347=LataProjekcji,$E347=0,$D348&lt;=10)),$E348,IF($C347&lt;LataProjekcji,IF((SUM($K349:P349)+$C349)&lt;$C348,$C349,$C348-SUM($K349:P349)),0)),0)</f>
        <v>0</v>
      </c>
      <c r="R349" s="247">
        <f ca="1">ROUND(IF(OR(AND($C347=LataProjekcji,$E347&gt;0),AND($C347=LataProjekcji,$E347=0,$D348&lt;=10)),$E348,IF($C347&lt;LataProjekcji,IF((SUM($K349:Q349)+$C349)&lt;$C348,$C349,$C348-SUM($K349:Q349)),0)),0)</f>
        <v>0</v>
      </c>
      <c r="S349" s="247">
        <f ca="1">ROUND(IF(OR(AND($C347=LataProjekcji,$E347&gt;0),AND($C347=LataProjekcji,$E347=0,$D348&lt;=10)),$E348,IF($C347&lt;LataProjekcji,IF((SUM($K349:R349)+$C349)&lt;$C348,$C349,$C348-SUM($K349:R349)),0)),0)</f>
        <v>0</v>
      </c>
      <c r="T349" s="247">
        <f ca="1">ROUND(IF(OR(AND($C347=LataProjekcji,$E347&gt;0),AND($C347=LataProjekcji,$E347=0,$D348&lt;=10)),$E348,IF($C347&lt;LataProjekcji,IF((SUM($K349:S349)+$C349)&lt;$C348,$C349,$C348-SUM($K349:S349)),0)),0)</f>
        <v>0</v>
      </c>
      <c r="U349" s="247">
        <f ca="1">ROUND(IF(OR(AND($C347=LataProjekcji,$E347&gt;0),AND($C347=LataProjekcji,$E347=0,$D348&lt;=10)),$E348,IF($C347&lt;LataProjekcji,IF((SUM($K349:T349)+$C349)&lt;$C348,$C349,$C348-SUM($K349:T349)),0)),0)</f>
        <v>0</v>
      </c>
      <c r="V349" s="247">
        <f ca="1">ROUND(IF(OR(AND($C347=LataProjekcji,$E347&gt;0),AND($C347=LataProjekcji,$E347=0,$D348&lt;=10)),$E348,IF($C347&lt;LataProjekcji,IF((SUM($K349:U349)+$C349)&lt;$C348,$C349,$C348-SUM($K349:U349)),0)),0)</f>
        <v>0</v>
      </c>
      <c r="W349" s="247">
        <f ca="1">ROUND(IF(OR(AND($C347=LataProjekcji,$E347&gt;0),AND($C347=LataProjekcji,$E347=0,$D348&lt;=10)),$E348,IF($C347&lt;LataProjekcji,IF((SUM($K349:V349)+$C349)&lt;$C348,$C349,$C348-SUM($K349:V349)),0)),0)</f>
        <v>0</v>
      </c>
      <c r="X349" s="247">
        <f ca="1">ROUND(IF(OR(AND($C347=LataProjekcji,$E347&gt;0),AND($C347=LataProjekcji,$E347=0,$D348&lt;=10)),$E348,IF($C347&lt;LataProjekcji,IF((SUM($K349:W349)+$C349)&lt;$C348,$C349,$C348-SUM($K349:W349)),0)),0)</f>
        <v>0</v>
      </c>
    </row>
    <row r="350" spans="1:24" hidden="1">
      <c r="A350" s="258"/>
      <c r="B350" s="21" t="s">
        <v>416</v>
      </c>
      <c r="C350" s="22"/>
      <c r="D350" s="21"/>
      <c r="E350" s="21"/>
      <c r="F350" s="21"/>
      <c r="G350" s="21"/>
      <c r="I350" s="21"/>
      <c r="J350" s="21"/>
      <c r="K350" s="22">
        <f ca="1">ROUND(K349,0)</f>
        <v>0</v>
      </c>
      <c r="L350" s="22">
        <f t="shared" ref="L350" ca="1" si="87">ROUND(K350+L349,0)</f>
        <v>0</v>
      </c>
      <c r="M350" s="22">
        <f t="shared" ref="M350" ca="1" si="88">ROUND(L350+M349,0)</f>
        <v>0</v>
      </c>
      <c r="N350" s="22">
        <f t="shared" ref="N350" ca="1" si="89">ROUND(M350+N349,0)</f>
        <v>0</v>
      </c>
      <c r="O350" s="22">
        <f t="shared" ref="O350" ca="1" si="90">ROUND(N350+O349,0)</f>
        <v>0</v>
      </c>
      <c r="P350" s="22">
        <f t="shared" ref="P350" ca="1" si="91">ROUND(O350+P349,0)</f>
        <v>0</v>
      </c>
      <c r="Q350" s="22">
        <f t="shared" ref="Q350" ca="1" si="92">ROUND(P350+Q349,0)</f>
        <v>0</v>
      </c>
      <c r="R350" s="22">
        <f t="shared" ref="R350" ca="1" si="93">ROUND(Q350+R349,0)</f>
        <v>0</v>
      </c>
      <c r="S350" s="22">
        <f t="shared" ref="S350" ca="1" si="94">ROUND(R350+S349,0)</f>
        <v>0</v>
      </c>
      <c r="T350" s="22">
        <f t="shared" ref="T350" ca="1" si="95">ROUND(S350+T349,0)</f>
        <v>0</v>
      </c>
      <c r="U350" s="22">
        <f t="shared" ref="U350" ca="1" si="96">ROUND(T350+U349,0)</f>
        <v>0</v>
      </c>
      <c r="V350" s="22">
        <f t="shared" ref="V350" ca="1" si="97">ROUND(U350+V349,0)</f>
        <v>0</v>
      </c>
      <c r="W350" s="22">
        <f t="shared" ref="W350" ca="1" si="98">ROUND(V350+W349,0)</f>
        <v>0</v>
      </c>
      <c r="X350" s="22">
        <f t="shared" ref="X350" ca="1" si="99">ROUND(W350+X349,0)</f>
        <v>0</v>
      </c>
    </row>
    <row r="351" spans="1:24" hidden="1">
      <c r="A351" s="258"/>
      <c r="B351" s="21" t="s">
        <v>406</v>
      </c>
      <c r="C351" s="22"/>
      <c r="D351" s="21"/>
      <c r="E351" s="21"/>
      <c r="F351" s="21"/>
      <c r="G351" s="21"/>
      <c r="I351" s="21"/>
      <c r="J351" s="21"/>
      <c r="K351" s="77">
        <f t="shared" ref="K351:X351" ca="1" si="100">IF($C347=K$25,$C348,ROUND(IF(K349=0,0,$C348-K350),0))</f>
        <v>0</v>
      </c>
      <c r="L351" s="77">
        <f t="shared" ca="1" si="100"/>
        <v>0</v>
      </c>
      <c r="M351" s="77">
        <f t="shared" ca="1" si="100"/>
        <v>0</v>
      </c>
      <c r="N351" s="77">
        <f t="shared" ca="1" si="100"/>
        <v>0</v>
      </c>
      <c r="O351" s="77">
        <f t="shared" ca="1" si="100"/>
        <v>0</v>
      </c>
      <c r="P351" s="77">
        <f t="shared" ca="1" si="100"/>
        <v>0</v>
      </c>
      <c r="Q351" s="77">
        <f t="shared" ca="1" si="100"/>
        <v>0</v>
      </c>
      <c r="R351" s="77">
        <f t="shared" ca="1" si="100"/>
        <v>0</v>
      </c>
      <c r="S351" s="77">
        <f t="shared" ca="1" si="100"/>
        <v>0</v>
      </c>
      <c r="T351" s="77">
        <f t="shared" ca="1" si="100"/>
        <v>0</v>
      </c>
      <c r="U351" s="77">
        <f t="shared" ca="1" si="100"/>
        <v>0</v>
      </c>
      <c r="V351" s="77">
        <f t="shared" ca="1" si="100"/>
        <v>0</v>
      </c>
      <c r="W351" s="77">
        <f t="shared" ca="1" si="100"/>
        <v>0</v>
      </c>
      <c r="X351" s="77">
        <f t="shared" ca="1" si="100"/>
        <v>0</v>
      </c>
    </row>
    <row r="352" spans="1:24" hidden="1">
      <c r="A352" s="258"/>
      <c r="B352" s="21"/>
      <c r="C352" s="22"/>
      <c r="D352" s="21"/>
      <c r="E352" s="21"/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0" t="s">
        <v>454</v>
      </c>
      <c r="C353" s="21">
        <f>C346+1</f>
        <v>6</v>
      </c>
      <c r="D353" s="21" t="str">
        <f ca="1">OFFSET($B$28,C353,0)</f>
        <v/>
      </c>
      <c r="E353" s="473">
        <f>E346+1</f>
        <v>6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414</v>
      </c>
      <c r="C354" s="164">
        <f ca="1">IFERROR(YEAR(OFFSET($D$28,C353,0)),0)</f>
        <v>0</v>
      </c>
      <c r="D354" s="21"/>
      <c r="E354" s="21"/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406</v>
      </c>
      <c r="C355" s="22">
        <f ca="1">OFFSET($F$28,C353,0)</f>
        <v>0</v>
      </c>
      <c r="D355" s="21"/>
      <c r="E355" s="21"/>
      <c r="F355" s="21"/>
      <c r="G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idden="1">
      <c r="A356" s="258"/>
      <c r="B356" s="21" t="s">
        <v>415</v>
      </c>
      <c r="C356" s="22">
        <f ca="1">ROUND(C355*am_prace_rozwojowe,0)</f>
        <v>0</v>
      </c>
      <c r="D356" s="21"/>
      <c r="E356" s="21"/>
      <c r="F356" s="21"/>
      <c r="G356" s="21"/>
      <c r="I356" s="21"/>
      <c r="J356" s="473" cm="1">
        <f t="array" aca="1" ref="J356" ca="1">OFFSET('Środki trwałe'!$C$195,'Rozliczenie dotacji'!E353,,)</f>
        <v>0</v>
      </c>
      <c r="K356" s="75">
        <f ca="1">IFERROR(ROUND(IF(($C354+1)=K$25,$C356,0),0),0)</f>
        <v>0</v>
      </c>
      <c r="L356" s="247">
        <f ca="1">ROUND(IF(OR(AND($C354=LataProjekcji,$E354&gt;0),AND($C354=LataProjekcji,$E354=0,$D355&lt;=10)),$E355,IF($C354&lt;LataProjekcji,IF((SUM($K356:K356)+$C356)&lt;$C355,$C356,$C355-SUM($K356:K356)),0)),0)</f>
        <v>0</v>
      </c>
      <c r="M356" s="247">
        <f ca="1">ROUND(IF(OR(AND($C354=LataProjekcji,$E354&gt;0),AND($C354=LataProjekcji,$E354=0,$D355&lt;=10)),$E355,IF($C354&lt;LataProjekcji,IF((SUM($K356:L356)+$C356)&lt;$C355,$C356,$C355-SUM($K356:L356)),0)),0)</f>
        <v>0</v>
      </c>
      <c r="N356" s="247">
        <f ca="1">ROUND(IF(OR(AND($C354=LataProjekcji,$E354&gt;0),AND($C354=LataProjekcji,$E354=0,$D355&lt;=10)),$E355,IF($C354&lt;LataProjekcji,IF((SUM($K356:M356)+$C356)&lt;$C355,$C356,$C355-SUM($K356:M356)),0)),0)</f>
        <v>0</v>
      </c>
      <c r="O356" s="247">
        <f ca="1">ROUND(IF(OR(AND($C354=LataProjekcji,$E354&gt;0),AND($C354=LataProjekcji,$E354=0,$D355&lt;=10)),$E355,IF($C354&lt;LataProjekcji,IF((SUM($K356:N356)+$C356)&lt;$C355,$C356,$C355-SUM($K356:N356)),0)),0)</f>
        <v>0</v>
      </c>
      <c r="P356" s="247">
        <f ca="1">ROUND(IF(OR(AND($C354=LataProjekcji,$E354&gt;0),AND($C354=LataProjekcji,$E354=0,$D355&lt;=10)),$E355,IF($C354&lt;LataProjekcji,IF((SUM($K356:O356)+$C356)&lt;$C355,$C356,$C355-SUM($K356:O356)),0)),0)</f>
        <v>0</v>
      </c>
      <c r="Q356" s="247">
        <f ca="1">ROUND(IF(OR(AND($C354=LataProjekcji,$E354&gt;0),AND($C354=LataProjekcji,$E354=0,$D355&lt;=10)),$E355,IF($C354&lt;LataProjekcji,IF((SUM($K356:P356)+$C356)&lt;$C355,$C356,$C355-SUM($K356:P356)),0)),0)</f>
        <v>0</v>
      </c>
      <c r="R356" s="247">
        <f ca="1">ROUND(IF(OR(AND($C354=LataProjekcji,$E354&gt;0),AND($C354=LataProjekcji,$E354=0,$D355&lt;=10)),$E355,IF($C354&lt;LataProjekcji,IF((SUM($K356:Q356)+$C356)&lt;$C355,$C356,$C355-SUM($K356:Q356)),0)),0)</f>
        <v>0</v>
      </c>
      <c r="S356" s="247">
        <f ca="1">ROUND(IF(OR(AND($C354=LataProjekcji,$E354&gt;0),AND($C354=LataProjekcji,$E354=0,$D355&lt;=10)),$E355,IF($C354&lt;LataProjekcji,IF((SUM($K356:R356)+$C356)&lt;$C355,$C356,$C355-SUM($K356:R356)),0)),0)</f>
        <v>0</v>
      </c>
      <c r="T356" s="247">
        <f ca="1">ROUND(IF(OR(AND($C354=LataProjekcji,$E354&gt;0),AND($C354=LataProjekcji,$E354=0,$D355&lt;=10)),$E355,IF($C354&lt;LataProjekcji,IF((SUM($K356:S356)+$C356)&lt;$C355,$C356,$C355-SUM($K356:S356)),0)),0)</f>
        <v>0</v>
      </c>
      <c r="U356" s="247">
        <f ca="1">ROUND(IF(OR(AND($C354=LataProjekcji,$E354&gt;0),AND($C354=LataProjekcji,$E354=0,$D355&lt;=10)),$E355,IF($C354&lt;LataProjekcji,IF((SUM($K356:T356)+$C356)&lt;$C355,$C356,$C355-SUM($K356:T356)),0)),0)</f>
        <v>0</v>
      </c>
      <c r="V356" s="247">
        <f ca="1">ROUND(IF(OR(AND($C354=LataProjekcji,$E354&gt;0),AND($C354=LataProjekcji,$E354=0,$D355&lt;=10)),$E355,IF($C354&lt;LataProjekcji,IF((SUM($K356:U356)+$C356)&lt;$C355,$C356,$C355-SUM($K356:U356)),0)),0)</f>
        <v>0</v>
      </c>
      <c r="W356" s="247">
        <f ca="1">ROUND(IF(OR(AND($C354=LataProjekcji,$E354&gt;0),AND($C354=LataProjekcji,$E354=0,$D355&lt;=10)),$E355,IF($C354&lt;LataProjekcji,IF((SUM($K356:V356)+$C356)&lt;$C355,$C356,$C355-SUM($K356:V356)),0)),0)</f>
        <v>0</v>
      </c>
      <c r="X356" s="247">
        <f ca="1">ROUND(IF(OR(AND($C354=LataProjekcji,$E354&gt;0),AND($C354=LataProjekcji,$E354=0,$D355&lt;=10)),$E355,IF($C354&lt;LataProjekcji,IF((SUM($K356:W356)+$C356)&lt;$C355,$C356,$C355-SUM($K356:W356)),0)),0)</f>
        <v>0</v>
      </c>
    </row>
    <row r="357" spans="1:24" hidden="1">
      <c r="A357" s="258"/>
      <c r="B357" s="21" t="s">
        <v>416</v>
      </c>
      <c r="C357" s="22"/>
      <c r="D357" s="21"/>
      <c r="E357" s="21"/>
      <c r="F357" s="21"/>
      <c r="G357" s="21"/>
      <c r="I357" s="21"/>
      <c r="J357" s="21"/>
      <c r="K357" s="22">
        <f ca="1">ROUND(K356,0)</f>
        <v>0</v>
      </c>
      <c r="L357" s="22">
        <f t="shared" ref="L357" ca="1" si="101">ROUND(K357+L356,0)</f>
        <v>0</v>
      </c>
      <c r="M357" s="22">
        <f t="shared" ref="M357" ca="1" si="102">ROUND(L357+M356,0)</f>
        <v>0</v>
      </c>
      <c r="N357" s="22">
        <f t="shared" ref="N357" ca="1" si="103">ROUND(M357+N356,0)</f>
        <v>0</v>
      </c>
      <c r="O357" s="22">
        <f t="shared" ref="O357" ca="1" si="104">ROUND(N357+O356,0)</f>
        <v>0</v>
      </c>
      <c r="P357" s="22">
        <f t="shared" ref="P357" ca="1" si="105">ROUND(O357+P356,0)</f>
        <v>0</v>
      </c>
      <c r="Q357" s="22">
        <f t="shared" ref="Q357" ca="1" si="106">ROUND(P357+Q356,0)</f>
        <v>0</v>
      </c>
      <c r="R357" s="22">
        <f t="shared" ref="R357" ca="1" si="107">ROUND(Q357+R356,0)</f>
        <v>0</v>
      </c>
      <c r="S357" s="22">
        <f t="shared" ref="S357" ca="1" si="108">ROUND(R357+S356,0)</f>
        <v>0</v>
      </c>
      <c r="T357" s="22">
        <f t="shared" ref="T357" ca="1" si="109">ROUND(S357+T356,0)</f>
        <v>0</v>
      </c>
      <c r="U357" s="22">
        <f t="shared" ref="U357" ca="1" si="110">ROUND(T357+U356,0)</f>
        <v>0</v>
      </c>
      <c r="V357" s="22">
        <f t="shared" ref="V357" ca="1" si="111">ROUND(U357+V356,0)</f>
        <v>0</v>
      </c>
      <c r="W357" s="22">
        <f t="shared" ref="W357" ca="1" si="112">ROUND(V357+W356,0)</f>
        <v>0</v>
      </c>
      <c r="X357" s="22">
        <f t="shared" ref="X357" ca="1" si="113">ROUND(W357+X356,0)</f>
        <v>0</v>
      </c>
    </row>
    <row r="358" spans="1:24" hidden="1">
      <c r="A358" s="258"/>
      <c r="B358" s="21" t="s">
        <v>406</v>
      </c>
      <c r="C358" s="22"/>
      <c r="D358" s="21"/>
      <c r="E358" s="21"/>
      <c r="F358" s="21"/>
      <c r="G358" s="21"/>
      <c r="I358" s="21"/>
      <c r="J358" s="21"/>
      <c r="K358" s="77">
        <f t="shared" ref="K358:X358" ca="1" si="114">IF($C354=K$25,$C355,ROUND(IF(K356=0,0,$C355-K357),0))</f>
        <v>0</v>
      </c>
      <c r="L358" s="77">
        <f t="shared" ca="1" si="114"/>
        <v>0</v>
      </c>
      <c r="M358" s="77">
        <f t="shared" ca="1" si="114"/>
        <v>0</v>
      </c>
      <c r="N358" s="77">
        <f t="shared" ca="1" si="114"/>
        <v>0</v>
      </c>
      <c r="O358" s="77">
        <f t="shared" ca="1" si="114"/>
        <v>0</v>
      </c>
      <c r="P358" s="77">
        <f t="shared" ca="1" si="114"/>
        <v>0</v>
      </c>
      <c r="Q358" s="77">
        <f t="shared" ca="1" si="114"/>
        <v>0</v>
      </c>
      <c r="R358" s="77">
        <f t="shared" ca="1" si="114"/>
        <v>0</v>
      </c>
      <c r="S358" s="77">
        <f t="shared" ca="1" si="114"/>
        <v>0</v>
      </c>
      <c r="T358" s="77">
        <f t="shared" ca="1" si="114"/>
        <v>0</v>
      </c>
      <c r="U358" s="77">
        <f t="shared" ca="1" si="114"/>
        <v>0</v>
      </c>
      <c r="V358" s="77">
        <f t="shared" ca="1" si="114"/>
        <v>0</v>
      </c>
      <c r="W358" s="77">
        <f t="shared" ca="1" si="114"/>
        <v>0</v>
      </c>
      <c r="X358" s="77">
        <f t="shared" ca="1" si="114"/>
        <v>0</v>
      </c>
    </row>
    <row r="359" spans="1:24" hidden="1">
      <c r="A359" s="258"/>
      <c r="B359" s="21"/>
      <c r="C359" s="22"/>
      <c r="D359" s="21"/>
      <c r="E359" s="21"/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0" t="s">
        <v>454</v>
      </c>
      <c r="C360" s="21">
        <f>C353+1</f>
        <v>7</v>
      </c>
      <c r="D360" s="21" t="str">
        <f ca="1">OFFSET($B$28,C360,0)</f>
        <v/>
      </c>
      <c r="E360" s="473">
        <f>E353+1</f>
        <v>7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414</v>
      </c>
      <c r="C361" s="164">
        <f ca="1">IFERROR(YEAR(OFFSET($D$28,C360,0)),0)</f>
        <v>0</v>
      </c>
      <c r="D361" s="21"/>
      <c r="E361" s="21"/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406</v>
      </c>
      <c r="C362" s="22">
        <f ca="1">OFFSET($F$28,C360,0)</f>
        <v>0</v>
      </c>
      <c r="D362" s="21"/>
      <c r="E362" s="21"/>
      <c r="F362" s="21"/>
      <c r="G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hidden="1">
      <c r="A363" s="258"/>
      <c r="B363" s="21" t="s">
        <v>415</v>
      </c>
      <c r="C363" s="22">
        <f ca="1">ROUND(C362*am_prace_rozwojowe,0)</f>
        <v>0</v>
      </c>
      <c r="D363" s="21"/>
      <c r="E363" s="21"/>
      <c r="F363" s="21"/>
      <c r="G363" s="21"/>
      <c r="I363" s="21"/>
      <c r="J363" s="473" cm="1">
        <f t="array" aca="1" ref="J363" ca="1">OFFSET('Środki trwałe'!$C$195,'Rozliczenie dotacji'!E360,,)</f>
        <v>0</v>
      </c>
      <c r="K363" s="75">
        <f ca="1">IFERROR(ROUND(IF(($C361+1)=K$25,$C363,0),0),0)</f>
        <v>0</v>
      </c>
      <c r="L363" s="247">
        <f ca="1">ROUND(IF(OR(AND($C361=LataProjekcji,$E361&gt;0),AND($C361=LataProjekcji,$E361=0,$D362&lt;=10)),$E362,IF($C361&lt;LataProjekcji,IF((SUM($K363:K363)+$C363)&lt;$C362,$C363,$C362-SUM($K363:K363)),0)),0)</f>
        <v>0</v>
      </c>
      <c r="M363" s="247">
        <f ca="1">ROUND(IF(OR(AND($C361=LataProjekcji,$E361&gt;0),AND($C361=LataProjekcji,$E361=0,$D362&lt;=10)),$E362,IF($C361&lt;LataProjekcji,IF((SUM($K363:L363)+$C363)&lt;$C362,$C363,$C362-SUM($K363:L363)),0)),0)</f>
        <v>0</v>
      </c>
      <c r="N363" s="247">
        <f ca="1">ROUND(IF(OR(AND($C361=LataProjekcji,$E361&gt;0),AND($C361=LataProjekcji,$E361=0,$D362&lt;=10)),$E362,IF($C361&lt;LataProjekcji,IF((SUM($K363:M363)+$C363)&lt;$C362,$C363,$C362-SUM($K363:M363)),0)),0)</f>
        <v>0</v>
      </c>
      <c r="O363" s="247">
        <f ca="1">ROUND(IF(OR(AND($C361=LataProjekcji,$E361&gt;0),AND($C361=LataProjekcji,$E361=0,$D362&lt;=10)),$E362,IF($C361&lt;LataProjekcji,IF((SUM($K363:N363)+$C363)&lt;$C362,$C363,$C362-SUM($K363:N363)),0)),0)</f>
        <v>0</v>
      </c>
      <c r="P363" s="247">
        <f ca="1">ROUND(IF(OR(AND($C361=LataProjekcji,$E361&gt;0),AND($C361=LataProjekcji,$E361=0,$D362&lt;=10)),$E362,IF($C361&lt;LataProjekcji,IF((SUM($K363:O363)+$C363)&lt;$C362,$C363,$C362-SUM($K363:O363)),0)),0)</f>
        <v>0</v>
      </c>
      <c r="Q363" s="247">
        <f ca="1">ROUND(IF(OR(AND($C361=LataProjekcji,$E361&gt;0),AND($C361=LataProjekcji,$E361=0,$D362&lt;=10)),$E362,IF($C361&lt;LataProjekcji,IF((SUM($K363:P363)+$C363)&lt;$C362,$C363,$C362-SUM($K363:P363)),0)),0)</f>
        <v>0</v>
      </c>
      <c r="R363" s="247">
        <f ca="1">ROUND(IF(OR(AND($C361=LataProjekcji,$E361&gt;0),AND($C361=LataProjekcji,$E361=0,$D362&lt;=10)),$E362,IF($C361&lt;LataProjekcji,IF((SUM($K363:Q363)+$C363)&lt;$C362,$C363,$C362-SUM($K363:Q363)),0)),0)</f>
        <v>0</v>
      </c>
      <c r="S363" s="247">
        <f ca="1">ROUND(IF(OR(AND($C361=LataProjekcji,$E361&gt;0),AND($C361=LataProjekcji,$E361=0,$D362&lt;=10)),$E362,IF($C361&lt;LataProjekcji,IF((SUM($K363:R363)+$C363)&lt;$C362,$C363,$C362-SUM($K363:R363)),0)),0)</f>
        <v>0</v>
      </c>
      <c r="T363" s="247">
        <f ca="1">ROUND(IF(OR(AND($C361=LataProjekcji,$E361&gt;0),AND($C361=LataProjekcji,$E361=0,$D362&lt;=10)),$E362,IF($C361&lt;LataProjekcji,IF((SUM($K363:S363)+$C363)&lt;$C362,$C363,$C362-SUM($K363:S363)),0)),0)</f>
        <v>0</v>
      </c>
      <c r="U363" s="247">
        <f ca="1">ROUND(IF(OR(AND($C361=LataProjekcji,$E361&gt;0),AND($C361=LataProjekcji,$E361=0,$D362&lt;=10)),$E362,IF($C361&lt;LataProjekcji,IF((SUM($K363:T363)+$C363)&lt;$C362,$C363,$C362-SUM($K363:T363)),0)),0)</f>
        <v>0</v>
      </c>
      <c r="V363" s="247">
        <f ca="1">ROUND(IF(OR(AND($C361=LataProjekcji,$E361&gt;0),AND($C361=LataProjekcji,$E361=0,$D362&lt;=10)),$E362,IF($C361&lt;LataProjekcji,IF((SUM($K363:U363)+$C363)&lt;$C362,$C363,$C362-SUM($K363:U363)),0)),0)</f>
        <v>0</v>
      </c>
      <c r="W363" s="247">
        <f ca="1">ROUND(IF(OR(AND($C361=LataProjekcji,$E361&gt;0),AND($C361=LataProjekcji,$E361=0,$D362&lt;=10)),$E362,IF($C361&lt;LataProjekcji,IF((SUM($K363:V363)+$C363)&lt;$C362,$C363,$C362-SUM($K363:V363)),0)),0)</f>
        <v>0</v>
      </c>
      <c r="X363" s="247">
        <f ca="1">ROUND(IF(OR(AND($C361=LataProjekcji,$E361&gt;0),AND($C361=LataProjekcji,$E361=0,$D362&lt;=10)),$E362,IF($C361&lt;LataProjekcji,IF((SUM($K363:W363)+$C363)&lt;$C362,$C363,$C362-SUM($K363:W363)),0)),0)</f>
        <v>0</v>
      </c>
    </row>
    <row r="364" spans="1:24" hidden="1">
      <c r="A364" s="258"/>
      <c r="B364" s="21" t="s">
        <v>416</v>
      </c>
      <c r="C364" s="22"/>
      <c r="D364" s="21"/>
      <c r="E364" s="21"/>
      <c r="F364" s="21"/>
      <c r="G364" s="21"/>
      <c r="I364" s="21"/>
      <c r="J364" s="21"/>
      <c r="K364" s="22">
        <f ca="1">ROUND(K363,0)</f>
        <v>0</v>
      </c>
      <c r="L364" s="22">
        <f t="shared" ref="L364" ca="1" si="115">ROUND(K364+L363,0)</f>
        <v>0</v>
      </c>
      <c r="M364" s="22">
        <f t="shared" ref="M364" ca="1" si="116">ROUND(L364+M363,0)</f>
        <v>0</v>
      </c>
      <c r="N364" s="22">
        <f t="shared" ref="N364" ca="1" si="117">ROUND(M364+N363,0)</f>
        <v>0</v>
      </c>
      <c r="O364" s="22">
        <f t="shared" ref="O364" ca="1" si="118">ROUND(N364+O363,0)</f>
        <v>0</v>
      </c>
      <c r="P364" s="22">
        <f t="shared" ref="P364" ca="1" si="119">ROUND(O364+P363,0)</f>
        <v>0</v>
      </c>
      <c r="Q364" s="22">
        <f t="shared" ref="Q364" ca="1" si="120">ROUND(P364+Q363,0)</f>
        <v>0</v>
      </c>
      <c r="R364" s="22">
        <f t="shared" ref="R364" ca="1" si="121">ROUND(Q364+R363,0)</f>
        <v>0</v>
      </c>
      <c r="S364" s="22">
        <f t="shared" ref="S364" ca="1" si="122">ROUND(R364+S363,0)</f>
        <v>0</v>
      </c>
      <c r="T364" s="22">
        <f t="shared" ref="T364" ca="1" si="123">ROUND(S364+T363,0)</f>
        <v>0</v>
      </c>
      <c r="U364" s="22">
        <f t="shared" ref="U364" ca="1" si="124">ROUND(T364+U363,0)</f>
        <v>0</v>
      </c>
      <c r="V364" s="22">
        <f t="shared" ref="V364" ca="1" si="125">ROUND(U364+V363,0)</f>
        <v>0</v>
      </c>
      <c r="W364" s="22">
        <f t="shared" ref="W364" ca="1" si="126">ROUND(V364+W363,0)</f>
        <v>0</v>
      </c>
      <c r="X364" s="22">
        <f t="shared" ref="X364" ca="1" si="127">ROUND(W364+X363,0)</f>
        <v>0</v>
      </c>
    </row>
    <row r="365" spans="1:24" hidden="1">
      <c r="A365" s="258"/>
      <c r="B365" s="21" t="s">
        <v>406</v>
      </c>
      <c r="C365" s="22"/>
      <c r="D365" s="21"/>
      <c r="E365" s="21"/>
      <c r="F365" s="21"/>
      <c r="G365" s="21"/>
      <c r="I365" s="21"/>
      <c r="J365" s="21"/>
      <c r="K365" s="77">
        <f t="shared" ref="K365:X365" ca="1" si="128">IF($C361=K$25,$C362,ROUND(IF(K363=0,0,$C362-K364),0))</f>
        <v>0</v>
      </c>
      <c r="L365" s="77">
        <f t="shared" ca="1" si="128"/>
        <v>0</v>
      </c>
      <c r="M365" s="77">
        <f t="shared" ca="1" si="128"/>
        <v>0</v>
      </c>
      <c r="N365" s="77">
        <f t="shared" ca="1" si="128"/>
        <v>0</v>
      </c>
      <c r="O365" s="77">
        <f t="shared" ca="1" si="128"/>
        <v>0</v>
      </c>
      <c r="P365" s="77">
        <f t="shared" ca="1" si="128"/>
        <v>0</v>
      </c>
      <c r="Q365" s="77">
        <f t="shared" ca="1" si="128"/>
        <v>0</v>
      </c>
      <c r="R365" s="77">
        <f t="shared" ca="1" si="128"/>
        <v>0</v>
      </c>
      <c r="S365" s="77">
        <f t="shared" ca="1" si="128"/>
        <v>0</v>
      </c>
      <c r="T365" s="77">
        <f t="shared" ca="1" si="128"/>
        <v>0</v>
      </c>
      <c r="U365" s="77">
        <f t="shared" ca="1" si="128"/>
        <v>0</v>
      </c>
      <c r="V365" s="77">
        <f t="shared" ca="1" si="128"/>
        <v>0</v>
      </c>
      <c r="W365" s="77">
        <f t="shared" ca="1" si="128"/>
        <v>0</v>
      </c>
      <c r="X365" s="77">
        <f t="shared" ca="1" si="128"/>
        <v>0</v>
      </c>
    </row>
    <row r="366" spans="1:24" hidden="1">
      <c r="A366" s="258"/>
      <c r="B366" s="20"/>
      <c r="C366" s="21"/>
      <c r="D366" s="21"/>
      <c r="E366" s="21"/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0" t="s">
        <v>454</v>
      </c>
      <c r="C367" s="21">
        <f>C360+1</f>
        <v>8</v>
      </c>
      <c r="D367" s="21" t="str">
        <f ca="1">OFFSET($B$28,C367,0)</f>
        <v/>
      </c>
      <c r="E367" s="473">
        <f>E360+1</f>
        <v>8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414</v>
      </c>
      <c r="C368" s="164">
        <f ca="1">IFERROR(YEAR(OFFSET($D$28,C367,0)),0)</f>
        <v>0</v>
      </c>
      <c r="D368" s="21"/>
      <c r="E368" s="21"/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406</v>
      </c>
      <c r="C369" s="22">
        <f ca="1">OFFSET($F$28,C367,0)</f>
        <v>0</v>
      </c>
      <c r="D369" s="21"/>
      <c r="E369" s="21"/>
      <c r="F369" s="21"/>
      <c r="G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 spans="1:24" hidden="1">
      <c r="A370" s="258"/>
      <c r="B370" s="21" t="s">
        <v>415</v>
      </c>
      <c r="C370" s="22">
        <f ca="1">ROUND(C369*am_prace_rozwojowe,0)</f>
        <v>0</v>
      </c>
      <c r="D370" s="21"/>
      <c r="E370" s="21"/>
      <c r="F370" s="21"/>
      <c r="G370" s="21"/>
      <c r="I370" s="21"/>
      <c r="J370" s="473" cm="1">
        <f t="array" aca="1" ref="J370" ca="1">OFFSET('Środki trwałe'!$C$195,'Rozliczenie dotacji'!E367,,)</f>
        <v>0</v>
      </c>
      <c r="K370" s="75">
        <f ca="1">IFERROR(ROUND(IF(($C368+1)=K$25,$C370,0),0),0)</f>
        <v>0</v>
      </c>
      <c r="L370" s="247">
        <f ca="1">ROUND(IF(OR(AND($C368=LataProjekcji,$E368&gt;0),AND($C368=LataProjekcji,$E368=0,$D369&lt;=10)),$E369,IF($C368&lt;LataProjekcji,IF((SUM($K370:K370)+$C370)&lt;$C369,$C370,$C369-SUM($K370:K370)),0)),0)</f>
        <v>0</v>
      </c>
      <c r="M370" s="247">
        <f ca="1">ROUND(IF(OR(AND($C368=LataProjekcji,$E368&gt;0),AND($C368=LataProjekcji,$E368=0,$D369&lt;=10)),$E369,IF($C368&lt;LataProjekcji,IF((SUM($K370:L370)+$C370)&lt;$C369,$C370,$C369-SUM($K370:L370)),0)),0)</f>
        <v>0</v>
      </c>
      <c r="N370" s="247">
        <f ca="1">ROUND(IF(OR(AND($C368=LataProjekcji,$E368&gt;0),AND($C368=LataProjekcji,$E368=0,$D369&lt;=10)),$E369,IF($C368&lt;LataProjekcji,IF((SUM($K370:M370)+$C370)&lt;$C369,$C370,$C369-SUM($K370:M370)),0)),0)</f>
        <v>0</v>
      </c>
      <c r="O370" s="247">
        <f ca="1">ROUND(IF(OR(AND($C368=LataProjekcji,$E368&gt;0),AND($C368=LataProjekcji,$E368=0,$D369&lt;=10)),$E369,IF($C368&lt;LataProjekcji,IF((SUM($K370:N370)+$C370)&lt;$C369,$C370,$C369-SUM($K370:N370)),0)),0)</f>
        <v>0</v>
      </c>
      <c r="P370" s="247">
        <f ca="1">ROUND(IF(OR(AND($C368=LataProjekcji,$E368&gt;0),AND($C368=LataProjekcji,$E368=0,$D369&lt;=10)),$E369,IF($C368&lt;LataProjekcji,IF((SUM($K370:O370)+$C370)&lt;$C369,$C370,$C369-SUM($K370:O370)),0)),0)</f>
        <v>0</v>
      </c>
      <c r="Q370" s="247">
        <f ca="1">ROUND(IF(OR(AND($C368=LataProjekcji,$E368&gt;0),AND($C368=LataProjekcji,$E368=0,$D369&lt;=10)),$E369,IF($C368&lt;LataProjekcji,IF((SUM($K370:P370)+$C370)&lt;$C369,$C370,$C369-SUM($K370:P370)),0)),0)</f>
        <v>0</v>
      </c>
      <c r="R370" s="247">
        <f ca="1">ROUND(IF(OR(AND($C368=LataProjekcji,$E368&gt;0),AND($C368=LataProjekcji,$E368=0,$D369&lt;=10)),$E369,IF($C368&lt;LataProjekcji,IF((SUM($K370:Q370)+$C370)&lt;$C369,$C370,$C369-SUM($K370:Q370)),0)),0)</f>
        <v>0</v>
      </c>
      <c r="S370" s="247">
        <f ca="1">ROUND(IF(OR(AND($C368=LataProjekcji,$E368&gt;0),AND($C368=LataProjekcji,$E368=0,$D369&lt;=10)),$E369,IF($C368&lt;LataProjekcji,IF((SUM($K370:R370)+$C370)&lt;$C369,$C370,$C369-SUM($K370:R370)),0)),0)</f>
        <v>0</v>
      </c>
      <c r="T370" s="247">
        <f ca="1">ROUND(IF(OR(AND($C368=LataProjekcji,$E368&gt;0),AND($C368=LataProjekcji,$E368=0,$D369&lt;=10)),$E369,IF($C368&lt;LataProjekcji,IF((SUM($K370:S370)+$C370)&lt;$C369,$C370,$C369-SUM($K370:S370)),0)),0)</f>
        <v>0</v>
      </c>
      <c r="U370" s="247">
        <f ca="1">ROUND(IF(OR(AND($C368=LataProjekcji,$E368&gt;0),AND($C368=LataProjekcji,$E368=0,$D369&lt;=10)),$E369,IF($C368&lt;LataProjekcji,IF((SUM($K370:T370)+$C370)&lt;$C369,$C370,$C369-SUM($K370:T370)),0)),0)</f>
        <v>0</v>
      </c>
      <c r="V370" s="247">
        <f ca="1">ROUND(IF(OR(AND($C368=LataProjekcji,$E368&gt;0),AND($C368=LataProjekcji,$E368=0,$D369&lt;=10)),$E369,IF($C368&lt;LataProjekcji,IF((SUM($K370:U370)+$C370)&lt;$C369,$C370,$C369-SUM($K370:U370)),0)),0)</f>
        <v>0</v>
      </c>
      <c r="W370" s="247">
        <f ca="1">ROUND(IF(OR(AND($C368=LataProjekcji,$E368&gt;0),AND($C368=LataProjekcji,$E368=0,$D369&lt;=10)),$E369,IF($C368&lt;LataProjekcji,IF((SUM($K370:V370)+$C370)&lt;$C369,$C370,$C369-SUM($K370:V370)),0)),0)</f>
        <v>0</v>
      </c>
      <c r="X370" s="247">
        <f ca="1">ROUND(IF(OR(AND($C368=LataProjekcji,$E368&gt;0),AND($C368=LataProjekcji,$E368=0,$D369&lt;=10)),$E369,IF($C368&lt;LataProjekcji,IF((SUM($K370:W370)+$C370)&lt;$C369,$C370,$C369-SUM($K370:W370)),0)),0)</f>
        <v>0</v>
      </c>
    </row>
    <row r="371" spans="1:24" hidden="1">
      <c r="A371" s="258"/>
      <c r="B371" s="21" t="s">
        <v>416</v>
      </c>
      <c r="C371" s="22"/>
      <c r="D371" s="21"/>
      <c r="E371" s="21"/>
      <c r="F371" s="21"/>
      <c r="G371" s="21"/>
      <c r="I371" s="21"/>
      <c r="J371" s="21"/>
      <c r="K371" s="22">
        <f ca="1">ROUND(K370,0)</f>
        <v>0</v>
      </c>
      <c r="L371" s="22">
        <f t="shared" ref="L371" ca="1" si="129">ROUND(K371+L370,0)</f>
        <v>0</v>
      </c>
      <c r="M371" s="22">
        <f t="shared" ref="M371" ca="1" si="130">ROUND(L371+M370,0)</f>
        <v>0</v>
      </c>
      <c r="N371" s="22">
        <f t="shared" ref="N371" ca="1" si="131">ROUND(M371+N370,0)</f>
        <v>0</v>
      </c>
      <c r="O371" s="22">
        <f t="shared" ref="O371" ca="1" si="132">ROUND(N371+O370,0)</f>
        <v>0</v>
      </c>
      <c r="P371" s="22">
        <f t="shared" ref="P371" ca="1" si="133">ROUND(O371+P370,0)</f>
        <v>0</v>
      </c>
      <c r="Q371" s="22">
        <f t="shared" ref="Q371" ca="1" si="134">ROUND(P371+Q370,0)</f>
        <v>0</v>
      </c>
      <c r="R371" s="22">
        <f t="shared" ref="R371" ca="1" si="135">ROUND(Q371+R370,0)</f>
        <v>0</v>
      </c>
      <c r="S371" s="22">
        <f t="shared" ref="S371" ca="1" si="136">ROUND(R371+S370,0)</f>
        <v>0</v>
      </c>
      <c r="T371" s="22">
        <f t="shared" ref="T371" ca="1" si="137">ROUND(S371+T370,0)</f>
        <v>0</v>
      </c>
      <c r="U371" s="22">
        <f t="shared" ref="U371" ca="1" si="138">ROUND(T371+U370,0)</f>
        <v>0</v>
      </c>
      <c r="V371" s="22">
        <f t="shared" ref="V371" ca="1" si="139">ROUND(U371+V370,0)</f>
        <v>0</v>
      </c>
      <c r="W371" s="22">
        <f t="shared" ref="W371" ca="1" si="140">ROUND(V371+W370,0)</f>
        <v>0</v>
      </c>
      <c r="X371" s="22">
        <f t="shared" ref="X371" ca="1" si="141">ROUND(W371+X370,0)</f>
        <v>0</v>
      </c>
    </row>
    <row r="372" spans="1:24" hidden="1">
      <c r="A372" s="258"/>
      <c r="B372" s="21" t="s">
        <v>406</v>
      </c>
      <c r="C372" s="22"/>
      <c r="D372" s="21"/>
      <c r="E372" s="21"/>
      <c r="F372" s="21"/>
      <c r="G372" s="21"/>
      <c r="I372" s="21"/>
      <c r="J372" s="21"/>
      <c r="K372" s="77">
        <f t="shared" ref="K372:X372" ca="1" si="142">IF($C368=K$25,$C369,ROUND(IF(K370=0,0,$C369-K371),0))</f>
        <v>0</v>
      </c>
      <c r="L372" s="77">
        <f t="shared" ca="1" si="142"/>
        <v>0</v>
      </c>
      <c r="M372" s="77">
        <f t="shared" ca="1" si="142"/>
        <v>0</v>
      </c>
      <c r="N372" s="77">
        <f t="shared" ca="1" si="142"/>
        <v>0</v>
      </c>
      <c r="O372" s="77">
        <f t="shared" ca="1" si="142"/>
        <v>0</v>
      </c>
      <c r="P372" s="77">
        <f t="shared" ca="1" si="142"/>
        <v>0</v>
      </c>
      <c r="Q372" s="77">
        <f t="shared" ca="1" si="142"/>
        <v>0</v>
      </c>
      <c r="R372" s="77">
        <f t="shared" ca="1" si="142"/>
        <v>0</v>
      </c>
      <c r="S372" s="77">
        <f t="shared" ca="1" si="142"/>
        <v>0</v>
      </c>
      <c r="T372" s="77">
        <f t="shared" ca="1" si="142"/>
        <v>0</v>
      </c>
      <c r="U372" s="77">
        <f t="shared" ca="1" si="142"/>
        <v>0</v>
      </c>
      <c r="V372" s="77">
        <f t="shared" ca="1" si="142"/>
        <v>0</v>
      </c>
      <c r="W372" s="77">
        <f t="shared" ca="1" si="142"/>
        <v>0</v>
      </c>
      <c r="X372" s="77">
        <f t="shared" ca="1" si="142"/>
        <v>0</v>
      </c>
    </row>
    <row r="373" spans="1:24" hidden="1">
      <c r="A373" s="258"/>
      <c r="B373" s="21"/>
      <c r="C373" s="22"/>
      <c r="D373" s="21"/>
      <c r="E373" s="21"/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0" t="s">
        <v>454</v>
      </c>
      <c r="C374" s="21">
        <f>C367+1</f>
        <v>9</v>
      </c>
      <c r="D374" s="21" t="str">
        <f ca="1">OFFSET($B$28,C374,0)</f>
        <v/>
      </c>
      <c r="E374" s="473">
        <f>E367+1</f>
        <v>9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414</v>
      </c>
      <c r="C375" s="164">
        <f ca="1">IFERROR(YEAR(OFFSET($D$28,C374,0)),0)</f>
        <v>0</v>
      </c>
      <c r="D375" s="21"/>
      <c r="E375" s="21"/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406</v>
      </c>
      <c r="C376" s="22">
        <f ca="1">OFFSET($F$28,C374,0)</f>
        <v>0</v>
      </c>
      <c r="D376" s="21"/>
      <c r="E376" s="21"/>
      <c r="F376" s="21"/>
      <c r="G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 spans="1:24" hidden="1">
      <c r="A377" s="258"/>
      <c r="B377" s="21" t="s">
        <v>415</v>
      </c>
      <c r="C377" s="22">
        <f ca="1">ROUND(C376*am_prace_rozwojowe,0)</f>
        <v>0</v>
      </c>
      <c r="D377" s="21"/>
      <c r="E377" s="21"/>
      <c r="F377" s="21"/>
      <c r="G377" s="21"/>
      <c r="I377" s="21"/>
      <c r="J377" s="473" cm="1">
        <f t="array" aca="1" ref="J377" ca="1">OFFSET('Środki trwałe'!$C$195,'Rozliczenie dotacji'!E374,,)</f>
        <v>0</v>
      </c>
      <c r="K377" s="75">
        <f ca="1">IFERROR(ROUND(IF(($C375+1)=K$25,$C377,0),0),0)</f>
        <v>0</v>
      </c>
      <c r="L377" s="247">
        <f ca="1">ROUND(IF(OR(AND($C375=LataProjekcji,$E375&gt;0),AND($C375=LataProjekcji,$E375=0,$D376&lt;=10)),$E376,IF($C375&lt;LataProjekcji,IF((SUM($K377:K377)+$C377)&lt;$C376,$C377,$C376-SUM($K377:K377)),0)),0)</f>
        <v>0</v>
      </c>
      <c r="M377" s="247">
        <f ca="1">ROUND(IF(OR(AND($C375=LataProjekcji,$E375&gt;0),AND($C375=LataProjekcji,$E375=0,$D376&lt;=10)),$E376,IF($C375&lt;LataProjekcji,IF((SUM($K377:L377)+$C377)&lt;$C376,$C377,$C376-SUM($K377:L377)),0)),0)</f>
        <v>0</v>
      </c>
      <c r="N377" s="247">
        <f ca="1">ROUND(IF(OR(AND($C375=LataProjekcji,$E375&gt;0),AND($C375=LataProjekcji,$E375=0,$D376&lt;=10)),$E376,IF($C375&lt;LataProjekcji,IF((SUM($K377:M377)+$C377)&lt;$C376,$C377,$C376-SUM($K377:M377)),0)),0)</f>
        <v>0</v>
      </c>
      <c r="O377" s="247">
        <f ca="1">ROUND(IF(OR(AND($C375=LataProjekcji,$E375&gt;0),AND($C375=LataProjekcji,$E375=0,$D376&lt;=10)),$E376,IF($C375&lt;LataProjekcji,IF((SUM($K377:N377)+$C377)&lt;$C376,$C377,$C376-SUM($K377:N377)),0)),0)</f>
        <v>0</v>
      </c>
      <c r="P377" s="247">
        <f ca="1">ROUND(IF(OR(AND($C375=LataProjekcji,$E375&gt;0),AND($C375=LataProjekcji,$E375=0,$D376&lt;=10)),$E376,IF($C375&lt;LataProjekcji,IF((SUM($K377:O377)+$C377)&lt;$C376,$C377,$C376-SUM($K377:O377)),0)),0)</f>
        <v>0</v>
      </c>
      <c r="Q377" s="247">
        <f ca="1">ROUND(IF(OR(AND($C375=LataProjekcji,$E375&gt;0),AND($C375=LataProjekcji,$E375=0,$D376&lt;=10)),$E376,IF($C375&lt;LataProjekcji,IF((SUM($K377:P377)+$C377)&lt;$C376,$C377,$C376-SUM($K377:P377)),0)),0)</f>
        <v>0</v>
      </c>
      <c r="R377" s="247">
        <f ca="1">ROUND(IF(OR(AND($C375=LataProjekcji,$E375&gt;0),AND($C375=LataProjekcji,$E375=0,$D376&lt;=10)),$E376,IF($C375&lt;LataProjekcji,IF((SUM($K377:Q377)+$C377)&lt;$C376,$C377,$C376-SUM($K377:Q377)),0)),0)</f>
        <v>0</v>
      </c>
      <c r="S377" s="247">
        <f ca="1">ROUND(IF(OR(AND($C375=LataProjekcji,$E375&gt;0),AND($C375=LataProjekcji,$E375=0,$D376&lt;=10)),$E376,IF($C375&lt;LataProjekcji,IF((SUM($K377:R377)+$C377)&lt;$C376,$C377,$C376-SUM($K377:R377)),0)),0)</f>
        <v>0</v>
      </c>
      <c r="T377" s="247">
        <f ca="1">ROUND(IF(OR(AND($C375=LataProjekcji,$E375&gt;0),AND($C375=LataProjekcji,$E375=0,$D376&lt;=10)),$E376,IF($C375&lt;LataProjekcji,IF((SUM($K377:S377)+$C377)&lt;$C376,$C377,$C376-SUM($K377:S377)),0)),0)</f>
        <v>0</v>
      </c>
      <c r="U377" s="247">
        <f ca="1">ROUND(IF(OR(AND($C375=LataProjekcji,$E375&gt;0),AND($C375=LataProjekcji,$E375=0,$D376&lt;=10)),$E376,IF($C375&lt;LataProjekcji,IF((SUM($K377:T377)+$C377)&lt;$C376,$C377,$C376-SUM($K377:T377)),0)),0)</f>
        <v>0</v>
      </c>
      <c r="V377" s="247">
        <f ca="1">ROUND(IF(OR(AND($C375=LataProjekcji,$E375&gt;0),AND($C375=LataProjekcji,$E375=0,$D376&lt;=10)),$E376,IF($C375&lt;LataProjekcji,IF((SUM($K377:U377)+$C377)&lt;$C376,$C377,$C376-SUM($K377:U377)),0)),0)</f>
        <v>0</v>
      </c>
      <c r="W377" s="247">
        <f ca="1">ROUND(IF(OR(AND($C375=LataProjekcji,$E375&gt;0),AND($C375=LataProjekcji,$E375=0,$D376&lt;=10)),$E376,IF($C375&lt;LataProjekcji,IF((SUM($K377:V377)+$C377)&lt;$C376,$C377,$C376-SUM($K377:V377)),0)),0)</f>
        <v>0</v>
      </c>
      <c r="X377" s="247">
        <f ca="1">ROUND(IF(OR(AND($C375=LataProjekcji,$E375&gt;0),AND($C375=LataProjekcji,$E375=0,$D376&lt;=10)),$E376,IF($C375&lt;LataProjekcji,IF((SUM($K377:W377)+$C377)&lt;$C376,$C377,$C376-SUM($K377:W377)),0)),0)</f>
        <v>0</v>
      </c>
    </row>
    <row r="378" spans="1:24" hidden="1">
      <c r="A378" s="258"/>
      <c r="B378" s="21" t="s">
        <v>416</v>
      </c>
      <c r="C378" s="22"/>
      <c r="D378" s="21"/>
      <c r="E378" s="21"/>
      <c r="F378" s="21"/>
      <c r="G378" s="21"/>
      <c r="I378" s="21"/>
      <c r="J378" s="21"/>
      <c r="K378" s="22">
        <f ca="1">ROUND(K377,0)</f>
        <v>0</v>
      </c>
      <c r="L378" s="22">
        <f t="shared" ref="L378" ca="1" si="143">ROUND(K378+L377,0)</f>
        <v>0</v>
      </c>
      <c r="M378" s="22">
        <f t="shared" ref="M378" ca="1" si="144">ROUND(L378+M377,0)</f>
        <v>0</v>
      </c>
      <c r="N378" s="22">
        <f t="shared" ref="N378" ca="1" si="145">ROUND(M378+N377,0)</f>
        <v>0</v>
      </c>
      <c r="O378" s="22">
        <f t="shared" ref="O378" ca="1" si="146">ROUND(N378+O377,0)</f>
        <v>0</v>
      </c>
      <c r="P378" s="22">
        <f t="shared" ref="P378" ca="1" si="147">ROUND(O378+P377,0)</f>
        <v>0</v>
      </c>
      <c r="Q378" s="22">
        <f t="shared" ref="Q378" ca="1" si="148">ROUND(P378+Q377,0)</f>
        <v>0</v>
      </c>
      <c r="R378" s="22">
        <f t="shared" ref="R378" ca="1" si="149">ROUND(Q378+R377,0)</f>
        <v>0</v>
      </c>
      <c r="S378" s="22">
        <f t="shared" ref="S378" ca="1" si="150">ROUND(R378+S377,0)</f>
        <v>0</v>
      </c>
      <c r="T378" s="22">
        <f t="shared" ref="T378" ca="1" si="151">ROUND(S378+T377,0)</f>
        <v>0</v>
      </c>
      <c r="U378" s="22">
        <f t="shared" ref="U378" ca="1" si="152">ROUND(T378+U377,0)</f>
        <v>0</v>
      </c>
      <c r="V378" s="22">
        <f t="shared" ref="V378" ca="1" si="153">ROUND(U378+V377,0)</f>
        <v>0</v>
      </c>
      <c r="W378" s="22">
        <f t="shared" ref="W378" ca="1" si="154">ROUND(V378+W377,0)</f>
        <v>0</v>
      </c>
      <c r="X378" s="22">
        <f t="shared" ref="X378" ca="1" si="155">ROUND(W378+X377,0)</f>
        <v>0</v>
      </c>
    </row>
    <row r="379" spans="1:24" hidden="1">
      <c r="A379" s="258"/>
      <c r="B379" s="21" t="s">
        <v>406</v>
      </c>
      <c r="C379" s="22"/>
      <c r="D379" s="21"/>
      <c r="E379" s="21"/>
      <c r="F379" s="21"/>
      <c r="G379" s="21"/>
      <c r="I379" s="21"/>
      <c r="J379" s="21"/>
      <c r="K379" s="77">
        <f t="shared" ref="K379:X379" ca="1" si="156">IF($C375=K$25,$C376,ROUND(IF(K377=0,0,$C376-K378),0))</f>
        <v>0</v>
      </c>
      <c r="L379" s="77">
        <f t="shared" ca="1" si="156"/>
        <v>0</v>
      </c>
      <c r="M379" s="77">
        <f t="shared" ca="1" si="156"/>
        <v>0</v>
      </c>
      <c r="N379" s="77">
        <f t="shared" ca="1" si="156"/>
        <v>0</v>
      </c>
      <c r="O379" s="77">
        <f t="shared" ca="1" si="156"/>
        <v>0</v>
      </c>
      <c r="P379" s="77">
        <f t="shared" ca="1" si="156"/>
        <v>0</v>
      </c>
      <c r="Q379" s="77">
        <f t="shared" ca="1" si="156"/>
        <v>0</v>
      </c>
      <c r="R379" s="77">
        <f t="shared" ca="1" si="156"/>
        <v>0</v>
      </c>
      <c r="S379" s="77">
        <f t="shared" ca="1" si="156"/>
        <v>0</v>
      </c>
      <c r="T379" s="77">
        <f t="shared" ca="1" si="156"/>
        <v>0</v>
      </c>
      <c r="U379" s="77">
        <f t="shared" ca="1" si="156"/>
        <v>0</v>
      </c>
      <c r="V379" s="77">
        <f t="shared" ca="1" si="156"/>
        <v>0</v>
      </c>
      <c r="W379" s="77">
        <f t="shared" ca="1" si="156"/>
        <v>0</v>
      </c>
      <c r="X379" s="77">
        <f t="shared" ca="1" si="156"/>
        <v>0</v>
      </c>
    </row>
    <row r="380" spans="1:24" hidden="1">
      <c r="A380" s="258"/>
      <c r="B380" s="21"/>
      <c r="C380" s="22"/>
      <c r="D380" s="21"/>
      <c r="E380" s="21"/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0" t="s">
        <v>454</v>
      </c>
      <c r="C381" s="21">
        <f>C374+1</f>
        <v>10</v>
      </c>
      <c r="D381" s="21" t="str">
        <f ca="1">OFFSET($B$28,C381,0)</f>
        <v/>
      </c>
      <c r="E381" s="473">
        <f>E374+1</f>
        <v>10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414</v>
      </c>
      <c r="C382" s="164">
        <f ca="1">IFERROR(YEAR(OFFSET($D$28,C381,0)),0)</f>
        <v>0</v>
      </c>
      <c r="D382" s="21"/>
      <c r="E382" s="21"/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406</v>
      </c>
      <c r="C383" s="22">
        <f ca="1">OFFSET($F$28,C381,0)</f>
        <v>0</v>
      </c>
      <c r="D383" s="21"/>
      <c r="E383" s="21"/>
      <c r="F383" s="21"/>
      <c r="G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</row>
    <row r="384" spans="1:24" hidden="1">
      <c r="A384" s="258"/>
      <c r="B384" s="21" t="s">
        <v>415</v>
      </c>
      <c r="C384" s="22">
        <f ca="1">ROUND(C383*am_prace_rozwojowe,0)</f>
        <v>0</v>
      </c>
      <c r="D384" s="21"/>
      <c r="E384" s="21"/>
      <c r="F384" s="21"/>
      <c r="G384" s="21"/>
      <c r="I384" s="21"/>
      <c r="J384" s="473" cm="1">
        <f t="array" aca="1" ref="J384" ca="1">OFFSET('Środki trwałe'!$C$195,'Rozliczenie dotacji'!E381,,)</f>
        <v>0</v>
      </c>
      <c r="K384" s="75">
        <f ca="1">IFERROR(ROUND(IF(($C382+1)=K$25,$C384,0),0),0)</f>
        <v>0</v>
      </c>
      <c r="L384" s="247">
        <f ca="1">ROUND(IF(OR(AND($C382=LataProjekcji,$E382&gt;0),AND($C382=LataProjekcji,$E382=0,$D383&lt;=10)),$E383,IF($C382&lt;LataProjekcji,IF((SUM($K384:K384)+$C384)&lt;$C383,$C384,$C383-SUM($K384:K384)),0)),0)</f>
        <v>0</v>
      </c>
      <c r="M384" s="247">
        <f ca="1">ROUND(IF(OR(AND($C382=LataProjekcji,$E382&gt;0),AND($C382=LataProjekcji,$E382=0,$D383&lt;=10)),$E383,IF($C382&lt;LataProjekcji,IF((SUM($K384:L384)+$C384)&lt;$C383,$C384,$C383-SUM($K384:L384)),0)),0)</f>
        <v>0</v>
      </c>
      <c r="N384" s="247">
        <f ca="1">ROUND(IF(OR(AND($C382=LataProjekcji,$E382&gt;0),AND($C382=LataProjekcji,$E382=0,$D383&lt;=10)),$E383,IF($C382&lt;LataProjekcji,IF((SUM($K384:M384)+$C384)&lt;$C383,$C384,$C383-SUM($K384:M384)),0)),0)</f>
        <v>0</v>
      </c>
      <c r="O384" s="247">
        <f ca="1">ROUND(IF(OR(AND($C382=LataProjekcji,$E382&gt;0),AND($C382=LataProjekcji,$E382=0,$D383&lt;=10)),$E383,IF($C382&lt;LataProjekcji,IF((SUM($K384:N384)+$C384)&lt;$C383,$C384,$C383-SUM($K384:N384)),0)),0)</f>
        <v>0</v>
      </c>
      <c r="P384" s="247">
        <f ca="1">ROUND(IF(OR(AND($C382=LataProjekcji,$E382&gt;0),AND($C382=LataProjekcji,$E382=0,$D383&lt;=10)),$E383,IF($C382&lt;LataProjekcji,IF((SUM($K384:O384)+$C384)&lt;$C383,$C384,$C383-SUM($K384:O384)),0)),0)</f>
        <v>0</v>
      </c>
      <c r="Q384" s="247">
        <f ca="1">ROUND(IF(OR(AND($C382=LataProjekcji,$E382&gt;0),AND($C382=LataProjekcji,$E382=0,$D383&lt;=10)),$E383,IF($C382&lt;LataProjekcji,IF((SUM($K384:P384)+$C384)&lt;$C383,$C384,$C383-SUM($K384:P384)),0)),0)</f>
        <v>0</v>
      </c>
      <c r="R384" s="247">
        <f ca="1">ROUND(IF(OR(AND($C382=LataProjekcji,$E382&gt;0),AND($C382=LataProjekcji,$E382=0,$D383&lt;=10)),$E383,IF($C382&lt;LataProjekcji,IF((SUM($K384:Q384)+$C384)&lt;$C383,$C384,$C383-SUM($K384:Q384)),0)),0)</f>
        <v>0</v>
      </c>
      <c r="S384" s="247">
        <f ca="1">ROUND(IF(OR(AND($C382=LataProjekcji,$E382&gt;0),AND($C382=LataProjekcji,$E382=0,$D383&lt;=10)),$E383,IF($C382&lt;LataProjekcji,IF((SUM($K384:R384)+$C384)&lt;$C383,$C384,$C383-SUM($K384:R384)),0)),0)</f>
        <v>0</v>
      </c>
      <c r="T384" s="247">
        <f ca="1">ROUND(IF(OR(AND($C382=LataProjekcji,$E382&gt;0),AND($C382=LataProjekcji,$E382=0,$D383&lt;=10)),$E383,IF($C382&lt;LataProjekcji,IF((SUM($K384:S384)+$C384)&lt;$C383,$C384,$C383-SUM($K384:S384)),0)),0)</f>
        <v>0</v>
      </c>
      <c r="U384" s="247">
        <f ca="1">ROUND(IF(OR(AND($C382=LataProjekcji,$E382&gt;0),AND($C382=LataProjekcji,$E382=0,$D383&lt;=10)),$E383,IF($C382&lt;LataProjekcji,IF((SUM($K384:T384)+$C384)&lt;$C383,$C384,$C383-SUM($K384:T384)),0)),0)</f>
        <v>0</v>
      </c>
      <c r="V384" s="247">
        <f ca="1">ROUND(IF(OR(AND($C382=LataProjekcji,$E382&gt;0),AND($C382=LataProjekcji,$E382=0,$D383&lt;=10)),$E383,IF($C382&lt;LataProjekcji,IF((SUM($K384:U384)+$C384)&lt;$C383,$C384,$C383-SUM($K384:U384)),0)),0)</f>
        <v>0</v>
      </c>
      <c r="W384" s="247">
        <f ca="1">ROUND(IF(OR(AND($C382=LataProjekcji,$E382&gt;0),AND($C382=LataProjekcji,$E382=0,$D383&lt;=10)),$E383,IF($C382&lt;LataProjekcji,IF((SUM($K384:V384)+$C384)&lt;$C383,$C384,$C383-SUM($K384:V384)),0)),0)</f>
        <v>0</v>
      </c>
      <c r="X384" s="247">
        <f ca="1">ROUND(IF(OR(AND($C382=LataProjekcji,$E382&gt;0),AND($C382=LataProjekcji,$E382=0,$D383&lt;=10)),$E383,IF($C382&lt;LataProjekcji,IF((SUM($K384:W384)+$C384)&lt;$C383,$C384,$C383-SUM($K384:W384)),0)),0)</f>
        <v>0</v>
      </c>
    </row>
    <row r="385" spans="1:24" hidden="1">
      <c r="A385" s="258"/>
      <c r="B385" s="21" t="s">
        <v>416</v>
      </c>
      <c r="C385" s="22"/>
      <c r="D385" s="21"/>
      <c r="E385" s="21"/>
      <c r="F385" s="21"/>
      <c r="G385" s="21"/>
      <c r="I385" s="21"/>
      <c r="J385" s="21"/>
      <c r="K385" s="22">
        <f ca="1">ROUND(K384,0)</f>
        <v>0</v>
      </c>
      <c r="L385" s="22">
        <f t="shared" ref="L385" ca="1" si="157">ROUND(K385+L384,0)</f>
        <v>0</v>
      </c>
      <c r="M385" s="22">
        <f t="shared" ref="M385" ca="1" si="158">ROUND(L385+M384,0)</f>
        <v>0</v>
      </c>
      <c r="N385" s="22">
        <f t="shared" ref="N385" ca="1" si="159">ROUND(M385+N384,0)</f>
        <v>0</v>
      </c>
      <c r="O385" s="22">
        <f t="shared" ref="O385" ca="1" si="160">ROUND(N385+O384,0)</f>
        <v>0</v>
      </c>
      <c r="P385" s="22">
        <f t="shared" ref="P385" ca="1" si="161">ROUND(O385+P384,0)</f>
        <v>0</v>
      </c>
      <c r="Q385" s="22">
        <f t="shared" ref="Q385" ca="1" si="162">ROUND(P385+Q384,0)</f>
        <v>0</v>
      </c>
      <c r="R385" s="22">
        <f t="shared" ref="R385" ca="1" si="163">ROUND(Q385+R384,0)</f>
        <v>0</v>
      </c>
      <c r="S385" s="22">
        <f t="shared" ref="S385" ca="1" si="164">ROUND(R385+S384,0)</f>
        <v>0</v>
      </c>
      <c r="T385" s="22">
        <f t="shared" ref="T385" ca="1" si="165">ROUND(S385+T384,0)</f>
        <v>0</v>
      </c>
      <c r="U385" s="22">
        <f t="shared" ref="U385" ca="1" si="166">ROUND(T385+U384,0)</f>
        <v>0</v>
      </c>
      <c r="V385" s="22">
        <f t="shared" ref="V385" ca="1" si="167">ROUND(U385+V384,0)</f>
        <v>0</v>
      </c>
      <c r="W385" s="22">
        <f t="shared" ref="W385" ca="1" si="168">ROUND(V385+W384,0)</f>
        <v>0</v>
      </c>
      <c r="X385" s="22">
        <f t="shared" ref="X385" ca="1" si="169">ROUND(W385+X384,0)</f>
        <v>0</v>
      </c>
    </row>
    <row r="386" spans="1:24" hidden="1">
      <c r="A386" s="258"/>
      <c r="B386" s="21" t="s">
        <v>406</v>
      </c>
      <c r="C386" s="22"/>
      <c r="D386" s="21"/>
      <c r="E386" s="21"/>
      <c r="F386" s="21"/>
      <c r="G386" s="21"/>
      <c r="I386" s="21"/>
      <c r="J386" s="21"/>
      <c r="K386" s="77">
        <f t="shared" ref="K386:X386" ca="1" si="170">IF($C382=K$25,$C383,ROUND(IF(K384=0,0,$C383-K385),0))</f>
        <v>0</v>
      </c>
      <c r="L386" s="77">
        <f t="shared" ca="1" si="170"/>
        <v>0</v>
      </c>
      <c r="M386" s="77">
        <f t="shared" ca="1" si="170"/>
        <v>0</v>
      </c>
      <c r="N386" s="77">
        <f t="shared" ca="1" si="170"/>
        <v>0</v>
      </c>
      <c r="O386" s="77">
        <f t="shared" ca="1" si="170"/>
        <v>0</v>
      </c>
      <c r="P386" s="77">
        <f t="shared" ca="1" si="170"/>
        <v>0</v>
      </c>
      <c r="Q386" s="77">
        <f t="shared" ca="1" si="170"/>
        <v>0</v>
      </c>
      <c r="R386" s="77">
        <f t="shared" ca="1" si="170"/>
        <v>0</v>
      </c>
      <c r="S386" s="77">
        <f t="shared" ca="1" si="170"/>
        <v>0</v>
      </c>
      <c r="T386" s="77">
        <f t="shared" ca="1" si="170"/>
        <v>0</v>
      </c>
      <c r="U386" s="77">
        <f t="shared" ca="1" si="170"/>
        <v>0</v>
      </c>
      <c r="V386" s="77">
        <f t="shared" ca="1" si="170"/>
        <v>0</v>
      </c>
      <c r="W386" s="77">
        <f t="shared" ca="1" si="170"/>
        <v>0</v>
      </c>
      <c r="X386" s="77">
        <f t="shared" ca="1" si="170"/>
        <v>0</v>
      </c>
    </row>
    <row r="387" spans="1:24" hidden="1">
      <c r="A387" s="258"/>
      <c r="B387" s="20"/>
      <c r="C387" s="21"/>
      <c r="D387" s="21"/>
      <c r="E387" s="21"/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0" t="s">
        <v>454</v>
      </c>
      <c r="C388" s="21">
        <f>C381+1</f>
        <v>11</v>
      </c>
      <c r="D388" s="21" t="str">
        <f ca="1">OFFSET($B$28,C388,0)</f>
        <v/>
      </c>
      <c r="E388" s="473">
        <f>E381+1</f>
        <v>11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414</v>
      </c>
      <c r="C389" s="164">
        <f ca="1">IFERROR(YEAR(OFFSET($D$28,C388,0)),0)</f>
        <v>0</v>
      </c>
      <c r="D389" s="21"/>
      <c r="E389" s="21"/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406</v>
      </c>
      <c r="C390" s="22">
        <f ca="1">OFFSET($F$28,C388,0)</f>
        <v>0</v>
      </c>
      <c r="D390" s="21"/>
      <c r="E390" s="21"/>
      <c r="F390" s="21"/>
      <c r="G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 spans="1:24" hidden="1">
      <c r="A391" s="258"/>
      <c r="B391" s="21" t="s">
        <v>415</v>
      </c>
      <c r="C391" s="22">
        <f ca="1">ROUND(C390*am_prace_rozwojowe,0)</f>
        <v>0</v>
      </c>
      <c r="D391" s="21"/>
      <c r="E391" s="21"/>
      <c r="F391" s="21"/>
      <c r="G391" s="21"/>
      <c r="I391" s="21"/>
      <c r="J391" s="473" cm="1">
        <f t="array" aca="1" ref="J391" ca="1">OFFSET('Środki trwałe'!$C$195,'Rozliczenie dotacji'!E388,,)</f>
        <v>0</v>
      </c>
      <c r="K391" s="75">
        <f ca="1">IFERROR(ROUND(IF(($C389+1)=K$25,$C391,0),0),0)</f>
        <v>0</v>
      </c>
      <c r="L391" s="247">
        <f ca="1">ROUND(IF(OR(AND($C389=LataProjekcji,$E389&gt;0),AND($C389=LataProjekcji,$E389=0,$D390&lt;=10)),$E390,IF($C389&lt;LataProjekcji,IF((SUM($K391:K391)+$C391)&lt;$C390,$C391,$C390-SUM($K391:K391)),0)),0)</f>
        <v>0</v>
      </c>
      <c r="M391" s="247">
        <f ca="1">ROUND(IF(OR(AND($C389=LataProjekcji,$E389&gt;0),AND($C389=LataProjekcji,$E389=0,$D390&lt;=10)),$E390,IF($C389&lt;LataProjekcji,IF((SUM($K391:L391)+$C391)&lt;$C390,$C391,$C390-SUM($K391:L391)),0)),0)</f>
        <v>0</v>
      </c>
      <c r="N391" s="247">
        <f ca="1">ROUND(IF(OR(AND($C389=LataProjekcji,$E389&gt;0),AND($C389=LataProjekcji,$E389=0,$D390&lt;=10)),$E390,IF($C389&lt;LataProjekcji,IF((SUM($K391:M391)+$C391)&lt;$C390,$C391,$C390-SUM($K391:M391)),0)),0)</f>
        <v>0</v>
      </c>
      <c r="O391" s="247">
        <f ca="1">ROUND(IF(OR(AND($C389=LataProjekcji,$E389&gt;0),AND($C389=LataProjekcji,$E389=0,$D390&lt;=10)),$E390,IF($C389&lt;LataProjekcji,IF((SUM($K391:N391)+$C391)&lt;$C390,$C391,$C390-SUM($K391:N391)),0)),0)</f>
        <v>0</v>
      </c>
      <c r="P391" s="247">
        <f ca="1">ROUND(IF(OR(AND($C389=LataProjekcji,$E389&gt;0),AND($C389=LataProjekcji,$E389=0,$D390&lt;=10)),$E390,IF($C389&lt;LataProjekcji,IF((SUM($K391:O391)+$C391)&lt;$C390,$C391,$C390-SUM($K391:O391)),0)),0)</f>
        <v>0</v>
      </c>
      <c r="Q391" s="247">
        <f ca="1">ROUND(IF(OR(AND($C389=LataProjekcji,$E389&gt;0),AND($C389=LataProjekcji,$E389=0,$D390&lt;=10)),$E390,IF($C389&lt;LataProjekcji,IF((SUM($K391:P391)+$C391)&lt;$C390,$C391,$C390-SUM($K391:P391)),0)),0)</f>
        <v>0</v>
      </c>
      <c r="R391" s="247">
        <f ca="1">ROUND(IF(OR(AND($C389=LataProjekcji,$E389&gt;0),AND($C389=LataProjekcji,$E389=0,$D390&lt;=10)),$E390,IF($C389&lt;LataProjekcji,IF((SUM($K391:Q391)+$C391)&lt;$C390,$C391,$C390-SUM($K391:Q391)),0)),0)</f>
        <v>0</v>
      </c>
      <c r="S391" s="247">
        <f ca="1">ROUND(IF(OR(AND($C389=LataProjekcji,$E389&gt;0),AND($C389=LataProjekcji,$E389=0,$D390&lt;=10)),$E390,IF($C389&lt;LataProjekcji,IF((SUM($K391:R391)+$C391)&lt;$C390,$C391,$C390-SUM($K391:R391)),0)),0)</f>
        <v>0</v>
      </c>
      <c r="T391" s="247">
        <f ca="1">ROUND(IF(OR(AND($C389=LataProjekcji,$E389&gt;0),AND($C389=LataProjekcji,$E389=0,$D390&lt;=10)),$E390,IF($C389&lt;LataProjekcji,IF((SUM($K391:S391)+$C391)&lt;$C390,$C391,$C390-SUM($K391:S391)),0)),0)</f>
        <v>0</v>
      </c>
      <c r="U391" s="247">
        <f ca="1">ROUND(IF(OR(AND($C389=LataProjekcji,$E389&gt;0),AND($C389=LataProjekcji,$E389=0,$D390&lt;=10)),$E390,IF($C389&lt;LataProjekcji,IF((SUM($K391:T391)+$C391)&lt;$C390,$C391,$C390-SUM($K391:T391)),0)),0)</f>
        <v>0</v>
      </c>
      <c r="V391" s="247">
        <f ca="1">ROUND(IF(OR(AND($C389=LataProjekcji,$E389&gt;0),AND($C389=LataProjekcji,$E389=0,$D390&lt;=10)),$E390,IF($C389&lt;LataProjekcji,IF((SUM($K391:U391)+$C391)&lt;$C390,$C391,$C390-SUM($K391:U391)),0)),0)</f>
        <v>0</v>
      </c>
      <c r="W391" s="247">
        <f ca="1">ROUND(IF(OR(AND($C389=LataProjekcji,$E389&gt;0),AND($C389=LataProjekcji,$E389=0,$D390&lt;=10)),$E390,IF($C389&lt;LataProjekcji,IF((SUM($K391:V391)+$C391)&lt;$C390,$C391,$C390-SUM($K391:V391)),0)),0)</f>
        <v>0</v>
      </c>
      <c r="X391" s="247">
        <f ca="1">ROUND(IF(OR(AND($C389=LataProjekcji,$E389&gt;0),AND($C389=LataProjekcji,$E389=0,$D390&lt;=10)),$E390,IF($C389&lt;LataProjekcji,IF((SUM($K391:W391)+$C391)&lt;$C390,$C391,$C390-SUM($K391:W391)),0)),0)</f>
        <v>0</v>
      </c>
    </row>
    <row r="392" spans="1:24" hidden="1">
      <c r="A392" s="258"/>
      <c r="B392" s="21" t="s">
        <v>416</v>
      </c>
      <c r="C392" s="22"/>
      <c r="D392" s="21"/>
      <c r="E392" s="21"/>
      <c r="F392" s="21"/>
      <c r="G392" s="21"/>
      <c r="I392" s="21"/>
      <c r="J392" s="21"/>
      <c r="K392" s="22">
        <f ca="1">ROUND(K391,0)</f>
        <v>0</v>
      </c>
      <c r="L392" s="22">
        <f t="shared" ref="L392" ca="1" si="171">ROUND(K392+L391,0)</f>
        <v>0</v>
      </c>
      <c r="M392" s="22">
        <f t="shared" ref="M392" ca="1" si="172">ROUND(L392+M391,0)</f>
        <v>0</v>
      </c>
      <c r="N392" s="22">
        <f t="shared" ref="N392" ca="1" si="173">ROUND(M392+N391,0)</f>
        <v>0</v>
      </c>
      <c r="O392" s="22">
        <f t="shared" ref="O392" ca="1" si="174">ROUND(N392+O391,0)</f>
        <v>0</v>
      </c>
      <c r="P392" s="22">
        <f t="shared" ref="P392" ca="1" si="175">ROUND(O392+P391,0)</f>
        <v>0</v>
      </c>
      <c r="Q392" s="22">
        <f t="shared" ref="Q392" ca="1" si="176">ROUND(P392+Q391,0)</f>
        <v>0</v>
      </c>
      <c r="R392" s="22">
        <f t="shared" ref="R392" ca="1" si="177">ROUND(Q392+R391,0)</f>
        <v>0</v>
      </c>
      <c r="S392" s="22">
        <f t="shared" ref="S392" ca="1" si="178">ROUND(R392+S391,0)</f>
        <v>0</v>
      </c>
      <c r="T392" s="22">
        <f t="shared" ref="T392" ca="1" si="179">ROUND(S392+T391,0)</f>
        <v>0</v>
      </c>
      <c r="U392" s="22">
        <f t="shared" ref="U392" ca="1" si="180">ROUND(T392+U391,0)</f>
        <v>0</v>
      </c>
      <c r="V392" s="22">
        <f t="shared" ref="V392" ca="1" si="181">ROUND(U392+V391,0)</f>
        <v>0</v>
      </c>
      <c r="W392" s="22">
        <f t="shared" ref="W392" ca="1" si="182">ROUND(V392+W391,0)</f>
        <v>0</v>
      </c>
      <c r="X392" s="22">
        <f t="shared" ref="X392" ca="1" si="183">ROUND(W392+X391,0)</f>
        <v>0</v>
      </c>
    </row>
    <row r="393" spans="1:24" hidden="1">
      <c r="A393" s="258"/>
      <c r="B393" s="21" t="s">
        <v>406</v>
      </c>
      <c r="C393" s="22"/>
      <c r="D393" s="21"/>
      <c r="E393" s="21"/>
      <c r="F393" s="21"/>
      <c r="G393" s="21"/>
      <c r="I393" s="21"/>
      <c r="J393" s="21"/>
      <c r="K393" s="77">
        <f t="shared" ref="K393:X393" ca="1" si="184">IF($C389=K$25,$C390,ROUND(IF(K391=0,0,$C390-K392),0))</f>
        <v>0</v>
      </c>
      <c r="L393" s="77">
        <f t="shared" ca="1" si="184"/>
        <v>0</v>
      </c>
      <c r="M393" s="77">
        <f t="shared" ca="1" si="184"/>
        <v>0</v>
      </c>
      <c r="N393" s="77">
        <f t="shared" ca="1" si="184"/>
        <v>0</v>
      </c>
      <c r="O393" s="77">
        <f t="shared" ca="1" si="184"/>
        <v>0</v>
      </c>
      <c r="P393" s="77">
        <f t="shared" ca="1" si="184"/>
        <v>0</v>
      </c>
      <c r="Q393" s="77">
        <f t="shared" ca="1" si="184"/>
        <v>0</v>
      </c>
      <c r="R393" s="77">
        <f t="shared" ca="1" si="184"/>
        <v>0</v>
      </c>
      <c r="S393" s="77">
        <f t="shared" ca="1" si="184"/>
        <v>0</v>
      </c>
      <c r="T393" s="77">
        <f t="shared" ca="1" si="184"/>
        <v>0</v>
      </c>
      <c r="U393" s="77">
        <f t="shared" ca="1" si="184"/>
        <v>0</v>
      </c>
      <c r="V393" s="77">
        <f t="shared" ca="1" si="184"/>
        <v>0</v>
      </c>
      <c r="W393" s="77">
        <f t="shared" ca="1" si="184"/>
        <v>0</v>
      </c>
      <c r="X393" s="77">
        <f t="shared" ca="1" si="184"/>
        <v>0</v>
      </c>
    </row>
    <row r="394" spans="1:24" hidden="1">
      <c r="A394" s="258"/>
      <c r="B394" s="21"/>
      <c r="C394" s="22"/>
      <c r="D394" s="21"/>
      <c r="E394" s="21"/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0" t="s">
        <v>454</v>
      </c>
      <c r="C395" s="21">
        <f>C388+1</f>
        <v>12</v>
      </c>
      <c r="D395" s="21" t="str">
        <f ca="1">OFFSET($B$28,C395,0)</f>
        <v/>
      </c>
      <c r="E395" s="473">
        <f>E388+1</f>
        <v>12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414</v>
      </c>
      <c r="C396" s="164">
        <f ca="1">IFERROR(YEAR(OFFSET($D$28,C395,0)),0)</f>
        <v>0</v>
      </c>
      <c r="D396" s="21"/>
      <c r="E396" s="21"/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406</v>
      </c>
      <c r="C397" s="22">
        <f ca="1">OFFSET($F$28,C395,0)</f>
        <v>0</v>
      </c>
      <c r="D397" s="21"/>
      <c r="E397" s="21"/>
      <c r="F397" s="21"/>
      <c r="G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 spans="1:24" hidden="1">
      <c r="A398" s="258"/>
      <c r="B398" s="21" t="s">
        <v>415</v>
      </c>
      <c r="C398" s="22">
        <f ca="1">ROUND(C397*am_prace_rozwojowe,0)</f>
        <v>0</v>
      </c>
      <c r="D398" s="21"/>
      <c r="E398" s="21"/>
      <c r="F398" s="21"/>
      <c r="G398" s="21"/>
      <c r="I398" s="21"/>
      <c r="J398" s="473" cm="1">
        <f t="array" aca="1" ref="J398" ca="1">OFFSET('Środki trwałe'!$C$195,'Rozliczenie dotacji'!E395,,)</f>
        <v>0</v>
      </c>
      <c r="K398" s="75">
        <f ca="1">IFERROR(ROUND(IF(($C396+1)=K$25,$C398,0),0),0)</f>
        <v>0</v>
      </c>
      <c r="L398" s="247">
        <f ca="1">ROUND(IF(OR(AND($C396=LataProjekcji,$E396&gt;0),AND($C396=LataProjekcji,$E396=0,$D397&lt;=10)),$E397,IF($C396&lt;LataProjekcji,IF((SUM($K398:K398)+$C398)&lt;$C397,$C398,$C397-SUM($K398:K398)),0)),0)</f>
        <v>0</v>
      </c>
      <c r="M398" s="247">
        <f ca="1">ROUND(IF(OR(AND($C396=LataProjekcji,$E396&gt;0),AND($C396=LataProjekcji,$E396=0,$D397&lt;=10)),$E397,IF($C396&lt;LataProjekcji,IF((SUM($K398:L398)+$C398)&lt;$C397,$C398,$C397-SUM($K398:L398)),0)),0)</f>
        <v>0</v>
      </c>
      <c r="N398" s="247">
        <f ca="1">ROUND(IF(OR(AND($C396=LataProjekcji,$E396&gt;0),AND($C396=LataProjekcji,$E396=0,$D397&lt;=10)),$E397,IF($C396&lt;LataProjekcji,IF((SUM($K398:M398)+$C398)&lt;$C397,$C398,$C397-SUM($K398:M398)),0)),0)</f>
        <v>0</v>
      </c>
      <c r="O398" s="247">
        <f ca="1">ROUND(IF(OR(AND($C396=LataProjekcji,$E396&gt;0),AND($C396=LataProjekcji,$E396=0,$D397&lt;=10)),$E397,IF($C396&lt;LataProjekcji,IF((SUM($K398:N398)+$C398)&lt;$C397,$C398,$C397-SUM($K398:N398)),0)),0)</f>
        <v>0</v>
      </c>
      <c r="P398" s="247">
        <f ca="1">ROUND(IF(OR(AND($C396=LataProjekcji,$E396&gt;0),AND($C396=LataProjekcji,$E396=0,$D397&lt;=10)),$E397,IF($C396&lt;LataProjekcji,IF((SUM($K398:O398)+$C398)&lt;$C397,$C398,$C397-SUM($K398:O398)),0)),0)</f>
        <v>0</v>
      </c>
      <c r="Q398" s="247">
        <f ca="1">ROUND(IF(OR(AND($C396=LataProjekcji,$E396&gt;0),AND($C396=LataProjekcji,$E396=0,$D397&lt;=10)),$E397,IF($C396&lt;LataProjekcji,IF((SUM($K398:P398)+$C398)&lt;$C397,$C398,$C397-SUM($K398:P398)),0)),0)</f>
        <v>0</v>
      </c>
      <c r="R398" s="247">
        <f ca="1">ROUND(IF(OR(AND($C396=LataProjekcji,$E396&gt;0),AND($C396=LataProjekcji,$E396=0,$D397&lt;=10)),$E397,IF($C396&lt;LataProjekcji,IF((SUM($K398:Q398)+$C398)&lt;$C397,$C398,$C397-SUM($K398:Q398)),0)),0)</f>
        <v>0</v>
      </c>
      <c r="S398" s="247">
        <f ca="1">ROUND(IF(OR(AND($C396=LataProjekcji,$E396&gt;0),AND($C396=LataProjekcji,$E396=0,$D397&lt;=10)),$E397,IF($C396&lt;LataProjekcji,IF((SUM($K398:R398)+$C398)&lt;$C397,$C398,$C397-SUM($K398:R398)),0)),0)</f>
        <v>0</v>
      </c>
      <c r="T398" s="247">
        <f ca="1">ROUND(IF(OR(AND($C396=LataProjekcji,$E396&gt;0),AND($C396=LataProjekcji,$E396=0,$D397&lt;=10)),$E397,IF($C396&lt;LataProjekcji,IF((SUM($K398:S398)+$C398)&lt;$C397,$C398,$C397-SUM($K398:S398)),0)),0)</f>
        <v>0</v>
      </c>
      <c r="U398" s="247">
        <f ca="1">ROUND(IF(OR(AND($C396=LataProjekcji,$E396&gt;0),AND($C396=LataProjekcji,$E396=0,$D397&lt;=10)),$E397,IF($C396&lt;LataProjekcji,IF((SUM($K398:T398)+$C398)&lt;$C397,$C398,$C397-SUM($K398:T398)),0)),0)</f>
        <v>0</v>
      </c>
      <c r="V398" s="247">
        <f ca="1">ROUND(IF(OR(AND($C396=LataProjekcji,$E396&gt;0),AND($C396=LataProjekcji,$E396=0,$D397&lt;=10)),$E397,IF($C396&lt;LataProjekcji,IF((SUM($K398:U398)+$C398)&lt;$C397,$C398,$C397-SUM($K398:U398)),0)),0)</f>
        <v>0</v>
      </c>
      <c r="W398" s="247">
        <f ca="1">ROUND(IF(OR(AND($C396=LataProjekcji,$E396&gt;0),AND($C396=LataProjekcji,$E396=0,$D397&lt;=10)),$E397,IF($C396&lt;LataProjekcji,IF((SUM($K398:V398)+$C398)&lt;$C397,$C398,$C397-SUM($K398:V398)),0)),0)</f>
        <v>0</v>
      </c>
      <c r="X398" s="247">
        <f ca="1">ROUND(IF(OR(AND($C396=LataProjekcji,$E396&gt;0),AND($C396=LataProjekcji,$E396=0,$D397&lt;=10)),$E397,IF($C396&lt;LataProjekcji,IF((SUM($K398:W398)+$C398)&lt;$C397,$C398,$C397-SUM($K398:W398)),0)),0)</f>
        <v>0</v>
      </c>
    </row>
    <row r="399" spans="1:24" hidden="1">
      <c r="A399" s="258"/>
      <c r="B399" s="21" t="s">
        <v>416</v>
      </c>
      <c r="C399" s="22"/>
      <c r="D399" s="21"/>
      <c r="E399" s="21"/>
      <c r="F399" s="21"/>
      <c r="G399" s="21"/>
      <c r="I399" s="21"/>
      <c r="J399" s="21"/>
      <c r="K399" s="22">
        <f ca="1">ROUND(K398,0)</f>
        <v>0</v>
      </c>
      <c r="L399" s="22">
        <f t="shared" ref="L399" ca="1" si="185">ROUND(K399+L398,0)</f>
        <v>0</v>
      </c>
      <c r="M399" s="22">
        <f t="shared" ref="M399" ca="1" si="186">ROUND(L399+M398,0)</f>
        <v>0</v>
      </c>
      <c r="N399" s="22">
        <f t="shared" ref="N399" ca="1" si="187">ROUND(M399+N398,0)</f>
        <v>0</v>
      </c>
      <c r="O399" s="22">
        <f t="shared" ref="O399" ca="1" si="188">ROUND(N399+O398,0)</f>
        <v>0</v>
      </c>
      <c r="P399" s="22">
        <f t="shared" ref="P399" ca="1" si="189">ROUND(O399+P398,0)</f>
        <v>0</v>
      </c>
      <c r="Q399" s="22">
        <f t="shared" ref="Q399" ca="1" si="190">ROUND(P399+Q398,0)</f>
        <v>0</v>
      </c>
      <c r="R399" s="22">
        <f t="shared" ref="R399" ca="1" si="191">ROUND(Q399+R398,0)</f>
        <v>0</v>
      </c>
      <c r="S399" s="22">
        <f t="shared" ref="S399" ca="1" si="192">ROUND(R399+S398,0)</f>
        <v>0</v>
      </c>
      <c r="T399" s="22">
        <f t="shared" ref="T399" ca="1" si="193">ROUND(S399+T398,0)</f>
        <v>0</v>
      </c>
      <c r="U399" s="22">
        <f t="shared" ref="U399" ca="1" si="194">ROUND(T399+U398,0)</f>
        <v>0</v>
      </c>
      <c r="V399" s="22">
        <f t="shared" ref="V399" ca="1" si="195">ROUND(U399+V398,0)</f>
        <v>0</v>
      </c>
      <c r="W399" s="22">
        <f t="shared" ref="W399" ca="1" si="196">ROUND(V399+W398,0)</f>
        <v>0</v>
      </c>
      <c r="X399" s="22">
        <f t="shared" ref="X399" ca="1" si="197">ROUND(W399+X398,0)</f>
        <v>0</v>
      </c>
    </row>
    <row r="400" spans="1:24" hidden="1">
      <c r="A400" s="258"/>
      <c r="B400" s="21" t="s">
        <v>406</v>
      </c>
      <c r="C400" s="22"/>
      <c r="D400" s="21"/>
      <c r="E400" s="21"/>
      <c r="F400" s="21"/>
      <c r="G400" s="21"/>
      <c r="I400" s="21"/>
      <c r="J400" s="21"/>
      <c r="K400" s="77">
        <f t="shared" ref="K400:X400" ca="1" si="198">IF($C396=K$25,$C397,ROUND(IF(K398=0,0,$C397-K399),0))</f>
        <v>0</v>
      </c>
      <c r="L400" s="77">
        <f t="shared" ca="1" si="198"/>
        <v>0</v>
      </c>
      <c r="M400" s="77">
        <f t="shared" ca="1" si="198"/>
        <v>0</v>
      </c>
      <c r="N400" s="77">
        <f t="shared" ca="1" si="198"/>
        <v>0</v>
      </c>
      <c r="O400" s="77">
        <f t="shared" ca="1" si="198"/>
        <v>0</v>
      </c>
      <c r="P400" s="77">
        <f t="shared" ca="1" si="198"/>
        <v>0</v>
      </c>
      <c r="Q400" s="77">
        <f t="shared" ca="1" si="198"/>
        <v>0</v>
      </c>
      <c r="R400" s="77">
        <f t="shared" ca="1" si="198"/>
        <v>0</v>
      </c>
      <c r="S400" s="77">
        <f t="shared" ca="1" si="198"/>
        <v>0</v>
      </c>
      <c r="T400" s="77">
        <f t="shared" ca="1" si="198"/>
        <v>0</v>
      </c>
      <c r="U400" s="77">
        <f t="shared" ca="1" si="198"/>
        <v>0</v>
      </c>
      <c r="V400" s="77">
        <f t="shared" ca="1" si="198"/>
        <v>0</v>
      </c>
      <c r="W400" s="77">
        <f t="shared" ca="1" si="198"/>
        <v>0</v>
      </c>
      <c r="X400" s="77">
        <f t="shared" ca="1" si="198"/>
        <v>0</v>
      </c>
    </row>
    <row r="401" spans="1:24" hidden="1">
      <c r="A401" s="258"/>
      <c r="B401" s="21"/>
      <c r="C401" s="22"/>
      <c r="D401" s="21"/>
      <c r="E401" s="21"/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0" t="s">
        <v>454</v>
      </c>
      <c r="C402" s="21">
        <f>C395+1</f>
        <v>13</v>
      </c>
      <c r="D402" s="21" t="str">
        <f ca="1">OFFSET($B$28,C402,0)</f>
        <v/>
      </c>
      <c r="E402" s="473">
        <f>E395+1</f>
        <v>13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414</v>
      </c>
      <c r="C403" s="164">
        <f ca="1">IFERROR(YEAR(OFFSET($D$28,C402,0)),0)</f>
        <v>0</v>
      </c>
      <c r="D403" s="21"/>
      <c r="E403" s="21"/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406</v>
      </c>
      <c r="C404" s="22">
        <f ca="1">OFFSET($F$28,C402,0)</f>
        <v>0</v>
      </c>
      <c r="D404" s="21"/>
      <c r="E404" s="21"/>
      <c r="F404" s="21"/>
      <c r="G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 spans="1:24" hidden="1">
      <c r="A405" s="258"/>
      <c r="B405" s="21" t="s">
        <v>415</v>
      </c>
      <c r="C405" s="22">
        <f ca="1">ROUND(C404*am_prace_rozwojowe,0)</f>
        <v>0</v>
      </c>
      <c r="D405" s="21"/>
      <c r="E405" s="21"/>
      <c r="F405" s="21"/>
      <c r="G405" s="21"/>
      <c r="I405" s="21"/>
      <c r="J405" s="473" cm="1">
        <f t="array" aca="1" ref="J405" ca="1">OFFSET('Środki trwałe'!$C$195,'Rozliczenie dotacji'!E402,,)</f>
        <v>0</v>
      </c>
      <c r="K405" s="75">
        <f ca="1">IFERROR(ROUND(IF(($C403+1)=K$25,$C405,0),0),0)</f>
        <v>0</v>
      </c>
      <c r="L405" s="247">
        <f ca="1">ROUND(IF(OR(AND($C403=LataProjekcji,$E403&gt;0),AND($C403=LataProjekcji,$E403=0,$D404&lt;=10)),$E404,IF($C403&lt;LataProjekcji,IF((SUM($K405:K405)+$C405)&lt;$C404,$C405,$C404-SUM($K405:K405)),0)),0)</f>
        <v>0</v>
      </c>
      <c r="M405" s="247">
        <f ca="1">ROUND(IF(OR(AND($C403=LataProjekcji,$E403&gt;0),AND($C403=LataProjekcji,$E403=0,$D404&lt;=10)),$E404,IF($C403&lt;LataProjekcji,IF((SUM($K405:L405)+$C405)&lt;$C404,$C405,$C404-SUM($K405:L405)),0)),0)</f>
        <v>0</v>
      </c>
      <c r="N405" s="247">
        <f ca="1">ROUND(IF(OR(AND($C403=LataProjekcji,$E403&gt;0),AND($C403=LataProjekcji,$E403=0,$D404&lt;=10)),$E404,IF($C403&lt;LataProjekcji,IF((SUM($K405:M405)+$C405)&lt;$C404,$C405,$C404-SUM($K405:M405)),0)),0)</f>
        <v>0</v>
      </c>
      <c r="O405" s="247">
        <f ca="1">ROUND(IF(OR(AND($C403=LataProjekcji,$E403&gt;0),AND($C403=LataProjekcji,$E403=0,$D404&lt;=10)),$E404,IF($C403&lt;LataProjekcji,IF((SUM($K405:N405)+$C405)&lt;$C404,$C405,$C404-SUM($K405:N405)),0)),0)</f>
        <v>0</v>
      </c>
      <c r="P405" s="247">
        <f ca="1">ROUND(IF(OR(AND($C403=LataProjekcji,$E403&gt;0),AND($C403=LataProjekcji,$E403=0,$D404&lt;=10)),$E404,IF($C403&lt;LataProjekcji,IF((SUM($K405:O405)+$C405)&lt;$C404,$C405,$C404-SUM($K405:O405)),0)),0)</f>
        <v>0</v>
      </c>
      <c r="Q405" s="247">
        <f ca="1">ROUND(IF(OR(AND($C403=LataProjekcji,$E403&gt;0),AND($C403=LataProjekcji,$E403=0,$D404&lt;=10)),$E404,IF($C403&lt;LataProjekcji,IF((SUM($K405:P405)+$C405)&lt;$C404,$C405,$C404-SUM($K405:P405)),0)),0)</f>
        <v>0</v>
      </c>
      <c r="R405" s="247">
        <f ca="1">ROUND(IF(OR(AND($C403=LataProjekcji,$E403&gt;0),AND($C403=LataProjekcji,$E403=0,$D404&lt;=10)),$E404,IF($C403&lt;LataProjekcji,IF((SUM($K405:Q405)+$C405)&lt;$C404,$C405,$C404-SUM($K405:Q405)),0)),0)</f>
        <v>0</v>
      </c>
      <c r="S405" s="247">
        <f ca="1">ROUND(IF(OR(AND($C403=LataProjekcji,$E403&gt;0),AND($C403=LataProjekcji,$E403=0,$D404&lt;=10)),$E404,IF($C403&lt;LataProjekcji,IF((SUM($K405:R405)+$C405)&lt;$C404,$C405,$C404-SUM($K405:R405)),0)),0)</f>
        <v>0</v>
      </c>
      <c r="T405" s="247">
        <f ca="1">ROUND(IF(OR(AND($C403=LataProjekcji,$E403&gt;0),AND($C403=LataProjekcji,$E403=0,$D404&lt;=10)),$E404,IF($C403&lt;LataProjekcji,IF((SUM($K405:S405)+$C405)&lt;$C404,$C405,$C404-SUM($K405:S405)),0)),0)</f>
        <v>0</v>
      </c>
      <c r="U405" s="247">
        <f ca="1">ROUND(IF(OR(AND($C403=LataProjekcji,$E403&gt;0),AND($C403=LataProjekcji,$E403=0,$D404&lt;=10)),$E404,IF($C403&lt;LataProjekcji,IF((SUM($K405:T405)+$C405)&lt;$C404,$C405,$C404-SUM($K405:T405)),0)),0)</f>
        <v>0</v>
      </c>
      <c r="V405" s="247">
        <f ca="1">ROUND(IF(OR(AND($C403=LataProjekcji,$E403&gt;0),AND($C403=LataProjekcji,$E403=0,$D404&lt;=10)),$E404,IF($C403&lt;LataProjekcji,IF((SUM($K405:U405)+$C405)&lt;$C404,$C405,$C404-SUM($K405:U405)),0)),0)</f>
        <v>0</v>
      </c>
      <c r="W405" s="247">
        <f ca="1">ROUND(IF(OR(AND($C403=LataProjekcji,$E403&gt;0),AND($C403=LataProjekcji,$E403=0,$D404&lt;=10)),$E404,IF($C403&lt;LataProjekcji,IF((SUM($K405:V405)+$C405)&lt;$C404,$C405,$C404-SUM($K405:V405)),0)),0)</f>
        <v>0</v>
      </c>
      <c r="X405" s="247">
        <f ca="1">ROUND(IF(OR(AND($C403=LataProjekcji,$E403&gt;0),AND($C403=LataProjekcji,$E403=0,$D404&lt;=10)),$E404,IF($C403&lt;LataProjekcji,IF((SUM($K405:W405)+$C405)&lt;$C404,$C405,$C404-SUM($K405:W405)),0)),0)</f>
        <v>0</v>
      </c>
    </row>
    <row r="406" spans="1:24" hidden="1">
      <c r="A406" s="258"/>
      <c r="B406" s="21" t="s">
        <v>416</v>
      </c>
      <c r="C406" s="22"/>
      <c r="D406" s="21"/>
      <c r="E406" s="21"/>
      <c r="F406" s="21"/>
      <c r="G406" s="21"/>
      <c r="I406" s="21"/>
      <c r="J406" s="21"/>
      <c r="K406" s="22">
        <f ca="1">ROUND(K405,0)</f>
        <v>0</v>
      </c>
      <c r="L406" s="22">
        <f t="shared" ref="L406" ca="1" si="199">ROUND(K406+L405,0)</f>
        <v>0</v>
      </c>
      <c r="M406" s="22">
        <f t="shared" ref="M406" ca="1" si="200">ROUND(L406+M405,0)</f>
        <v>0</v>
      </c>
      <c r="N406" s="22">
        <f t="shared" ref="N406" ca="1" si="201">ROUND(M406+N405,0)</f>
        <v>0</v>
      </c>
      <c r="O406" s="22">
        <f t="shared" ref="O406" ca="1" si="202">ROUND(N406+O405,0)</f>
        <v>0</v>
      </c>
      <c r="P406" s="22">
        <f t="shared" ref="P406" ca="1" si="203">ROUND(O406+P405,0)</f>
        <v>0</v>
      </c>
      <c r="Q406" s="22">
        <f t="shared" ref="Q406" ca="1" si="204">ROUND(P406+Q405,0)</f>
        <v>0</v>
      </c>
      <c r="R406" s="22">
        <f t="shared" ref="R406" ca="1" si="205">ROUND(Q406+R405,0)</f>
        <v>0</v>
      </c>
      <c r="S406" s="22">
        <f t="shared" ref="S406" ca="1" si="206">ROUND(R406+S405,0)</f>
        <v>0</v>
      </c>
      <c r="T406" s="22">
        <f t="shared" ref="T406" ca="1" si="207">ROUND(S406+T405,0)</f>
        <v>0</v>
      </c>
      <c r="U406" s="22">
        <f t="shared" ref="U406" ca="1" si="208">ROUND(T406+U405,0)</f>
        <v>0</v>
      </c>
      <c r="V406" s="22">
        <f t="shared" ref="V406" ca="1" si="209">ROUND(U406+V405,0)</f>
        <v>0</v>
      </c>
      <c r="W406" s="22">
        <f t="shared" ref="W406" ca="1" si="210">ROUND(V406+W405,0)</f>
        <v>0</v>
      </c>
      <c r="X406" s="22">
        <f t="shared" ref="X406" ca="1" si="211">ROUND(W406+X405,0)</f>
        <v>0</v>
      </c>
    </row>
    <row r="407" spans="1:24" hidden="1">
      <c r="A407" s="258"/>
      <c r="B407" s="21" t="s">
        <v>406</v>
      </c>
      <c r="C407" s="22"/>
      <c r="D407" s="21"/>
      <c r="E407" s="21"/>
      <c r="F407" s="21"/>
      <c r="G407" s="21"/>
      <c r="I407" s="21"/>
      <c r="J407" s="21"/>
      <c r="K407" s="77">
        <f t="shared" ref="K407:X407" ca="1" si="212">IF($C403=K$25,$C404,ROUND(IF(K405=0,0,$C404-K406),0))</f>
        <v>0</v>
      </c>
      <c r="L407" s="77">
        <f t="shared" ca="1" si="212"/>
        <v>0</v>
      </c>
      <c r="M407" s="77">
        <f t="shared" ca="1" si="212"/>
        <v>0</v>
      </c>
      <c r="N407" s="77">
        <f t="shared" ca="1" si="212"/>
        <v>0</v>
      </c>
      <c r="O407" s="77">
        <f t="shared" ca="1" si="212"/>
        <v>0</v>
      </c>
      <c r="P407" s="77">
        <f t="shared" ca="1" si="212"/>
        <v>0</v>
      </c>
      <c r="Q407" s="77">
        <f t="shared" ca="1" si="212"/>
        <v>0</v>
      </c>
      <c r="R407" s="77">
        <f t="shared" ca="1" si="212"/>
        <v>0</v>
      </c>
      <c r="S407" s="77">
        <f t="shared" ca="1" si="212"/>
        <v>0</v>
      </c>
      <c r="T407" s="77">
        <f t="shared" ca="1" si="212"/>
        <v>0</v>
      </c>
      <c r="U407" s="77">
        <f t="shared" ca="1" si="212"/>
        <v>0</v>
      </c>
      <c r="V407" s="77">
        <f t="shared" ca="1" si="212"/>
        <v>0</v>
      </c>
      <c r="W407" s="77">
        <f t="shared" ca="1" si="212"/>
        <v>0</v>
      </c>
      <c r="X407" s="77">
        <f t="shared" ca="1" si="212"/>
        <v>0</v>
      </c>
    </row>
    <row r="408" spans="1:24" hidden="1">
      <c r="A408" s="258"/>
      <c r="B408" s="20"/>
      <c r="C408" s="21"/>
      <c r="D408" s="21"/>
      <c r="E408" s="21"/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0" t="s">
        <v>454</v>
      </c>
      <c r="C409" s="21">
        <f>C402+1</f>
        <v>14</v>
      </c>
      <c r="D409" s="21" t="str">
        <f ca="1">OFFSET($B$28,C409,0)</f>
        <v/>
      </c>
      <c r="E409" s="473">
        <f>E402+1</f>
        <v>14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414</v>
      </c>
      <c r="C410" s="164">
        <f ca="1">IFERROR(YEAR(OFFSET($D$28,C409,0)),0)</f>
        <v>0</v>
      </c>
      <c r="D410" s="21"/>
      <c r="E410" s="21"/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406</v>
      </c>
      <c r="C411" s="22">
        <f ca="1">OFFSET($F$28,C409,0)</f>
        <v>0</v>
      </c>
      <c r="D411" s="21"/>
      <c r="E411" s="21"/>
      <c r="F411" s="21"/>
      <c r="G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 spans="1:24" hidden="1">
      <c r="A412" s="258"/>
      <c r="B412" s="21" t="s">
        <v>415</v>
      </c>
      <c r="C412" s="22">
        <f ca="1">ROUND(C411*am_prace_rozwojowe,0)</f>
        <v>0</v>
      </c>
      <c r="D412" s="21"/>
      <c r="E412" s="21"/>
      <c r="F412" s="21"/>
      <c r="G412" s="21"/>
      <c r="I412" s="21"/>
      <c r="J412" s="473" cm="1">
        <f t="array" aca="1" ref="J412" ca="1">OFFSET('Środki trwałe'!$C$195,'Rozliczenie dotacji'!E409,,)</f>
        <v>0</v>
      </c>
      <c r="K412" s="75">
        <f ca="1">IFERROR(ROUND(IF(($C410+1)=K$25,$C412,0),0),0)</f>
        <v>0</v>
      </c>
      <c r="L412" s="247">
        <f ca="1">ROUND(IF(OR(AND($C410=LataProjekcji,$E410&gt;0),AND($C410=LataProjekcji,$E410=0,$D411&lt;=10)),$E411,IF($C410&lt;LataProjekcji,IF((SUM($K412:K412)+$C412)&lt;$C411,$C412,$C411-SUM($K412:K412)),0)),0)</f>
        <v>0</v>
      </c>
      <c r="M412" s="247">
        <f ca="1">ROUND(IF(OR(AND($C410=LataProjekcji,$E410&gt;0),AND($C410=LataProjekcji,$E410=0,$D411&lt;=10)),$E411,IF($C410&lt;LataProjekcji,IF((SUM($K412:L412)+$C412)&lt;$C411,$C412,$C411-SUM($K412:L412)),0)),0)</f>
        <v>0</v>
      </c>
      <c r="N412" s="247">
        <f ca="1">ROUND(IF(OR(AND($C410=LataProjekcji,$E410&gt;0),AND($C410=LataProjekcji,$E410=0,$D411&lt;=10)),$E411,IF($C410&lt;LataProjekcji,IF((SUM($K412:M412)+$C412)&lt;$C411,$C412,$C411-SUM($K412:M412)),0)),0)</f>
        <v>0</v>
      </c>
      <c r="O412" s="247">
        <f ca="1">ROUND(IF(OR(AND($C410=LataProjekcji,$E410&gt;0),AND($C410=LataProjekcji,$E410=0,$D411&lt;=10)),$E411,IF($C410&lt;LataProjekcji,IF((SUM($K412:N412)+$C412)&lt;$C411,$C412,$C411-SUM($K412:N412)),0)),0)</f>
        <v>0</v>
      </c>
      <c r="P412" s="247">
        <f ca="1">ROUND(IF(OR(AND($C410=LataProjekcji,$E410&gt;0),AND($C410=LataProjekcji,$E410=0,$D411&lt;=10)),$E411,IF($C410&lt;LataProjekcji,IF((SUM($K412:O412)+$C412)&lt;$C411,$C412,$C411-SUM($K412:O412)),0)),0)</f>
        <v>0</v>
      </c>
      <c r="Q412" s="247">
        <f ca="1">ROUND(IF(OR(AND($C410=LataProjekcji,$E410&gt;0),AND($C410=LataProjekcji,$E410=0,$D411&lt;=10)),$E411,IF($C410&lt;LataProjekcji,IF((SUM($K412:P412)+$C412)&lt;$C411,$C412,$C411-SUM($K412:P412)),0)),0)</f>
        <v>0</v>
      </c>
      <c r="R412" s="247">
        <f ca="1">ROUND(IF(OR(AND($C410=LataProjekcji,$E410&gt;0),AND($C410=LataProjekcji,$E410=0,$D411&lt;=10)),$E411,IF($C410&lt;LataProjekcji,IF((SUM($K412:Q412)+$C412)&lt;$C411,$C412,$C411-SUM($K412:Q412)),0)),0)</f>
        <v>0</v>
      </c>
      <c r="S412" s="247">
        <f ca="1">ROUND(IF(OR(AND($C410=LataProjekcji,$E410&gt;0),AND($C410=LataProjekcji,$E410=0,$D411&lt;=10)),$E411,IF($C410&lt;LataProjekcji,IF((SUM($K412:R412)+$C412)&lt;$C411,$C412,$C411-SUM($K412:R412)),0)),0)</f>
        <v>0</v>
      </c>
      <c r="T412" s="247">
        <f ca="1">ROUND(IF(OR(AND($C410=LataProjekcji,$E410&gt;0),AND($C410=LataProjekcji,$E410=0,$D411&lt;=10)),$E411,IF($C410&lt;LataProjekcji,IF((SUM($K412:S412)+$C412)&lt;$C411,$C412,$C411-SUM($K412:S412)),0)),0)</f>
        <v>0</v>
      </c>
      <c r="U412" s="247">
        <f ca="1">ROUND(IF(OR(AND($C410=LataProjekcji,$E410&gt;0),AND($C410=LataProjekcji,$E410=0,$D411&lt;=10)),$E411,IF($C410&lt;LataProjekcji,IF((SUM($K412:T412)+$C412)&lt;$C411,$C412,$C411-SUM($K412:T412)),0)),0)</f>
        <v>0</v>
      </c>
      <c r="V412" s="247">
        <f ca="1">ROUND(IF(OR(AND($C410=LataProjekcji,$E410&gt;0),AND($C410=LataProjekcji,$E410=0,$D411&lt;=10)),$E411,IF($C410&lt;LataProjekcji,IF((SUM($K412:U412)+$C412)&lt;$C411,$C412,$C411-SUM($K412:U412)),0)),0)</f>
        <v>0</v>
      </c>
      <c r="W412" s="247">
        <f ca="1">ROUND(IF(OR(AND($C410=LataProjekcji,$E410&gt;0),AND($C410=LataProjekcji,$E410=0,$D411&lt;=10)),$E411,IF($C410&lt;LataProjekcji,IF((SUM($K412:V412)+$C412)&lt;$C411,$C412,$C411-SUM($K412:V412)),0)),0)</f>
        <v>0</v>
      </c>
      <c r="X412" s="247">
        <f ca="1">ROUND(IF(OR(AND($C410=LataProjekcji,$E410&gt;0),AND($C410=LataProjekcji,$E410=0,$D411&lt;=10)),$E411,IF($C410&lt;LataProjekcji,IF((SUM($K412:W412)+$C412)&lt;$C411,$C412,$C411-SUM($K412:W412)),0)),0)</f>
        <v>0</v>
      </c>
    </row>
    <row r="413" spans="1:24" hidden="1">
      <c r="A413" s="258"/>
      <c r="B413" s="21" t="s">
        <v>416</v>
      </c>
      <c r="C413" s="22"/>
      <c r="D413" s="21"/>
      <c r="E413" s="21"/>
      <c r="F413" s="21"/>
      <c r="G413" s="21"/>
      <c r="I413" s="21"/>
      <c r="J413" s="21"/>
      <c r="K413" s="22">
        <f ca="1">ROUND(K412,0)</f>
        <v>0</v>
      </c>
      <c r="L413" s="22">
        <f t="shared" ref="L413" ca="1" si="213">ROUND(K413+L412,0)</f>
        <v>0</v>
      </c>
      <c r="M413" s="22">
        <f t="shared" ref="M413" ca="1" si="214">ROUND(L413+M412,0)</f>
        <v>0</v>
      </c>
      <c r="N413" s="22">
        <f t="shared" ref="N413" ca="1" si="215">ROUND(M413+N412,0)</f>
        <v>0</v>
      </c>
      <c r="O413" s="22">
        <f t="shared" ref="O413" ca="1" si="216">ROUND(N413+O412,0)</f>
        <v>0</v>
      </c>
      <c r="P413" s="22">
        <f t="shared" ref="P413" ca="1" si="217">ROUND(O413+P412,0)</f>
        <v>0</v>
      </c>
      <c r="Q413" s="22">
        <f t="shared" ref="Q413" ca="1" si="218">ROUND(P413+Q412,0)</f>
        <v>0</v>
      </c>
      <c r="R413" s="22">
        <f t="shared" ref="R413" ca="1" si="219">ROUND(Q413+R412,0)</f>
        <v>0</v>
      </c>
      <c r="S413" s="22">
        <f t="shared" ref="S413" ca="1" si="220">ROUND(R413+S412,0)</f>
        <v>0</v>
      </c>
      <c r="T413" s="22">
        <f t="shared" ref="T413" ca="1" si="221">ROUND(S413+T412,0)</f>
        <v>0</v>
      </c>
      <c r="U413" s="22">
        <f t="shared" ref="U413" ca="1" si="222">ROUND(T413+U412,0)</f>
        <v>0</v>
      </c>
      <c r="V413" s="22">
        <f t="shared" ref="V413" ca="1" si="223">ROUND(U413+V412,0)</f>
        <v>0</v>
      </c>
      <c r="W413" s="22">
        <f t="shared" ref="W413" ca="1" si="224">ROUND(V413+W412,0)</f>
        <v>0</v>
      </c>
      <c r="X413" s="22">
        <f t="shared" ref="X413" ca="1" si="225">ROUND(W413+X412,0)</f>
        <v>0</v>
      </c>
    </row>
    <row r="414" spans="1:24" hidden="1">
      <c r="A414" s="258"/>
      <c r="B414" s="21" t="s">
        <v>406</v>
      </c>
      <c r="C414" s="22"/>
      <c r="D414" s="21"/>
      <c r="E414" s="21"/>
      <c r="F414" s="21"/>
      <c r="G414" s="21"/>
      <c r="I414" s="21"/>
      <c r="J414" s="21"/>
      <c r="K414" s="77">
        <f t="shared" ref="K414:X414" ca="1" si="226">IF($C410=K$25,$C411,ROUND(IF(K412=0,0,$C411-K413),0))</f>
        <v>0</v>
      </c>
      <c r="L414" s="77">
        <f t="shared" ca="1" si="226"/>
        <v>0</v>
      </c>
      <c r="M414" s="77">
        <f t="shared" ca="1" si="226"/>
        <v>0</v>
      </c>
      <c r="N414" s="77">
        <f t="shared" ca="1" si="226"/>
        <v>0</v>
      </c>
      <c r="O414" s="77">
        <f t="shared" ca="1" si="226"/>
        <v>0</v>
      </c>
      <c r="P414" s="77">
        <f t="shared" ca="1" si="226"/>
        <v>0</v>
      </c>
      <c r="Q414" s="77">
        <f t="shared" ca="1" si="226"/>
        <v>0</v>
      </c>
      <c r="R414" s="77">
        <f t="shared" ca="1" si="226"/>
        <v>0</v>
      </c>
      <c r="S414" s="77">
        <f t="shared" ca="1" si="226"/>
        <v>0</v>
      </c>
      <c r="T414" s="77">
        <f t="shared" ca="1" si="226"/>
        <v>0</v>
      </c>
      <c r="U414" s="77">
        <f t="shared" ca="1" si="226"/>
        <v>0</v>
      </c>
      <c r="V414" s="77">
        <f t="shared" ca="1" si="226"/>
        <v>0</v>
      </c>
      <c r="W414" s="77">
        <f t="shared" ca="1" si="226"/>
        <v>0</v>
      </c>
      <c r="X414" s="77">
        <f t="shared" ca="1" si="226"/>
        <v>0</v>
      </c>
    </row>
    <row r="415" spans="1:24" hidden="1">
      <c r="A415" s="258"/>
      <c r="B415" s="21"/>
      <c r="C415" s="22"/>
      <c r="D415" s="21"/>
      <c r="E415" s="21"/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0" t="s">
        <v>454</v>
      </c>
      <c r="C416" s="21">
        <f>C409+1</f>
        <v>15</v>
      </c>
      <c r="D416" s="21" t="str">
        <f ca="1">OFFSET($B$28,C416,0)</f>
        <v/>
      </c>
      <c r="E416" s="473">
        <f>E409+1</f>
        <v>15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414</v>
      </c>
      <c r="C417" s="164">
        <f ca="1">IFERROR(YEAR(OFFSET($D$28,C416,0)),0)</f>
        <v>0</v>
      </c>
      <c r="D417" s="21"/>
      <c r="E417" s="21"/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406</v>
      </c>
      <c r="C418" s="22">
        <f ca="1">OFFSET($F$28,C416,0)</f>
        <v>0</v>
      </c>
      <c r="D418" s="21"/>
      <c r="E418" s="21"/>
      <c r="F418" s="21"/>
      <c r="G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 spans="1:24" hidden="1">
      <c r="A419" s="258"/>
      <c r="B419" s="21" t="s">
        <v>415</v>
      </c>
      <c r="C419" s="22">
        <f ca="1">ROUND(C418*am_prace_rozwojowe,0)</f>
        <v>0</v>
      </c>
      <c r="D419" s="21"/>
      <c r="E419" s="21"/>
      <c r="F419" s="21"/>
      <c r="G419" s="21"/>
      <c r="I419" s="21"/>
      <c r="J419" s="473" cm="1">
        <f t="array" aca="1" ref="J419" ca="1">OFFSET('Środki trwałe'!$C$195,'Rozliczenie dotacji'!E416,,)</f>
        <v>0</v>
      </c>
      <c r="K419" s="75">
        <f ca="1">IFERROR(ROUND(IF(($C417+1)=K$25,$C419,0),0),0)</f>
        <v>0</v>
      </c>
      <c r="L419" s="247">
        <f ca="1">ROUND(IF(OR(AND($C417=LataProjekcji,$E417&gt;0),AND($C417=LataProjekcji,$E417=0,$D418&lt;=10)),$E418,IF($C417&lt;LataProjekcji,IF((SUM($K419:K419)+$C419)&lt;$C418,$C419,$C418-SUM($K419:K419)),0)),0)</f>
        <v>0</v>
      </c>
      <c r="M419" s="247">
        <f ca="1">ROUND(IF(OR(AND($C417=LataProjekcji,$E417&gt;0),AND($C417=LataProjekcji,$E417=0,$D418&lt;=10)),$E418,IF($C417&lt;LataProjekcji,IF((SUM($K419:L419)+$C419)&lt;$C418,$C419,$C418-SUM($K419:L419)),0)),0)</f>
        <v>0</v>
      </c>
      <c r="N419" s="247">
        <f ca="1">ROUND(IF(OR(AND($C417=LataProjekcji,$E417&gt;0),AND($C417=LataProjekcji,$E417=0,$D418&lt;=10)),$E418,IF($C417&lt;LataProjekcji,IF((SUM($K419:M419)+$C419)&lt;$C418,$C419,$C418-SUM($K419:M419)),0)),0)</f>
        <v>0</v>
      </c>
      <c r="O419" s="247">
        <f ca="1">ROUND(IF(OR(AND($C417=LataProjekcji,$E417&gt;0),AND($C417=LataProjekcji,$E417=0,$D418&lt;=10)),$E418,IF($C417&lt;LataProjekcji,IF((SUM($K419:N419)+$C419)&lt;$C418,$C419,$C418-SUM($K419:N419)),0)),0)</f>
        <v>0</v>
      </c>
      <c r="P419" s="247">
        <f ca="1">ROUND(IF(OR(AND($C417=LataProjekcji,$E417&gt;0),AND($C417=LataProjekcji,$E417=0,$D418&lt;=10)),$E418,IF($C417&lt;LataProjekcji,IF((SUM($K419:O419)+$C419)&lt;$C418,$C419,$C418-SUM($K419:O419)),0)),0)</f>
        <v>0</v>
      </c>
      <c r="Q419" s="247">
        <f ca="1">ROUND(IF(OR(AND($C417=LataProjekcji,$E417&gt;0),AND($C417=LataProjekcji,$E417=0,$D418&lt;=10)),$E418,IF($C417&lt;LataProjekcji,IF((SUM($K419:P419)+$C419)&lt;$C418,$C419,$C418-SUM($K419:P419)),0)),0)</f>
        <v>0</v>
      </c>
      <c r="R419" s="247">
        <f ca="1">ROUND(IF(OR(AND($C417=LataProjekcji,$E417&gt;0),AND($C417=LataProjekcji,$E417=0,$D418&lt;=10)),$E418,IF($C417&lt;LataProjekcji,IF((SUM($K419:Q419)+$C419)&lt;$C418,$C419,$C418-SUM($K419:Q419)),0)),0)</f>
        <v>0</v>
      </c>
      <c r="S419" s="247">
        <f ca="1">ROUND(IF(OR(AND($C417=LataProjekcji,$E417&gt;0),AND($C417=LataProjekcji,$E417=0,$D418&lt;=10)),$E418,IF($C417&lt;LataProjekcji,IF((SUM($K419:R419)+$C419)&lt;$C418,$C419,$C418-SUM($K419:R419)),0)),0)</f>
        <v>0</v>
      </c>
      <c r="T419" s="247">
        <f ca="1">ROUND(IF(OR(AND($C417=LataProjekcji,$E417&gt;0),AND($C417=LataProjekcji,$E417=0,$D418&lt;=10)),$E418,IF($C417&lt;LataProjekcji,IF((SUM($K419:S419)+$C419)&lt;$C418,$C419,$C418-SUM($K419:S419)),0)),0)</f>
        <v>0</v>
      </c>
      <c r="U419" s="247">
        <f ca="1">ROUND(IF(OR(AND($C417=LataProjekcji,$E417&gt;0),AND($C417=LataProjekcji,$E417=0,$D418&lt;=10)),$E418,IF($C417&lt;LataProjekcji,IF((SUM($K419:T419)+$C419)&lt;$C418,$C419,$C418-SUM($K419:T419)),0)),0)</f>
        <v>0</v>
      </c>
      <c r="V419" s="247">
        <f ca="1">ROUND(IF(OR(AND($C417=LataProjekcji,$E417&gt;0),AND($C417=LataProjekcji,$E417=0,$D418&lt;=10)),$E418,IF($C417&lt;LataProjekcji,IF((SUM($K419:U419)+$C419)&lt;$C418,$C419,$C418-SUM($K419:U419)),0)),0)</f>
        <v>0</v>
      </c>
      <c r="W419" s="247">
        <f ca="1">ROUND(IF(OR(AND($C417=LataProjekcji,$E417&gt;0),AND($C417=LataProjekcji,$E417=0,$D418&lt;=10)),$E418,IF($C417&lt;LataProjekcji,IF((SUM($K419:V419)+$C419)&lt;$C418,$C419,$C418-SUM($K419:V419)),0)),0)</f>
        <v>0</v>
      </c>
      <c r="X419" s="247">
        <f ca="1">ROUND(IF(OR(AND($C417=LataProjekcji,$E417&gt;0),AND($C417=LataProjekcji,$E417=0,$D418&lt;=10)),$E418,IF($C417&lt;LataProjekcji,IF((SUM($K419:W419)+$C419)&lt;$C418,$C419,$C418-SUM($K419:W419)),0)),0)</f>
        <v>0</v>
      </c>
    </row>
    <row r="420" spans="1:24" hidden="1">
      <c r="A420" s="258"/>
      <c r="B420" s="21" t="s">
        <v>416</v>
      </c>
      <c r="C420" s="22"/>
      <c r="D420" s="21"/>
      <c r="E420" s="21"/>
      <c r="F420" s="21"/>
      <c r="G420" s="21"/>
      <c r="I420" s="21"/>
      <c r="J420" s="21"/>
      <c r="K420" s="22">
        <f ca="1">ROUND(K419,0)</f>
        <v>0</v>
      </c>
      <c r="L420" s="22">
        <f t="shared" ref="L420" ca="1" si="227">ROUND(K420+L419,0)</f>
        <v>0</v>
      </c>
      <c r="M420" s="22">
        <f t="shared" ref="M420" ca="1" si="228">ROUND(L420+M419,0)</f>
        <v>0</v>
      </c>
      <c r="N420" s="22">
        <f t="shared" ref="N420" ca="1" si="229">ROUND(M420+N419,0)</f>
        <v>0</v>
      </c>
      <c r="O420" s="22">
        <f t="shared" ref="O420" ca="1" si="230">ROUND(N420+O419,0)</f>
        <v>0</v>
      </c>
      <c r="P420" s="22">
        <f t="shared" ref="P420" ca="1" si="231">ROUND(O420+P419,0)</f>
        <v>0</v>
      </c>
      <c r="Q420" s="22">
        <f t="shared" ref="Q420" ca="1" si="232">ROUND(P420+Q419,0)</f>
        <v>0</v>
      </c>
      <c r="R420" s="22">
        <f t="shared" ref="R420" ca="1" si="233">ROUND(Q420+R419,0)</f>
        <v>0</v>
      </c>
      <c r="S420" s="22">
        <f t="shared" ref="S420" ca="1" si="234">ROUND(R420+S419,0)</f>
        <v>0</v>
      </c>
      <c r="T420" s="22">
        <f t="shared" ref="T420" ca="1" si="235">ROUND(S420+T419,0)</f>
        <v>0</v>
      </c>
      <c r="U420" s="22">
        <f t="shared" ref="U420" ca="1" si="236">ROUND(T420+U419,0)</f>
        <v>0</v>
      </c>
      <c r="V420" s="22">
        <f t="shared" ref="V420" ca="1" si="237">ROUND(U420+V419,0)</f>
        <v>0</v>
      </c>
      <c r="W420" s="22">
        <f t="shared" ref="W420" ca="1" si="238">ROUND(V420+W419,0)</f>
        <v>0</v>
      </c>
      <c r="X420" s="22">
        <f t="shared" ref="X420" ca="1" si="239">ROUND(W420+X419,0)</f>
        <v>0</v>
      </c>
    </row>
    <row r="421" spans="1:24" hidden="1">
      <c r="A421" s="258"/>
      <c r="B421" s="21" t="s">
        <v>406</v>
      </c>
      <c r="C421" s="22"/>
      <c r="D421" s="21"/>
      <c r="E421" s="21"/>
      <c r="F421" s="21"/>
      <c r="G421" s="21"/>
      <c r="I421" s="21"/>
      <c r="J421" s="21"/>
      <c r="K421" s="77">
        <f t="shared" ref="K421:X421" ca="1" si="240">IF($C417=K$25,$C418,ROUND(IF(K419=0,0,$C418-K420),0))</f>
        <v>0</v>
      </c>
      <c r="L421" s="77">
        <f t="shared" ca="1" si="240"/>
        <v>0</v>
      </c>
      <c r="M421" s="77">
        <f t="shared" ca="1" si="240"/>
        <v>0</v>
      </c>
      <c r="N421" s="77">
        <f t="shared" ca="1" si="240"/>
        <v>0</v>
      </c>
      <c r="O421" s="77">
        <f t="shared" ca="1" si="240"/>
        <v>0</v>
      </c>
      <c r="P421" s="77">
        <f t="shared" ca="1" si="240"/>
        <v>0</v>
      </c>
      <c r="Q421" s="77">
        <f t="shared" ca="1" si="240"/>
        <v>0</v>
      </c>
      <c r="R421" s="77">
        <f t="shared" ca="1" si="240"/>
        <v>0</v>
      </c>
      <c r="S421" s="77">
        <f t="shared" ca="1" si="240"/>
        <v>0</v>
      </c>
      <c r="T421" s="77">
        <f t="shared" ca="1" si="240"/>
        <v>0</v>
      </c>
      <c r="U421" s="77">
        <f t="shared" ca="1" si="240"/>
        <v>0</v>
      </c>
      <c r="V421" s="77">
        <f t="shared" ca="1" si="240"/>
        <v>0</v>
      </c>
      <c r="W421" s="77">
        <f t="shared" ca="1" si="240"/>
        <v>0</v>
      </c>
      <c r="X421" s="77">
        <f t="shared" ca="1" si="240"/>
        <v>0</v>
      </c>
    </row>
    <row r="422" spans="1:24" hidden="1">
      <c r="A422" s="258"/>
      <c r="B422" s="21"/>
      <c r="C422" s="22"/>
      <c r="D422" s="21"/>
      <c r="E422" s="21"/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0" t="s">
        <v>454</v>
      </c>
      <c r="C423" s="21">
        <f>C416+1</f>
        <v>16</v>
      </c>
      <c r="D423" s="21" t="str">
        <f ca="1">OFFSET($B$28,C423,0)</f>
        <v/>
      </c>
      <c r="E423" s="473">
        <f>E416+1</f>
        <v>16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414</v>
      </c>
      <c r="C424" s="164">
        <f ca="1">IFERROR(YEAR(OFFSET($D$28,C423,0)),0)</f>
        <v>0</v>
      </c>
      <c r="D424" s="21"/>
      <c r="E424" s="21"/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406</v>
      </c>
      <c r="C425" s="22">
        <f ca="1">OFFSET($F$28,C423,0)</f>
        <v>0</v>
      </c>
      <c r="D425" s="21"/>
      <c r="E425" s="21"/>
      <c r="F425" s="21"/>
      <c r="G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 spans="1:24" hidden="1">
      <c r="A426" s="258"/>
      <c r="B426" s="21" t="s">
        <v>415</v>
      </c>
      <c r="C426" s="22">
        <f ca="1">ROUND(C425*am_prace_rozwojowe,0)</f>
        <v>0</v>
      </c>
      <c r="D426" s="21"/>
      <c r="E426" s="21"/>
      <c r="F426" s="21"/>
      <c r="G426" s="21"/>
      <c r="I426" s="21"/>
      <c r="J426" s="473" cm="1">
        <f t="array" aca="1" ref="J426" ca="1">OFFSET('Środki trwałe'!$C$195,'Rozliczenie dotacji'!E423,,)</f>
        <v>0</v>
      </c>
      <c r="K426" s="75">
        <f ca="1">IFERROR(ROUND(IF(($C424+1)=K$25,$C426,0),0),0)</f>
        <v>0</v>
      </c>
      <c r="L426" s="247">
        <f ca="1">ROUND(IF(OR(AND($C424=LataProjekcji,$E424&gt;0),AND($C424=LataProjekcji,$E424=0,$D425&lt;=10)),$E425,IF($C424&lt;LataProjekcji,IF((SUM($K426:K426)+$C426)&lt;$C425,$C426,$C425-SUM($K426:K426)),0)),0)</f>
        <v>0</v>
      </c>
      <c r="M426" s="247">
        <f ca="1">ROUND(IF(OR(AND($C424=LataProjekcji,$E424&gt;0),AND($C424=LataProjekcji,$E424=0,$D425&lt;=10)),$E425,IF($C424&lt;LataProjekcji,IF((SUM($K426:L426)+$C426)&lt;$C425,$C426,$C425-SUM($K426:L426)),0)),0)</f>
        <v>0</v>
      </c>
      <c r="N426" s="247">
        <f ca="1">ROUND(IF(OR(AND($C424=LataProjekcji,$E424&gt;0),AND($C424=LataProjekcji,$E424=0,$D425&lt;=10)),$E425,IF($C424&lt;LataProjekcji,IF((SUM($K426:M426)+$C426)&lt;$C425,$C426,$C425-SUM($K426:M426)),0)),0)</f>
        <v>0</v>
      </c>
      <c r="O426" s="247">
        <f ca="1">ROUND(IF(OR(AND($C424=LataProjekcji,$E424&gt;0),AND($C424=LataProjekcji,$E424=0,$D425&lt;=10)),$E425,IF($C424&lt;LataProjekcji,IF((SUM($K426:N426)+$C426)&lt;$C425,$C426,$C425-SUM($K426:N426)),0)),0)</f>
        <v>0</v>
      </c>
      <c r="P426" s="247">
        <f ca="1">ROUND(IF(OR(AND($C424=LataProjekcji,$E424&gt;0),AND($C424=LataProjekcji,$E424=0,$D425&lt;=10)),$E425,IF($C424&lt;LataProjekcji,IF((SUM($K426:O426)+$C426)&lt;$C425,$C426,$C425-SUM($K426:O426)),0)),0)</f>
        <v>0</v>
      </c>
      <c r="Q426" s="247">
        <f ca="1">ROUND(IF(OR(AND($C424=LataProjekcji,$E424&gt;0),AND($C424=LataProjekcji,$E424=0,$D425&lt;=10)),$E425,IF($C424&lt;LataProjekcji,IF((SUM($K426:P426)+$C426)&lt;$C425,$C426,$C425-SUM($K426:P426)),0)),0)</f>
        <v>0</v>
      </c>
      <c r="R426" s="247">
        <f ca="1">ROUND(IF(OR(AND($C424=LataProjekcji,$E424&gt;0),AND($C424=LataProjekcji,$E424=0,$D425&lt;=10)),$E425,IF($C424&lt;LataProjekcji,IF((SUM($K426:Q426)+$C426)&lt;$C425,$C426,$C425-SUM($K426:Q426)),0)),0)</f>
        <v>0</v>
      </c>
      <c r="S426" s="247">
        <f ca="1">ROUND(IF(OR(AND($C424=LataProjekcji,$E424&gt;0),AND($C424=LataProjekcji,$E424=0,$D425&lt;=10)),$E425,IF($C424&lt;LataProjekcji,IF((SUM($K426:R426)+$C426)&lt;$C425,$C426,$C425-SUM($K426:R426)),0)),0)</f>
        <v>0</v>
      </c>
      <c r="T426" s="247">
        <f ca="1">ROUND(IF(OR(AND($C424=LataProjekcji,$E424&gt;0),AND($C424=LataProjekcji,$E424=0,$D425&lt;=10)),$E425,IF($C424&lt;LataProjekcji,IF((SUM($K426:S426)+$C426)&lt;$C425,$C426,$C425-SUM($K426:S426)),0)),0)</f>
        <v>0</v>
      </c>
      <c r="U426" s="247">
        <f ca="1">ROUND(IF(OR(AND($C424=LataProjekcji,$E424&gt;0),AND($C424=LataProjekcji,$E424=0,$D425&lt;=10)),$E425,IF($C424&lt;LataProjekcji,IF((SUM($K426:T426)+$C426)&lt;$C425,$C426,$C425-SUM($K426:T426)),0)),0)</f>
        <v>0</v>
      </c>
      <c r="V426" s="247">
        <f ca="1">ROUND(IF(OR(AND($C424=LataProjekcji,$E424&gt;0),AND($C424=LataProjekcji,$E424=0,$D425&lt;=10)),$E425,IF($C424&lt;LataProjekcji,IF((SUM($K426:U426)+$C426)&lt;$C425,$C426,$C425-SUM($K426:U426)),0)),0)</f>
        <v>0</v>
      </c>
      <c r="W426" s="247">
        <f ca="1">ROUND(IF(OR(AND($C424=LataProjekcji,$E424&gt;0),AND($C424=LataProjekcji,$E424=0,$D425&lt;=10)),$E425,IF($C424&lt;LataProjekcji,IF((SUM($K426:V426)+$C426)&lt;$C425,$C426,$C425-SUM($K426:V426)),0)),0)</f>
        <v>0</v>
      </c>
      <c r="X426" s="247">
        <f ca="1">ROUND(IF(OR(AND($C424=LataProjekcji,$E424&gt;0),AND($C424=LataProjekcji,$E424=0,$D425&lt;=10)),$E425,IF($C424&lt;LataProjekcji,IF((SUM($K426:W426)+$C426)&lt;$C425,$C426,$C425-SUM($K426:W426)),0)),0)</f>
        <v>0</v>
      </c>
    </row>
    <row r="427" spans="1:24" hidden="1">
      <c r="A427" s="258"/>
      <c r="B427" s="21" t="s">
        <v>416</v>
      </c>
      <c r="C427" s="22"/>
      <c r="D427" s="21"/>
      <c r="E427" s="21"/>
      <c r="F427" s="21"/>
      <c r="G427" s="21"/>
      <c r="I427" s="21"/>
      <c r="J427" s="21"/>
      <c r="K427" s="22">
        <f ca="1">ROUND(K426,0)</f>
        <v>0</v>
      </c>
      <c r="L427" s="22">
        <f t="shared" ref="L427" ca="1" si="241">ROUND(K427+L426,0)</f>
        <v>0</v>
      </c>
      <c r="M427" s="22">
        <f t="shared" ref="M427" ca="1" si="242">ROUND(L427+M426,0)</f>
        <v>0</v>
      </c>
      <c r="N427" s="22">
        <f t="shared" ref="N427" ca="1" si="243">ROUND(M427+N426,0)</f>
        <v>0</v>
      </c>
      <c r="O427" s="22">
        <f t="shared" ref="O427" ca="1" si="244">ROUND(N427+O426,0)</f>
        <v>0</v>
      </c>
      <c r="P427" s="22">
        <f t="shared" ref="P427" ca="1" si="245">ROUND(O427+P426,0)</f>
        <v>0</v>
      </c>
      <c r="Q427" s="22">
        <f t="shared" ref="Q427" ca="1" si="246">ROUND(P427+Q426,0)</f>
        <v>0</v>
      </c>
      <c r="R427" s="22">
        <f t="shared" ref="R427" ca="1" si="247">ROUND(Q427+R426,0)</f>
        <v>0</v>
      </c>
      <c r="S427" s="22">
        <f t="shared" ref="S427" ca="1" si="248">ROUND(R427+S426,0)</f>
        <v>0</v>
      </c>
      <c r="T427" s="22">
        <f t="shared" ref="T427" ca="1" si="249">ROUND(S427+T426,0)</f>
        <v>0</v>
      </c>
      <c r="U427" s="22">
        <f t="shared" ref="U427" ca="1" si="250">ROUND(T427+U426,0)</f>
        <v>0</v>
      </c>
      <c r="V427" s="22">
        <f t="shared" ref="V427" ca="1" si="251">ROUND(U427+V426,0)</f>
        <v>0</v>
      </c>
      <c r="W427" s="22">
        <f t="shared" ref="W427" ca="1" si="252">ROUND(V427+W426,0)</f>
        <v>0</v>
      </c>
      <c r="X427" s="22">
        <f t="shared" ref="X427" ca="1" si="253">ROUND(W427+X426,0)</f>
        <v>0</v>
      </c>
    </row>
    <row r="428" spans="1:24" hidden="1">
      <c r="A428" s="258"/>
      <c r="B428" s="21" t="s">
        <v>406</v>
      </c>
      <c r="C428" s="22"/>
      <c r="D428" s="21"/>
      <c r="E428" s="21"/>
      <c r="F428" s="21"/>
      <c r="G428" s="21"/>
      <c r="I428" s="21"/>
      <c r="J428" s="21"/>
      <c r="K428" s="77">
        <f t="shared" ref="K428:X428" ca="1" si="254">IF($C424=K$25,$C425,ROUND(IF(K426=0,0,$C425-K427),0))</f>
        <v>0</v>
      </c>
      <c r="L428" s="77">
        <f t="shared" ca="1" si="254"/>
        <v>0</v>
      </c>
      <c r="M428" s="77">
        <f t="shared" ca="1" si="254"/>
        <v>0</v>
      </c>
      <c r="N428" s="77">
        <f t="shared" ca="1" si="254"/>
        <v>0</v>
      </c>
      <c r="O428" s="77">
        <f t="shared" ca="1" si="254"/>
        <v>0</v>
      </c>
      <c r="P428" s="77">
        <f t="shared" ca="1" si="254"/>
        <v>0</v>
      </c>
      <c r="Q428" s="77">
        <f t="shared" ca="1" si="254"/>
        <v>0</v>
      </c>
      <c r="R428" s="77">
        <f t="shared" ca="1" si="254"/>
        <v>0</v>
      </c>
      <c r="S428" s="77">
        <f t="shared" ca="1" si="254"/>
        <v>0</v>
      </c>
      <c r="T428" s="77">
        <f t="shared" ca="1" si="254"/>
        <v>0</v>
      </c>
      <c r="U428" s="77">
        <f t="shared" ca="1" si="254"/>
        <v>0</v>
      </c>
      <c r="V428" s="77">
        <f t="shared" ca="1" si="254"/>
        <v>0</v>
      </c>
      <c r="W428" s="77">
        <f t="shared" ca="1" si="254"/>
        <v>0</v>
      </c>
      <c r="X428" s="77">
        <f t="shared" ca="1" si="254"/>
        <v>0</v>
      </c>
    </row>
    <row r="429" spans="1:24" hidden="1">
      <c r="A429" s="258"/>
      <c r="B429" s="20"/>
      <c r="C429" s="21"/>
      <c r="D429" s="21"/>
      <c r="E429" s="21"/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0" t="s">
        <v>454</v>
      </c>
      <c r="C430" s="21">
        <f>C423+1</f>
        <v>17</v>
      </c>
      <c r="D430" s="21" t="str">
        <f ca="1">OFFSET($B$28,C430,0)</f>
        <v/>
      </c>
      <c r="E430" s="473">
        <f>E423+1</f>
        <v>17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414</v>
      </c>
      <c r="C431" s="164">
        <f ca="1">IFERROR(YEAR(OFFSET($D$28,C430,0)),0)</f>
        <v>0</v>
      </c>
      <c r="D431" s="21"/>
      <c r="E431" s="21"/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406</v>
      </c>
      <c r="C432" s="22">
        <f ca="1">OFFSET($F$28,C430,0)</f>
        <v>0</v>
      </c>
      <c r="D432" s="21"/>
      <c r="E432" s="21"/>
      <c r="F432" s="21"/>
      <c r="G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4" hidden="1">
      <c r="A433" s="258"/>
      <c r="B433" s="21" t="s">
        <v>415</v>
      </c>
      <c r="C433" s="22">
        <f ca="1">ROUND(C432*am_prace_rozwojowe,0)</f>
        <v>0</v>
      </c>
      <c r="D433" s="21"/>
      <c r="E433" s="21"/>
      <c r="F433" s="21"/>
      <c r="G433" s="21"/>
      <c r="I433" s="21"/>
      <c r="J433" s="473" cm="1">
        <f t="array" aca="1" ref="J433" ca="1">OFFSET('Środki trwałe'!$C$195,'Rozliczenie dotacji'!E430,,)</f>
        <v>0</v>
      </c>
      <c r="K433" s="75">
        <f ca="1">IFERROR(ROUND(IF(($C431+1)=K$25,$C433,0),0),0)</f>
        <v>0</v>
      </c>
      <c r="L433" s="247">
        <f ca="1">ROUND(IF(OR(AND($C431=LataProjekcji,$E431&gt;0),AND($C431=LataProjekcji,$E431=0,$D432&lt;=10)),$E432,IF($C431&lt;LataProjekcji,IF((SUM($K433:K433)+$C433)&lt;$C432,$C433,$C432-SUM($K433:K433)),0)),0)</f>
        <v>0</v>
      </c>
      <c r="M433" s="247">
        <f ca="1">ROUND(IF(OR(AND($C431=LataProjekcji,$E431&gt;0),AND($C431=LataProjekcji,$E431=0,$D432&lt;=10)),$E432,IF($C431&lt;LataProjekcji,IF((SUM($K433:L433)+$C433)&lt;$C432,$C433,$C432-SUM($K433:L433)),0)),0)</f>
        <v>0</v>
      </c>
      <c r="N433" s="247">
        <f ca="1">ROUND(IF(OR(AND($C431=LataProjekcji,$E431&gt;0),AND($C431=LataProjekcji,$E431=0,$D432&lt;=10)),$E432,IF($C431&lt;LataProjekcji,IF((SUM($K433:M433)+$C433)&lt;$C432,$C433,$C432-SUM($K433:M433)),0)),0)</f>
        <v>0</v>
      </c>
      <c r="O433" s="247">
        <f ca="1">ROUND(IF(OR(AND($C431=LataProjekcji,$E431&gt;0),AND($C431=LataProjekcji,$E431=0,$D432&lt;=10)),$E432,IF($C431&lt;LataProjekcji,IF((SUM($K433:N433)+$C433)&lt;$C432,$C433,$C432-SUM($K433:N433)),0)),0)</f>
        <v>0</v>
      </c>
      <c r="P433" s="247">
        <f ca="1">ROUND(IF(OR(AND($C431=LataProjekcji,$E431&gt;0),AND($C431=LataProjekcji,$E431=0,$D432&lt;=10)),$E432,IF($C431&lt;LataProjekcji,IF((SUM($K433:O433)+$C433)&lt;$C432,$C433,$C432-SUM($K433:O433)),0)),0)</f>
        <v>0</v>
      </c>
      <c r="Q433" s="247">
        <f ca="1">ROUND(IF(OR(AND($C431=LataProjekcji,$E431&gt;0),AND($C431=LataProjekcji,$E431=0,$D432&lt;=10)),$E432,IF($C431&lt;LataProjekcji,IF((SUM($K433:P433)+$C433)&lt;$C432,$C433,$C432-SUM($K433:P433)),0)),0)</f>
        <v>0</v>
      </c>
      <c r="R433" s="247">
        <f ca="1">ROUND(IF(OR(AND($C431=LataProjekcji,$E431&gt;0),AND($C431=LataProjekcji,$E431=0,$D432&lt;=10)),$E432,IF($C431&lt;LataProjekcji,IF((SUM($K433:Q433)+$C433)&lt;$C432,$C433,$C432-SUM($K433:Q433)),0)),0)</f>
        <v>0</v>
      </c>
      <c r="S433" s="247">
        <f ca="1">ROUND(IF(OR(AND($C431=LataProjekcji,$E431&gt;0),AND($C431=LataProjekcji,$E431=0,$D432&lt;=10)),$E432,IF($C431&lt;LataProjekcji,IF((SUM($K433:R433)+$C433)&lt;$C432,$C433,$C432-SUM($K433:R433)),0)),0)</f>
        <v>0</v>
      </c>
      <c r="T433" s="247">
        <f ca="1">ROUND(IF(OR(AND($C431=LataProjekcji,$E431&gt;0),AND($C431=LataProjekcji,$E431=0,$D432&lt;=10)),$E432,IF($C431&lt;LataProjekcji,IF((SUM($K433:S433)+$C433)&lt;$C432,$C433,$C432-SUM($K433:S433)),0)),0)</f>
        <v>0</v>
      </c>
      <c r="U433" s="247">
        <f ca="1">ROUND(IF(OR(AND($C431=LataProjekcji,$E431&gt;0),AND($C431=LataProjekcji,$E431=0,$D432&lt;=10)),$E432,IF($C431&lt;LataProjekcji,IF((SUM($K433:T433)+$C433)&lt;$C432,$C433,$C432-SUM($K433:T433)),0)),0)</f>
        <v>0</v>
      </c>
      <c r="V433" s="247">
        <f ca="1">ROUND(IF(OR(AND($C431=LataProjekcji,$E431&gt;0),AND($C431=LataProjekcji,$E431=0,$D432&lt;=10)),$E432,IF($C431&lt;LataProjekcji,IF((SUM($K433:U433)+$C433)&lt;$C432,$C433,$C432-SUM($K433:U433)),0)),0)</f>
        <v>0</v>
      </c>
      <c r="W433" s="247">
        <f ca="1">ROUND(IF(OR(AND($C431=LataProjekcji,$E431&gt;0),AND($C431=LataProjekcji,$E431=0,$D432&lt;=10)),$E432,IF($C431&lt;LataProjekcji,IF((SUM($K433:V433)+$C433)&lt;$C432,$C433,$C432-SUM($K433:V433)),0)),0)</f>
        <v>0</v>
      </c>
      <c r="X433" s="247">
        <f ca="1">ROUND(IF(OR(AND($C431=LataProjekcji,$E431&gt;0),AND($C431=LataProjekcji,$E431=0,$D432&lt;=10)),$E432,IF($C431&lt;LataProjekcji,IF((SUM($K433:W433)+$C433)&lt;$C432,$C433,$C432-SUM($K433:W433)),0)),0)</f>
        <v>0</v>
      </c>
    </row>
    <row r="434" spans="1:24" hidden="1">
      <c r="A434" s="258"/>
      <c r="B434" s="21" t="s">
        <v>416</v>
      </c>
      <c r="C434" s="22"/>
      <c r="D434" s="21"/>
      <c r="E434" s="21"/>
      <c r="F434" s="21"/>
      <c r="G434" s="21"/>
      <c r="I434" s="21"/>
      <c r="J434" s="21"/>
      <c r="K434" s="22">
        <f ca="1">ROUND(K433,0)</f>
        <v>0</v>
      </c>
      <c r="L434" s="22">
        <f t="shared" ref="L434" ca="1" si="255">ROUND(K434+L433,0)</f>
        <v>0</v>
      </c>
      <c r="M434" s="22">
        <f t="shared" ref="M434" ca="1" si="256">ROUND(L434+M433,0)</f>
        <v>0</v>
      </c>
      <c r="N434" s="22">
        <f t="shared" ref="N434" ca="1" si="257">ROUND(M434+N433,0)</f>
        <v>0</v>
      </c>
      <c r="O434" s="22">
        <f t="shared" ref="O434" ca="1" si="258">ROUND(N434+O433,0)</f>
        <v>0</v>
      </c>
      <c r="P434" s="22">
        <f t="shared" ref="P434" ca="1" si="259">ROUND(O434+P433,0)</f>
        <v>0</v>
      </c>
      <c r="Q434" s="22">
        <f t="shared" ref="Q434" ca="1" si="260">ROUND(P434+Q433,0)</f>
        <v>0</v>
      </c>
      <c r="R434" s="22">
        <f t="shared" ref="R434" ca="1" si="261">ROUND(Q434+R433,0)</f>
        <v>0</v>
      </c>
      <c r="S434" s="22">
        <f t="shared" ref="S434" ca="1" si="262">ROUND(R434+S433,0)</f>
        <v>0</v>
      </c>
      <c r="T434" s="22">
        <f t="shared" ref="T434" ca="1" si="263">ROUND(S434+T433,0)</f>
        <v>0</v>
      </c>
      <c r="U434" s="22">
        <f t="shared" ref="U434" ca="1" si="264">ROUND(T434+U433,0)</f>
        <v>0</v>
      </c>
      <c r="V434" s="22">
        <f t="shared" ref="V434" ca="1" si="265">ROUND(U434+V433,0)</f>
        <v>0</v>
      </c>
      <c r="W434" s="22">
        <f t="shared" ref="W434" ca="1" si="266">ROUND(V434+W433,0)</f>
        <v>0</v>
      </c>
      <c r="X434" s="22">
        <f t="shared" ref="X434" ca="1" si="267">ROUND(W434+X433,0)</f>
        <v>0</v>
      </c>
    </row>
    <row r="435" spans="1:24" hidden="1">
      <c r="A435" s="258"/>
      <c r="B435" s="21" t="s">
        <v>406</v>
      </c>
      <c r="C435" s="22"/>
      <c r="D435" s="21"/>
      <c r="E435" s="21"/>
      <c r="F435" s="21"/>
      <c r="G435" s="21"/>
      <c r="I435" s="21"/>
      <c r="J435" s="21"/>
      <c r="K435" s="77">
        <f t="shared" ref="K435:X435" ca="1" si="268">IF($C431=K$25,$C432,ROUND(IF(K433=0,0,$C432-K434),0))</f>
        <v>0</v>
      </c>
      <c r="L435" s="77">
        <f t="shared" ca="1" si="268"/>
        <v>0</v>
      </c>
      <c r="M435" s="77">
        <f t="shared" ca="1" si="268"/>
        <v>0</v>
      </c>
      <c r="N435" s="77">
        <f t="shared" ca="1" si="268"/>
        <v>0</v>
      </c>
      <c r="O435" s="77">
        <f t="shared" ca="1" si="268"/>
        <v>0</v>
      </c>
      <c r="P435" s="77">
        <f t="shared" ca="1" si="268"/>
        <v>0</v>
      </c>
      <c r="Q435" s="77">
        <f t="shared" ca="1" si="268"/>
        <v>0</v>
      </c>
      <c r="R435" s="77">
        <f t="shared" ca="1" si="268"/>
        <v>0</v>
      </c>
      <c r="S435" s="77">
        <f t="shared" ca="1" si="268"/>
        <v>0</v>
      </c>
      <c r="T435" s="77">
        <f t="shared" ca="1" si="268"/>
        <v>0</v>
      </c>
      <c r="U435" s="77">
        <f t="shared" ca="1" si="268"/>
        <v>0</v>
      </c>
      <c r="V435" s="77">
        <f t="shared" ca="1" si="268"/>
        <v>0</v>
      </c>
      <c r="W435" s="77">
        <f t="shared" ca="1" si="268"/>
        <v>0</v>
      </c>
      <c r="X435" s="77">
        <f t="shared" ca="1" si="268"/>
        <v>0</v>
      </c>
    </row>
    <row r="436" spans="1:24" hidden="1">
      <c r="A436" s="258"/>
      <c r="B436" s="21"/>
      <c r="C436" s="22"/>
      <c r="D436" s="21"/>
      <c r="E436" s="21"/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0" t="s">
        <v>454</v>
      </c>
      <c r="C437" s="21">
        <f>C430+1</f>
        <v>18</v>
      </c>
      <c r="D437" s="21" t="str">
        <f ca="1">OFFSET($B$28,C437,0)</f>
        <v/>
      </c>
      <c r="E437" s="473">
        <f>E430+1</f>
        <v>18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414</v>
      </c>
      <c r="C438" s="164">
        <f ca="1">IFERROR(YEAR(OFFSET($D$28,C437,0)),0)</f>
        <v>0</v>
      </c>
      <c r="D438" s="21"/>
      <c r="E438" s="21"/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406</v>
      </c>
      <c r="C439" s="22">
        <f ca="1">OFFSET($F$28,C437,0)</f>
        <v>0</v>
      </c>
      <c r="D439" s="21"/>
      <c r="E439" s="21"/>
      <c r="F439" s="21"/>
      <c r="G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 spans="1:24" hidden="1">
      <c r="A440" s="258"/>
      <c r="B440" s="21" t="s">
        <v>415</v>
      </c>
      <c r="C440" s="22">
        <f ca="1">ROUND(C439*am_prace_rozwojowe,0)</f>
        <v>0</v>
      </c>
      <c r="D440" s="21"/>
      <c r="E440" s="21"/>
      <c r="F440" s="21"/>
      <c r="G440" s="21"/>
      <c r="I440" s="21"/>
      <c r="J440" s="473" cm="1">
        <f t="array" aca="1" ref="J440" ca="1">OFFSET('Środki trwałe'!$C$195,'Rozliczenie dotacji'!E437,,)</f>
        <v>0</v>
      </c>
      <c r="K440" s="75">
        <f ca="1">IFERROR(ROUND(IF(($C438+1)=K$25,$C440,0),0),0)</f>
        <v>0</v>
      </c>
      <c r="L440" s="247">
        <f ca="1">ROUND(IF(OR(AND($C438=LataProjekcji,$E438&gt;0),AND($C438=LataProjekcji,$E438=0,$D439&lt;=10)),$E439,IF($C438&lt;LataProjekcji,IF((SUM($K440:K440)+$C440)&lt;$C439,$C440,$C439-SUM($K440:K440)),0)),0)</f>
        <v>0</v>
      </c>
      <c r="M440" s="247">
        <f ca="1">ROUND(IF(OR(AND($C438=LataProjekcji,$E438&gt;0),AND($C438=LataProjekcji,$E438=0,$D439&lt;=10)),$E439,IF($C438&lt;LataProjekcji,IF((SUM($K440:L440)+$C440)&lt;$C439,$C440,$C439-SUM($K440:L440)),0)),0)</f>
        <v>0</v>
      </c>
      <c r="N440" s="247">
        <f ca="1">ROUND(IF(OR(AND($C438=LataProjekcji,$E438&gt;0),AND($C438=LataProjekcji,$E438=0,$D439&lt;=10)),$E439,IF($C438&lt;LataProjekcji,IF((SUM($K440:M440)+$C440)&lt;$C439,$C440,$C439-SUM($K440:M440)),0)),0)</f>
        <v>0</v>
      </c>
      <c r="O440" s="247">
        <f ca="1">ROUND(IF(OR(AND($C438=LataProjekcji,$E438&gt;0),AND($C438=LataProjekcji,$E438=0,$D439&lt;=10)),$E439,IF($C438&lt;LataProjekcji,IF((SUM($K440:N440)+$C440)&lt;$C439,$C440,$C439-SUM($K440:N440)),0)),0)</f>
        <v>0</v>
      </c>
      <c r="P440" s="247">
        <f ca="1">ROUND(IF(OR(AND($C438=LataProjekcji,$E438&gt;0),AND($C438=LataProjekcji,$E438=0,$D439&lt;=10)),$E439,IF($C438&lt;LataProjekcji,IF((SUM($K440:O440)+$C440)&lt;$C439,$C440,$C439-SUM($K440:O440)),0)),0)</f>
        <v>0</v>
      </c>
      <c r="Q440" s="247">
        <f ca="1">ROUND(IF(OR(AND($C438=LataProjekcji,$E438&gt;0),AND($C438=LataProjekcji,$E438=0,$D439&lt;=10)),$E439,IF($C438&lt;LataProjekcji,IF((SUM($K440:P440)+$C440)&lt;$C439,$C440,$C439-SUM($K440:P440)),0)),0)</f>
        <v>0</v>
      </c>
      <c r="R440" s="247">
        <f ca="1">ROUND(IF(OR(AND($C438=LataProjekcji,$E438&gt;0),AND($C438=LataProjekcji,$E438=0,$D439&lt;=10)),$E439,IF($C438&lt;LataProjekcji,IF((SUM($K440:Q440)+$C440)&lt;$C439,$C440,$C439-SUM($K440:Q440)),0)),0)</f>
        <v>0</v>
      </c>
      <c r="S440" s="247">
        <f ca="1">ROUND(IF(OR(AND($C438=LataProjekcji,$E438&gt;0),AND($C438=LataProjekcji,$E438=0,$D439&lt;=10)),$E439,IF($C438&lt;LataProjekcji,IF((SUM($K440:R440)+$C440)&lt;$C439,$C440,$C439-SUM($K440:R440)),0)),0)</f>
        <v>0</v>
      </c>
      <c r="T440" s="247">
        <f ca="1">ROUND(IF(OR(AND($C438=LataProjekcji,$E438&gt;0),AND($C438=LataProjekcji,$E438=0,$D439&lt;=10)),$E439,IF($C438&lt;LataProjekcji,IF((SUM($K440:S440)+$C440)&lt;$C439,$C440,$C439-SUM($K440:S440)),0)),0)</f>
        <v>0</v>
      </c>
      <c r="U440" s="247">
        <f ca="1">ROUND(IF(OR(AND($C438=LataProjekcji,$E438&gt;0),AND($C438=LataProjekcji,$E438=0,$D439&lt;=10)),$E439,IF($C438&lt;LataProjekcji,IF((SUM($K440:T440)+$C440)&lt;$C439,$C440,$C439-SUM($K440:T440)),0)),0)</f>
        <v>0</v>
      </c>
      <c r="V440" s="247">
        <f ca="1">ROUND(IF(OR(AND($C438=LataProjekcji,$E438&gt;0),AND($C438=LataProjekcji,$E438=0,$D439&lt;=10)),$E439,IF($C438&lt;LataProjekcji,IF((SUM($K440:U440)+$C440)&lt;$C439,$C440,$C439-SUM($K440:U440)),0)),0)</f>
        <v>0</v>
      </c>
      <c r="W440" s="247">
        <f ca="1">ROUND(IF(OR(AND($C438=LataProjekcji,$E438&gt;0),AND($C438=LataProjekcji,$E438=0,$D439&lt;=10)),$E439,IF($C438&lt;LataProjekcji,IF((SUM($K440:V440)+$C440)&lt;$C439,$C440,$C439-SUM($K440:V440)),0)),0)</f>
        <v>0</v>
      </c>
      <c r="X440" s="247">
        <f ca="1">ROUND(IF(OR(AND($C438=LataProjekcji,$E438&gt;0),AND($C438=LataProjekcji,$E438=0,$D439&lt;=10)),$E439,IF($C438&lt;LataProjekcji,IF((SUM($K440:W440)+$C440)&lt;$C439,$C440,$C439-SUM($K440:W440)),0)),0)</f>
        <v>0</v>
      </c>
    </row>
    <row r="441" spans="1:24" hidden="1">
      <c r="A441" s="258"/>
      <c r="B441" s="21" t="s">
        <v>416</v>
      </c>
      <c r="C441" s="22"/>
      <c r="D441" s="21"/>
      <c r="E441" s="21"/>
      <c r="F441" s="21"/>
      <c r="G441" s="21"/>
      <c r="I441" s="21"/>
      <c r="J441" s="21"/>
      <c r="K441" s="22">
        <f ca="1">ROUND(K440,0)</f>
        <v>0</v>
      </c>
      <c r="L441" s="22">
        <f t="shared" ref="L441" ca="1" si="269">ROUND(K441+L440,0)</f>
        <v>0</v>
      </c>
      <c r="M441" s="22">
        <f t="shared" ref="M441" ca="1" si="270">ROUND(L441+M440,0)</f>
        <v>0</v>
      </c>
      <c r="N441" s="22">
        <f t="shared" ref="N441" ca="1" si="271">ROUND(M441+N440,0)</f>
        <v>0</v>
      </c>
      <c r="O441" s="22">
        <f t="shared" ref="O441" ca="1" si="272">ROUND(N441+O440,0)</f>
        <v>0</v>
      </c>
      <c r="P441" s="22">
        <f t="shared" ref="P441" ca="1" si="273">ROUND(O441+P440,0)</f>
        <v>0</v>
      </c>
      <c r="Q441" s="22">
        <f t="shared" ref="Q441" ca="1" si="274">ROUND(P441+Q440,0)</f>
        <v>0</v>
      </c>
      <c r="R441" s="22">
        <f t="shared" ref="R441" ca="1" si="275">ROUND(Q441+R440,0)</f>
        <v>0</v>
      </c>
      <c r="S441" s="22">
        <f t="shared" ref="S441" ca="1" si="276">ROUND(R441+S440,0)</f>
        <v>0</v>
      </c>
      <c r="T441" s="22">
        <f t="shared" ref="T441" ca="1" si="277">ROUND(S441+T440,0)</f>
        <v>0</v>
      </c>
      <c r="U441" s="22">
        <f t="shared" ref="U441" ca="1" si="278">ROUND(T441+U440,0)</f>
        <v>0</v>
      </c>
      <c r="V441" s="22">
        <f t="shared" ref="V441" ca="1" si="279">ROUND(U441+V440,0)</f>
        <v>0</v>
      </c>
      <c r="W441" s="22">
        <f t="shared" ref="W441" ca="1" si="280">ROUND(V441+W440,0)</f>
        <v>0</v>
      </c>
      <c r="X441" s="22">
        <f t="shared" ref="X441" ca="1" si="281">ROUND(W441+X440,0)</f>
        <v>0</v>
      </c>
    </row>
    <row r="442" spans="1:24" hidden="1">
      <c r="A442" s="258"/>
      <c r="B442" s="21" t="s">
        <v>406</v>
      </c>
      <c r="C442" s="22"/>
      <c r="D442" s="21"/>
      <c r="E442" s="21"/>
      <c r="F442" s="21"/>
      <c r="G442" s="21"/>
      <c r="I442" s="21"/>
      <c r="J442" s="21"/>
      <c r="K442" s="77">
        <f t="shared" ref="K442:X442" ca="1" si="282">IF($C438=K$25,$C439,ROUND(IF(K440=0,0,$C439-K441),0))</f>
        <v>0</v>
      </c>
      <c r="L442" s="77">
        <f t="shared" ca="1" si="282"/>
        <v>0</v>
      </c>
      <c r="M442" s="77">
        <f t="shared" ca="1" si="282"/>
        <v>0</v>
      </c>
      <c r="N442" s="77">
        <f t="shared" ca="1" si="282"/>
        <v>0</v>
      </c>
      <c r="O442" s="77">
        <f t="shared" ca="1" si="282"/>
        <v>0</v>
      </c>
      <c r="P442" s="77">
        <f t="shared" ca="1" si="282"/>
        <v>0</v>
      </c>
      <c r="Q442" s="77">
        <f t="shared" ca="1" si="282"/>
        <v>0</v>
      </c>
      <c r="R442" s="77">
        <f t="shared" ca="1" si="282"/>
        <v>0</v>
      </c>
      <c r="S442" s="77">
        <f t="shared" ca="1" si="282"/>
        <v>0</v>
      </c>
      <c r="T442" s="77">
        <f t="shared" ca="1" si="282"/>
        <v>0</v>
      </c>
      <c r="U442" s="77">
        <f t="shared" ca="1" si="282"/>
        <v>0</v>
      </c>
      <c r="V442" s="77">
        <f t="shared" ca="1" si="282"/>
        <v>0</v>
      </c>
      <c r="W442" s="77">
        <f t="shared" ca="1" si="282"/>
        <v>0</v>
      </c>
      <c r="X442" s="77">
        <f t="shared" ca="1" si="282"/>
        <v>0</v>
      </c>
    </row>
    <row r="443" spans="1:24" hidden="1">
      <c r="A443" s="258"/>
      <c r="B443" s="21"/>
      <c r="C443" s="22"/>
      <c r="D443" s="21"/>
      <c r="E443" s="21"/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0" t="s">
        <v>454</v>
      </c>
      <c r="C444" s="21">
        <f>C437+1</f>
        <v>19</v>
      </c>
      <c r="D444" s="21" t="str">
        <f ca="1">OFFSET($B$28,C444,0)</f>
        <v/>
      </c>
      <c r="E444" s="473">
        <f>E437+1</f>
        <v>19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414</v>
      </c>
      <c r="C445" s="164">
        <f ca="1">IFERROR(YEAR(OFFSET($D$28,C444,0)),0)</f>
        <v>0</v>
      </c>
      <c r="D445" s="21"/>
      <c r="E445" s="21"/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406</v>
      </c>
      <c r="C446" s="22">
        <f ca="1">OFFSET($F$28,C444,0)</f>
        <v>0</v>
      </c>
      <c r="D446" s="21"/>
      <c r="E446" s="21"/>
      <c r="F446" s="21"/>
      <c r="G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</row>
    <row r="447" spans="1:24" hidden="1">
      <c r="A447" s="258"/>
      <c r="B447" s="21" t="s">
        <v>415</v>
      </c>
      <c r="C447" s="22">
        <f ca="1">ROUND(C446*am_prace_rozwojowe,0)</f>
        <v>0</v>
      </c>
      <c r="D447" s="21"/>
      <c r="E447" s="21"/>
      <c r="F447" s="21"/>
      <c r="G447" s="21"/>
      <c r="I447" s="21"/>
      <c r="J447" s="473" cm="1">
        <f t="array" aca="1" ref="J447" ca="1">OFFSET('Środki trwałe'!$C$195,'Rozliczenie dotacji'!E444,,)</f>
        <v>0</v>
      </c>
      <c r="K447" s="75">
        <f ca="1">IFERROR(ROUND(IF(($C445+1)=K$25,$C447,0),0),0)</f>
        <v>0</v>
      </c>
      <c r="L447" s="247">
        <f ca="1">ROUND(IF(OR(AND($C445=LataProjekcji,$E445&gt;0),AND($C445=LataProjekcji,$E445=0,$D446&lt;=10)),$E446,IF($C445&lt;LataProjekcji,IF((SUM($K447:K447)+$C447)&lt;$C446,$C447,$C446-SUM($K447:K447)),0)),0)</f>
        <v>0</v>
      </c>
      <c r="M447" s="247">
        <f ca="1">ROUND(IF(OR(AND($C445=LataProjekcji,$E445&gt;0),AND($C445=LataProjekcji,$E445=0,$D446&lt;=10)),$E446,IF($C445&lt;LataProjekcji,IF((SUM($K447:L447)+$C447)&lt;$C446,$C447,$C446-SUM($K447:L447)),0)),0)</f>
        <v>0</v>
      </c>
      <c r="N447" s="247">
        <f ca="1">ROUND(IF(OR(AND($C445=LataProjekcji,$E445&gt;0),AND($C445=LataProjekcji,$E445=0,$D446&lt;=10)),$E446,IF($C445&lt;LataProjekcji,IF((SUM($K447:M447)+$C447)&lt;$C446,$C447,$C446-SUM($K447:M447)),0)),0)</f>
        <v>0</v>
      </c>
      <c r="O447" s="247">
        <f ca="1">ROUND(IF(OR(AND($C445=LataProjekcji,$E445&gt;0),AND($C445=LataProjekcji,$E445=0,$D446&lt;=10)),$E446,IF($C445&lt;LataProjekcji,IF((SUM($K447:N447)+$C447)&lt;$C446,$C447,$C446-SUM($K447:N447)),0)),0)</f>
        <v>0</v>
      </c>
      <c r="P447" s="247">
        <f ca="1">ROUND(IF(OR(AND($C445=LataProjekcji,$E445&gt;0),AND($C445=LataProjekcji,$E445=0,$D446&lt;=10)),$E446,IF($C445&lt;LataProjekcji,IF((SUM($K447:O447)+$C447)&lt;$C446,$C447,$C446-SUM($K447:O447)),0)),0)</f>
        <v>0</v>
      </c>
      <c r="Q447" s="247">
        <f ca="1">ROUND(IF(OR(AND($C445=LataProjekcji,$E445&gt;0),AND($C445=LataProjekcji,$E445=0,$D446&lt;=10)),$E446,IF($C445&lt;LataProjekcji,IF((SUM($K447:P447)+$C447)&lt;$C446,$C447,$C446-SUM($K447:P447)),0)),0)</f>
        <v>0</v>
      </c>
      <c r="R447" s="247">
        <f ca="1">ROUND(IF(OR(AND($C445=LataProjekcji,$E445&gt;0),AND($C445=LataProjekcji,$E445=0,$D446&lt;=10)),$E446,IF($C445&lt;LataProjekcji,IF((SUM($K447:Q447)+$C447)&lt;$C446,$C447,$C446-SUM($K447:Q447)),0)),0)</f>
        <v>0</v>
      </c>
      <c r="S447" s="247">
        <f ca="1">ROUND(IF(OR(AND($C445=LataProjekcji,$E445&gt;0),AND($C445=LataProjekcji,$E445=0,$D446&lt;=10)),$E446,IF($C445&lt;LataProjekcji,IF((SUM($K447:R447)+$C447)&lt;$C446,$C447,$C446-SUM($K447:R447)),0)),0)</f>
        <v>0</v>
      </c>
      <c r="T447" s="247">
        <f ca="1">ROUND(IF(OR(AND($C445=LataProjekcji,$E445&gt;0),AND($C445=LataProjekcji,$E445=0,$D446&lt;=10)),$E446,IF($C445&lt;LataProjekcji,IF((SUM($K447:S447)+$C447)&lt;$C446,$C447,$C446-SUM($K447:S447)),0)),0)</f>
        <v>0</v>
      </c>
      <c r="U447" s="247">
        <f ca="1">ROUND(IF(OR(AND($C445=LataProjekcji,$E445&gt;0),AND($C445=LataProjekcji,$E445=0,$D446&lt;=10)),$E446,IF($C445&lt;LataProjekcji,IF((SUM($K447:T447)+$C447)&lt;$C446,$C447,$C446-SUM($K447:T447)),0)),0)</f>
        <v>0</v>
      </c>
      <c r="V447" s="247">
        <f ca="1">ROUND(IF(OR(AND($C445=LataProjekcji,$E445&gt;0),AND($C445=LataProjekcji,$E445=0,$D446&lt;=10)),$E446,IF($C445&lt;LataProjekcji,IF((SUM($K447:U447)+$C447)&lt;$C446,$C447,$C446-SUM($K447:U447)),0)),0)</f>
        <v>0</v>
      </c>
      <c r="W447" s="247">
        <f ca="1">ROUND(IF(OR(AND($C445=LataProjekcji,$E445&gt;0),AND($C445=LataProjekcji,$E445=0,$D446&lt;=10)),$E446,IF($C445&lt;LataProjekcji,IF((SUM($K447:V447)+$C447)&lt;$C446,$C447,$C446-SUM($K447:V447)),0)),0)</f>
        <v>0</v>
      </c>
      <c r="X447" s="247">
        <f ca="1">ROUND(IF(OR(AND($C445=LataProjekcji,$E445&gt;0),AND($C445=LataProjekcji,$E445=0,$D446&lt;=10)),$E446,IF($C445&lt;LataProjekcji,IF((SUM($K447:W447)+$C447)&lt;$C446,$C447,$C446-SUM($K447:W447)),0)),0)</f>
        <v>0</v>
      </c>
    </row>
    <row r="448" spans="1:24" hidden="1">
      <c r="A448" s="258"/>
      <c r="B448" s="21" t="s">
        <v>416</v>
      </c>
      <c r="C448" s="22"/>
      <c r="D448" s="21"/>
      <c r="E448" s="21"/>
      <c r="F448" s="21"/>
      <c r="G448" s="21"/>
      <c r="I448" s="21"/>
      <c r="J448" s="21"/>
      <c r="K448" s="22">
        <f ca="1">ROUND(K447,0)</f>
        <v>0</v>
      </c>
      <c r="L448" s="22">
        <f t="shared" ref="L448" ca="1" si="283">ROUND(K448+L447,0)</f>
        <v>0</v>
      </c>
      <c r="M448" s="22">
        <f t="shared" ref="M448" ca="1" si="284">ROUND(L448+M447,0)</f>
        <v>0</v>
      </c>
      <c r="N448" s="22">
        <f t="shared" ref="N448" ca="1" si="285">ROUND(M448+N447,0)</f>
        <v>0</v>
      </c>
      <c r="O448" s="22">
        <f t="shared" ref="O448" ca="1" si="286">ROUND(N448+O447,0)</f>
        <v>0</v>
      </c>
      <c r="P448" s="22">
        <f t="shared" ref="P448" ca="1" si="287">ROUND(O448+P447,0)</f>
        <v>0</v>
      </c>
      <c r="Q448" s="22">
        <f t="shared" ref="Q448" ca="1" si="288">ROUND(P448+Q447,0)</f>
        <v>0</v>
      </c>
      <c r="R448" s="22">
        <f t="shared" ref="R448" ca="1" si="289">ROUND(Q448+R447,0)</f>
        <v>0</v>
      </c>
      <c r="S448" s="22">
        <f t="shared" ref="S448" ca="1" si="290">ROUND(R448+S447,0)</f>
        <v>0</v>
      </c>
      <c r="T448" s="22">
        <f t="shared" ref="T448" ca="1" si="291">ROUND(S448+T447,0)</f>
        <v>0</v>
      </c>
      <c r="U448" s="22">
        <f t="shared" ref="U448" ca="1" si="292">ROUND(T448+U447,0)</f>
        <v>0</v>
      </c>
      <c r="V448" s="22">
        <f t="shared" ref="V448" ca="1" si="293">ROUND(U448+V447,0)</f>
        <v>0</v>
      </c>
      <c r="W448" s="22">
        <f t="shared" ref="W448" ca="1" si="294">ROUND(V448+W447,0)</f>
        <v>0</v>
      </c>
      <c r="X448" s="22">
        <f t="shared" ref="X448" ca="1" si="295">ROUND(W448+X447,0)</f>
        <v>0</v>
      </c>
    </row>
    <row r="449" spans="1:24" hidden="1">
      <c r="A449" s="258"/>
      <c r="B449" s="21" t="s">
        <v>406</v>
      </c>
      <c r="C449" s="22"/>
      <c r="D449" s="21"/>
      <c r="E449" s="21"/>
      <c r="F449" s="21"/>
      <c r="G449" s="21"/>
      <c r="I449" s="21"/>
      <c r="J449" s="21"/>
      <c r="K449" s="77">
        <f t="shared" ref="K449:X449" ca="1" si="296">IF($C445=K$25,$C446,ROUND(IF(K447=0,0,$C446-K448),0))</f>
        <v>0</v>
      </c>
      <c r="L449" s="77">
        <f t="shared" ca="1" si="296"/>
        <v>0</v>
      </c>
      <c r="M449" s="77">
        <f t="shared" ca="1" si="296"/>
        <v>0</v>
      </c>
      <c r="N449" s="77">
        <f t="shared" ca="1" si="296"/>
        <v>0</v>
      </c>
      <c r="O449" s="77">
        <f t="shared" ca="1" si="296"/>
        <v>0</v>
      </c>
      <c r="P449" s="77">
        <f t="shared" ca="1" si="296"/>
        <v>0</v>
      </c>
      <c r="Q449" s="77">
        <f t="shared" ca="1" si="296"/>
        <v>0</v>
      </c>
      <c r="R449" s="77">
        <f t="shared" ca="1" si="296"/>
        <v>0</v>
      </c>
      <c r="S449" s="77">
        <f t="shared" ca="1" si="296"/>
        <v>0</v>
      </c>
      <c r="T449" s="77">
        <f t="shared" ca="1" si="296"/>
        <v>0</v>
      </c>
      <c r="U449" s="77">
        <f t="shared" ca="1" si="296"/>
        <v>0</v>
      </c>
      <c r="V449" s="77">
        <f t="shared" ca="1" si="296"/>
        <v>0</v>
      </c>
      <c r="W449" s="77">
        <f t="shared" ca="1" si="296"/>
        <v>0</v>
      </c>
      <c r="X449" s="77">
        <f t="shared" ca="1" si="296"/>
        <v>0</v>
      </c>
    </row>
    <row r="450" spans="1:24" hidden="1">
      <c r="A450" s="258"/>
      <c r="B450" s="20"/>
      <c r="C450" s="21"/>
      <c r="D450" s="21"/>
      <c r="E450" s="21"/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0" t="s">
        <v>454</v>
      </c>
      <c r="C451" s="21">
        <f>C444+1</f>
        <v>20</v>
      </c>
      <c r="D451" s="21" t="str">
        <f ca="1">OFFSET($B$28,C451,0)</f>
        <v/>
      </c>
      <c r="E451" s="473">
        <f>E444+1</f>
        <v>20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414</v>
      </c>
      <c r="C452" s="164">
        <f ca="1">IFERROR(YEAR(OFFSET($D$28,C451,0)),0)</f>
        <v>0</v>
      </c>
      <c r="D452" s="21"/>
      <c r="E452" s="21"/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406</v>
      </c>
      <c r="C453" s="22">
        <f ca="1">OFFSET($F$28,C451,0)</f>
        <v>0</v>
      </c>
      <c r="D453" s="21"/>
      <c r="E453" s="21"/>
      <c r="F453" s="21"/>
      <c r="G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hidden="1">
      <c r="A454" s="258"/>
      <c r="B454" s="21" t="s">
        <v>415</v>
      </c>
      <c r="C454" s="22">
        <f ca="1">ROUND(C453*am_prace_rozwojowe,0)</f>
        <v>0</v>
      </c>
      <c r="D454" s="21"/>
      <c r="E454" s="21"/>
      <c r="F454" s="21"/>
      <c r="G454" s="21"/>
      <c r="I454" s="21"/>
      <c r="J454" s="473" cm="1">
        <f t="array" aca="1" ref="J454" ca="1">OFFSET('Środki trwałe'!$C$195,'Rozliczenie dotacji'!E451,,)</f>
        <v>0</v>
      </c>
      <c r="K454" s="75">
        <f ca="1">IFERROR(ROUND(IF(($C452+1)=K$25,$C454,0),0),0)</f>
        <v>0</v>
      </c>
      <c r="L454" s="247">
        <f ca="1">ROUND(IF(OR(AND($C452=LataProjekcji,$E452&gt;0),AND($C452=LataProjekcji,$E452=0,$D453&lt;=10)),$E453,IF($C452&lt;LataProjekcji,IF((SUM($K454:K454)+$C454)&lt;$C453,$C454,$C453-SUM($K454:K454)),0)),0)</f>
        <v>0</v>
      </c>
      <c r="M454" s="247">
        <f ca="1">ROUND(IF(OR(AND($C452=LataProjekcji,$E452&gt;0),AND($C452=LataProjekcji,$E452=0,$D453&lt;=10)),$E453,IF($C452&lt;LataProjekcji,IF((SUM($K454:L454)+$C454)&lt;$C453,$C454,$C453-SUM($K454:L454)),0)),0)</f>
        <v>0</v>
      </c>
      <c r="N454" s="247">
        <f ca="1">ROUND(IF(OR(AND($C452=LataProjekcji,$E452&gt;0),AND($C452=LataProjekcji,$E452=0,$D453&lt;=10)),$E453,IF($C452&lt;LataProjekcji,IF((SUM($K454:M454)+$C454)&lt;$C453,$C454,$C453-SUM($K454:M454)),0)),0)</f>
        <v>0</v>
      </c>
      <c r="O454" s="247">
        <f ca="1">ROUND(IF(OR(AND($C452=LataProjekcji,$E452&gt;0),AND($C452=LataProjekcji,$E452=0,$D453&lt;=10)),$E453,IF($C452&lt;LataProjekcji,IF((SUM($K454:N454)+$C454)&lt;$C453,$C454,$C453-SUM($K454:N454)),0)),0)</f>
        <v>0</v>
      </c>
      <c r="P454" s="247">
        <f ca="1">ROUND(IF(OR(AND($C452=LataProjekcji,$E452&gt;0),AND($C452=LataProjekcji,$E452=0,$D453&lt;=10)),$E453,IF($C452&lt;LataProjekcji,IF((SUM($K454:O454)+$C454)&lt;$C453,$C454,$C453-SUM($K454:O454)),0)),0)</f>
        <v>0</v>
      </c>
      <c r="Q454" s="247">
        <f ca="1">ROUND(IF(OR(AND($C452=LataProjekcji,$E452&gt;0),AND($C452=LataProjekcji,$E452=0,$D453&lt;=10)),$E453,IF($C452&lt;LataProjekcji,IF((SUM($K454:P454)+$C454)&lt;$C453,$C454,$C453-SUM($K454:P454)),0)),0)</f>
        <v>0</v>
      </c>
      <c r="R454" s="247">
        <f ca="1">ROUND(IF(OR(AND($C452=LataProjekcji,$E452&gt;0),AND($C452=LataProjekcji,$E452=0,$D453&lt;=10)),$E453,IF($C452&lt;LataProjekcji,IF((SUM($K454:Q454)+$C454)&lt;$C453,$C454,$C453-SUM($K454:Q454)),0)),0)</f>
        <v>0</v>
      </c>
      <c r="S454" s="247">
        <f ca="1">ROUND(IF(OR(AND($C452=LataProjekcji,$E452&gt;0),AND($C452=LataProjekcji,$E452=0,$D453&lt;=10)),$E453,IF($C452&lt;LataProjekcji,IF((SUM($K454:R454)+$C454)&lt;$C453,$C454,$C453-SUM($K454:R454)),0)),0)</f>
        <v>0</v>
      </c>
      <c r="T454" s="247">
        <f ca="1">ROUND(IF(OR(AND($C452=LataProjekcji,$E452&gt;0),AND($C452=LataProjekcji,$E452=0,$D453&lt;=10)),$E453,IF($C452&lt;LataProjekcji,IF((SUM($K454:S454)+$C454)&lt;$C453,$C454,$C453-SUM($K454:S454)),0)),0)</f>
        <v>0</v>
      </c>
      <c r="U454" s="247">
        <f ca="1">ROUND(IF(OR(AND($C452=LataProjekcji,$E452&gt;0),AND($C452=LataProjekcji,$E452=0,$D453&lt;=10)),$E453,IF($C452&lt;LataProjekcji,IF((SUM($K454:T454)+$C454)&lt;$C453,$C454,$C453-SUM($K454:T454)),0)),0)</f>
        <v>0</v>
      </c>
      <c r="V454" s="247">
        <f ca="1">ROUND(IF(OR(AND($C452=LataProjekcji,$E452&gt;0),AND($C452=LataProjekcji,$E452=0,$D453&lt;=10)),$E453,IF($C452&lt;LataProjekcji,IF((SUM($K454:U454)+$C454)&lt;$C453,$C454,$C453-SUM($K454:U454)),0)),0)</f>
        <v>0</v>
      </c>
      <c r="W454" s="247">
        <f ca="1">ROUND(IF(OR(AND($C452=LataProjekcji,$E452&gt;0),AND($C452=LataProjekcji,$E452=0,$D453&lt;=10)),$E453,IF($C452&lt;LataProjekcji,IF((SUM($K454:V454)+$C454)&lt;$C453,$C454,$C453-SUM($K454:V454)),0)),0)</f>
        <v>0</v>
      </c>
      <c r="X454" s="247">
        <f ca="1">ROUND(IF(OR(AND($C452=LataProjekcji,$E452&gt;0),AND($C452=LataProjekcji,$E452=0,$D453&lt;=10)),$E453,IF($C452&lt;LataProjekcji,IF((SUM($K454:W454)+$C454)&lt;$C453,$C454,$C453-SUM($K454:W454)),0)),0)</f>
        <v>0</v>
      </c>
    </row>
    <row r="455" spans="1:24" hidden="1">
      <c r="A455" s="258"/>
      <c r="B455" s="21" t="s">
        <v>416</v>
      </c>
      <c r="C455" s="22"/>
      <c r="D455" s="21"/>
      <c r="E455" s="21"/>
      <c r="F455" s="21"/>
      <c r="G455" s="21"/>
      <c r="I455" s="21"/>
      <c r="J455" s="21"/>
      <c r="K455" s="22">
        <f ca="1">ROUND(K454,0)</f>
        <v>0</v>
      </c>
      <c r="L455" s="22">
        <f t="shared" ref="L455" ca="1" si="297">ROUND(K455+L454,0)</f>
        <v>0</v>
      </c>
      <c r="M455" s="22">
        <f t="shared" ref="M455" ca="1" si="298">ROUND(L455+M454,0)</f>
        <v>0</v>
      </c>
      <c r="N455" s="22">
        <f t="shared" ref="N455" ca="1" si="299">ROUND(M455+N454,0)</f>
        <v>0</v>
      </c>
      <c r="O455" s="22">
        <f t="shared" ref="O455" ca="1" si="300">ROUND(N455+O454,0)</f>
        <v>0</v>
      </c>
      <c r="P455" s="22">
        <f t="shared" ref="P455" ca="1" si="301">ROUND(O455+P454,0)</f>
        <v>0</v>
      </c>
      <c r="Q455" s="22">
        <f t="shared" ref="Q455" ca="1" si="302">ROUND(P455+Q454,0)</f>
        <v>0</v>
      </c>
      <c r="R455" s="22">
        <f t="shared" ref="R455" ca="1" si="303">ROUND(Q455+R454,0)</f>
        <v>0</v>
      </c>
      <c r="S455" s="22">
        <f t="shared" ref="S455" ca="1" si="304">ROUND(R455+S454,0)</f>
        <v>0</v>
      </c>
      <c r="T455" s="22">
        <f t="shared" ref="T455" ca="1" si="305">ROUND(S455+T454,0)</f>
        <v>0</v>
      </c>
      <c r="U455" s="22">
        <f t="shared" ref="U455" ca="1" si="306">ROUND(T455+U454,0)</f>
        <v>0</v>
      </c>
      <c r="V455" s="22">
        <f t="shared" ref="V455" ca="1" si="307">ROUND(U455+V454,0)</f>
        <v>0</v>
      </c>
      <c r="W455" s="22">
        <f t="shared" ref="W455" ca="1" si="308">ROUND(V455+W454,0)</f>
        <v>0</v>
      </c>
      <c r="X455" s="22">
        <f t="shared" ref="X455" ca="1" si="309">ROUND(W455+X454,0)</f>
        <v>0</v>
      </c>
    </row>
    <row r="456" spans="1:24" hidden="1">
      <c r="A456" s="258"/>
      <c r="B456" s="21" t="s">
        <v>406</v>
      </c>
      <c r="C456" s="22"/>
      <c r="D456" s="21"/>
      <c r="E456" s="21"/>
      <c r="F456" s="21"/>
      <c r="G456" s="21"/>
      <c r="I456" s="21"/>
      <c r="J456" s="21"/>
      <c r="K456" s="77">
        <f t="shared" ref="K456:X456" ca="1" si="310">IF($C452=K$25,$C453,ROUND(IF(K454=0,0,$C453-K455),0))</f>
        <v>0</v>
      </c>
      <c r="L456" s="77">
        <f t="shared" ca="1" si="310"/>
        <v>0</v>
      </c>
      <c r="M456" s="77">
        <f t="shared" ca="1" si="310"/>
        <v>0</v>
      </c>
      <c r="N456" s="77">
        <f t="shared" ca="1" si="310"/>
        <v>0</v>
      </c>
      <c r="O456" s="77">
        <f t="shared" ca="1" si="310"/>
        <v>0</v>
      </c>
      <c r="P456" s="77">
        <f t="shared" ca="1" si="310"/>
        <v>0</v>
      </c>
      <c r="Q456" s="77">
        <f t="shared" ca="1" si="310"/>
        <v>0</v>
      </c>
      <c r="R456" s="77">
        <f t="shared" ca="1" si="310"/>
        <v>0</v>
      </c>
      <c r="S456" s="77">
        <f t="shared" ca="1" si="310"/>
        <v>0</v>
      </c>
      <c r="T456" s="77">
        <f t="shared" ca="1" si="310"/>
        <v>0</v>
      </c>
      <c r="U456" s="77">
        <f t="shared" ca="1" si="310"/>
        <v>0</v>
      </c>
      <c r="V456" s="77">
        <f t="shared" ca="1" si="310"/>
        <v>0</v>
      </c>
      <c r="W456" s="77">
        <f t="shared" ca="1" si="310"/>
        <v>0</v>
      </c>
      <c r="X456" s="77">
        <f t="shared" ca="1" si="310"/>
        <v>0</v>
      </c>
    </row>
    <row r="457" spans="1:24" hidden="1">
      <c r="A457" s="258"/>
      <c r="B457" s="21"/>
      <c r="C457" s="22"/>
      <c r="D457" s="21"/>
      <c r="E457" s="21"/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0" t="s">
        <v>454</v>
      </c>
      <c r="C458" s="21">
        <v>21</v>
      </c>
      <c r="D458" s="21" t="str">
        <f ca="1">OFFSET($B$28,C458,0)</f>
        <v/>
      </c>
      <c r="E458" s="473">
        <f>E451+1</f>
        <v>21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414</v>
      </c>
      <c r="C459" s="164">
        <f ca="1">IFERROR(YEAR(OFFSET($D$28,C458,0)),0)</f>
        <v>0</v>
      </c>
      <c r="D459" s="21"/>
      <c r="E459" s="21"/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406</v>
      </c>
      <c r="C460" s="22">
        <f ca="1">OFFSET($F$28,C458,0)</f>
        <v>0</v>
      </c>
      <c r="D460" s="21"/>
      <c r="E460" s="21"/>
      <c r="F460" s="21"/>
      <c r="G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 spans="1:24" hidden="1">
      <c r="A461" s="258"/>
      <c r="B461" s="21" t="s">
        <v>415</v>
      </c>
      <c r="C461" s="22">
        <f ca="1">ROUND(C460*am_prace_rozwojowe,0)</f>
        <v>0</v>
      </c>
      <c r="D461" s="21"/>
      <c r="E461" s="21"/>
      <c r="F461" s="21"/>
      <c r="G461" s="21"/>
      <c r="I461" s="21"/>
      <c r="J461" s="473" cm="1">
        <f t="array" aca="1" ref="J461" ca="1">OFFSET('Środki trwałe'!$C$195,'Rozliczenie dotacji'!E458,,)</f>
        <v>0</v>
      </c>
      <c r="K461" s="75">
        <f ca="1">IFERROR(ROUND(IF(($C459+1)=K$25,$C461,0),0),0)</f>
        <v>0</v>
      </c>
      <c r="L461" s="247">
        <f ca="1">ROUND(IF(OR(AND($C459=LataProjekcji,$E459&gt;0),AND($C459=LataProjekcji,$E459=0,$D460&lt;=10)),$E460,IF($C459&lt;LataProjekcji,IF((SUM($K461:K461)+$C461)&lt;$C460,$C461,$C460-SUM($K461:K461)),0)),0)</f>
        <v>0</v>
      </c>
      <c r="M461" s="247">
        <f ca="1">ROUND(IF(OR(AND($C459=LataProjekcji,$E459&gt;0),AND($C459=LataProjekcji,$E459=0,$D460&lt;=10)),$E460,IF($C459&lt;LataProjekcji,IF((SUM($K461:L461)+$C461)&lt;$C460,$C461,$C460-SUM($K461:L461)),0)),0)</f>
        <v>0</v>
      </c>
      <c r="N461" s="247">
        <f ca="1">ROUND(IF(OR(AND($C459=LataProjekcji,$E459&gt;0),AND($C459=LataProjekcji,$E459=0,$D460&lt;=10)),$E460,IF($C459&lt;LataProjekcji,IF((SUM($K461:M461)+$C461)&lt;$C460,$C461,$C460-SUM($K461:M461)),0)),0)</f>
        <v>0</v>
      </c>
      <c r="O461" s="247">
        <f ca="1">ROUND(IF(OR(AND($C459=LataProjekcji,$E459&gt;0),AND($C459=LataProjekcji,$E459=0,$D460&lt;=10)),$E460,IF($C459&lt;LataProjekcji,IF((SUM($K461:N461)+$C461)&lt;$C460,$C461,$C460-SUM($K461:N461)),0)),0)</f>
        <v>0</v>
      </c>
      <c r="P461" s="247">
        <f ca="1">ROUND(IF(OR(AND($C459=LataProjekcji,$E459&gt;0),AND($C459=LataProjekcji,$E459=0,$D460&lt;=10)),$E460,IF($C459&lt;LataProjekcji,IF((SUM($K461:O461)+$C461)&lt;$C460,$C461,$C460-SUM($K461:O461)),0)),0)</f>
        <v>0</v>
      </c>
      <c r="Q461" s="247">
        <f ca="1">ROUND(IF(OR(AND($C459=LataProjekcji,$E459&gt;0),AND($C459=LataProjekcji,$E459=0,$D460&lt;=10)),$E460,IF($C459&lt;LataProjekcji,IF((SUM($K461:P461)+$C461)&lt;$C460,$C461,$C460-SUM($K461:P461)),0)),0)</f>
        <v>0</v>
      </c>
      <c r="R461" s="247">
        <f ca="1">ROUND(IF(OR(AND($C459=LataProjekcji,$E459&gt;0),AND($C459=LataProjekcji,$E459=0,$D460&lt;=10)),$E460,IF($C459&lt;LataProjekcji,IF((SUM($K461:Q461)+$C461)&lt;$C460,$C461,$C460-SUM($K461:Q461)),0)),0)</f>
        <v>0</v>
      </c>
      <c r="S461" s="247">
        <f ca="1">ROUND(IF(OR(AND($C459=LataProjekcji,$E459&gt;0),AND($C459=LataProjekcji,$E459=0,$D460&lt;=10)),$E460,IF($C459&lt;LataProjekcji,IF((SUM($K461:R461)+$C461)&lt;$C460,$C461,$C460-SUM($K461:R461)),0)),0)</f>
        <v>0</v>
      </c>
      <c r="T461" s="247">
        <f ca="1">ROUND(IF(OR(AND($C459=LataProjekcji,$E459&gt;0),AND($C459=LataProjekcji,$E459=0,$D460&lt;=10)),$E460,IF($C459&lt;LataProjekcji,IF((SUM($K461:S461)+$C461)&lt;$C460,$C461,$C460-SUM($K461:S461)),0)),0)</f>
        <v>0</v>
      </c>
      <c r="U461" s="247">
        <f ca="1">ROUND(IF(OR(AND($C459=LataProjekcji,$E459&gt;0),AND($C459=LataProjekcji,$E459=0,$D460&lt;=10)),$E460,IF($C459&lt;LataProjekcji,IF((SUM($K461:T461)+$C461)&lt;$C460,$C461,$C460-SUM($K461:T461)),0)),0)</f>
        <v>0</v>
      </c>
      <c r="V461" s="247">
        <f ca="1">ROUND(IF(OR(AND($C459=LataProjekcji,$E459&gt;0),AND($C459=LataProjekcji,$E459=0,$D460&lt;=10)),$E460,IF($C459&lt;LataProjekcji,IF((SUM($K461:U461)+$C461)&lt;$C460,$C461,$C460-SUM($K461:U461)),0)),0)</f>
        <v>0</v>
      </c>
      <c r="W461" s="247">
        <f ca="1">ROUND(IF(OR(AND($C459=LataProjekcji,$E459&gt;0),AND($C459=LataProjekcji,$E459=0,$D460&lt;=10)),$E460,IF($C459&lt;LataProjekcji,IF((SUM($K461:V461)+$C461)&lt;$C460,$C461,$C460-SUM($K461:V461)),0)),0)</f>
        <v>0</v>
      </c>
      <c r="X461" s="247">
        <f ca="1">ROUND(IF(OR(AND($C459=LataProjekcji,$E459&gt;0),AND($C459=LataProjekcji,$E459=0,$D460&lt;=10)),$E460,IF($C459&lt;LataProjekcji,IF((SUM($K461:W461)+$C461)&lt;$C460,$C461,$C460-SUM($K461:W461)),0)),0)</f>
        <v>0</v>
      </c>
    </row>
    <row r="462" spans="1:24" hidden="1">
      <c r="A462" s="258"/>
      <c r="B462" s="21" t="s">
        <v>416</v>
      </c>
      <c r="C462" s="22"/>
      <c r="D462" s="21"/>
      <c r="E462" s="21"/>
      <c r="F462" s="21"/>
      <c r="G462" s="21"/>
      <c r="I462" s="21"/>
      <c r="J462" s="21"/>
      <c r="K462" s="22">
        <f ca="1">ROUND(K461,0)</f>
        <v>0</v>
      </c>
      <c r="L462" s="22">
        <f t="shared" ref="L462:X462" ca="1" si="311">ROUND(K462+L461,0)</f>
        <v>0</v>
      </c>
      <c r="M462" s="22">
        <f t="shared" ca="1" si="311"/>
        <v>0</v>
      </c>
      <c r="N462" s="22">
        <f t="shared" ca="1" si="311"/>
        <v>0</v>
      </c>
      <c r="O462" s="22">
        <f t="shared" ca="1" si="311"/>
        <v>0</v>
      </c>
      <c r="P462" s="22">
        <f t="shared" ca="1" si="311"/>
        <v>0</v>
      </c>
      <c r="Q462" s="22">
        <f t="shared" ca="1" si="311"/>
        <v>0</v>
      </c>
      <c r="R462" s="22">
        <f t="shared" ca="1" si="311"/>
        <v>0</v>
      </c>
      <c r="S462" s="22">
        <f t="shared" ca="1" si="311"/>
        <v>0</v>
      </c>
      <c r="T462" s="22">
        <f t="shared" ca="1" si="311"/>
        <v>0</v>
      </c>
      <c r="U462" s="22">
        <f t="shared" ca="1" si="311"/>
        <v>0</v>
      </c>
      <c r="V462" s="22">
        <f t="shared" ca="1" si="311"/>
        <v>0</v>
      </c>
      <c r="W462" s="22">
        <f t="shared" ca="1" si="311"/>
        <v>0</v>
      </c>
      <c r="X462" s="22">
        <f t="shared" ca="1" si="311"/>
        <v>0</v>
      </c>
    </row>
    <row r="463" spans="1:24" hidden="1">
      <c r="A463" s="258"/>
      <c r="B463" s="21" t="s">
        <v>406</v>
      </c>
      <c r="C463" s="22"/>
      <c r="D463" s="21"/>
      <c r="E463" s="21"/>
      <c r="F463" s="21"/>
      <c r="G463" s="21"/>
      <c r="I463" s="21"/>
      <c r="J463" s="21"/>
      <c r="K463" s="77">
        <f t="shared" ref="K463:X463" ca="1" si="312">IF($C459=K$25,$C460,ROUND(IF(K461=0,0,$C460-K462),0))</f>
        <v>0</v>
      </c>
      <c r="L463" s="77">
        <f t="shared" ca="1" si="312"/>
        <v>0</v>
      </c>
      <c r="M463" s="77">
        <f t="shared" ca="1" si="312"/>
        <v>0</v>
      </c>
      <c r="N463" s="77">
        <f t="shared" ca="1" si="312"/>
        <v>0</v>
      </c>
      <c r="O463" s="77">
        <f t="shared" ca="1" si="312"/>
        <v>0</v>
      </c>
      <c r="P463" s="77">
        <f t="shared" ca="1" si="312"/>
        <v>0</v>
      </c>
      <c r="Q463" s="77">
        <f t="shared" ca="1" si="312"/>
        <v>0</v>
      </c>
      <c r="R463" s="77">
        <f t="shared" ca="1" si="312"/>
        <v>0</v>
      </c>
      <c r="S463" s="77">
        <f t="shared" ca="1" si="312"/>
        <v>0</v>
      </c>
      <c r="T463" s="77">
        <f t="shared" ca="1" si="312"/>
        <v>0</v>
      </c>
      <c r="U463" s="77">
        <f t="shared" ca="1" si="312"/>
        <v>0</v>
      </c>
      <c r="V463" s="77">
        <f t="shared" ca="1" si="312"/>
        <v>0</v>
      </c>
      <c r="W463" s="77">
        <f t="shared" ca="1" si="312"/>
        <v>0</v>
      </c>
      <c r="X463" s="77">
        <f t="shared" ca="1" si="312"/>
        <v>0</v>
      </c>
    </row>
    <row r="467" spans="1:24" ht="12.5" hidden="1" thickBot="1"/>
    <row r="468" spans="1:24" ht="12.5" hidden="1" thickBot="1">
      <c r="A468" s="258"/>
      <c r="B468" s="20" t="s">
        <v>388</v>
      </c>
      <c r="C468" s="249">
        <v>30</v>
      </c>
      <c r="D468" s="472">
        <v>74</v>
      </c>
      <c r="E468" s="21" t="s">
        <v>411</v>
      </c>
      <c r="F468" s="48"/>
      <c r="G468" s="50" t="s">
        <v>412</v>
      </c>
      <c r="H468" s="320"/>
      <c r="I468" s="21" t="s">
        <v>413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1:24" hidden="1">
      <c r="A469" s="258"/>
      <c r="B469" s="21" t="s">
        <v>414</v>
      </c>
      <c r="C469" s="164">
        <f ca="1">IFERROR(YEAR(OFFSET($D$28,C468,0)),0)</f>
        <v>0</v>
      </c>
      <c r="D469" s="164">
        <f ca="1">IFERROR(MONTH(OFFSET($D$28,C468,0)),0)</f>
        <v>0</v>
      </c>
      <c r="E469" s="21">
        <f ca="1">12-$D469</f>
        <v>12</v>
      </c>
      <c r="F469" s="49"/>
      <c r="G469" s="51">
        <f>C73-F469</f>
        <v>0</v>
      </c>
      <c r="H469" s="321"/>
      <c r="I469" s="22">
        <f>C73-F469-G469</f>
        <v>0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1:24" hidden="1">
      <c r="A470" s="258"/>
      <c r="B470" s="21" t="s">
        <v>406</v>
      </c>
      <c r="C470" s="244">
        <f ca="1">IF(OFFSET($F$28,C468,0)&lt;0,0,OFFSET($F$28,C468,0))</f>
        <v>0</v>
      </c>
      <c r="D470" s="22" t="str">
        <f ca="1">OFFSET($C$28,C468,0)</f>
        <v/>
      </c>
      <c r="E470" s="22">
        <f ca="1">IF(D470&gt;10,ROUND(($C471/12)*$E469,0),$C470)</f>
        <v>0</v>
      </c>
      <c r="F470" s="21" t="s">
        <v>426</v>
      </c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1" t="s">
        <v>415</v>
      </c>
      <c r="C471" s="244">
        <f ca="1">IF(ISBLANK(OFFSET($D$28,C468,0)),0,IF(OFFSET($C$28,C468,0)&gt;10,ROUND(C470*am_wnip,0),IF(C470&lt;0,0,C470)))</f>
        <v>0</v>
      </c>
      <c r="D471" s="21"/>
      <c r="E471" s="21"/>
      <c r="F471" s="21"/>
      <c r="G471" s="21"/>
      <c r="I471" s="21"/>
      <c r="J471" s="473" cm="1">
        <f t="array" aca="1" ref="J471" ca="1">OFFSET('Środki trwałe'!$C$195,'Rozliczenie dotacji'!D468,,)</f>
        <v>0</v>
      </c>
      <c r="K471" s="74">
        <f ca="1">ROUND(IF($C469=LataProjekcji,$E470,IF($C469=LataProjekcji,$C471,0)),0)</f>
        <v>0</v>
      </c>
      <c r="L471" s="247">
        <f ca="1">ROUND(IF(OR(AND($C469=LataProjekcji,$E469&gt;0),AND($C469=LataProjekcji,$E469=0,$D470&lt;=10)),$E470,IF($C469&lt;LataProjekcji,IF((SUM($K471:K471)+$C471)&lt;$C470,$C471,$C470-SUM($K471:K471)),0)),0)</f>
        <v>0</v>
      </c>
      <c r="M471" s="247">
        <f ca="1">ROUND(IF(OR(AND($C469=LataProjekcji,$E469&gt;0),AND($C469=LataProjekcji,$E469=0,$D470&lt;=10)),$E470,IF($C469&lt;LataProjekcji,IF((SUM($K471:L471)+$C471)&lt;$C470,$C471,$C470-SUM($K471:L471)),0)),0)</f>
        <v>0</v>
      </c>
      <c r="N471" s="247">
        <f ca="1">ROUND(IF(OR(AND($C469=LataProjekcji,$E469&gt;0),AND($C469=LataProjekcji,$E469=0,$D470&lt;=10)),$E470,IF($C469&lt;LataProjekcji,IF((SUM($K471:M471)+$C471)&lt;$C470,$C471,$C470-SUM($K471:M471)),0)),0)</f>
        <v>0</v>
      </c>
      <c r="O471" s="247">
        <f ca="1">ROUND(IF(OR(AND($C469=LataProjekcji,$E469&gt;0),AND($C469=LataProjekcji,$E469=0,$D470&lt;=10)),$E470,IF($C469&lt;LataProjekcji,IF((SUM($K471:N471)+$C471)&lt;$C470,$C471,$C470-SUM($K471:N471)),0)),0)</f>
        <v>0</v>
      </c>
      <c r="P471" s="247">
        <f ca="1">ROUND(IF(OR(AND($C469=LataProjekcji,$E469&gt;0),AND($C469=LataProjekcji,$E469=0,$D470&lt;=10)),$E470,IF($C469&lt;LataProjekcji,IF((SUM($K471:O471)+$C471)&lt;$C470,$C471,$C470-SUM($K471:O471)),0)),0)</f>
        <v>0</v>
      </c>
      <c r="Q471" s="247">
        <f ca="1">ROUND(IF(OR(AND($C469=LataProjekcji,$E469&gt;0),AND($C469=LataProjekcji,$E469=0,$D470&lt;=10)),$E470,IF($C469&lt;LataProjekcji,IF((SUM($K471:P471)+$C471)&lt;$C470,$C471,$C470-SUM($K471:P471)),0)),0)</f>
        <v>0</v>
      </c>
      <c r="R471" s="247">
        <f ca="1">ROUND(IF(OR(AND($C469=LataProjekcji,$E469&gt;0),AND($C469=LataProjekcji,$E469=0,$D470&lt;=10)),$E470,IF($C469&lt;LataProjekcji,IF((SUM($K471:Q471)+$C471)&lt;$C470,$C471,$C470-SUM($K471:Q471)),0)),0)</f>
        <v>0</v>
      </c>
      <c r="S471" s="247">
        <f ca="1">ROUND(IF(OR(AND($C469=LataProjekcji,$E469&gt;0),AND($C469=LataProjekcji,$E469=0,$D470&lt;=10)),$E470,IF($C469&lt;LataProjekcji,IF((SUM($K471:R471)+$C471)&lt;$C470,$C471,$C470-SUM($K471:R471)),0)),0)</f>
        <v>0</v>
      </c>
      <c r="T471" s="247">
        <f ca="1">ROUND(IF(OR(AND($C469=LataProjekcji,$E469&gt;0),AND($C469=LataProjekcji,$E469=0,$D470&lt;=10)),$E470,IF($C469&lt;LataProjekcji,IF((SUM($K471:S471)+$C471)&lt;$C470,$C471,$C470-SUM($K471:S471)),0)),0)</f>
        <v>0</v>
      </c>
      <c r="U471" s="247">
        <f ca="1">ROUND(IF(OR(AND($C469=LataProjekcji,$E469&gt;0),AND($C469=LataProjekcji,$E469=0,$D470&lt;=10)),$E470,IF($C469&lt;LataProjekcji,IF((SUM($K471:T471)+$C471)&lt;$C470,$C471,$C470-SUM($K471:T471)),0)),0)</f>
        <v>0</v>
      </c>
      <c r="V471" s="247">
        <f ca="1">ROUND(IF(OR(AND($C469=LataProjekcji,$E469&gt;0),AND($C469=LataProjekcji,$E469=0,$D470&lt;=10)),$E470,IF($C469&lt;LataProjekcji,IF((SUM($K471:U471)+$C471)&lt;$C470,$C471,$C470-SUM($K471:U471)),0)),0)</f>
        <v>0</v>
      </c>
      <c r="W471" s="247">
        <f ca="1">ROUND(IF(OR(AND($C469=LataProjekcji,$E469&gt;0),AND($C469=LataProjekcji,$E469=0,$D470&lt;=10)),$E470,IF($C469&lt;LataProjekcji,IF((SUM($K471:V471)+$C471)&lt;$C470,$C471,$C470-SUM($K471:V471)),0)),0)</f>
        <v>0</v>
      </c>
      <c r="X471" s="247">
        <f ca="1">ROUND(IF(OR(AND($C469=LataProjekcji,$E469&gt;0),AND($C469=LataProjekcji,$E469=0,$D470&lt;=10)),$E470,IF($C469&lt;LataProjekcji,IF((SUM($K471:W471)+$C471)&lt;$C470,$C471,$C470-SUM($K471:W471)),0)),0)</f>
        <v>0</v>
      </c>
    </row>
    <row r="472" spans="1:24" hidden="1">
      <c r="A472" s="258"/>
      <c r="B472" s="21" t="s">
        <v>416</v>
      </c>
      <c r="C472" s="22"/>
      <c r="D472" s="21"/>
      <c r="E472" s="21"/>
      <c r="F472" s="21"/>
      <c r="G472" s="21"/>
      <c r="I472" s="21"/>
      <c r="J472" s="21"/>
      <c r="K472" s="22">
        <f ca="1">ROUND(K471,0)</f>
        <v>0</v>
      </c>
      <c r="L472" s="22">
        <f t="shared" ref="L472:X472" ca="1" si="313">ROUND(K472+L471,0)</f>
        <v>0</v>
      </c>
      <c r="M472" s="22">
        <f t="shared" ca="1" si="313"/>
        <v>0</v>
      </c>
      <c r="N472" s="22">
        <f t="shared" ca="1" si="313"/>
        <v>0</v>
      </c>
      <c r="O472" s="22">
        <f t="shared" ca="1" si="313"/>
        <v>0</v>
      </c>
      <c r="P472" s="22">
        <f t="shared" ca="1" si="313"/>
        <v>0</v>
      </c>
      <c r="Q472" s="22">
        <f t="shared" ca="1" si="313"/>
        <v>0</v>
      </c>
      <c r="R472" s="22">
        <f t="shared" ca="1" si="313"/>
        <v>0</v>
      </c>
      <c r="S472" s="22">
        <f t="shared" ca="1" si="313"/>
        <v>0</v>
      </c>
      <c r="T472" s="22">
        <f t="shared" ca="1" si="313"/>
        <v>0</v>
      </c>
      <c r="U472" s="22">
        <f t="shared" ca="1" si="313"/>
        <v>0</v>
      </c>
      <c r="V472" s="22">
        <f t="shared" ca="1" si="313"/>
        <v>0</v>
      </c>
      <c r="W472" s="22">
        <f t="shared" ca="1" si="313"/>
        <v>0</v>
      </c>
      <c r="X472" s="22">
        <f t="shared" ca="1" si="313"/>
        <v>0</v>
      </c>
    </row>
    <row r="473" spans="1:24" hidden="1">
      <c r="A473" s="258"/>
      <c r="B473" s="21" t="s">
        <v>406</v>
      </c>
      <c r="C473" s="22"/>
      <c r="D473" s="21"/>
      <c r="E473" s="21"/>
      <c r="F473" s="21"/>
      <c r="G473" s="21"/>
      <c r="I473" s="21"/>
      <c r="J473" s="21"/>
      <c r="K473" s="76">
        <f t="shared" ref="K473:X473" ca="1" si="314">IF($C469=LataProjekcji,ROUND($C470-K472,0),ROUND(IF(K471=0,0,$C470-K472),0))</f>
        <v>0</v>
      </c>
      <c r="L473" s="76">
        <f t="shared" ca="1" si="314"/>
        <v>0</v>
      </c>
      <c r="M473" s="76">
        <f t="shared" ca="1" si="314"/>
        <v>0</v>
      </c>
      <c r="N473" s="76">
        <f t="shared" ca="1" si="314"/>
        <v>0</v>
      </c>
      <c r="O473" s="76">
        <f t="shared" ca="1" si="314"/>
        <v>0</v>
      </c>
      <c r="P473" s="76">
        <f t="shared" ca="1" si="314"/>
        <v>0</v>
      </c>
      <c r="Q473" s="76">
        <f t="shared" ca="1" si="314"/>
        <v>0</v>
      </c>
      <c r="R473" s="76">
        <f t="shared" ca="1" si="314"/>
        <v>0</v>
      </c>
      <c r="S473" s="76">
        <f t="shared" ca="1" si="314"/>
        <v>0</v>
      </c>
      <c r="T473" s="76">
        <f t="shared" ca="1" si="314"/>
        <v>0</v>
      </c>
      <c r="U473" s="76">
        <f t="shared" ca="1" si="314"/>
        <v>0</v>
      </c>
      <c r="V473" s="76">
        <f t="shared" ca="1" si="314"/>
        <v>0</v>
      </c>
      <c r="W473" s="76">
        <f t="shared" ca="1" si="314"/>
        <v>0</v>
      </c>
      <c r="X473" s="76">
        <f t="shared" ca="1" si="314"/>
        <v>0</v>
      </c>
    </row>
    <row r="474" spans="1:24" hidden="1">
      <c r="A474" s="258"/>
      <c r="B474" s="21"/>
      <c r="C474" s="22"/>
      <c r="D474" s="21"/>
      <c r="E474" s="21"/>
      <c r="F474" s="21"/>
      <c r="G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idden="1">
      <c r="A475" s="258"/>
      <c r="B475" s="20" t="s">
        <v>388</v>
      </c>
      <c r="C475" s="21">
        <f>C468+1</f>
        <v>31</v>
      </c>
      <c r="D475" s="473">
        <f>D468+1</f>
        <v>75</v>
      </c>
      <c r="E475" s="21"/>
      <c r="F475" s="21"/>
      <c r="G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1:24" hidden="1">
      <c r="A476" s="258"/>
      <c r="B476" s="21" t="s">
        <v>414</v>
      </c>
      <c r="C476" s="164">
        <f ca="1">IFERROR(YEAR(OFFSET($D$28,C475,0)),0)</f>
        <v>0</v>
      </c>
      <c r="D476" s="164">
        <f ca="1">IFERROR(MONTH(OFFSET($D$28,C475,0)),0)</f>
        <v>0</v>
      </c>
      <c r="E476" s="21">
        <f ca="1">12-$D476</f>
        <v>12</v>
      </c>
      <c r="F476" s="21"/>
      <c r="G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1:24" hidden="1">
      <c r="A477" s="258"/>
      <c r="B477" s="21" t="s">
        <v>406</v>
      </c>
      <c r="C477" s="244">
        <f ca="1">IF(OFFSET($F$28,C475,0)&lt;0,0,OFFSET($F$28,C475,0))</f>
        <v>0</v>
      </c>
      <c r="D477" s="22" t="str">
        <f ca="1">OFFSET($C$28,C475,0)</f>
        <v/>
      </c>
      <c r="E477" s="22">
        <f ca="1">IF(D477&gt;10,ROUND(($C478/12)*$E476,0),$C477)</f>
        <v>0</v>
      </c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1" t="s">
        <v>415</v>
      </c>
      <c r="C478" s="244">
        <f ca="1">IF(ISBLANK(OFFSET($D$28,C475,0)),0,IF(OFFSET($C$28,C475,0)&gt;10,ROUND(C477*am_wnip,0),IF(C477&lt;0,0,C477)))</f>
        <v>0</v>
      </c>
      <c r="D478" s="21"/>
      <c r="E478" s="21"/>
      <c r="F478" s="21"/>
      <c r="G478" s="21"/>
      <c r="I478" s="21"/>
      <c r="J478" s="473" cm="1">
        <f t="array" aca="1" ref="J478" ca="1">OFFSET('Środki trwałe'!$C$195,'Rozliczenie dotacji'!D475,,)</f>
        <v>0</v>
      </c>
      <c r="K478" s="74">
        <f ca="1">ROUND(IF($C476=LataProjekcji,$E477,IF($C476=LataProjekcji,$C478,0)),0)</f>
        <v>0</v>
      </c>
      <c r="L478" s="247">
        <f ca="1">ROUND(IF(OR(AND($C476=LataProjekcji,$E476&gt;0),AND($C476=LataProjekcji,$E476=0,$D477&lt;=10)),$E477,IF($C476&lt;LataProjekcji,IF((SUM($K478:K478)+$C478)&lt;$C477,$C478,$C477-SUM($K478:K478)),0)),0)</f>
        <v>0</v>
      </c>
      <c r="M478" s="247">
        <f ca="1">ROUND(IF(OR(AND($C476=LataProjekcji,$E476&gt;0),AND($C476=LataProjekcji,$E476=0,$D477&lt;=10)),$E477,IF($C476&lt;LataProjekcji,IF((SUM($K478:L478)+$C478)&lt;$C477,$C478,$C477-SUM($K478:L478)),0)),0)</f>
        <v>0</v>
      </c>
      <c r="N478" s="247">
        <f ca="1">ROUND(IF(OR(AND($C476=LataProjekcji,$E476&gt;0),AND($C476=LataProjekcji,$E476=0,$D477&lt;=10)),$E477,IF($C476&lt;LataProjekcji,IF((SUM($K478:M478)+$C478)&lt;$C477,$C478,$C477-SUM($K478:M478)),0)),0)</f>
        <v>0</v>
      </c>
      <c r="O478" s="247">
        <f ca="1">ROUND(IF(OR(AND($C476=LataProjekcji,$E476&gt;0),AND($C476=LataProjekcji,$E476=0,$D477&lt;=10)),$E477,IF($C476&lt;LataProjekcji,IF((SUM($K478:N478)+$C478)&lt;$C477,$C478,$C477-SUM($K478:N478)),0)),0)</f>
        <v>0</v>
      </c>
      <c r="P478" s="247">
        <f ca="1">ROUND(IF(OR(AND($C476=LataProjekcji,$E476&gt;0),AND($C476=LataProjekcji,$E476=0,$D477&lt;=10)),$E477,IF($C476&lt;LataProjekcji,IF((SUM($K478:O478)+$C478)&lt;$C477,$C478,$C477-SUM($K478:O478)),0)),0)</f>
        <v>0</v>
      </c>
      <c r="Q478" s="247">
        <f ca="1">ROUND(IF(OR(AND($C476=LataProjekcji,$E476&gt;0),AND($C476=LataProjekcji,$E476=0,$D477&lt;=10)),$E477,IF($C476&lt;LataProjekcji,IF((SUM($K478:P478)+$C478)&lt;$C477,$C478,$C477-SUM($K478:P478)),0)),0)</f>
        <v>0</v>
      </c>
      <c r="R478" s="247">
        <f ca="1">ROUND(IF(OR(AND($C476=LataProjekcji,$E476&gt;0),AND($C476=LataProjekcji,$E476=0,$D477&lt;=10)),$E477,IF($C476&lt;LataProjekcji,IF((SUM($K478:Q478)+$C478)&lt;$C477,$C478,$C477-SUM($K478:Q478)),0)),0)</f>
        <v>0</v>
      </c>
      <c r="S478" s="247">
        <f ca="1">ROUND(IF(OR(AND($C476=LataProjekcji,$E476&gt;0),AND($C476=LataProjekcji,$E476=0,$D477&lt;=10)),$E477,IF($C476&lt;LataProjekcji,IF((SUM($K478:R478)+$C478)&lt;$C477,$C478,$C477-SUM($K478:R478)),0)),0)</f>
        <v>0</v>
      </c>
      <c r="T478" s="247">
        <f ca="1">ROUND(IF(OR(AND($C476=LataProjekcji,$E476&gt;0),AND($C476=LataProjekcji,$E476=0,$D477&lt;=10)),$E477,IF($C476&lt;LataProjekcji,IF((SUM($K478:S478)+$C478)&lt;$C477,$C478,$C477-SUM($K478:S478)),0)),0)</f>
        <v>0</v>
      </c>
      <c r="U478" s="247">
        <f ca="1">ROUND(IF(OR(AND($C476=LataProjekcji,$E476&gt;0),AND($C476=LataProjekcji,$E476=0,$D477&lt;=10)),$E477,IF($C476&lt;LataProjekcji,IF((SUM($K478:T478)+$C478)&lt;$C477,$C478,$C477-SUM($K478:T478)),0)),0)</f>
        <v>0</v>
      </c>
      <c r="V478" s="247">
        <f ca="1">ROUND(IF(OR(AND($C476=LataProjekcji,$E476&gt;0),AND($C476=LataProjekcji,$E476=0,$D477&lt;=10)),$E477,IF($C476&lt;LataProjekcji,IF((SUM($K478:U478)+$C478)&lt;$C477,$C478,$C477-SUM($K478:U478)),0)),0)</f>
        <v>0</v>
      </c>
      <c r="W478" s="247">
        <f ca="1">ROUND(IF(OR(AND($C476=LataProjekcji,$E476&gt;0),AND($C476=LataProjekcji,$E476=0,$D477&lt;=10)),$E477,IF($C476&lt;LataProjekcji,IF((SUM($K478:V478)+$C478)&lt;$C477,$C478,$C477-SUM($K478:V478)),0)),0)</f>
        <v>0</v>
      </c>
      <c r="X478" s="247">
        <f ca="1">ROUND(IF(OR(AND($C476=LataProjekcji,$E476&gt;0),AND($C476=LataProjekcji,$E476=0,$D477&lt;=10)),$E477,IF($C476&lt;LataProjekcji,IF((SUM($K478:W478)+$C478)&lt;$C477,$C478,$C477-SUM($K478:W478)),0)),0)</f>
        <v>0</v>
      </c>
    </row>
    <row r="479" spans="1:24" hidden="1">
      <c r="A479" s="258"/>
      <c r="B479" s="21" t="s">
        <v>416</v>
      </c>
      <c r="C479" s="22"/>
      <c r="D479" s="21"/>
      <c r="E479" s="21"/>
      <c r="F479" s="21"/>
      <c r="G479" s="21"/>
      <c r="I479" s="21"/>
      <c r="J479" s="21"/>
      <c r="K479" s="22">
        <f ca="1">ROUND(K478,0)</f>
        <v>0</v>
      </c>
      <c r="L479" s="22">
        <f t="shared" ref="L479:X479" ca="1" si="315">ROUND(K479+L478,0)</f>
        <v>0</v>
      </c>
      <c r="M479" s="22">
        <f t="shared" ca="1" si="315"/>
        <v>0</v>
      </c>
      <c r="N479" s="22">
        <f t="shared" ca="1" si="315"/>
        <v>0</v>
      </c>
      <c r="O479" s="22">
        <f t="shared" ca="1" si="315"/>
        <v>0</v>
      </c>
      <c r="P479" s="22">
        <f t="shared" ca="1" si="315"/>
        <v>0</v>
      </c>
      <c r="Q479" s="22">
        <f t="shared" ca="1" si="315"/>
        <v>0</v>
      </c>
      <c r="R479" s="22">
        <f t="shared" ca="1" si="315"/>
        <v>0</v>
      </c>
      <c r="S479" s="22">
        <f t="shared" ca="1" si="315"/>
        <v>0</v>
      </c>
      <c r="T479" s="22">
        <f t="shared" ca="1" si="315"/>
        <v>0</v>
      </c>
      <c r="U479" s="22">
        <f t="shared" ca="1" si="315"/>
        <v>0</v>
      </c>
      <c r="V479" s="22">
        <f t="shared" ca="1" si="315"/>
        <v>0</v>
      </c>
      <c r="W479" s="22">
        <f t="shared" ca="1" si="315"/>
        <v>0</v>
      </c>
      <c r="X479" s="22">
        <f t="shared" ca="1" si="315"/>
        <v>0</v>
      </c>
    </row>
    <row r="480" spans="1:24" hidden="1">
      <c r="A480" s="258"/>
      <c r="B480" s="21" t="s">
        <v>406</v>
      </c>
      <c r="C480" s="22"/>
      <c r="D480" s="21"/>
      <c r="E480" s="21"/>
      <c r="F480" s="21"/>
      <c r="G480" s="21"/>
      <c r="I480" s="21"/>
      <c r="J480" s="21"/>
      <c r="K480" s="76">
        <f t="shared" ref="K480:X480" ca="1" si="316">IF($C476=LataProjekcji,ROUND($C477-K479,0),ROUND(IF(K478=0,0,$C477-K479),0))</f>
        <v>0</v>
      </c>
      <c r="L480" s="76">
        <f t="shared" ca="1" si="316"/>
        <v>0</v>
      </c>
      <c r="M480" s="76">
        <f t="shared" ca="1" si="316"/>
        <v>0</v>
      </c>
      <c r="N480" s="76">
        <f t="shared" ca="1" si="316"/>
        <v>0</v>
      </c>
      <c r="O480" s="76">
        <f t="shared" ca="1" si="316"/>
        <v>0</v>
      </c>
      <c r="P480" s="76">
        <f t="shared" ca="1" si="316"/>
        <v>0</v>
      </c>
      <c r="Q480" s="76">
        <f t="shared" ca="1" si="316"/>
        <v>0</v>
      </c>
      <c r="R480" s="76">
        <f t="shared" ca="1" si="316"/>
        <v>0</v>
      </c>
      <c r="S480" s="76">
        <f t="shared" ca="1" si="316"/>
        <v>0</v>
      </c>
      <c r="T480" s="76">
        <f t="shared" ca="1" si="316"/>
        <v>0</v>
      </c>
      <c r="U480" s="76">
        <f t="shared" ca="1" si="316"/>
        <v>0</v>
      </c>
      <c r="V480" s="76">
        <f t="shared" ca="1" si="316"/>
        <v>0</v>
      </c>
      <c r="W480" s="76">
        <f t="shared" ca="1" si="316"/>
        <v>0</v>
      </c>
      <c r="X480" s="76">
        <f t="shared" ca="1" si="316"/>
        <v>0</v>
      </c>
    </row>
    <row r="481" spans="1:24" hidden="1">
      <c r="A481" s="258"/>
      <c r="B481" s="20"/>
      <c r="C481" s="21"/>
      <c r="D481" s="21"/>
      <c r="E481" s="21"/>
      <c r="F481" s="21"/>
      <c r="G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1:24" hidden="1">
      <c r="A482" s="258"/>
      <c r="B482" s="20" t="s">
        <v>388</v>
      </c>
      <c r="C482" s="21">
        <f>C475+1</f>
        <v>32</v>
      </c>
      <c r="D482" s="473">
        <f>D475+1</f>
        <v>76</v>
      </c>
      <c r="E482" s="21"/>
      <c r="F482" s="21"/>
      <c r="G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idden="1">
      <c r="A483" s="258"/>
      <c r="B483" s="21" t="s">
        <v>414</v>
      </c>
      <c r="C483" s="164">
        <f ca="1">IFERROR(YEAR(OFFSET($D$28,C482,0)),0)</f>
        <v>0</v>
      </c>
      <c r="D483" s="164">
        <f ca="1">IFERROR(MONTH(OFFSET($D$28,C482,0)),0)</f>
        <v>0</v>
      </c>
      <c r="E483" s="21">
        <f ca="1">12-$D483</f>
        <v>12</v>
      </c>
      <c r="F483" s="21"/>
      <c r="G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1:24" hidden="1">
      <c r="A484" s="258"/>
      <c r="B484" s="21" t="s">
        <v>406</v>
      </c>
      <c r="C484" s="244">
        <f ca="1">IF(OFFSET($F$28,C482,0)&lt;0,0,OFFSET($F$28,C482,0))</f>
        <v>0</v>
      </c>
      <c r="D484" s="22" t="str">
        <f ca="1">OFFSET($C$28,C482,0)</f>
        <v/>
      </c>
      <c r="E484" s="22">
        <f ca="1">IF(D484&gt;10,ROUND(($C485/12)*$E483,0),$C484)</f>
        <v>0</v>
      </c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1" t="s">
        <v>415</v>
      </c>
      <c r="C485" s="244">
        <f ca="1">IF(ISBLANK(OFFSET($D$28,C482,0)),0,IF(OFFSET($C$28,C482,0)&gt;10,ROUND(C484*am_wnip,0),IF(C484&lt;0,0,C484)))</f>
        <v>0</v>
      </c>
      <c r="D485" s="21"/>
      <c r="E485" s="21"/>
      <c r="F485" s="21"/>
      <c r="G485" s="21"/>
      <c r="I485" s="21"/>
      <c r="J485" s="473" cm="1">
        <f t="array" aca="1" ref="J485" ca="1">OFFSET('Środki trwałe'!$C$195,'Rozliczenie dotacji'!D482,,)</f>
        <v>0</v>
      </c>
      <c r="K485" s="74">
        <f ca="1">ROUND(IF($C483=LataProjekcji,$E484,IF($C483=LataProjekcji,$C485,0)),0)</f>
        <v>0</v>
      </c>
      <c r="L485" s="247">
        <f ca="1">ROUND(IF(OR(AND($C483=LataProjekcji,$E483&gt;0),AND($C483=LataProjekcji,$E483=0,$D484&lt;=10)),$E484,IF($C483&lt;LataProjekcji,IF((SUM($K485:K485)+$C485)&lt;$C484,$C485,$C484-SUM($K485:K485)),0)),0)</f>
        <v>0</v>
      </c>
      <c r="M485" s="247">
        <f ca="1">ROUND(IF(OR(AND($C483=LataProjekcji,$E483&gt;0),AND($C483=LataProjekcji,$E483=0,$D484&lt;=10)),$E484,IF($C483&lt;LataProjekcji,IF((SUM($K485:L485)+$C485)&lt;$C484,$C485,$C484-SUM($K485:L485)),0)),0)</f>
        <v>0</v>
      </c>
      <c r="N485" s="247">
        <f ca="1">ROUND(IF(OR(AND($C483=LataProjekcji,$E483&gt;0),AND($C483=LataProjekcji,$E483=0,$D484&lt;=10)),$E484,IF($C483&lt;LataProjekcji,IF((SUM($K485:M485)+$C485)&lt;$C484,$C485,$C484-SUM($K485:M485)),0)),0)</f>
        <v>0</v>
      </c>
      <c r="O485" s="247">
        <f ca="1">ROUND(IF(OR(AND($C483=LataProjekcji,$E483&gt;0),AND($C483=LataProjekcji,$E483=0,$D484&lt;=10)),$E484,IF($C483&lt;LataProjekcji,IF((SUM($K485:N485)+$C485)&lt;$C484,$C485,$C484-SUM($K485:N485)),0)),0)</f>
        <v>0</v>
      </c>
      <c r="P485" s="247">
        <f ca="1">ROUND(IF(OR(AND($C483=LataProjekcji,$E483&gt;0),AND($C483=LataProjekcji,$E483=0,$D484&lt;=10)),$E484,IF($C483&lt;LataProjekcji,IF((SUM($K485:O485)+$C485)&lt;$C484,$C485,$C484-SUM($K485:O485)),0)),0)</f>
        <v>0</v>
      </c>
      <c r="Q485" s="247">
        <f ca="1">ROUND(IF(OR(AND($C483=LataProjekcji,$E483&gt;0),AND($C483=LataProjekcji,$E483=0,$D484&lt;=10)),$E484,IF($C483&lt;LataProjekcji,IF((SUM($K485:P485)+$C485)&lt;$C484,$C485,$C484-SUM($K485:P485)),0)),0)</f>
        <v>0</v>
      </c>
      <c r="R485" s="247">
        <f ca="1">ROUND(IF(OR(AND($C483=LataProjekcji,$E483&gt;0),AND($C483=LataProjekcji,$E483=0,$D484&lt;=10)),$E484,IF($C483&lt;LataProjekcji,IF((SUM($K485:Q485)+$C485)&lt;$C484,$C485,$C484-SUM($K485:Q485)),0)),0)</f>
        <v>0</v>
      </c>
      <c r="S485" s="247">
        <f ca="1">ROUND(IF(OR(AND($C483=LataProjekcji,$E483&gt;0),AND($C483=LataProjekcji,$E483=0,$D484&lt;=10)),$E484,IF($C483&lt;LataProjekcji,IF((SUM($K485:R485)+$C485)&lt;$C484,$C485,$C484-SUM($K485:R485)),0)),0)</f>
        <v>0</v>
      </c>
      <c r="T485" s="247">
        <f ca="1">ROUND(IF(OR(AND($C483=LataProjekcji,$E483&gt;0),AND($C483=LataProjekcji,$E483=0,$D484&lt;=10)),$E484,IF($C483&lt;LataProjekcji,IF((SUM($K485:S485)+$C485)&lt;$C484,$C485,$C484-SUM($K485:S485)),0)),0)</f>
        <v>0</v>
      </c>
      <c r="U485" s="247">
        <f ca="1">ROUND(IF(OR(AND($C483=LataProjekcji,$E483&gt;0),AND($C483=LataProjekcji,$E483=0,$D484&lt;=10)),$E484,IF($C483&lt;LataProjekcji,IF((SUM($K485:T485)+$C485)&lt;$C484,$C485,$C484-SUM($K485:T485)),0)),0)</f>
        <v>0</v>
      </c>
      <c r="V485" s="247">
        <f ca="1">ROUND(IF(OR(AND($C483=LataProjekcji,$E483&gt;0),AND($C483=LataProjekcji,$E483=0,$D484&lt;=10)),$E484,IF($C483&lt;LataProjekcji,IF((SUM($K485:U485)+$C485)&lt;$C484,$C485,$C484-SUM($K485:U485)),0)),0)</f>
        <v>0</v>
      </c>
      <c r="W485" s="247">
        <f ca="1">ROUND(IF(OR(AND($C483=LataProjekcji,$E483&gt;0),AND($C483=LataProjekcji,$E483=0,$D484&lt;=10)),$E484,IF($C483&lt;LataProjekcji,IF((SUM($K485:V485)+$C485)&lt;$C484,$C485,$C484-SUM($K485:V485)),0)),0)</f>
        <v>0</v>
      </c>
      <c r="X485" s="247">
        <f ca="1">ROUND(IF(OR(AND($C483=LataProjekcji,$E483&gt;0),AND($C483=LataProjekcji,$E483=0,$D484&lt;=10)),$E484,IF($C483&lt;LataProjekcji,IF((SUM($K485:W485)+$C485)&lt;$C484,$C485,$C484-SUM($K485:W485)),0)),0)</f>
        <v>0</v>
      </c>
    </row>
    <row r="486" spans="1:24" hidden="1">
      <c r="A486" s="258"/>
      <c r="B486" s="21" t="s">
        <v>416</v>
      </c>
      <c r="C486" s="22"/>
      <c r="D486" s="21"/>
      <c r="E486" s="21"/>
      <c r="F486" s="21"/>
      <c r="G486" s="21"/>
      <c r="I486" s="21"/>
      <c r="J486" s="21"/>
      <c r="K486" s="22">
        <f ca="1">ROUND(K485,0)</f>
        <v>0</v>
      </c>
      <c r="L486" s="22">
        <f t="shared" ref="L486:X486" ca="1" si="317">ROUND(K486+L485,0)</f>
        <v>0</v>
      </c>
      <c r="M486" s="22">
        <f t="shared" ca="1" si="317"/>
        <v>0</v>
      </c>
      <c r="N486" s="22">
        <f t="shared" ca="1" si="317"/>
        <v>0</v>
      </c>
      <c r="O486" s="22">
        <f t="shared" ca="1" si="317"/>
        <v>0</v>
      </c>
      <c r="P486" s="22">
        <f t="shared" ca="1" si="317"/>
        <v>0</v>
      </c>
      <c r="Q486" s="22">
        <f t="shared" ca="1" si="317"/>
        <v>0</v>
      </c>
      <c r="R486" s="22">
        <f t="shared" ca="1" si="317"/>
        <v>0</v>
      </c>
      <c r="S486" s="22">
        <f t="shared" ca="1" si="317"/>
        <v>0</v>
      </c>
      <c r="T486" s="22">
        <f t="shared" ca="1" si="317"/>
        <v>0</v>
      </c>
      <c r="U486" s="22">
        <f t="shared" ca="1" si="317"/>
        <v>0</v>
      </c>
      <c r="V486" s="22">
        <f t="shared" ca="1" si="317"/>
        <v>0</v>
      </c>
      <c r="W486" s="22">
        <f t="shared" ca="1" si="317"/>
        <v>0</v>
      </c>
      <c r="X486" s="22">
        <f t="shared" ca="1" si="317"/>
        <v>0</v>
      </c>
    </row>
    <row r="487" spans="1:24" hidden="1">
      <c r="A487" s="258"/>
      <c r="B487" s="21" t="s">
        <v>406</v>
      </c>
      <c r="C487" s="22"/>
      <c r="D487" s="21"/>
      <c r="E487" s="21"/>
      <c r="F487" s="21"/>
      <c r="G487" s="21"/>
      <c r="I487" s="21"/>
      <c r="J487" s="21"/>
      <c r="K487" s="76">
        <f t="shared" ref="K487:X487" ca="1" si="318">IF($C483=LataProjekcji,ROUND($C484-K486,0),ROUND(IF(K485=0,0,$C484-K486),0))</f>
        <v>0</v>
      </c>
      <c r="L487" s="76">
        <f t="shared" ca="1" si="318"/>
        <v>0</v>
      </c>
      <c r="M487" s="76">
        <f t="shared" ca="1" si="318"/>
        <v>0</v>
      </c>
      <c r="N487" s="76">
        <f t="shared" ca="1" si="318"/>
        <v>0</v>
      </c>
      <c r="O487" s="76">
        <f t="shared" ca="1" si="318"/>
        <v>0</v>
      </c>
      <c r="P487" s="76">
        <f t="shared" ca="1" si="318"/>
        <v>0</v>
      </c>
      <c r="Q487" s="76">
        <f t="shared" ca="1" si="318"/>
        <v>0</v>
      </c>
      <c r="R487" s="76">
        <f t="shared" ca="1" si="318"/>
        <v>0</v>
      </c>
      <c r="S487" s="76">
        <f t="shared" ca="1" si="318"/>
        <v>0</v>
      </c>
      <c r="T487" s="76">
        <f t="shared" ca="1" si="318"/>
        <v>0</v>
      </c>
      <c r="U487" s="76">
        <f t="shared" ca="1" si="318"/>
        <v>0</v>
      </c>
      <c r="V487" s="76">
        <f t="shared" ca="1" si="318"/>
        <v>0</v>
      </c>
      <c r="W487" s="76">
        <f t="shared" ca="1" si="318"/>
        <v>0</v>
      </c>
      <c r="X487" s="76">
        <f t="shared" ca="1" si="318"/>
        <v>0</v>
      </c>
    </row>
    <row r="488" spans="1:24" hidden="1">
      <c r="A488" s="258"/>
      <c r="B488" s="21"/>
      <c r="C488" s="22"/>
      <c r="D488" s="21"/>
      <c r="E488" s="21"/>
      <c r="F488" s="21"/>
      <c r="G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</row>
    <row r="489" spans="1:24" hidden="1">
      <c r="A489" s="258"/>
      <c r="B489" s="20" t="s">
        <v>388</v>
      </c>
      <c r="C489" s="21">
        <f>C482+1</f>
        <v>33</v>
      </c>
      <c r="D489" s="473">
        <f>D482+1</f>
        <v>77</v>
      </c>
      <c r="E489" s="21"/>
      <c r="F489" s="21"/>
      <c r="G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</row>
    <row r="490" spans="1:24" hidden="1">
      <c r="A490" s="258"/>
      <c r="B490" s="21" t="s">
        <v>414</v>
      </c>
      <c r="C490" s="164">
        <f ca="1">IFERROR(YEAR(OFFSET($D$28,C489,0)),0)</f>
        <v>0</v>
      </c>
      <c r="D490" s="164">
        <f ca="1">IFERROR(MONTH(OFFSET($D$28,C489,0)),0)</f>
        <v>0</v>
      </c>
      <c r="E490" s="21">
        <f ca="1">12-$D490</f>
        <v>12</v>
      </c>
      <c r="F490" s="21"/>
      <c r="G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1:24" hidden="1">
      <c r="A491" s="258"/>
      <c r="B491" s="21" t="s">
        <v>406</v>
      </c>
      <c r="C491" s="244">
        <f ca="1">IF(OFFSET($F$28,C489,0)&lt;0,0,OFFSET($F$28,C489,0))</f>
        <v>0</v>
      </c>
      <c r="D491" s="22" t="str">
        <f ca="1">OFFSET($C$28,C489,0)</f>
        <v/>
      </c>
      <c r="E491" s="22">
        <f ca="1">IF(D491&gt;10,ROUND(($C492/12)*$E490,0),$C491)</f>
        <v>0</v>
      </c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1" t="s">
        <v>415</v>
      </c>
      <c r="C492" s="244">
        <f ca="1">IF(ISBLANK(OFFSET($D$28,C489,0)),0,IF(OFFSET($C$28,C489,0)&gt;10,ROUND(C491*am_wnip,0),IF(C491&lt;0,0,C491)))</f>
        <v>0</v>
      </c>
      <c r="D492" s="21"/>
      <c r="E492" s="21"/>
      <c r="F492" s="21"/>
      <c r="G492" s="21"/>
      <c r="I492" s="21"/>
      <c r="J492" s="473" cm="1">
        <f t="array" aca="1" ref="J492" ca="1">OFFSET('Środki trwałe'!$C$195,'Rozliczenie dotacji'!D489,,)</f>
        <v>0</v>
      </c>
      <c r="K492" s="74">
        <f ca="1">ROUND(IF($C490=LataProjekcji,$E491,IF($C490=LataProjekcji,$C492,0)),0)</f>
        <v>0</v>
      </c>
      <c r="L492" s="247">
        <f ca="1">ROUND(IF(OR(AND($C490=LataProjekcji,$E490&gt;0),AND($C490=LataProjekcji,$E490=0,$D491&lt;=10)),$E491,IF($C490&lt;LataProjekcji,IF((SUM($K492:K492)+$C492)&lt;$C491,$C492,$C491-SUM($K492:K492)),0)),0)</f>
        <v>0</v>
      </c>
      <c r="M492" s="247">
        <f ca="1">ROUND(IF(OR(AND($C490=LataProjekcji,$E490&gt;0),AND($C490=LataProjekcji,$E490=0,$D491&lt;=10)),$E491,IF($C490&lt;LataProjekcji,IF((SUM($K492:L492)+$C492)&lt;$C491,$C492,$C491-SUM($K492:L492)),0)),0)</f>
        <v>0</v>
      </c>
      <c r="N492" s="247">
        <f ca="1">ROUND(IF(OR(AND($C490=LataProjekcji,$E490&gt;0),AND($C490=LataProjekcji,$E490=0,$D491&lt;=10)),$E491,IF($C490&lt;LataProjekcji,IF((SUM($K492:M492)+$C492)&lt;$C491,$C492,$C491-SUM($K492:M492)),0)),0)</f>
        <v>0</v>
      </c>
      <c r="O492" s="247">
        <f ca="1">ROUND(IF(OR(AND($C490=LataProjekcji,$E490&gt;0),AND($C490=LataProjekcji,$E490=0,$D491&lt;=10)),$E491,IF($C490&lt;LataProjekcji,IF((SUM($K492:N492)+$C492)&lt;$C491,$C492,$C491-SUM($K492:N492)),0)),0)</f>
        <v>0</v>
      </c>
      <c r="P492" s="247">
        <f ca="1">ROUND(IF(OR(AND($C490=LataProjekcji,$E490&gt;0),AND($C490=LataProjekcji,$E490=0,$D491&lt;=10)),$E491,IF($C490&lt;LataProjekcji,IF((SUM($K492:O492)+$C492)&lt;$C491,$C492,$C491-SUM($K492:O492)),0)),0)</f>
        <v>0</v>
      </c>
      <c r="Q492" s="247">
        <f ca="1">ROUND(IF(OR(AND($C490=LataProjekcji,$E490&gt;0),AND($C490=LataProjekcji,$E490=0,$D491&lt;=10)),$E491,IF($C490&lt;LataProjekcji,IF((SUM($K492:P492)+$C492)&lt;$C491,$C492,$C491-SUM($K492:P492)),0)),0)</f>
        <v>0</v>
      </c>
      <c r="R492" s="247">
        <f ca="1">ROUND(IF(OR(AND($C490=LataProjekcji,$E490&gt;0),AND($C490=LataProjekcji,$E490=0,$D491&lt;=10)),$E491,IF($C490&lt;LataProjekcji,IF((SUM($K492:Q492)+$C492)&lt;$C491,$C492,$C491-SUM($K492:Q492)),0)),0)</f>
        <v>0</v>
      </c>
      <c r="S492" s="247">
        <f ca="1">ROUND(IF(OR(AND($C490=LataProjekcji,$E490&gt;0),AND($C490=LataProjekcji,$E490=0,$D491&lt;=10)),$E491,IF($C490&lt;LataProjekcji,IF((SUM($K492:R492)+$C492)&lt;$C491,$C492,$C491-SUM($K492:R492)),0)),0)</f>
        <v>0</v>
      </c>
      <c r="T492" s="247">
        <f ca="1">ROUND(IF(OR(AND($C490=LataProjekcji,$E490&gt;0),AND($C490=LataProjekcji,$E490=0,$D491&lt;=10)),$E491,IF($C490&lt;LataProjekcji,IF((SUM($K492:S492)+$C492)&lt;$C491,$C492,$C491-SUM($K492:S492)),0)),0)</f>
        <v>0</v>
      </c>
      <c r="U492" s="247">
        <f ca="1">ROUND(IF(OR(AND($C490=LataProjekcji,$E490&gt;0),AND($C490=LataProjekcji,$E490=0,$D491&lt;=10)),$E491,IF($C490&lt;LataProjekcji,IF((SUM($K492:T492)+$C492)&lt;$C491,$C492,$C491-SUM($K492:T492)),0)),0)</f>
        <v>0</v>
      </c>
      <c r="V492" s="247">
        <f ca="1">ROUND(IF(OR(AND($C490=LataProjekcji,$E490&gt;0),AND($C490=LataProjekcji,$E490=0,$D491&lt;=10)),$E491,IF($C490&lt;LataProjekcji,IF((SUM($K492:U492)+$C492)&lt;$C491,$C492,$C491-SUM($K492:U492)),0)),0)</f>
        <v>0</v>
      </c>
      <c r="W492" s="247">
        <f ca="1">ROUND(IF(OR(AND($C490=LataProjekcji,$E490&gt;0),AND($C490=LataProjekcji,$E490=0,$D491&lt;=10)),$E491,IF($C490&lt;LataProjekcji,IF((SUM($K492:V492)+$C492)&lt;$C491,$C492,$C491-SUM($K492:V492)),0)),0)</f>
        <v>0</v>
      </c>
      <c r="X492" s="247">
        <f ca="1">ROUND(IF(OR(AND($C490=LataProjekcji,$E490&gt;0),AND($C490=LataProjekcji,$E490=0,$D491&lt;=10)),$E491,IF($C490&lt;LataProjekcji,IF((SUM($K492:W492)+$C492)&lt;$C491,$C492,$C491-SUM($K492:W492)),0)),0)</f>
        <v>0</v>
      </c>
    </row>
    <row r="493" spans="1:24" hidden="1">
      <c r="A493" s="258"/>
      <c r="B493" s="21" t="s">
        <v>416</v>
      </c>
      <c r="C493" s="22"/>
      <c r="D493" s="21"/>
      <c r="E493" s="21"/>
      <c r="F493" s="21"/>
      <c r="G493" s="21"/>
      <c r="I493" s="21"/>
      <c r="J493" s="21"/>
      <c r="K493" s="22">
        <f ca="1">ROUND(K492,0)</f>
        <v>0</v>
      </c>
      <c r="L493" s="22">
        <f t="shared" ref="L493:X493" ca="1" si="319">ROUND(K493+L492,0)</f>
        <v>0</v>
      </c>
      <c r="M493" s="22">
        <f t="shared" ca="1" si="319"/>
        <v>0</v>
      </c>
      <c r="N493" s="22">
        <f t="shared" ca="1" si="319"/>
        <v>0</v>
      </c>
      <c r="O493" s="22">
        <f t="shared" ca="1" si="319"/>
        <v>0</v>
      </c>
      <c r="P493" s="22">
        <f t="shared" ca="1" si="319"/>
        <v>0</v>
      </c>
      <c r="Q493" s="22">
        <f t="shared" ca="1" si="319"/>
        <v>0</v>
      </c>
      <c r="R493" s="22">
        <f t="shared" ca="1" si="319"/>
        <v>0</v>
      </c>
      <c r="S493" s="22">
        <f t="shared" ca="1" si="319"/>
        <v>0</v>
      </c>
      <c r="T493" s="22">
        <f t="shared" ca="1" si="319"/>
        <v>0</v>
      </c>
      <c r="U493" s="22">
        <f t="shared" ca="1" si="319"/>
        <v>0</v>
      </c>
      <c r="V493" s="22">
        <f t="shared" ca="1" si="319"/>
        <v>0</v>
      </c>
      <c r="W493" s="22">
        <f t="shared" ca="1" si="319"/>
        <v>0</v>
      </c>
      <c r="X493" s="22">
        <f t="shared" ca="1" si="319"/>
        <v>0</v>
      </c>
    </row>
    <row r="494" spans="1:24" hidden="1">
      <c r="A494" s="258"/>
      <c r="B494" s="21" t="s">
        <v>406</v>
      </c>
      <c r="C494" s="22"/>
      <c r="D494" s="21"/>
      <c r="E494" s="21"/>
      <c r="F494" s="21"/>
      <c r="G494" s="21"/>
      <c r="I494" s="21"/>
      <c r="J494" s="21"/>
      <c r="K494" s="76">
        <f t="shared" ref="K494:X494" ca="1" si="320">IF($C490=LataProjekcji,ROUND($C491-K493,0),ROUND(IF(K492=0,0,$C491-K493),0))</f>
        <v>0</v>
      </c>
      <c r="L494" s="76">
        <f t="shared" ca="1" si="320"/>
        <v>0</v>
      </c>
      <c r="M494" s="76">
        <f t="shared" ca="1" si="320"/>
        <v>0</v>
      </c>
      <c r="N494" s="76">
        <f t="shared" ca="1" si="320"/>
        <v>0</v>
      </c>
      <c r="O494" s="76">
        <f t="shared" ca="1" si="320"/>
        <v>0</v>
      </c>
      <c r="P494" s="76">
        <f t="shared" ca="1" si="320"/>
        <v>0</v>
      </c>
      <c r="Q494" s="76">
        <f t="shared" ca="1" si="320"/>
        <v>0</v>
      </c>
      <c r="R494" s="76">
        <f t="shared" ca="1" si="320"/>
        <v>0</v>
      </c>
      <c r="S494" s="76">
        <f t="shared" ca="1" si="320"/>
        <v>0</v>
      </c>
      <c r="T494" s="76">
        <f t="shared" ca="1" si="320"/>
        <v>0</v>
      </c>
      <c r="U494" s="76">
        <f t="shared" ca="1" si="320"/>
        <v>0</v>
      </c>
      <c r="V494" s="76">
        <f t="shared" ca="1" si="320"/>
        <v>0</v>
      </c>
      <c r="W494" s="76">
        <f t="shared" ca="1" si="320"/>
        <v>0</v>
      </c>
      <c r="X494" s="76">
        <f t="shared" ca="1" si="320"/>
        <v>0</v>
      </c>
    </row>
    <row r="495" spans="1:24" hidden="1">
      <c r="A495" s="258"/>
      <c r="B495" s="21"/>
      <c r="C495" s="22"/>
      <c r="D495" s="21"/>
      <c r="E495" s="21"/>
      <c r="F495" s="21"/>
      <c r="G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1:24" hidden="1">
      <c r="A496" s="258"/>
      <c r="B496" s="20" t="s">
        <v>388</v>
      </c>
      <c r="C496" s="21">
        <f>C489+1</f>
        <v>34</v>
      </c>
      <c r="D496" s="473">
        <f>D489+1</f>
        <v>78</v>
      </c>
      <c r="E496" s="21"/>
      <c r="F496" s="21"/>
      <c r="G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1:24" hidden="1">
      <c r="A497" s="258"/>
      <c r="B497" s="21" t="s">
        <v>414</v>
      </c>
      <c r="C497" s="164">
        <f ca="1">IFERROR(YEAR(OFFSET($D$28,C496,0)),0)</f>
        <v>0</v>
      </c>
      <c r="D497" s="164">
        <f ca="1">IFERROR(MONTH(OFFSET($D$28,C496,0)),0)</f>
        <v>0</v>
      </c>
      <c r="E497" s="21">
        <f ca="1">12-$D497</f>
        <v>12</v>
      </c>
      <c r="F497" s="21"/>
      <c r="G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1:24" hidden="1">
      <c r="A498" s="258"/>
      <c r="B498" s="21" t="s">
        <v>406</v>
      </c>
      <c r="C498" s="244">
        <f ca="1">IF(OFFSET($F$28,C496,0)&lt;0,0,OFFSET($F$28,C496,0))</f>
        <v>0</v>
      </c>
      <c r="D498" s="22" t="str">
        <f ca="1">OFFSET($C$28,C496,0)</f>
        <v/>
      </c>
      <c r="E498" s="22">
        <f ca="1">IF(D498&gt;10,ROUND(($C499/12)*$E497,0),$C498)</f>
        <v>0</v>
      </c>
      <c r="F498" s="21"/>
      <c r="G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idden="1">
      <c r="A499" s="258"/>
      <c r="B499" s="21" t="s">
        <v>415</v>
      </c>
      <c r="C499" s="244">
        <f ca="1">IF(ISBLANK(OFFSET($D$28,C496,0)),0,IF(OFFSET($C$28,C496,0)&gt;10,ROUND(C498*am_wnip,0),IF(C498&lt;0,0,C498)))</f>
        <v>0</v>
      </c>
      <c r="D499" s="21"/>
      <c r="E499" s="21"/>
      <c r="F499" s="21"/>
      <c r="G499" s="21"/>
      <c r="I499" s="21"/>
      <c r="J499" s="473" cm="1">
        <f t="array" aca="1" ref="J499" ca="1">OFFSET('Środki trwałe'!$C$195,'Rozliczenie dotacji'!D496,,)</f>
        <v>0</v>
      </c>
      <c r="K499" s="74">
        <f ca="1">ROUND(IF($C497=LataProjekcji,$E498,IF($C497=LataProjekcji,$C499,0)),0)</f>
        <v>0</v>
      </c>
      <c r="L499" s="247">
        <f ca="1">ROUND(IF(OR(AND($C497=LataProjekcji,$E497&gt;0),AND($C497=LataProjekcji,$E497=0,$D498&lt;=10)),$E498,IF($C497&lt;LataProjekcji,IF((SUM($K499:K499)+$C499)&lt;$C498,$C499,$C498-SUM($K499:K499)),0)),0)</f>
        <v>0</v>
      </c>
      <c r="M499" s="247">
        <f ca="1">ROUND(IF(OR(AND($C497=LataProjekcji,$E497&gt;0),AND($C497=LataProjekcji,$E497=0,$D498&lt;=10)),$E498,IF($C497&lt;LataProjekcji,IF((SUM($K499:L499)+$C499)&lt;$C498,$C499,$C498-SUM($K499:L499)),0)),0)</f>
        <v>0</v>
      </c>
      <c r="N499" s="247">
        <f ca="1">ROUND(IF(OR(AND($C497=LataProjekcji,$E497&gt;0),AND($C497=LataProjekcji,$E497=0,$D498&lt;=10)),$E498,IF($C497&lt;LataProjekcji,IF((SUM($K499:M499)+$C499)&lt;$C498,$C499,$C498-SUM($K499:M499)),0)),0)</f>
        <v>0</v>
      </c>
      <c r="O499" s="247">
        <f ca="1">ROUND(IF(OR(AND($C497=LataProjekcji,$E497&gt;0),AND($C497=LataProjekcji,$E497=0,$D498&lt;=10)),$E498,IF($C497&lt;LataProjekcji,IF((SUM($K499:N499)+$C499)&lt;$C498,$C499,$C498-SUM($K499:N499)),0)),0)</f>
        <v>0</v>
      </c>
      <c r="P499" s="247">
        <f ca="1">ROUND(IF(OR(AND($C497=LataProjekcji,$E497&gt;0),AND($C497=LataProjekcji,$E497=0,$D498&lt;=10)),$E498,IF($C497&lt;LataProjekcji,IF((SUM($K499:O499)+$C499)&lt;$C498,$C499,$C498-SUM($K499:O499)),0)),0)</f>
        <v>0</v>
      </c>
      <c r="Q499" s="247">
        <f ca="1">ROUND(IF(OR(AND($C497=LataProjekcji,$E497&gt;0),AND($C497=LataProjekcji,$E497=0,$D498&lt;=10)),$E498,IF($C497&lt;LataProjekcji,IF((SUM($K499:P499)+$C499)&lt;$C498,$C499,$C498-SUM($K499:P499)),0)),0)</f>
        <v>0</v>
      </c>
      <c r="R499" s="247">
        <f ca="1">ROUND(IF(OR(AND($C497=LataProjekcji,$E497&gt;0),AND($C497=LataProjekcji,$E497=0,$D498&lt;=10)),$E498,IF($C497&lt;LataProjekcji,IF((SUM($K499:Q499)+$C499)&lt;$C498,$C499,$C498-SUM($K499:Q499)),0)),0)</f>
        <v>0</v>
      </c>
      <c r="S499" s="247">
        <f ca="1">ROUND(IF(OR(AND($C497=LataProjekcji,$E497&gt;0),AND($C497=LataProjekcji,$E497=0,$D498&lt;=10)),$E498,IF($C497&lt;LataProjekcji,IF((SUM($K499:R499)+$C499)&lt;$C498,$C499,$C498-SUM($K499:R499)),0)),0)</f>
        <v>0</v>
      </c>
      <c r="T499" s="247">
        <f ca="1">ROUND(IF(OR(AND($C497=LataProjekcji,$E497&gt;0),AND($C497=LataProjekcji,$E497=0,$D498&lt;=10)),$E498,IF($C497&lt;LataProjekcji,IF((SUM($K499:S499)+$C499)&lt;$C498,$C499,$C498-SUM($K499:S499)),0)),0)</f>
        <v>0</v>
      </c>
      <c r="U499" s="247">
        <f ca="1">ROUND(IF(OR(AND($C497=LataProjekcji,$E497&gt;0),AND($C497=LataProjekcji,$E497=0,$D498&lt;=10)),$E498,IF($C497&lt;LataProjekcji,IF((SUM($K499:T499)+$C499)&lt;$C498,$C499,$C498-SUM($K499:T499)),0)),0)</f>
        <v>0</v>
      </c>
      <c r="V499" s="247">
        <f ca="1">ROUND(IF(OR(AND($C497=LataProjekcji,$E497&gt;0),AND($C497=LataProjekcji,$E497=0,$D498&lt;=10)),$E498,IF($C497&lt;LataProjekcji,IF((SUM($K499:U499)+$C499)&lt;$C498,$C499,$C498-SUM($K499:U499)),0)),0)</f>
        <v>0</v>
      </c>
      <c r="W499" s="247">
        <f ca="1">ROUND(IF(OR(AND($C497=LataProjekcji,$E497&gt;0),AND($C497=LataProjekcji,$E497=0,$D498&lt;=10)),$E498,IF($C497&lt;LataProjekcji,IF((SUM($K499:V499)+$C499)&lt;$C498,$C499,$C498-SUM($K499:V499)),0)),0)</f>
        <v>0</v>
      </c>
      <c r="X499" s="247">
        <f ca="1">ROUND(IF(OR(AND($C497=LataProjekcji,$E497&gt;0),AND($C497=LataProjekcji,$E497=0,$D498&lt;=10)),$E498,IF($C497&lt;LataProjekcji,IF((SUM($K499:W499)+$C499)&lt;$C498,$C499,$C498-SUM($K499:W499)),0)),0)</f>
        <v>0</v>
      </c>
    </row>
    <row r="500" spans="1:24" hidden="1">
      <c r="A500" s="258"/>
      <c r="B500" s="21" t="s">
        <v>416</v>
      </c>
      <c r="C500" s="22"/>
      <c r="D500" s="21"/>
      <c r="E500" s="21"/>
      <c r="F500" s="21"/>
      <c r="G500" s="21"/>
      <c r="I500" s="21"/>
      <c r="J500" s="21"/>
      <c r="K500" s="22">
        <f ca="1">ROUND(K499,0)</f>
        <v>0</v>
      </c>
      <c r="L500" s="22">
        <f t="shared" ref="L500:X500" ca="1" si="321">ROUND(K500+L499,0)</f>
        <v>0</v>
      </c>
      <c r="M500" s="22">
        <f t="shared" ca="1" si="321"/>
        <v>0</v>
      </c>
      <c r="N500" s="22">
        <f t="shared" ca="1" si="321"/>
        <v>0</v>
      </c>
      <c r="O500" s="22">
        <f t="shared" ca="1" si="321"/>
        <v>0</v>
      </c>
      <c r="P500" s="22">
        <f t="shared" ca="1" si="321"/>
        <v>0</v>
      </c>
      <c r="Q500" s="22">
        <f t="shared" ca="1" si="321"/>
        <v>0</v>
      </c>
      <c r="R500" s="22">
        <f t="shared" ca="1" si="321"/>
        <v>0</v>
      </c>
      <c r="S500" s="22">
        <f t="shared" ca="1" si="321"/>
        <v>0</v>
      </c>
      <c r="T500" s="22">
        <f t="shared" ca="1" si="321"/>
        <v>0</v>
      </c>
      <c r="U500" s="22">
        <f t="shared" ca="1" si="321"/>
        <v>0</v>
      </c>
      <c r="V500" s="22">
        <f t="shared" ca="1" si="321"/>
        <v>0</v>
      </c>
      <c r="W500" s="22">
        <f t="shared" ca="1" si="321"/>
        <v>0</v>
      </c>
      <c r="X500" s="22">
        <f t="shared" ca="1" si="321"/>
        <v>0</v>
      </c>
    </row>
    <row r="501" spans="1:24" hidden="1">
      <c r="A501" s="258"/>
      <c r="B501" s="21" t="s">
        <v>406</v>
      </c>
      <c r="C501" s="22"/>
      <c r="D501" s="21"/>
      <c r="E501" s="21"/>
      <c r="F501" s="21"/>
      <c r="G501" s="21"/>
      <c r="I501" s="21"/>
      <c r="J501" s="21"/>
      <c r="K501" s="76">
        <f t="shared" ref="K501:X501" ca="1" si="322">IF($C497=LataProjekcji,ROUND($C498-K500,0),ROUND(IF(K499=0,0,$C498-K500),0))</f>
        <v>0</v>
      </c>
      <c r="L501" s="76">
        <f t="shared" ca="1" si="322"/>
        <v>0</v>
      </c>
      <c r="M501" s="76">
        <f t="shared" ca="1" si="322"/>
        <v>0</v>
      </c>
      <c r="N501" s="76">
        <f t="shared" ca="1" si="322"/>
        <v>0</v>
      </c>
      <c r="O501" s="76">
        <f t="shared" ca="1" si="322"/>
        <v>0</v>
      </c>
      <c r="P501" s="76">
        <f t="shared" ca="1" si="322"/>
        <v>0</v>
      </c>
      <c r="Q501" s="76">
        <f t="shared" ca="1" si="322"/>
        <v>0</v>
      </c>
      <c r="R501" s="76">
        <f t="shared" ca="1" si="322"/>
        <v>0</v>
      </c>
      <c r="S501" s="76">
        <f t="shared" ca="1" si="322"/>
        <v>0</v>
      </c>
      <c r="T501" s="76">
        <f t="shared" ca="1" si="322"/>
        <v>0</v>
      </c>
      <c r="U501" s="76">
        <f t="shared" ca="1" si="322"/>
        <v>0</v>
      </c>
      <c r="V501" s="76">
        <f t="shared" ca="1" si="322"/>
        <v>0</v>
      </c>
      <c r="W501" s="76">
        <f t="shared" ca="1" si="322"/>
        <v>0</v>
      </c>
      <c r="X501" s="76">
        <f t="shared" ca="1" si="322"/>
        <v>0</v>
      </c>
    </row>
    <row r="502" spans="1:24" hidden="1">
      <c r="A502" s="258"/>
      <c r="B502" s="20"/>
      <c r="C502" s="21"/>
      <c r="D502" s="21"/>
      <c r="E502" s="21"/>
      <c r="F502" s="21"/>
      <c r="G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0" t="s">
        <v>388</v>
      </c>
      <c r="C503" s="21">
        <f>C496+1</f>
        <v>35</v>
      </c>
      <c r="D503" s="473">
        <f>D496+1</f>
        <v>79</v>
      </c>
      <c r="E503" s="21"/>
      <c r="F503" s="21"/>
      <c r="G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414</v>
      </c>
      <c r="C504" s="164">
        <f ca="1">IFERROR(YEAR(OFFSET($D$28,C503,0)),0)</f>
        <v>0</v>
      </c>
      <c r="D504" s="164">
        <f ca="1">IFERROR(MONTH(OFFSET($D$28,C503,0)),0)</f>
        <v>0</v>
      </c>
      <c r="E504" s="21">
        <f ca="1">12-$D504</f>
        <v>12</v>
      </c>
      <c r="F504" s="21"/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406</v>
      </c>
      <c r="C505" s="244">
        <f ca="1">IF(OFFSET($F$28,C503,0)&lt;0,0,OFFSET($F$28,C503,0))</f>
        <v>0</v>
      </c>
      <c r="D505" s="22" t="str">
        <f ca="1">OFFSET($C$28,C503,0)</f>
        <v/>
      </c>
      <c r="E505" s="22">
        <f ca="1">IF(D505&gt;10,ROUND(($C506/12)*$E504,0),$C505)</f>
        <v>0</v>
      </c>
      <c r="F505" s="21"/>
      <c r="G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1:24" hidden="1">
      <c r="A506" s="258"/>
      <c r="B506" s="21" t="s">
        <v>415</v>
      </c>
      <c r="C506" s="244">
        <f ca="1">IF(ISBLANK(OFFSET($D$28,C503,0)),0,IF(OFFSET($C$28,C503,0)&gt;10,ROUND(C505*am_wnip,0),IF(C505&lt;0,0,C505)))</f>
        <v>0</v>
      </c>
      <c r="D506" s="21"/>
      <c r="E506" s="21"/>
      <c r="F506" s="21"/>
      <c r="G506" s="21"/>
      <c r="I506" s="21"/>
      <c r="J506" s="473" cm="1">
        <f t="array" aca="1" ref="J506" ca="1">OFFSET('Środki trwałe'!$C$195,'Rozliczenie dotacji'!D503,,)</f>
        <v>0</v>
      </c>
      <c r="K506" s="74">
        <f ca="1">ROUND(IF($C504=LataProjekcji,$E505,IF($C504=LataProjekcji,$C506,0)),0)</f>
        <v>0</v>
      </c>
      <c r="L506" s="247">
        <f ca="1">ROUND(IF(OR(AND($C504=LataProjekcji,$E504&gt;0),AND($C504=LataProjekcji,$E504=0,$D505&lt;=10)),$E505,IF($C504&lt;LataProjekcji,IF((SUM($K506:K506)+$C506)&lt;$C505,$C506,$C505-SUM($K506:K506)),0)),0)</f>
        <v>0</v>
      </c>
      <c r="M506" s="247">
        <f ca="1">ROUND(IF(OR(AND($C504=LataProjekcji,$E504&gt;0),AND($C504=LataProjekcji,$E504=0,$D505&lt;=10)),$E505,IF($C504&lt;LataProjekcji,IF((SUM($K506:L506)+$C506)&lt;$C505,$C506,$C505-SUM($K506:L506)),0)),0)</f>
        <v>0</v>
      </c>
      <c r="N506" s="247">
        <f ca="1">ROUND(IF(OR(AND($C504=LataProjekcji,$E504&gt;0),AND($C504=LataProjekcji,$E504=0,$D505&lt;=10)),$E505,IF($C504&lt;LataProjekcji,IF((SUM($K506:M506)+$C506)&lt;$C505,$C506,$C505-SUM($K506:M506)),0)),0)</f>
        <v>0</v>
      </c>
      <c r="O506" s="247">
        <f ca="1">ROUND(IF(OR(AND($C504=LataProjekcji,$E504&gt;0),AND($C504=LataProjekcji,$E504=0,$D505&lt;=10)),$E505,IF($C504&lt;LataProjekcji,IF((SUM($K506:N506)+$C506)&lt;$C505,$C506,$C505-SUM($K506:N506)),0)),0)</f>
        <v>0</v>
      </c>
      <c r="P506" s="247">
        <f ca="1">ROUND(IF(OR(AND($C504=LataProjekcji,$E504&gt;0),AND($C504=LataProjekcji,$E504=0,$D505&lt;=10)),$E505,IF($C504&lt;LataProjekcji,IF((SUM($K506:O506)+$C506)&lt;$C505,$C506,$C505-SUM($K506:O506)),0)),0)</f>
        <v>0</v>
      </c>
      <c r="Q506" s="247">
        <f ca="1">ROUND(IF(OR(AND($C504=LataProjekcji,$E504&gt;0),AND($C504=LataProjekcji,$E504=0,$D505&lt;=10)),$E505,IF($C504&lt;LataProjekcji,IF((SUM($K506:P506)+$C506)&lt;$C505,$C506,$C505-SUM($K506:P506)),0)),0)</f>
        <v>0</v>
      </c>
      <c r="R506" s="247">
        <f ca="1">ROUND(IF(OR(AND($C504=LataProjekcji,$E504&gt;0),AND($C504=LataProjekcji,$E504=0,$D505&lt;=10)),$E505,IF($C504&lt;LataProjekcji,IF((SUM($K506:Q506)+$C506)&lt;$C505,$C506,$C505-SUM($K506:Q506)),0)),0)</f>
        <v>0</v>
      </c>
      <c r="S506" s="247">
        <f ca="1">ROUND(IF(OR(AND($C504=LataProjekcji,$E504&gt;0),AND($C504=LataProjekcji,$E504=0,$D505&lt;=10)),$E505,IF($C504&lt;LataProjekcji,IF((SUM($K506:R506)+$C506)&lt;$C505,$C506,$C505-SUM($K506:R506)),0)),0)</f>
        <v>0</v>
      </c>
      <c r="T506" s="247">
        <f ca="1">ROUND(IF(OR(AND($C504=LataProjekcji,$E504&gt;0),AND($C504=LataProjekcji,$E504=0,$D505&lt;=10)),$E505,IF($C504&lt;LataProjekcji,IF((SUM($K506:S506)+$C506)&lt;$C505,$C506,$C505-SUM($K506:S506)),0)),0)</f>
        <v>0</v>
      </c>
      <c r="U506" s="247">
        <f ca="1">ROUND(IF(OR(AND($C504=LataProjekcji,$E504&gt;0),AND($C504=LataProjekcji,$E504=0,$D505&lt;=10)),$E505,IF($C504&lt;LataProjekcji,IF((SUM($K506:T506)+$C506)&lt;$C505,$C506,$C505-SUM($K506:T506)),0)),0)</f>
        <v>0</v>
      </c>
      <c r="V506" s="247">
        <f ca="1">ROUND(IF(OR(AND($C504=LataProjekcji,$E504&gt;0),AND($C504=LataProjekcji,$E504=0,$D505&lt;=10)),$E505,IF($C504&lt;LataProjekcji,IF((SUM($K506:U506)+$C506)&lt;$C505,$C506,$C505-SUM($K506:U506)),0)),0)</f>
        <v>0</v>
      </c>
      <c r="W506" s="247">
        <f ca="1">ROUND(IF(OR(AND($C504=LataProjekcji,$E504&gt;0),AND($C504=LataProjekcji,$E504=0,$D505&lt;=10)),$E505,IF($C504&lt;LataProjekcji,IF((SUM($K506:V506)+$C506)&lt;$C505,$C506,$C505-SUM($K506:V506)),0)),0)</f>
        <v>0</v>
      </c>
      <c r="X506" s="247">
        <f ca="1">ROUND(IF(OR(AND($C504=LataProjekcji,$E504&gt;0),AND($C504=LataProjekcji,$E504=0,$D505&lt;=10)),$E505,IF($C504&lt;LataProjekcji,IF((SUM($K506:W506)+$C506)&lt;$C505,$C506,$C505-SUM($K506:W506)),0)),0)</f>
        <v>0</v>
      </c>
    </row>
    <row r="507" spans="1:24" hidden="1">
      <c r="A507" s="258"/>
      <c r="B507" s="21" t="s">
        <v>416</v>
      </c>
      <c r="C507" s="22"/>
      <c r="D507" s="21"/>
      <c r="E507" s="21"/>
      <c r="F507" s="21"/>
      <c r="G507" s="21"/>
      <c r="I507" s="21"/>
      <c r="J507" s="21"/>
      <c r="K507" s="22">
        <f ca="1">ROUND(K506,0)</f>
        <v>0</v>
      </c>
      <c r="L507" s="22">
        <f t="shared" ref="L507:X507" ca="1" si="323">ROUND(K507+L506,0)</f>
        <v>0</v>
      </c>
      <c r="M507" s="22">
        <f t="shared" ca="1" si="323"/>
        <v>0</v>
      </c>
      <c r="N507" s="22">
        <f t="shared" ca="1" si="323"/>
        <v>0</v>
      </c>
      <c r="O507" s="22">
        <f t="shared" ca="1" si="323"/>
        <v>0</v>
      </c>
      <c r="P507" s="22">
        <f t="shared" ca="1" si="323"/>
        <v>0</v>
      </c>
      <c r="Q507" s="22">
        <f t="shared" ca="1" si="323"/>
        <v>0</v>
      </c>
      <c r="R507" s="22">
        <f t="shared" ca="1" si="323"/>
        <v>0</v>
      </c>
      <c r="S507" s="22">
        <f t="shared" ca="1" si="323"/>
        <v>0</v>
      </c>
      <c r="T507" s="22">
        <f t="shared" ca="1" si="323"/>
        <v>0</v>
      </c>
      <c r="U507" s="22">
        <f t="shared" ca="1" si="323"/>
        <v>0</v>
      </c>
      <c r="V507" s="22">
        <f t="shared" ca="1" si="323"/>
        <v>0</v>
      </c>
      <c r="W507" s="22">
        <f t="shared" ca="1" si="323"/>
        <v>0</v>
      </c>
      <c r="X507" s="22">
        <f t="shared" ca="1" si="323"/>
        <v>0</v>
      </c>
    </row>
    <row r="508" spans="1:24" hidden="1">
      <c r="A508" s="258"/>
      <c r="B508" s="21" t="s">
        <v>406</v>
      </c>
      <c r="C508" s="22"/>
      <c r="D508" s="21"/>
      <c r="E508" s="21"/>
      <c r="F508" s="21"/>
      <c r="G508" s="21"/>
      <c r="I508" s="21"/>
      <c r="J508" s="21"/>
      <c r="K508" s="76">
        <f t="shared" ref="K508:X508" ca="1" si="324">IF($C504=LataProjekcji,ROUND($C505-K507,0),ROUND(IF(K506=0,0,$C505-K507),0))</f>
        <v>0</v>
      </c>
      <c r="L508" s="76">
        <f t="shared" ca="1" si="324"/>
        <v>0</v>
      </c>
      <c r="M508" s="76">
        <f t="shared" ca="1" si="324"/>
        <v>0</v>
      </c>
      <c r="N508" s="76">
        <f t="shared" ca="1" si="324"/>
        <v>0</v>
      </c>
      <c r="O508" s="76">
        <f t="shared" ca="1" si="324"/>
        <v>0</v>
      </c>
      <c r="P508" s="76">
        <f t="shared" ca="1" si="324"/>
        <v>0</v>
      </c>
      <c r="Q508" s="76">
        <f t="shared" ca="1" si="324"/>
        <v>0</v>
      </c>
      <c r="R508" s="76">
        <f t="shared" ca="1" si="324"/>
        <v>0</v>
      </c>
      <c r="S508" s="76">
        <f t="shared" ca="1" si="324"/>
        <v>0</v>
      </c>
      <c r="T508" s="76">
        <f t="shared" ca="1" si="324"/>
        <v>0</v>
      </c>
      <c r="U508" s="76">
        <f t="shared" ca="1" si="324"/>
        <v>0</v>
      </c>
      <c r="V508" s="76">
        <f t="shared" ca="1" si="324"/>
        <v>0</v>
      </c>
      <c r="W508" s="76">
        <f t="shared" ca="1" si="324"/>
        <v>0</v>
      </c>
      <c r="X508" s="76">
        <f t="shared" ca="1" si="324"/>
        <v>0</v>
      </c>
    </row>
    <row r="509" spans="1:24" hidden="1">
      <c r="A509" s="258"/>
      <c r="B509" s="21"/>
      <c r="C509" s="22"/>
      <c r="D509" s="21"/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0" t="s">
        <v>388</v>
      </c>
      <c r="C510" s="21">
        <f>C503+1</f>
        <v>36</v>
      </c>
      <c r="D510" s="473">
        <f>D503+1</f>
        <v>80</v>
      </c>
      <c r="E510" s="21"/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414</v>
      </c>
      <c r="C511" s="164">
        <f ca="1">IFERROR(YEAR(OFFSET($D$28,C510,0)),0)</f>
        <v>0</v>
      </c>
      <c r="D511" s="164">
        <f ca="1">IFERROR(MONTH(OFFSET($D$28,C510,0)),0)</f>
        <v>0</v>
      </c>
      <c r="E511" s="21">
        <f ca="1">12-$D511</f>
        <v>12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406</v>
      </c>
      <c r="C512" s="244">
        <f ca="1">IF(OFFSET($F$28,C510,0)&lt;0,0,OFFSET($F$28,C510,0))</f>
        <v>0</v>
      </c>
      <c r="D512" s="22" t="str">
        <f ca="1">OFFSET($C$28,C510,0)</f>
        <v/>
      </c>
      <c r="E512" s="22">
        <f ca="1">IF(D512&gt;10,ROUND(($C513/12)*$E511,0),$C512)</f>
        <v>0</v>
      </c>
      <c r="F512" s="21"/>
      <c r="G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1:24" hidden="1">
      <c r="A513" s="258"/>
      <c r="B513" s="21" t="s">
        <v>415</v>
      </c>
      <c r="C513" s="244">
        <f ca="1">IF(ISBLANK(OFFSET($D$28,C510,0)),0,IF(OFFSET($C$28,C510,0)&gt;10,ROUND(C512*am_wnip,0),IF(C512&lt;0,0,C512)))</f>
        <v>0</v>
      </c>
      <c r="D513" s="21"/>
      <c r="E513" s="21"/>
      <c r="F513" s="21"/>
      <c r="G513" s="21"/>
      <c r="I513" s="21"/>
      <c r="J513" s="473" cm="1">
        <f t="array" aca="1" ref="J513" ca="1">OFFSET('Środki trwałe'!$C$195,'Rozliczenie dotacji'!D510,,)</f>
        <v>0</v>
      </c>
      <c r="K513" s="74">
        <f ca="1">ROUND(IF($C511=LataProjekcji,$E512,IF($C511=LataProjekcji,$C513,0)),0)</f>
        <v>0</v>
      </c>
      <c r="L513" s="247">
        <f ca="1">ROUND(IF(OR(AND($C511=LataProjekcji,$E511&gt;0),AND($C511=LataProjekcji,$E511=0,$D512&lt;=10)),$E512,IF($C511&lt;LataProjekcji,IF((SUM($K513:K513)+$C513)&lt;$C512,$C513,$C512-SUM($K513:K513)),0)),0)</f>
        <v>0</v>
      </c>
      <c r="M513" s="247">
        <f ca="1">ROUND(IF(OR(AND($C511=LataProjekcji,$E511&gt;0),AND($C511=LataProjekcji,$E511=0,$D512&lt;=10)),$E512,IF($C511&lt;LataProjekcji,IF((SUM($K513:L513)+$C513)&lt;$C512,$C513,$C512-SUM($K513:L513)),0)),0)</f>
        <v>0</v>
      </c>
      <c r="N513" s="247">
        <f ca="1">ROUND(IF(OR(AND($C511=LataProjekcji,$E511&gt;0),AND($C511=LataProjekcji,$E511=0,$D512&lt;=10)),$E512,IF($C511&lt;LataProjekcji,IF((SUM($K513:M513)+$C513)&lt;$C512,$C513,$C512-SUM($K513:M513)),0)),0)</f>
        <v>0</v>
      </c>
      <c r="O513" s="247">
        <f ca="1">ROUND(IF(OR(AND($C511=LataProjekcji,$E511&gt;0),AND($C511=LataProjekcji,$E511=0,$D512&lt;=10)),$E512,IF($C511&lt;LataProjekcji,IF((SUM($K513:N513)+$C513)&lt;$C512,$C513,$C512-SUM($K513:N513)),0)),0)</f>
        <v>0</v>
      </c>
      <c r="P513" s="247">
        <f ca="1">ROUND(IF(OR(AND($C511=LataProjekcji,$E511&gt;0),AND($C511=LataProjekcji,$E511=0,$D512&lt;=10)),$E512,IF($C511&lt;LataProjekcji,IF((SUM($K513:O513)+$C513)&lt;$C512,$C513,$C512-SUM($K513:O513)),0)),0)</f>
        <v>0</v>
      </c>
      <c r="Q513" s="247">
        <f ca="1">ROUND(IF(OR(AND($C511=LataProjekcji,$E511&gt;0),AND($C511=LataProjekcji,$E511=0,$D512&lt;=10)),$E512,IF($C511&lt;LataProjekcji,IF((SUM($K513:P513)+$C513)&lt;$C512,$C513,$C512-SUM($K513:P513)),0)),0)</f>
        <v>0</v>
      </c>
      <c r="R513" s="247">
        <f ca="1">ROUND(IF(OR(AND($C511=LataProjekcji,$E511&gt;0),AND($C511=LataProjekcji,$E511=0,$D512&lt;=10)),$E512,IF($C511&lt;LataProjekcji,IF((SUM($K513:Q513)+$C513)&lt;$C512,$C513,$C512-SUM($K513:Q513)),0)),0)</f>
        <v>0</v>
      </c>
      <c r="S513" s="247">
        <f ca="1">ROUND(IF(OR(AND($C511=LataProjekcji,$E511&gt;0),AND($C511=LataProjekcji,$E511=0,$D512&lt;=10)),$E512,IF($C511&lt;LataProjekcji,IF((SUM($K513:R513)+$C513)&lt;$C512,$C513,$C512-SUM($K513:R513)),0)),0)</f>
        <v>0</v>
      </c>
      <c r="T513" s="247">
        <f ca="1">ROUND(IF(OR(AND($C511=LataProjekcji,$E511&gt;0),AND($C511=LataProjekcji,$E511=0,$D512&lt;=10)),$E512,IF($C511&lt;LataProjekcji,IF((SUM($K513:S513)+$C513)&lt;$C512,$C513,$C512-SUM($K513:S513)),0)),0)</f>
        <v>0</v>
      </c>
      <c r="U513" s="247">
        <f ca="1">ROUND(IF(OR(AND($C511=LataProjekcji,$E511&gt;0),AND($C511=LataProjekcji,$E511=0,$D512&lt;=10)),$E512,IF($C511&lt;LataProjekcji,IF((SUM($K513:T513)+$C513)&lt;$C512,$C513,$C512-SUM($K513:T513)),0)),0)</f>
        <v>0</v>
      </c>
      <c r="V513" s="247">
        <f ca="1">ROUND(IF(OR(AND($C511=LataProjekcji,$E511&gt;0),AND($C511=LataProjekcji,$E511=0,$D512&lt;=10)),$E512,IF($C511&lt;LataProjekcji,IF((SUM($K513:U513)+$C513)&lt;$C512,$C513,$C512-SUM($K513:U513)),0)),0)</f>
        <v>0</v>
      </c>
      <c r="W513" s="247">
        <f ca="1">ROUND(IF(OR(AND($C511=LataProjekcji,$E511&gt;0),AND($C511=LataProjekcji,$E511=0,$D512&lt;=10)),$E512,IF($C511&lt;LataProjekcji,IF((SUM($K513:V513)+$C513)&lt;$C512,$C513,$C512-SUM($K513:V513)),0)),0)</f>
        <v>0</v>
      </c>
      <c r="X513" s="247">
        <f ca="1">ROUND(IF(OR(AND($C511=LataProjekcji,$E511&gt;0),AND($C511=LataProjekcji,$E511=0,$D512&lt;=10)),$E512,IF($C511&lt;LataProjekcji,IF((SUM($K513:W513)+$C513)&lt;$C512,$C513,$C512-SUM($K513:W513)),0)),0)</f>
        <v>0</v>
      </c>
    </row>
    <row r="514" spans="1:24" hidden="1">
      <c r="A514" s="258"/>
      <c r="B514" s="21" t="s">
        <v>416</v>
      </c>
      <c r="C514" s="22"/>
      <c r="D514" s="21"/>
      <c r="E514" s="21"/>
      <c r="F514" s="21"/>
      <c r="G514" s="21"/>
      <c r="I514" s="21"/>
      <c r="J514" s="21"/>
      <c r="K514" s="22">
        <f ca="1">ROUND(K513,0)</f>
        <v>0</v>
      </c>
      <c r="L514" s="22">
        <f t="shared" ref="L514:X514" ca="1" si="325">ROUND(K514+L513,0)</f>
        <v>0</v>
      </c>
      <c r="M514" s="22">
        <f t="shared" ca="1" si="325"/>
        <v>0</v>
      </c>
      <c r="N514" s="22">
        <f t="shared" ca="1" si="325"/>
        <v>0</v>
      </c>
      <c r="O514" s="22">
        <f t="shared" ca="1" si="325"/>
        <v>0</v>
      </c>
      <c r="P514" s="22">
        <f t="shared" ca="1" si="325"/>
        <v>0</v>
      </c>
      <c r="Q514" s="22">
        <f t="shared" ca="1" si="325"/>
        <v>0</v>
      </c>
      <c r="R514" s="22">
        <f t="shared" ca="1" si="325"/>
        <v>0</v>
      </c>
      <c r="S514" s="22">
        <f t="shared" ca="1" si="325"/>
        <v>0</v>
      </c>
      <c r="T514" s="22">
        <f t="shared" ca="1" si="325"/>
        <v>0</v>
      </c>
      <c r="U514" s="22">
        <f t="shared" ca="1" si="325"/>
        <v>0</v>
      </c>
      <c r="V514" s="22">
        <f t="shared" ca="1" si="325"/>
        <v>0</v>
      </c>
      <c r="W514" s="22">
        <f t="shared" ca="1" si="325"/>
        <v>0</v>
      </c>
      <c r="X514" s="22">
        <f t="shared" ca="1" si="325"/>
        <v>0</v>
      </c>
    </row>
    <row r="515" spans="1:24" hidden="1">
      <c r="A515" s="258"/>
      <c r="B515" s="21" t="s">
        <v>406</v>
      </c>
      <c r="C515" s="22"/>
      <c r="D515" s="21"/>
      <c r="E515" s="21"/>
      <c r="F515" s="21"/>
      <c r="G515" s="21"/>
      <c r="I515" s="21"/>
      <c r="J515" s="21"/>
      <c r="K515" s="76">
        <f t="shared" ref="K515:X515" ca="1" si="326">IF($C511=LataProjekcji,ROUND($C512-K514,0),ROUND(IF(K513=0,0,$C512-K514),0))</f>
        <v>0</v>
      </c>
      <c r="L515" s="76">
        <f t="shared" ca="1" si="326"/>
        <v>0</v>
      </c>
      <c r="M515" s="76">
        <f t="shared" ca="1" si="326"/>
        <v>0</v>
      </c>
      <c r="N515" s="76">
        <f t="shared" ca="1" si="326"/>
        <v>0</v>
      </c>
      <c r="O515" s="76">
        <f t="shared" ca="1" si="326"/>
        <v>0</v>
      </c>
      <c r="P515" s="76">
        <f t="shared" ca="1" si="326"/>
        <v>0</v>
      </c>
      <c r="Q515" s="76">
        <f t="shared" ca="1" si="326"/>
        <v>0</v>
      </c>
      <c r="R515" s="76">
        <f t="shared" ca="1" si="326"/>
        <v>0</v>
      </c>
      <c r="S515" s="76">
        <f t="shared" ca="1" si="326"/>
        <v>0</v>
      </c>
      <c r="T515" s="76">
        <f t="shared" ca="1" si="326"/>
        <v>0</v>
      </c>
      <c r="U515" s="76">
        <f t="shared" ca="1" si="326"/>
        <v>0</v>
      </c>
      <c r="V515" s="76">
        <f t="shared" ca="1" si="326"/>
        <v>0</v>
      </c>
      <c r="W515" s="76">
        <f t="shared" ca="1" si="326"/>
        <v>0</v>
      </c>
      <c r="X515" s="76">
        <f t="shared" ca="1" si="326"/>
        <v>0</v>
      </c>
    </row>
    <row r="516" spans="1:24" hidden="1">
      <c r="A516" s="258"/>
      <c r="B516" s="21"/>
      <c r="C516" s="22"/>
      <c r="D516" s="21"/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0" t="s">
        <v>388</v>
      </c>
      <c r="C517" s="21">
        <f>C510+1</f>
        <v>37</v>
      </c>
      <c r="D517" s="473">
        <f>D510+1</f>
        <v>81</v>
      </c>
      <c r="E517" s="21"/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414</v>
      </c>
      <c r="C518" s="164">
        <f ca="1">IFERROR(YEAR(OFFSET($D$28,C517,0)),0)</f>
        <v>0</v>
      </c>
      <c r="D518" s="164">
        <f ca="1">IFERROR(MONTH(OFFSET($D$28,C517,0)),0)</f>
        <v>0</v>
      </c>
      <c r="E518" s="21">
        <f ca="1">12-$D518</f>
        <v>12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406</v>
      </c>
      <c r="C519" s="244">
        <f ca="1">IF(OFFSET($F$28,C517,0)&lt;0,0,OFFSET($F$28,C517,0))</f>
        <v>0</v>
      </c>
      <c r="D519" s="22" t="str">
        <f ca="1">OFFSET($C$28,C517,0)</f>
        <v/>
      </c>
      <c r="E519" s="22">
        <f ca="1">IF(D519&gt;10,ROUND(($C520/12)*$E518,0),$C519)</f>
        <v>0</v>
      </c>
      <c r="F519" s="21"/>
      <c r="G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1:24" hidden="1">
      <c r="A520" s="258"/>
      <c r="B520" s="21" t="s">
        <v>415</v>
      </c>
      <c r="C520" s="244">
        <f ca="1">IF(ISBLANK(OFFSET($D$28,C517,0)),0,IF(OFFSET($C$28,C517,0)&gt;10,ROUND(C519*am_wnip,0),IF(C519&lt;0,0,C519)))</f>
        <v>0</v>
      </c>
      <c r="D520" s="21"/>
      <c r="E520" s="21"/>
      <c r="F520" s="21"/>
      <c r="G520" s="21"/>
      <c r="I520" s="21"/>
      <c r="J520" s="473" cm="1">
        <f t="array" aca="1" ref="J520" ca="1">OFFSET('Środki trwałe'!$C$195,'Rozliczenie dotacji'!D517,,)</f>
        <v>0</v>
      </c>
      <c r="K520" s="74">
        <f ca="1">ROUND(IF($C518=LataProjekcji,$E519,IF($C518=LataProjekcji,$C520,0)),0)</f>
        <v>0</v>
      </c>
      <c r="L520" s="247">
        <f ca="1">ROUND(IF(OR(AND($C518=LataProjekcji,$E518&gt;0),AND($C518=LataProjekcji,$E518=0,$D519&lt;=10)),$E519,IF($C518&lt;LataProjekcji,IF((SUM($K520:K520)+$C520)&lt;$C519,$C520,$C519-SUM($K520:K520)),0)),0)</f>
        <v>0</v>
      </c>
      <c r="M520" s="247">
        <f ca="1">ROUND(IF(OR(AND($C518=LataProjekcji,$E518&gt;0),AND($C518=LataProjekcji,$E518=0,$D519&lt;=10)),$E519,IF($C518&lt;LataProjekcji,IF((SUM($K520:L520)+$C520)&lt;$C519,$C520,$C519-SUM($K520:L520)),0)),0)</f>
        <v>0</v>
      </c>
      <c r="N520" s="247">
        <f ca="1">ROUND(IF(OR(AND($C518=LataProjekcji,$E518&gt;0),AND($C518=LataProjekcji,$E518=0,$D519&lt;=10)),$E519,IF($C518&lt;LataProjekcji,IF((SUM($K520:M520)+$C520)&lt;$C519,$C520,$C519-SUM($K520:M520)),0)),0)</f>
        <v>0</v>
      </c>
      <c r="O520" s="247">
        <f ca="1">ROUND(IF(OR(AND($C518=LataProjekcji,$E518&gt;0),AND($C518=LataProjekcji,$E518=0,$D519&lt;=10)),$E519,IF($C518&lt;LataProjekcji,IF((SUM($K520:N520)+$C520)&lt;$C519,$C520,$C519-SUM($K520:N520)),0)),0)</f>
        <v>0</v>
      </c>
      <c r="P520" s="247">
        <f ca="1">ROUND(IF(OR(AND($C518=LataProjekcji,$E518&gt;0),AND($C518=LataProjekcji,$E518=0,$D519&lt;=10)),$E519,IF($C518&lt;LataProjekcji,IF((SUM($K520:O520)+$C520)&lt;$C519,$C520,$C519-SUM($K520:O520)),0)),0)</f>
        <v>0</v>
      </c>
      <c r="Q520" s="247">
        <f ca="1">ROUND(IF(OR(AND($C518=LataProjekcji,$E518&gt;0),AND($C518=LataProjekcji,$E518=0,$D519&lt;=10)),$E519,IF($C518&lt;LataProjekcji,IF((SUM($K520:P520)+$C520)&lt;$C519,$C520,$C519-SUM($K520:P520)),0)),0)</f>
        <v>0</v>
      </c>
      <c r="R520" s="247">
        <f ca="1">ROUND(IF(OR(AND($C518=LataProjekcji,$E518&gt;0),AND($C518=LataProjekcji,$E518=0,$D519&lt;=10)),$E519,IF($C518&lt;LataProjekcji,IF((SUM($K520:Q520)+$C520)&lt;$C519,$C520,$C519-SUM($K520:Q520)),0)),0)</f>
        <v>0</v>
      </c>
      <c r="S520" s="247">
        <f ca="1">ROUND(IF(OR(AND($C518=LataProjekcji,$E518&gt;0),AND($C518=LataProjekcji,$E518=0,$D519&lt;=10)),$E519,IF($C518&lt;LataProjekcji,IF((SUM($K520:R520)+$C520)&lt;$C519,$C520,$C519-SUM($K520:R520)),0)),0)</f>
        <v>0</v>
      </c>
      <c r="T520" s="247">
        <f ca="1">ROUND(IF(OR(AND($C518=LataProjekcji,$E518&gt;0),AND($C518=LataProjekcji,$E518=0,$D519&lt;=10)),$E519,IF($C518&lt;LataProjekcji,IF((SUM($K520:S520)+$C520)&lt;$C519,$C520,$C519-SUM($K520:S520)),0)),0)</f>
        <v>0</v>
      </c>
      <c r="U520" s="247">
        <f ca="1">ROUND(IF(OR(AND($C518=LataProjekcji,$E518&gt;0),AND($C518=LataProjekcji,$E518=0,$D519&lt;=10)),$E519,IF($C518&lt;LataProjekcji,IF((SUM($K520:T520)+$C520)&lt;$C519,$C520,$C519-SUM($K520:T520)),0)),0)</f>
        <v>0</v>
      </c>
      <c r="V520" s="247">
        <f ca="1">ROUND(IF(OR(AND($C518=LataProjekcji,$E518&gt;0),AND($C518=LataProjekcji,$E518=0,$D519&lt;=10)),$E519,IF($C518&lt;LataProjekcji,IF((SUM($K520:U520)+$C520)&lt;$C519,$C520,$C519-SUM($K520:U520)),0)),0)</f>
        <v>0</v>
      </c>
      <c r="W520" s="247">
        <f ca="1">ROUND(IF(OR(AND($C518=LataProjekcji,$E518&gt;0),AND($C518=LataProjekcji,$E518=0,$D519&lt;=10)),$E519,IF($C518&lt;LataProjekcji,IF((SUM($K520:V520)+$C520)&lt;$C519,$C520,$C519-SUM($K520:V520)),0)),0)</f>
        <v>0</v>
      </c>
      <c r="X520" s="247">
        <f ca="1">ROUND(IF(OR(AND($C518=LataProjekcji,$E518&gt;0),AND($C518=LataProjekcji,$E518=0,$D519&lt;=10)),$E519,IF($C518&lt;LataProjekcji,IF((SUM($K520:W520)+$C520)&lt;$C519,$C520,$C519-SUM($K520:W520)),0)),0)</f>
        <v>0</v>
      </c>
    </row>
    <row r="521" spans="1:24" hidden="1">
      <c r="A521" s="258"/>
      <c r="B521" s="21" t="s">
        <v>416</v>
      </c>
      <c r="C521" s="22"/>
      <c r="D521" s="21"/>
      <c r="E521" s="21"/>
      <c r="F521" s="21"/>
      <c r="G521" s="21"/>
      <c r="I521" s="21"/>
      <c r="J521" s="21"/>
      <c r="K521" s="22">
        <f ca="1">ROUND(K520,0)</f>
        <v>0</v>
      </c>
      <c r="L521" s="22">
        <f t="shared" ref="L521:X521" ca="1" si="327">ROUND(K521+L520,0)</f>
        <v>0</v>
      </c>
      <c r="M521" s="22">
        <f t="shared" ca="1" si="327"/>
        <v>0</v>
      </c>
      <c r="N521" s="22">
        <f t="shared" ca="1" si="327"/>
        <v>0</v>
      </c>
      <c r="O521" s="22">
        <f t="shared" ca="1" si="327"/>
        <v>0</v>
      </c>
      <c r="P521" s="22">
        <f t="shared" ca="1" si="327"/>
        <v>0</v>
      </c>
      <c r="Q521" s="22">
        <f t="shared" ca="1" si="327"/>
        <v>0</v>
      </c>
      <c r="R521" s="22">
        <f t="shared" ca="1" si="327"/>
        <v>0</v>
      </c>
      <c r="S521" s="22">
        <f t="shared" ca="1" si="327"/>
        <v>0</v>
      </c>
      <c r="T521" s="22">
        <f t="shared" ca="1" si="327"/>
        <v>0</v>
      </c>
      <c r="U521" s="22">
        <f t="shared" ca="1" si="327"/>
        <v>0</v>
      </c>
      <c r="V521" s="22">
        <f t="shared" ca="1" si="327"/>
        <v>0</v>
      </c>
      <c r="W521" s="22">
        <f t="shared" ca="1" si="327"/>
        <v>0</v>
      </c>
      <c r="X521" s="22">
        <f t="shared" ca="1" si="327"/>
        <v>0</v>
      </c>
    </row>
    <row r="522" spans="1:24" hidden="1">
      <c r="A522" s="258"/>
      <c r="B522" s="21" t="s">
        <v>406</v>
      </c>
      <c r="C522" s="22"/>
      <c r="D522" s="21"/>
      <c r="E522" s="21"/>
      <c r="F522" s="21"/>
      <c r="G522" s="21"/>
      <c r="I522" s="21"/>
      <c r="J522" s="21"/>
      <c r="K522" s="76">
        <f t="shared" ref="K522:X522" ca="1" si="328">IF($C518=LataProjekcji,ROUND($C519-K521,0),ROUND(IF(K520=0,0,$C519-K521),0))</f>
        <v>0</v>
      </c>
      <c r="L522" s="76">
        <f t="shared" ca="1" si="328"/>
        <v>0</v>
      </c>
      <c r="M522" s="76">
        <f t="shared" ca="1" si="328"/>
        <v>0</v>
      </c>
      <c r="N522" s="76">
        <f t="shared" ca="1" si="328"/>
        <v>0</v>
      </c>
      <c r="O522" s="76">
        <f t="shared" ca="1" si="328"/>
        <v>0</v>
      </c>
      <c r="P522" s="76">
        <f t="shared" ca="1" si="328"/>
        <v>0</v>
      </c>
      <c r="Q522" s="76">
        <f t="shared" ca="1" si="328"/>
        <v>0</v>
      </c>
      <c r="R522" s="76">
        <f t="shared" ca="1" si="328"/>
        <v>0</v>
      </c>
      <c r="S522" s="76">
        <f t="shared" ca="1" si="328"/>
        <v>0</v>
      </c>
      <c r="T522" s="76">
        <f t="shared" ca="1" si="328"/>
        <v>0</v>
      </c>
      <c r="U522" s="76">
        <f t="shared" ca="1" si="328"/>
        <v>0</v>
      </c>
      <c r="V522" s="76">
        <f t="shared" ca="1" si="328"/>
        <v>0</v>
      </c>
      <c r="W522" s="76">
        <f t="shared" ca="1" si="328"/>
        <v>0</v>
      </c>
      <c r="X522" s="76">
        <f t="shared" ca="1" si="328"/>
        <v>0</v>
      </c>
    </row>
    <row r="523" spans="1:24" hidden="1">
      <c r="A523" s="258"/>
      <c r="B523" s="20"/>
      <c r="C523" s="21"/>
      <c r="D523" s="21"/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0" t="s">
        <v>388</v>
      </c>
      <c r="C524" s="21">
        <f>C517+1</f>
        <v>38</v>
      </c>
      <c r="D524" s="473">
        <f>D517+1</f>
        <v>82</v>
      </c>
      <c r="E524" s="21"/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414</v>
      </c>
      <c r="C525" s="164">
        <f ca="1">IFERROR(YEAR(OFFSET($D$28,C524,0)),0)</f>
        <v>0</v>
      </c>
      <c r="D525" s="164">
        <f ca="1">IFERROR(MONTH(OFFSET($D$28,C524,0)),0)</f>
        <v>0</v>
      </c>
      <c r="E525" s="21">
        <f ca="1">12-$D525</f>
        <v>12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406</v>
      </c>
      <c r="C526" s="244">
        <f ca="1">IF(OFFSET($F$28,C524,0)&lt;0,0,OFFSET($F$28,C524,0))</f>
        <v>0</v>
      </c>
      <c r="D526" s="22" t="str">
        <f ca="1">OFFSET($C$28,C524,0)</f>
        <v/>
      </c>
      <c r="E526" s="22">
        <f ca="1">IF(D526&gt;10,ROUND(($C527/12)*$E525,0),$C526)</f>
        <v>0</v>
      </c>
      <c r="F526" s="21"/>
      <c r="G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</row>
    <row r="527" spans="1:24" hidden="1">
      <c r="A527" s="258"/>
      <c r="B527" s="21" t="s">
        <v>415</v>
      </c>
      <c r="C527" s="244">
        <f ca="1">IF(ISBLANK(OFFSET($D$28,C524,0)),0,IF(OFFSET($C$28,C524,0)&gt;10,ROUND(C526*am_wnip,0),IF(C526&lt;0,0,C526)))</f>
        <v>0</v>
      </c>
      <c r="D527" s="21"/>
      <c r="E527" s="21"/>
      <c r="F527" s="21"/>
      <c r="G527" s="21"/>
      <c r="I527" s="21"/>
      <c r="J527" s="473" cm="1">
        <f t="array" aca="1" ref="J527" ca="1">OFFSET('Środki trwałe'!$C$195,'Rozliczenie dotacji'!D524,,)</f>
        <v>0</v>
      </c>
      <c r="K527" s="74">
        <f ca="1">ROUND(IF($C525=LataProjekcji,$E526,IF($C525=LataProjekcji,$C527,0)),0)</f>
        <v>0</v>
      </c>
      <c r="L527" s="247">
        <f ca="1">ROUND(IF(OR(AND($C525=LataProjekcji,$E525&gt;0),AND($C525=LataProjekcji,$E525=0,$D526&lt;=10)),$E526,IF($C525&lt;LataProjekcji,IF((SUM($K527:K527)+$C527)&lt;$C526,$C527,$C526-SUM($K527:K527)),0)),0)</f>
        <v>0</v>
      </c>
      <c r="M527" s="247">
        <f ca="1">ROUND(IF(OR(AND($C525=LataProjekcji,$E525&gt;0),AND($C525=LataProjekcji,$E525=0,$D526&lt;=10)),$E526,IF($C525&lt;LataProjekcji,IF((SUM($K527:L527)+$C527)&lt;$C526,$C527,$C526-SUM($K527:L527)),0)),0)</f>
        <v>0</v>
      </c>
      <c r="N527" s="247">
        <f ca="1">ROUND(IF(OR(AND($C525=LataProjekcji,$E525&gt;0),AND($C525=LataProjekcji,$E525=0,$D526&lt;=10)),$E526,IF($C525&lt;LataProjekcji,IF((SUM($K527:M527)+$C527)&lt;$C526,$C527,$C526-SUM($K527:M527)),0)),0)</f>
        <v>0</v>
      </c>
      <c r="O527" s="247">
        <f ca="1">ROUND(IF(OR(AND($C525=LataProjekcji,$E525&gt;0),AND($C525=LataProjekcji,$E525=0,$D526&lt;=10)),$E526,IF($C525&lt;LataProjekcji,IF((SUM($K527:N527)+$C527)&lt;$C526,$C527,$C526-SUM($K527:N527)),0)),0)</f>
        <v>0</v>
      </c>
      <c r="P527" s="247">
        <f ca="1">ROUND(IF(OR(AND($C525=LataProjekcji,$E525&gt;0),AND($C525=LataProjekcji,$E525=0,$D526&lt;=10)),$E526,IF($C525&lt;LataProjekcji,IF((SUM($K527:O527)+$C527)&lt;$C526,$C527,$C526-SUM($K527:O527)),0)),0)</f>
        <v>0</v>
      </c>
      <c r="Q527" s="247">
        <f ca="1">ROUND(IF(OR(AND($C525=LataProjekcji,$E525&gt;0),AND($C525=LataProjekcji,$E525=0,$D526&lt;=10)),$E526,IF($C525&lt;LataProjekcji,IF((SUM($K527:P527)+$C527)&lt;$C526,$C527,$C526-SUM($K527:P527)),0)),0)</f>
        <v>0</v>
      </c>
      <c r="R527" s="247">
        <f ca="1">ROUND(IF(OR(AND($C525=LataProjekcji,$E525&gt;0),AND($C525=LataProjekcji,$E525=0,$D526&lt;=10)),$E526,IF($C525&lt;LataProjekcji,IF((SUM($K527:Q527)+$C527)&lt;$C526,$C527,$C526-SUM($K527:Q527)),0)),0)</f>
        <v>0</v>
      </c>
      <c r="S527" s="247">
        <f ca="1">ROUND(IF(OR(AND($C525=LataProjekcji,$E525&gt;0),AND($C525=LataProjekcji,$E525=0,$D526&lt;=10)),$E526,IF($C525&lt;LataProjekcji,IF((SUM($K527:R527)+$C527)&lt;$C526,$C527,$C526-SUM($K527:R527)),0)),0)</f>
        <v>0</v>
      </c>
      <c r="T527" s="247">
        <f ca="1">ROUND(IF(OR(AND($C525=LataProjekcji,$E525&gt;0),AND($C525=LataProjekcji,$E525=0,$D526&lt;=10)),$E526,IF($C525&lt;LataProjekcji,IF((SUM($K527:S527)+$C527)&lt;$C526,$C527,$C526-SUM($K527:S527)),0)),0)</f>
        <v>0</v>
      </c>
      <c r="U527" s="247">
        <f ca="1">ROUND(IF(OR(AND($C525=LataProjekcji,$E525&gt;0),AND($C525=LataProjekcji,$E525=0,$D526&lt;=10)),$E526,IF($C525&lt;LataProjekcji,IF((SUM($K527:T527)+$C527)&lt;$C526,$C527,$C526-SUM($K527:T527)),0)),0)</f>
        <v>0</v>
      </c>
      <c r="V527" s="247">
        <f ca="1">ROUND(IF(OR(AND($C525=LataProjekcji,$E525&gt;0),AND($C525=LataProjekcji,$E525=0,$D526&lt;=10)),$E526,IF($C525&lt;LataProjekcji,IF((SUM($K527:U527)+$C527)&lt;$C526,$C527,$C526-SUM($K527:U527)),0)),0)</f>
        <v>0</v>
      </c>
      <c r="W527" s="247">
        <f ca="1">ROUND(IF(OR(AND($C525=LataProjekcji,$E525&gt;0),AND($C525=LataProjekcji,$E525=0,$D526&lt;=10)),$E526,IF($C525&lt;LataProjekcji,IF((SUM($K527:V527)+$C527)&lt;$C526,$C527,$C526-SUM($K527:V527)),0)),0)</f>
        <v>0</v>
      </c>
      <c r="X527" s="247">
        <f ca="1">ROUND(IF(OR(AND($C525=LataProjekcji,$E525&gt;0),AND($C525=LataProjekcji,$E525=0,$D526&lt;=10)),$E526,IF($C525&lt;LataProjekcji,IF((SUM($K527:W527)+$C527)&lt;$C526,$C527,$C526-SUM($K527:W527)),0)),0)</f>
        <v>0</v>
      </c>
    </row>
    <row r="528" spans="1:24" hidden="1">
      <c r="A528" s="258"/>
      <c r="B528" s="21" t="s">
        <v>416</v>
      </c>
      <c r="C528" s="22"/>
      <c r="D528" s="21"/>
      <c r="E528" s="21"/>
      <c r="F528" s="21"/>
      <c r="G528" s="21"/>
      <c r="I528" s="21"/>
      <c r="J528" s="21"/>
      <c r="K528" s="22">
        <f ca="1">ROUND(K527,0)</f>
        <v>0</v>
      </c>
      <c r="L528" s="22">
        <f t="shared" ref="L528:X528" ca="1" si="329">ROUND(K528+L527,0)</f>
        <v>0</v>
      </c>
      <c r="M528" s="22">
        <f t="shared" ca="1" si="329"/>
        <v>0</v>
      </c>
      <c r="N528" s="22">
        <f t="shared" ca="1" si="329"/>
        <v>0</v>
      </c>
      <c r="O528" s="22">
        <f t="shared" ca="1" si="329"/>
        <v>0</v>
      </c>
      <c r="P528" s="22">
        <f t="shared" ca="1" si="329"/>
        <v>0</v>
      </c>
      <c r="Q528" s="22">
        <f t="shared" ca="1" si="329"/>
        <v>0</v>
      </c>
      <c r="R528" s="22">
        <f t="shared" ca="1" si="329"/>
        <v>0</v>
      </c>
      <c r="S528" s="22">
        <f t="shared" ca="1" si="329"/>
        <v>0</v>
      </c>
      <c r="T528" s="22">
        <f t="shared" ca="1" si="329"/>
        <v>0</v>
      </c>
      <c r="U528" s="22">
        <f t="shared" ca="1" si="329"/>
        <v>0</v>
      </c>
      <c r="V528" s="22">
        <f t="shared" ca="1" si="329"/>
        <v>0</v>
      </c>
      <c r="W528" s="22">
        <f t="shared" ca="1" si="329"/>
        <v>0</v>
      </c>
      <c r="X528" s="22">
        <f t="shared" ca="1" si="329"/>
        <v>0</v>
      </c>
    </row>
    <row r="529" spans="1:24" hidden="1">
      <c r="A529" s="258"/>
      <c r="B529" s="21" t="s">
        <v>406</v>
      </c>
      <c r="C529" s="22"/>
      <c r="D529" s="21"/>
      <c r="E529" s="21"/>
      <c r="F529" s="21"/>
      <c r="G529" s="21"/>
      <c r="I529" s="21"/>
      <c r="J529" s="21"/>
      <c r="K529" s="76">
        <f t="shared" ref="K529:X529" ca="1" si="330">IF($C525=LataProjekcji,ROUND($C526-K528,0),ROUND(IF(K527=0,0,$C526-K528),0))</f>
        <v>0</v>
      </c>
      <c r="L529" s="76">
        <f t="shared" ca="1" si="330"/>
        <v>0</v>
      </c>
      <c r="M529" s="76">
        <f t="shared" ca="1" si="330"/>
        <v>0</v>
      </c>
      <c r="N529" s="76">
        <f t="shared" ca="1" si="330"/>
        <v>0</v>
      </c>
      <c r="O529" s="76">
        <f t="shared" ca="1" si="330"/>
        <v>0</v>
      </c>
      <c r="P529" s="76">
        <f t="shared" ca="1" si="330"/>
        <v>0</v>
      </c>
      <c r="Q529" s="76">
        <f t="shared" ca="1" si="330"/>
        <v>0</v>
      </c>
      <c r="R529" s="76">
        <f t="shared" ca="1" si="330"/>
        <v>0</v>
      </c>
      <c r="S529" s="76">
        <f t="shared" ca="1" si="330"/>
        <v>0</v>
      </c>
      <c r="T529" s="76">
        <f t="shared" ca="1" si="330"/>
        <v>0</v>
      </c>
      <c r="U529" s="76">
        <f t="shared" ca="1" si="330"/>
        <v>0</v>
      </c>
      <c r="V529" s="76">
        <f t="shared" ca="1" si="330"/>
        <v>0</v>
      </c>
      <c r="W529" s="76">
        <f t="shared" ca="1" si="330"/>
        <v>0</v>
      </c>
      <c r="X529" s="76">
        <f t="shared" ca="1" si="330"/>
        <v>0</v>
      </c>
    </row>
    <row r="530" spans="1:24" hidden="1">
      <c r="A530" s="258"/>
      <c r="B530" s="21"/>
      <c r="C530" s="22"/>
      <c r="D530" s="21"/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0" t="s">
        <v>388</v>
      </c>
      <c r="C531" s="21">
        <f>C524+1</f>
        <v>39</v>
      </c>
      <c r="D531" s="473">
        <f>D524+1</f>
        <v>83</v>
      </c>
      <c r="E531" s="21"/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414</v>
      </c>
      <c r="C532" s="164">
        <f ca="1">IFERROR(YEAR(OFFSET($D$28,C531,0)),0)</f>
        <v>0</v>
      </c>
      <c r="D532" s="164">
        <f ca="1">IFERROR(MONTH(OFFSET($D$28,C531,0)),0)</f>
        <v>0</v>
      </c>
      <c r="E532" s="21">
        <f ca="1">12-$D532</f>
        <v>12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406</v>
      </c>
      <c r="C533" s="244">
        <f ca="1">IF(OFFSET($F$28,C531,0)&lt;0,0,OFFSET($F$28,C531,0))</f>
        <v>0</v>
      </c>
      <c r="D533" s="22" t="str">
        <f ca="1">OFFSET($C$28,C531,0)</f>
        <v/>
      </c>
      <c r="E533" s="22">
        <f ca="1">IF(D533&gt;10,ROUND(($C534/12)*$E532,0),$C533)</f>
        <v>0</v>
      </c>
      <c r="F533" s="21"/>
      <c r="G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</row>
    <row r="534" spans="1:24" hidden="1">
      <c r="A534" s="258"/>
      <c r="B534" s="21" t="s">
        <v>415</v>
      </c>
      <c r="C534" s="244">
        <f ca="1">IF(ISBLANK(OFFSET($D$28,C531,0)),0,IF(OFFSET($C$28,C531,0)&gt;10,ROUND(C533*am_wnip,0),IF(C533&lt;0,0,C533)))</f>
        <v>0</v>
      </c>
      <c r="D534" s="21"/>
      <c r="E534" s="21"/>
      <c r="F534" s="21"/>
      <c r="G534" s="21"/>
      <c r="I534" s="21"/>
      <c r="J534" s="473" cm="1">
        <f t="array" aca="1" ref="J534" ca="1">OFFSET('Środki trwałe'!$C$195,'Rozliczenie dotacji'!D531,,)</f>
        <v>0</v>
      </c>
      <c r="K534" s="74">
        <f ca="1">ROUND(IF($C532=LataProjekcji,$E533,IF($C532=LataProjekcji,$C534,0)),0)</f>
        <v>0</v>
      </c>
      <c r="L534" s="247">
        <f ca="1">ROUND(IF(OR(AND($C532=LataProjekcji,$E532&gt;0),AND($C532=LataProjekcji,$E532=0,$D533&lt;=10)),$E533,IF($C532&lt;LataProjekcji,IF((SUM($K534:K534)+$C534)&lt;$C533,$C534,$C533-SUM($K534:K534)),0)),0)</f>
        <v>0</v>
      </c>
      <c r="M534" s="247">
        <f ca="1">ROUND(IF(OR(AND($C532=LataProjekcji,$E532&gt;0),AND($C532=LataProjekcji,$E532=0,$D533&lt;=10)),$E533,IF($C532&lt;LataProjekcji,IF((SUM($K534:L534)+$C534)&lt;$C533,$C534,$C533-SUM($K534:L534)),0)),0)</f>
        <v>0</v>
      </c>
      <c r="N534" s="247">
        <f ca="1">ROUND(IF(OR(AND($C532=LataProjekcji,$E532&gt;0),AND($C532=LataProjekcji,$E532=0,$D533&lt;=10)),$E533,IF($C532&lt;LataProjekcji,IF((SUM($K534:M534)+$C534)&lt;$C533,$C534,$C533-SUM($K534:M534)),0)),0)</f>
        <v>0</v>
      </c>
      <c r="O534" s="247">
        <f ca="1">ROUND(IF(OR(AND($C532=LataProjekcji,$E532&gt;0),AND($C532=LataProjekcji,$E532=0,$D533&lt;=10)),$E533,IF($C532&lt;LataProjekcji,IF((SUM($K534:N534)+$C534)&lt;$C533,$C534,$C533-SUM($K534:N534)),0)),0)</f>
        <v>0</v>
      </c>
      <c r="P534" s="247">
        <f ca="1">ROUND(IF(OR(AND($C532=LataProjekcji,$E532&gt;0),AND($C532=LataProjekcji,$E532=0,$D533&lt;=10)),$E533,IF($C532&lt;LataProjekcji,IF((SUM($K534:O534)+$C534)&lt;$C533,$C534,$C533-SUM($K534:O534)),0)),0)</f>
        <v>0</v>
      </c>
      <c r="Q534" s="247">
        <f ca="1">ROUND(IF(OR(AND($C532=LataProjekcji,$E532&gt;0),AND($C532=LataProjekcji,$E532=0,$D533&lt;=10)),$E533,IF($C532&lt;LataProjekcji,IF((SUM($K534:P534)+$C534)&lt;$C533,$C534,$C533-SUM($K534:P534)),0)),0)</f>
        <v>0</v>
      </c>
      <c r="R534" s="247">
        <f ca="1">ROUND(IF(OR(AND($C532=LataProjekcji,$E532&gt;0),AND($C532=LataProjekcji,$E532=0,$D533&lt;=10)),$E533,IF($C532&lt;LataProjekcji,IF((SUM($K534:Q534)+$C534)&lt;$C533,$C534,$C533-SUM($K534:Q534)),0)),0)</f>
        <v>0</v>
      </c>
      <c r="S534" s="247">
        <f ca="1">ROUND(IF(OR(AND($C532=LataProjekcji,$E532&gt;0),AND($C532=LataProjekcji,$E532=0,$D533&lt;=10)),$E533,IF($C532&lt;LataProjekcji,IF((SUM($K534:R534)+$C534)&lt;$C533,$C534,$C533-SUM($K534:R534)),0)),0)</f>
        <v>0</v>
      </c>
      <c r="T534" s="247">
        <f ca="1">ROUND(IF(OR(AND($C532=LataProjekcji,$E532&gt;0),AND($C532=LataProjekcji,$E532=0,$D533&lt;=10)),$E533,IF($C532&lt;LataProjekcji,IF((SUM($K534:S534)+$C534)&lt;$C533,$C534,$C533-SUM($K534:S534)),0)),0)</f>
        <v>0</v>
      </c>
      <c r="U534" s="247">
        <f ca="1">ROUND(IF(OR(AND($C532=LataProjekcji,$E532&gt;0),AND($C532=LataProjekcji,$E532=0,$D533&lt;=10)),$E533,IF($C532&lt;LataProjekcji,IF((SUM($K534:T534)+$C534)&lt;$C533,$C534,$C533-SUM($K534:T534)),0)),0)</f>
        <v>0</v>
      </c>
      <c r="V534" s="247">
        <f ca="1">ROUND(IF(OR(AND($C532=LataProjekcji,$E532&gt;0),AND($C532=LataProjekcji,$E532=0,$D533&lt;=10)),$E533,IF($C532&lt;LataProjekcji,IF((SUM($K534:U534)+$C534)&lt;$C533,$C534,$C533-SUM($K534:U534)),0)),0)</f>
        <v>0</v>
      </c>
      <c r="W534" s="247">
        <f ca="1">ROUND(IF(OR(AND($C532=LataProjekcji,$E532&gt;0),AND($C532=LataProjekcji,$E532=0,$D533&lt;=10)),$E533,IF($C532&lt;LataProjekcji,IF((SUM($K534:V534)+$C534)&lt;$C533,$C534,$C533-SUM($K534:V534)),0)),0)</f>
        <v>0</v>
      </c>
      <c r="X534" s="247">
        <f ca="1">ROUND(IF(OR(AND($C532=LataProjekcji,$E532&gt;0),AND($C532=LataProjekcji,$E532=0,$D533&lt;=10)),$E533,IF($C532&lt;LataProjekcji,IF((SUM($K534:W534)+$C534)&lt;$C533,$C534,$C533-SUM($K534:W534)),0)),0)</f>
        <v>0</v>
      </c>
    </row>
    <row r="535" spans="1:24" hidden="1">
      <c r="A535" s="258"/>
      <c r="B535" s="21" t="s">
        <v>416</v>
      </c>
      <c r="C535" s="22"/>
      <c r="D535" s="21"/>
      <c r="E535" s="21"/>
      <c r="F535" s="21"/>
      <c r="G535" s="21"/>
      <c r="I535" s="21"/>
      <c r="J535" s="21"/>
      <c r="K535" s="22">
        <f ca="1">ROUND(K534,0)</f>
        <v>0</v>
      </c>
      <c r="L535" s="22">
        <f t="shared" ref="L535:X535" ca="1" si="331">ROUND(K535+L534,0)</f>
        <v>0</v>
      </c>
      <c r="M535" s="22">
        <f t="shared" ca="1" si="331"/>
        <v>0</v>
      </c>
      <c r="N535" s="22">
        <f t="shared" ca="1" si="331"/>
        <v>0</v>
      </c>
      <c r="O535" s="22">
        <f t="shared" ca="1" si="331"/>
        <v>0</v>
      </c>
      <c r="P535" s="22">
        <f t="shared" ca="1" si="331"/>
        <v>0</v>
      </c>
      <c r="Q535" s="22">
        <f t="shared" ca="1" si="331"/>
        <v>0</v>
      </c>
      <c r="R535" s="22">
        <f t="shared" ca="1" si="331"/>
        <v>0</v>
      </c>
      <c r="S535" s="22">
        <f t="shared" ca="1" si="331"/>
        <v>0</v>
      </c>
      <c r="T535" s="22">
        <f t="shared" ca="1" si="331"/>
        <v>0</v>
      </c>
      <c r="U535" s="22">
        <f t="shared" ca="1" si="331"/>
        <v>0</v>
      </c>
      <c r="V535" s="22">
        <f t="shared" ca="1" si="331"/>
        <v>0</v>
      </c>
      <c r="W535" s="22">
        <f t="shared" ca="1" si="331"/>
        <v>0</v>
      </c>
      <c r="X535" s="22">
        <f t="shared" ca="1" si="331"/>
        <v>0</v>
      </c>
    </row>
    <row r="536" spans="1:24" hidden="1">
      <c r="A536" s="258"/>
      <c r="B536" s="21" t="s">
        <v>406</v>
      </c>
      <c r="C536" s="22"/>
      <c r="D536" s="21"/>
      <c r="E536" s="21"/>
      <c r="F536" s="21"/>
      <c r="G536" s="21"/>
      <c r="I536" s="21"/>
      <c r="J536" s="21"/>
      <c r="K536" s="76">
        <f t="shared" ref="K536:X536" ca="1" si="332">IF($C532=LataProjekcji,ROUND($C533-K535,0),ROUND(IF(K534=0,0,$C533-K535),0))</f>
        <v>0</v>
      </c>
      <c r="L536" s="76">
        <f t="shared" ca="1" si="332"/>
        <v>0</v>
      </c>
      <c r="M536" s="76">
        <f t="shared" ca="1" si="332"/>
        <v>0</v>
      </c>
      <c r="N536" s="76">
        <f t="shared" ca="1" si="332"/>
        <v>0</v>
      </c>
      <c r="O536" s="76">
        <f t="shared" ca="1" si="332"/>
        <v>0</v>
      </c>
      <c r="P536" s="76">
        <f t="shared" ca="1" si="332"/>
        <v>0</v>
      </c>
      <c r="Q536" s="76">
        <f t="shared" ca="1" si="332"/>
        <v>0</v>
      </c>
      <c r="R536" s="76">
        <f t="shared" ca="1" si="332"/>
        <v>0</v>
      </c>
      <c r="S536" s="76">
        <f t="shared" ca="1" si="332"/>
        <v>0</v>
      </c>
      <c r="T536" s="76">
        <f t="shared" ca="1" si="332"/>
        <v>0</v>
      </c>
      <c r="U536" s="76">
        <f t="shared" ca="1" si="332"/>
        <v>0</v>
      </c>
      <c r="V536" s="76">
        <f t="shared" ca="1" si="332"/>
        <v>0</v>
      </c>
      <c r="W536" s="76">
        <f t="shared" ca="1" si="332"/>
        <v>0</v>
      </c>
      <c r="X536" s="76">
        <f t="shared" ca="1" si="332"/>
        <v>0</v>
      </c>
    </row>
    <row r="537" spans="1:24" hidden="1">
      <c r="A537" s="258"/>
      <c r="B537" s="21"/>
      <c r="C537" s="22"/>
      <c r="D537" s="21"/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0" t="s">
        <v>388</v>
      </c>
      <c r="C538" s="21">
        <f>C531+1</f>
        <v>40</v>
      </c>
      <c r="D538" s="473">
        <f>D531+1</f>
        <v>84</v>
      </c>
      <c r="E538" s="21"/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414</v>
      </c>
      <c r="C539" s="164">
        <f ca="1">IFERROR(YEAR(OFFSET($D$28,C538,0)),0)</f>
        <v>0</v>
      </c>
      <c r="D539" s="164">
        <f ca="1">IFERROR(MONTH(OFFSET($D$28,C538,0)),0)</f>
        <v>0</v>
      </c>
      <c r="E539" s="21">
        <f ca="1">12-$D539</f>
        <v>12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406</v>
      </c>
      <c r="C540" s="244">
        <f ca="1">IF(OFFSET($F$28,C538,0)&lt;0,0,OFFSET($F$28,C538,0))</f>
        <v>0</v>
      </c>
      <c r="D540" s="22" t="str">
        <f ca="1">OFFSET($C$28,C538,0)</f>
        <v/>
      </c>
      <c r="E540" s="22">
        <f ca="1">IF(D540&gt;10,ROUND(($C541/12)*$E539,0),$C540)</f>
        <v>0</v>
      </c>
      <c r="F540" s="21"/>
      <c r="G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1:24" hidden="1">
      <c r="A541" s="258"/>
      <c r="B541" s="21" t="s">
        <v>415</v>
      </c>
      <c r="C541" s="244">
        <f ca="1">IF(ISBLANK(OFFSET($D$28,C538,0)),0,IF(OFFSET($C$28,C538,0)&gt;10,ROUND(C540*am_wnip,0),IF(C540&lt;0,0,C540)))</f>
        <v>0</v>
      </c>
      <c r="D541" s="21"/>
      <c r="E541" s="21"/>
      <c r="F541" s="21"/>
      <c r="G541" s="21"/>
      <c r="I541" s="21"/>
      <c r="J541" s="473" cm="1">
        <f t="array" aca="1" ref="J541" ca="1">OFFSET('Środki trwałe'!$C$195,'Rozliczenie dotacji'!D538,,)</f>
        <v>0</v>
      </c>
      <c r="K541" s="74">
        <f ca="1">ROUND(IF($C539=LataProjekcji,$E540,IF($C539=LataProjekcji,$C541,0)),0)</f>
        <v>0</v>
      </c>
      <c r="L541" s="247">
        <f ca="1">ROUND(IF(OR(AND($C539=LataProjekcji,$E539&gt;0),AND($C539=LataProjekcji,$E539=0,$D540&lt;=10)),$E540,IF($C539&lt;LataProjekcji,IF((SUM($K541:K541)+$C541)&lt;$C540,$C541,$C540-SUM($K541:K541)),0)),0)</f>
        <v>0</v>
      </c>
      <c r="M541" s="247">
        <f ca="1">ROUND(IF(OR(AND($C539=LataProjekcji,$E539&gt;0),AND($C539=LataProjekcji,$E539=0,$D540&lt;=10)),$E540,IF($C539&lt;LataProjekcji,IF((SUM($K541:L541)+$C541)&lt;$C540,$C541,$C540-SUM($K541:L541)),0)),0)</f>
        <v>0</v>
      </c>
      <c r="N541" s="247">
        <f ca="1">ROUND(IF(OR(AND($C539=LataProjekcji,$E539&gt;0),AND($C539=LataProjekcji,$E539=0,$D540&lt;=10)),$E540,IF($C539&lt;LataProjekcji,IF((SUM($K541:M541)+$C541)&lt;$C540,$C541,$C540-SUM($K541:M541)),0)),0)</f>
        <v>0</v>
      </c>
      <c r="O541" s="247">
        <f ca="1">ROUND(IF(OR(AND($C539=LataProjekcji,$E539&gt;0),AND($C539=LataProjekcji,$E539=0,$D540&lt;=10)),$E540,IF($C539&lt;LataProjekcji,IF((SUM($K541:N541)+$C541)&lt;$C540,$C541,$C540-SUM($K541:N541)),0)),0)</f>
        <v>0</v>
      </c>
      <c r="P541" s="247">
        <f ca="1">ROUND(IF(OR(AND($C539=LataProjekcji,$E539&gt;0),AND($C539=LataProjekcji,$E539=0,$D540&lt;=10)),$E540,IF($C539&lt;LataProjekcji,IF((SUM($K541:O541)+$C541)&lt;$C540,$C541,$C540-SUM($K541:O541)),0)),0)</f>
        <v>0</v>
      </c>
      <c r="Q541" s="247">
        <f ca="1">ROUND(IF(OR(AND($C539=LataProjekcji,$E539&gt;0),AND($C539=LataProjekcji,$E539=0,$D540&lt;=10)),$E540,IF($C539&lt;LataProjekcji,IF((SUM($K541:P541)+$C541)&lt;$C540,$C541,$C540-SUM($K541:P541)),0)),0)</f>
        <v>0</v>
      </c>
      <c r="R541" s="247">
        <f ca="1">ROUND(IF(OR(AND($C539=LataProjekcji,$E539&gt;0),AND($C539=LataProjekcji,$E539=0,$D540&lt;=10)),$E540,IF($C539&lt;LataProjekcji,IF((SUM($K541:Q541)+$C541)&lt;$C540,$C541,$C540-SUM($K541:Q541)),0)),0)</f>
        <v>0</v>
      </c>
      <c r="S541" s="247">
        <f ca="1">ROUND(IF(OR(AND($C539=LataProjekcji,$E539&gt;0),AND($C539=LataProjekcji,$E539=0,$D540&lt;=10)),$E540,IF($C539&lt;LataProjekcji,IF((SUM($K541:R541)+$C541)&lt;$C540,$C541,$C540-SUM($K541:R541)),0)),0)</f>
        <v>0</v>
      </c>
      <c r="T541" s="247">
        <f ca="1">ROUND(IF(OR(AND($C539=LataProjekcji,$E539&gt;0),AND($C539=LataProjekcji,$E539=0,$D540&lt;=10)),$E540,IF($C539&lt;LataProjekcji,IF((SUM($K541:S541)+$C541)&lt;$C540,$C541,$C540-SUM($K541:S541)),0)),0)</f>
        <v>0</v>
      </c>
      <c r="U541" s="247">
        <f ca="1">ROUND(IF(OR(AND($C539=LataProjekcji,$E539&gt;0),AND($C539=LataProjekcji,$E539=0,$D540&lt;=10)),$E540,IF($C539&lt;LataProjekcji,IF((SUM($K541:T541)+$C541)&lt;$C540,$C541,$C540-SUM($K541:T541)),0)),0)</f>
        <v>0</v>
      </c>
      <c r="V541" s="247">
        <f ca="1">ROUND(IF(OR(AND($C539=LataProjekcji,$E539&gt;0),AND($C539=LataProjekcji,$E539=0,$D540&lt;=10)),$E540,IF($C539&lt;LataProjekcji,IF((SUM($K541:U541)+$C541)&lt;$C540,$C541,$C540-SUM($K541:U541)),0)),0)</f>
        <v>0</v>
      </c>
      <c r="W541" s="247">
        <f ca="1">ROUND(IF(OR(AND($C539=LataProjekcji,$E539&gt;0),AND($C539=LataProjekcji,$E539=0,$D540&lt;=10)),$E540,IF($C539&lt;LataProjekcji,IF((SUM($K541:V541)+$C541)&lt;$C540,$C541,$C540-SUM($K541:V541)),0)),0)</f>
        <v>0</v>
      </c>
      <c r="X541" s="247">
        <f ca="1">ROUND(IF(OR(AND($C539=LataProjekcji,$E539&gt;0),AND($C539=LataProjekcji,$E539=0,$D540&lt;=10)),$E540,IF($C539&lt;LataProjekcji,IF((SUM($K541:W541)+$C541)&lt;$C540,$C541,$C540-SUM($K541:W541)),0)),0)</f>
        <v>0</v>
      </c>
    </row>
    <row r="542" spans="1:24" hidden="1">
      <c r="A542" s="258"/>
      <c r="B542" s="21" t="s">
        <v>416</v>
      </c>
      <c r="C542" s="22"/>
      <c r="D542" s="21"/>
      <c r="E542" s="21"/>
      <c r="F542" s="21"/>
      <c r="G542" s="21"/>
      <c r="I542" s="21"/>
      <c r="J542" s="21"/>
      <c r="K542" s="22">
        <f ca="1">ROUND(K541,0)</f>
        <v>0</v>
      </c>
      <c r="L542" s="22">
        <f t="shared" ref="L542:X542" ca="1" si="333">ROUND(K542+L541,0)</f>
        <v>0</v>
      </c>
      <c r="M542" s="22">
        <f t="shared" ca="1" si="333"/>
        <v>0</v>
      </c>
      <c r="N542" s="22">
        <f t="shared" ca="1" si="333"/>
        <v>0</v>
      </c>
      <c r="O542" s="22">
        <f t="shared" ca="1" si="333"/>
        <v>0</v>
      </c>
      <c r="P542" s="22">
        <f t="shared" ca="1" si="333"/>
        <v>0</v>
      </c>
      <c r="Q542" s="22">
        <f t="shared" ca="1" si="333"/>
        <v>0</v>
      </c>
      <c r="R542" s="22">
        <f t="shared" ca="1" si="333"/>
        <v>0</v>
      </c>
      <c r="S542" s="22">
        <f t="shared" ca="1" si="333"/>
        <v>0</v>
      </c>
      <c r="T542" s="22">
        <f t="shared" ca="1" si="333"/>
        <v>0</v>
      </c>
      <c r="U542" s="22">
        <f t="shared" ca="1" si="333"/>
        <v>0</v>
      </c>
      <c r="V542" s="22">
        <f t="shared" ca="1" si="333"/>
        <v>0</v>
      </c>
      <c r="W542" s="22">
        <f t="shared" ca="1" si="333"/>
        <v>0</v>
      </c>
      <c r="X542" s="22">
        <f t="shared" ca="1" si="333"/>
        <v>0</v>
      </c>
    </row>
    <row r="543" spans="1:24" hidden="1">
      <c r="A543" s="258"/>
      <c r="B543" s="21" t="s">
        <v>406</v>
      </c>
      <c r="C543" s="22"/>
      <c r="D543" s="21"/>
      <c r="E543" s="21"/>
      <c r="F543" s="21"/>
      <c r="G543" s="21"/>
      <c r="I543" s="21"/>
      <c r="J543" s="21"/>
      <c r="K543" s="76">
        <f t="shared" ref="K543:X543" ca="1" si="334">IF($C539=LataProjekcji,ROUND($C540-K542,0),ROUND(IF(K541=0,0,$C540-K542),0))</f>
        <v>0</v>
      </c>
      <c r="L543" s="76">
        <f t="shared" ca="1" si="334"/>
        <v>0</v>
      </c>
      <c r="M543" s="76">
        <f t="shared" ca="1" si="334"/>
        <v>0</v>
      </c>
      <c r="N543" s="76">
        <f t="shared" ca="1" si="334"/>
        <v>0</v>
      </c>
      <c r="O543" s="76">
        <f t="shared" ca="1" si="334"/>
        <v>0</v>
      </c>
      <c r="P543" s="76">
        <f t="shared" ca="1" si="334"/>
        <v>0</v>
      </c>
      <c r="Q543" s="76">
        <f t="shared" ca="1" si="334"/>
        <v>0</v>
      </c>
      <c r="R543" s="76">
        <f t="shared" ca="1" si="334"/>
        <v>0</v>
      </c>
      <c r="S543" s="76">
        <f t="shared" ca="1" si="334"/>
        <v>0</v>
      </c>
      <c r="T543" s="76">
        <f t="shared" ca="1" si="334"/>
        <v>0</v>
      </c>
      <c r="U543" s="76">
        <f t="shared" ca="1" si="334"/>
        <v>0</v>
      </c>
      <c r="V543" s="76">
        <f t="shared" ca="1" si="334"/>
        <v>0</v>
      </c>
      <c r="W543" s="76">
        <f t="shared" ca="1" si="334"/>
        <v>0</v>
      </c>
      <c r="X543" s="76">
        <f t="shared" ca="1" si="334"/>
        <v>0</v>
      </c>
    </row>
    <row r="544" spans="1:24" hidden="1">
      <c r="A544" s="258"/>
      <c r="B544" s="21"/>
      <c r="C544" s="22"/>
      <c r="D544" s="21"/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0" t="s">
        <v>388</v>
      </c>
      <c r="C545" s="21">
        <f>C538+1</f>
        <v>41</v>
      </c>
      <c r="D545" s="473">
        <f>D538+1</f>
        <v>85</v>
      </c>
      <c r="E545" s="21"/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414</v>
      </c>
      <c r="C546" s="164">
        <f ca="1">IFERROR(YEAR(OFFSET($D$28,C545,0)),0)</f>
        <v>0</v>
      </c>
      <c r="D546" s="164">
        <f ca="1">IFERROR(MONTH(OFFSET($D$28,C545,0)),0)</f>
        <v>0</v>
      </c>
      <c r="E546" s="21">
        <f ca="1">12-$D546</f>
        <v>12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406</v>
      </c>
      <c r="C547" s="244">
        <f ca="1">IF(OFFSET($F$28,C545,0)&lt;0,0,OFFSET($F$28,C545,0))</f>
        <v>0</v>
      </c>
      <c r="D547" s="22" t="str">
        <f ca="1">OFFSET($C$28,C545,0)</f>
        <v/>
      </c>
      <c r="E547" s="22">
        <f ca="1">IF(D547&gt;10,ROUND(($C548/12)*$E546,0),$C547)</f>
        <v>0</v>
      </c>
      <c r="F547" s="21"/>
      <c r="G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1:24" hidden="1">
      <c r="A548" s="258"/>
      <c r="B548" s="21" t="s">
        <v>415</v>
      </c>
      <c r="C548" s="244">
        <f ca="1">IF(ISBLANK(OFFSET($D$28,C545,0)),0,IF(OFFSET($C$28,C545,0)&gt;10,ROUND(C547*am_wnip,0),IF(C547&lt;0,0,C547)))</f>
        <v>0</v>
      </c>
      <c r="D548" s="21"/>
      <c r="E548" s="21"/>
      <c r="F548" s="21"/>
      <c r="G548" s="21"/>
      <c r="I548" s="21"/>
      <c r="J548" s="473" cm="1">
        <f t="array" aca="1" ref="J548" ca="1">OFFSET('Środki trwałe'!$C$195,'Rozliczenie dotacji'!D545,,)</f>
        <v>0</v>
      </c>
      <c r="K548" s="74">
        <f ca="1">ROUND(IF($C546=LataProjekcji,$E547,IF($C546=LataProjekcji,$C548,0)),0)</f>
        <v>0</v>
      </c>
      <c r="L548" s="247">
        <f ca="1">ROUND(IF(OR(AND($C546=LataProjekcji,$E546&gt;0),AND($C546=LataProjekcji,$E546=0,$D547&lt;=10)),$E547,IF($C546&lt;LataProjekcji,IF((SUM($K548:K548)+$C548)&lt;$C547,$C548,$C547-SUM($K548:K548)),0)),0)</f>
        <v>0</v>
      </c>
      <c r="M548" s="247">
        <f ca="1">ROUND(IF(OR(AND($C546=LataProjekcji,$E546&gt;0),AND($C546=LataProjekcji,$E546=0,$D547&lt;=10)),$E547,IF($C546&lt;LataProjekcji,IF((SUM($K548:L548)+$C548)&lt;$C547,$C548,$C547-SUM($K548:L548)),0)),0)</f>
        <v>0</v>
      </c>
      <c r="N548" s="247">
        <f ca="1">ROUND(IF(OR(AND($C546=LataProjekcji,$E546&gt;0),AND($C546=LataProjekcji,$E546=0,$D547&lt;=10)),$E547,IF($C546&lt;LataProjekcji,IF((SUM($K548:M548)+$C548)&lt;$C547,$C548,$C547-SUM($K548:M548)),0)),0)</f>
        <v>0</v>
      </c>
      <c r="O548" s="247">
        <f ca="1">ROUND(IF(OR(AND($C546=LataProjekcji,$E546&gt;0),AND($C546=LataProjekcji,$E546=0,$D547&lt;=10)),$E547,IF($C546&lt;LataProjekcji,IF((SUM($K548:N548)+$C548)&lt;$C547,$C548,$C547-SUM($K548:N548)),0)),0)</f>
        <v>0</v>
      </c>
      <c r="P548" s="247">
        <f ca="1">ROUND(IF(OR(AND($C546=LataProjekcji,$E546&gt;0),AND($C546=LataProjekcji,$E546=0,$D547&lt;=10)),$E547,IF($C546&lt;LataProjekcji,IF((SUM($K548:O548)+$C548)&lt;$C547,$C548,$C547-SUM($K548:O548)),0)),0)</f>
        <v>0</v>
      </c>
      <c r="Q548" s="247">
        <f ca="1">ROUND(IF(OR(AND($C546=LataProjekcji,$E546&gt;0),AND($C546=LataProjekcji,$E546=0,$D547&lt;=10)),$E547,IF($C546&lt;LataProjekcji,IF((SUM($K548:P548)+$C548)&lt;$C547,$C548,$C547-SUM($K548:P548)),0)),0)</f>
        <v>0</v>
      </c>
      <c r="R548" s="247">
        <f ca="1">ROUND(IF(OR(AND($C546=LataProjekcji,$E546&gt;0),AND($C546=LataProjekcji,$E546=0,$D547&lt;=10)),$E547,IF($C546&lt;LataProjekcji,IF((SUM($K548:Q548)+$C548)&lt;$C547,$C548,$C547-SUM($K548:Q548)),0)),0)</f>
        <v>0</v>
      </c>
      <c r="S548" s="247">
        <f ca="1">ROUND(IF(OR(AND($C546=LataProjekcji,$E546&gt;0),AND($C546=LataProjekcji,$E546=0,$D547&lt;=10)),$E547,IF($C546&lt;LataProjekcji,IF((SUM($K548:R548)+$C548)&lt;$C547,$C548,$C547-SUM($K548:R548)),0)),0)</f>
        <v>0</v>
      </c>
      <c r="T548" s="247">
        <f ca="1">ROUND(IF(OR(AND($C546=LataProjekcji,$E546&gt;0),AND($C546=LataProjekcji,$E546=0,$D547&lt;=10)),$E547,IF($C546&lt;LataProjekcji,IF((SUM($K548:S548)+$C548)&lt;$C547,$C548,$C547-SUM($K548:S548)),0)),0)</f>
        <v>0</v>
      </c>
      <c r="U548" s="247">
        <f ca="1">ROUND(IF(OR(AND($C546=LataProjekcji,$E546&gt;0),AND($C546=LataProjekcji,$E546=0,$D547&lt;=10)),$E547,IF($C546&lt;LataProjekcji,IF((SUM($K548:T548)+$C548)&lt;$C547,$C548,$C547-SUM($K548:T548)),0)),0)</f>
        <v>0</v>
      </c>
      <c r="V548" s="247">
        <f ca="1">ROUND(IF(OR(AND($C546=LataProjekcji,$E546&gt;0),AND($C546=LataProjekcji,$E546=0,$D547&lt;=10)),$E547,IF($C546&lt;LataProjekcji,IF((SUM($K548:U548)+$C548)&lt;$C547,$C548,$C547-SUM($K548:U548)),0)),0)</f>
        <v>0</v>
      </c>
      <c r="W548" s="247">
        <f ca="1">ROUND(IF(OR(AND($C546=LataProjekcji,$E546&gt;0),AND($C546=LataProjekcji,$E546=0,$D547&lt;=10)),$E547,IF($C546&lt;LataProjekcji,IF((SUM($K548:V548)+$C548)&lt;$C547,$C548,$C547-SUM($K548:V548)),0)),0)</f>
        <v>0</v>
      </c>
      <c r="X548" s="247">
        <f ca="1">ROUND(IF(OR(AND($C546=LataProjekcji,$E546&gt;0),AND($C546=LataProjekcji,$E546=0,$D547&lt;=10)),$E547,IF($C546&lt;LataProjekcji,IF((SUM($K548:W548)+$C548)&lt;$C547,$C548,$C547-SUM($K548:W548)),0)),0)</f>
        <v>0</v>
      </c>
    </row>
    <row r="549" spans="1:24" hidden="1">
      <c r="A549" s="258"/>
      <c r="B549" s="21" t="s">
        <v>416</v>
      </c>
      <c r="C549" s="22"/>
      <c r="D549" s="21"/>
      <c r="E549" s="21"/>
      <c r="F549" s="21"/>
      <c r="G549" s="21"/>
      <c r="I549" s="21"/>
      <c r="J549" s="21"/>
      <c r="K549" s="22">
        <f ca="1">ROUND(K548,0)</f>
        <v>0</v>
      </c>
      <c r="L549" s="22">
        <f t="shared" ref="L549:X549" ca="1" si="335">ROUND(K549+L548,0)</f>
        <v>0</v>
      </c>
      <c r="M549" s="22">
        <f t="shared" ca="1" si="335"/>
        <v>0</v>
      </c>
      <c r="N549" s="22">
        <f t="shared" ca="1" si="335"/>
        <v>0</v>
      </c>
      <c r="O549" s="22">
        <f t="shared" ca="1" si="335"/>
        <v>0</v>
      </c>
      <c r="P549" s="22">
        <f t="shared" ca="1" si="335"/>
        <v>0</v>
      </c>
      <c r="Q549" s="22">
        <f t="shared" ca="1" si="335"/>
        <v>0</v>
      </c>
      <c r="R549" s="22">
        <f t="shared" ca="1" si="335"/>
        <v>0</v>
      </c>
      <c r="S549" s="22">
        <f t="shared" ca="1" si="335"/>
        <v>0</v>
      </c>
      <c r="T549" s="22">
        <f t="shared" ca="1" si="335"/>
        <v>0</v>
      </c>
      <c r="U549" s="22">
        <f t="shared" ca="1" si="335"/>
        <v>0</v>
      </c>
      <c r="V549" s="22">
        <f t="shared" ca="1" si="335"/>
        <v>0</v>
      </c>
      <c r="W549" s="22">
        <f t="shared" ca="1" si="335"/>
        <v>0</v>
      </c>
      <c r="X549" s="22">
        <f t="shared" ca="1" si="335"/>
        <v>0</v>
      </c>
    </row>
    <row r="550" spans="1:24" hidden="1">
      <c r="A550" s="258"/>
      <c r="B550" s="21" t="s">
        <v>406</v>
      </c>
      <c r="C550" s="22"/>
      <c r="D550" s="21"/>
      <c r="E550" s="21"/>
      <c r="F550" s="21"/>
      <c r="G550" s="21"/>
      <c r="I550" s="21"/>
      <c r="J550" s="21"/>
      <c r="K550" s="76">
        <f t="shared" ref="K550:X550" ca="1" si="336">IF($C546=LataProjekcji,ROUND($C547-K549,0),ROUND(IF(K548=0,0,$C547-K549),0))</f>
        <v>0</v>
      </c>
      <c r="L550" s="76">
        <f t="shared" ca="1" si="336"/>
        <v>0</v>
      </c>
      <c r="M550" s="76">
        <f t="shared" ca="1" si="336"/>
        <v>0</v>
      </c>
      <c r="N550" s="76">
        <f t="shared" ca="1" si="336"/>
        <v>0</v>
      </c>
      <c r="O550" s="76">
        <f t="shared" ca="1" si="336"/>
        <v>0</v>
      </c>
      <c r="P550" s="76">
        <f t="shared" ca="1" si="336"/>
        <v>0</v>
      </c>
      <c r="Q550" s="76">
        <f t="shared" ca="1" si="336"/>
        <v>0</v>
      </c>
      <c r="R550" s="76">
        <f t="shared" ca="1" si="336"/>
        <v>0</v>
      </c>
      <c r="S550" s="76">
        <f t="shared" ca="1" si="336"/>
        <v>0</v>
      </c>
      <c r="T550" s="76">
        <f t="shared" ca="1" si="336"/>
        <v>0</v>
      </c>
      <c r="U550" s="76">
        <f t="shared" ca="1" si="336"/>
        <v>0</v>
      </c>
      <c r="V550" s="76">
        <f t="shared" ca="1" si="336"/>
        <v>0</v>
      </c>
      <c r="W550" s="76">
        <f t="shared" ca="1" si="336"/>
        <v>0</v>
      </c>
      <c r="X550" s="76">
        <f t="shared" ca="1" si="336"/>
        <v>0</v>
      </c>
    </row>
    <row r="551" spans="1:24" hidden="1">
      <c r="A551" s="258"/>
      <c r="B551" s="20"/>
      <c r="C551" s="21"/>
      <c r="D551" s="21"/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0" t="s">
        <v>388</v>
      </c>
      <c r="C552" s="21">
        <f>C545+1</f>
        <v>42</v>
      </c>
      <c r="D552" s="473">
        <f>D545+1</f>
        <v>86</v>
      </c>
      <c r="E552" s="21"/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414</v>
      </c>
      <c r="C553" s="164">
        <f ca="1">IFERROR(YEAR(OFFSET($D$28,C552,0)),0)</f>
        <v>0</v>
      </c>
      <c r="D553" s="164">
        <f ca="1">IFERROR(MONTH(OFFSET($D$28,C552,0)),0)</f>
        <v>0</v>
      </c>
      <c r="E553" s="21">
        <f ca="1">12-$D553</f>
        <v>12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406</v>
      </c>
      <c r="C554" s="244">
        <f ca="1">IF(OFFSET($F$28,C552,0)&lt;0,0,OFFSET($F$28,C552,0))</f>
        <v>0</v>
      </c>
      <c r="D554" s="22" t="str">
        <f ca="1">OFFSET($C$28,C552,0)</f>
        <v/>
      </c>
      <c r="E554" s="22">
        <f ca="1">IF(D554&gt;10,ROUND(($C555/12)*$E553,0),$C554)</f>
        <v>0</v>
      </c>
      <c r="F554" s="21"/>
      <c r="G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1:24" hidden="1">
      <c r="A555" s="258"/>
      <c r="B555" s="21" t="s">
        <v>415</v>
      </c>
      <c r="C555" s="244">
        <f ca="1">IF(ISBLANK(OFFSET($D$28,C552,0)),0,IF(OFFSET($C$28,C552,0)&gt;10,ROUND(C554*am_wnip,0),IF(C554&lt;0,0,C554)))</f>
        <v>0</v>
      </c>
      <c r="D555" s="21"/>
      <c r="E555" s="21"/>
      <c r="F555" s="21"/>
      <c r="G555" s="21"/>
      <c r="I555" s="21"/>
      <c r="J555" s="473" cm="1">
        <f t="array" aca="1" ref="J555" ca="1">OFFSET('Środki trwałe'!$C$195,'Rozliczenie dotacji'!D552,,)</f>
        <v>0</v>
      </c>
      <c r="K555" s="74">
        <f ca="1">ROUND(IF($C553=LataProjekcji,$E554,IF($C553=LataProjekcji,$C555,0)),0)</f>
        <v>0</v>
      </c>
      <c r="L555" s="247">
        <f ca="1">ROUND(IF(OR(AND($C553=LataProjekcji,$E553&gt;0),AND($C553=LataProjekcji,$E553=0,$D554&lt;=10)),$E554,IF($C553&lt;LataProjekcji,IF((SUM($K555:K555)+$C555)&lt;$C554,$C555,$C554-SUM($K555:K555)),0)),0)</f>
        <v>0</v>
      </c>
      <c r="M555" s="247">
        <f ca="1">ROUND(IF(OR(AND($C553=LataProjekcji,$E553&gt;0),AND($C553=LataProjekcji,$E553=0,$D554&lt;=10)),$E554,IF($C553&lt;LataProjekcji,IF((SUM($K555:L555)+$C555)&lt;$C554,$C555,$C554-SUM($K555:L555)),0)),0)</f>
        <v>0</v>
      </c>
      <c r="N555" s="247">
        <f ca="1">ROUND(IF(OR(AND($C553=LataProjekcji,$E553&gt;0),AND($C553=LataProjekcji,$E553=0,$D554&lt;=10)),$E554,IF($C553&lt;LataProjekcji,IF((SUM($K555:M555)+$C555)&lt;$C554,$C555,$C554-SUM($K555:M555)),0)),0)</f>
        <v>0</v>
      </c>
      <c r="O555" s="247">
        <f ca="1">ROUND(IF(OR(AND($C553=LataProjekcji,$E553&gt;0),AND($C553=LataProjekcji,$E553=0,$D554&lt;=10)),$E554,IF($C553&lt;LataProjekcji,IF((SUM($K555:N555)+$C555)&lt;$C554,$C555,$C554-SUM($K555:N555)),0)),0)</f>
        <v>0</v>
      </c>
      <c r="P555" s="247">
        <f ca="1">ROUND(IF(OR(AND($C553=LataProjekcji,$E553&gt;0),AND($C553=LataProjekcji,$E553=0,$D554&lt;=10)),$E554,IF($C553&lt;LataProjekcji,IF((SUM($K555:O555)+$C555)&lt;$C554,$C555,$C554-SUM($K555:O555)),0)),0)</f>
        <v>0</v>
      </c>
      <c r="Q555" s="247">
        <f ca="1">ROUND(IF(OR(AND($C553=LataProjekcji,$E553&gt;0),AND($C553=LataProjekcji,$E553=0,$D554&lt;=10)),$E554,IF($C553&lt;LataProjekcji,IF((SUM($K555:P555)+$C555)&lt;$C554,$C555,$C554-SUM($K555:P555)),0)),0)</f>
        <v>0</v>
      </c>
      <c r="R555" s="247">
        <f ca="1">ROUND(IF(OR(AND($C553=LataProjekcji,$E553&gt;0),AND($C553=LataProjekcji,$E553=0,$D554&lt;=10)),$E554,IF($C553&lt;LataProjekcji,IF((SUM($K555:Q555)+$C555)&lt;$C554,$C555,$C554-SUM($K555:Q555)),0)),0)</f>
        <v>0</v>
      </c>
      <c r="S555" s="247">
        <f ca="1">ROUND(IF(OR(AND($C553=LataProjekcji,$E553&gt;0),AND($C553=LataProjekcji,$E553=0,$D554&lt;=10)),$E554,IF($C553&lt;LataProjekcji,IF((SUM($K555:R555)+$C555)&lt;$C554,$C555,$C554-SUM($K555:R555)),0)),0)</f>
        <v>0</v>
      </c>
      <c r="T555" s="247">
        <f ca="1">ROUND(IF(OR(AND($C553=LataProjekcji,$E553&gt;0),AND($C553=LataProjekcji,$E553=0,$D554&lt;=10)),$E554,IF($C553&lt;LataProjekcji,IF((SUM($K555:S555)+$C555)&lt;$C554,$C555,$C554-SUM($K555:S555)),0)),0)</f>
        <v>0</v>
      </c>
      <c r="U555" s="247">
        <f ca="1">ROUND(IF(OR(AND($C553=LataProjekcji,$E553&gt;0),AND($C553=LataProjekcji,$E553=0,$D554&lt;=10)),$E554,IF($C553&lt;LataProjekcji,IF((SUM($K555:T555)+$C555)&lt;$C554,$C555,$C554-SUM($K555:T555)),0)),0)</f>
        <v>0</v>
      </c>
      <c r="V555" s="247">
        <f ca="1">ROUND(IF(OR(AND($C553=LataProjekcji,$E553&gt;0),AND($C553=LataProjekcji,$E553=0,$D554&lt;=10)),$E554,IF($C553&lt;LataProjekcji,IF((SUM($K555:U555)+$C555)&lt;$C554,$C555,$C554-SUM($K555:U555)),0)),0)</f>
        <v>0</v>
      </c>
      <c r="W555" s="247">
        <f ca="1">ROUND(IF(OR(AND($C553=LataProjekcji,$E553&gt;0),AND($C553=LataProjekcji,$E553=0,$D554&lt;=10)),$E554,IF($C553&lt;LataProjekcji,IF((SUM($K555:V555)+$C555)&lt;$C554,$C555,$C554-SUM($K555:V555)),0)),0)</f>
        <v>0</v>
      </c>
      <c r="X555" s="247">
        <f ca="1">ROUND(IF(OR(AND($C553=LataProjekcji,$E553&gt;0),AND($C553=LataProjekcji,$E553=0,$D554&lt;=10)),$E554,IF($C553&lt;LataProjekcji,IF((SUM($K555:W555)+$C555)&lt;$C554,$C555,$C554-SUM($K555:W555)),0)),0)</f>
        <v>0</v>
      </c>
    </row>
    <row r="556" spans="1:24" hidden="1">
      <c r="A556" s="258"/>
      <c r="B556" s="21" t="s">
        <v>416</v>
      </c>
      <c r="C556" s="22"/>
      <c r="D556" s="21"/>
      <c r="E556" s="21"/>
      <c r="F556" s="21"/>
      <c r="G556" s="21"/>
      <c r="I556" s="21"/>
      <c r="J556" s="21"/>
      <c r="K556" s="22">
        <f ca="1">ROUND(K555,0)</f>
        <v>0</v>
      </c>
      <c r="L556" s="22">
        <f t="shared" ref="L556:X556" ca="1" si="337">ROUND(K556+L555,0)</f>
        <v>0</v>
      </c>
      <c r="M556" s="22">
        <f t="shared" ca="1" si="337"/>
        <v>0</v>
      </c>
      <c r="N556" s="22">
        <f t="shared" ca="1" si="337"/>
        <v>0</v>
      </c>
      <c r="O556" s="22">
        <f t="shared" ca="1" si="337"/>
        <v>0</v>
      </c>
      <c r="P556" s="22">
        <f t="shared" ca="1" si="337"/>
        <v>0</v>
      </c>
      <c r="Q556" s="22">
        <f t="shared" ca="1" si="337"/>
        <v>0</v>
      </c>
      <c r="R556" s="22">
        <f t="shared" ca="1" si="337"/>
        <v>0</v>
      </c>
      <c r="S556" s="22">
        <f t="shared" ca="1" si="337"/>
        <v>0</v>
      </c>
      <c r="T556" s="22">
        <f t="shared" ca="1" si="337"/>
        <v>0</v>
      </c>
      <c r="U556" s="22">
        <f t="shared" ca="1" si="337"/>
        <v>0</v>
      </c>
      <c r="V556" s="22">
        <f t="shared" ca="1" si="337"/>
        <v>0</v>
      </c>
      <c r="W556" s="22">
        <f t="shared" ca="1" si="337"/>
        <v>0</v>
      </c>
      <c r="X556" s="22">
        <f t="shared" ca="1" si="337"/>
        <v>0</v>
      </c>
    </row>
    <row r="557" spans="1:24" hidden="1">
      <c r="A557" s="258"/>
      <c r="B557" s="21" t="s">
        <v>406</v>
      </c>
      <c r="C557" s="22"/>
      <c r="D557" s="21"/>
      <c r="E557" s="21"/>
      <c r="F557" s="21"/>
      <c r="G557" s="21"/>
      <c r="I557" s="21"/>
      <c r="J557" s="21"/>
      <c r="K557" s="76">
        <f t="shared" ref="K557:X557" ca="1" si="338">IF($C553=LataProjekcji,ROUND($C554-K556,0),ROUND(IF(K555=0,0,$C554-K556),0))</f>
        <v>0</v>
      </c>
      <c r="L557" s="76">
        <f t="shared" ca="1" si="338"/>
        <v>0</v>
      </c>
      <c r="M557" s="76">
        <f t="shared" ca="1" si="338"/>
        <v>0</v>
      </c>
      <c r="N557" s="76">
        <f t="shared" ca="1" si="338"/>
        <v>0</v>
      </c>
      <c r="O557" s="76">
        <f t="shared" ca="1" si="338"/>
        <v>0</v>
      </c>
      <c r="P557" s="76">
        <f t="shared" ca="1" si="338"/>
        <v>0</v>
      </c>
      <c r="Q557" s="76">
        <f t="shared" ca="1" si="338"/>
        <v>0</v>
      </c>
      <c r="R557" s="76">
        <f t="shared" ca="1" si="338"/>
        <v>0</v>
      </c>
      <c r="S557" s="76">
        <f t="shared" ca="1" si="338"/>
        <v>0</v>
      </c>
      <c r="T557" s="76">
        <f t="shared" ca="1" si="338"/>
        <v>0</v>
      </c>
      <c r="U557" s="76">
        <f t="shared" ca="1" si="338"/>
        <v>0</v>
      </c>
      <c r="V557" s="76">
        <f t="shared" ca="1" si="338"/>
        <v>0</v>
      </c>
      <c r="W557" s="76">
        <f t="shared" ca="1" si="338"/>
        <v>0</v>
      </c>
      <c r="X557" s="76">
        <f t="shared" ca="1" si="338"/>
        <v>0</v>
      </c>
    </row>
    <row r="558" spans="1:24" hidden="1">
      <c r="A558" s="258"/>
      <c r="B558" s="21"/>
      <c r="C558" s="22"/>
      <c r="D558" s="21"/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0" t="s">
        <v>388</v>
      </c>
      <c r="C559" s="21">
        <f>C552+1</f>
        <v>43</v>
      </c>
      <c r="D559" s="473">
        <f>D552+1</f>
        <v>87</v>
      </c>
      <c r="E559" s="21"/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414</v>
      </c>
      <c r="C560" s="164">
        <f ca="1">IFERROR(YEAR(OFFSET($D$28,C559,0)),0)</f>
        <v>0</v>
      </c>
      <c r="D560" s="164">
        <f ca="1">IFERROR(MONTH(OFFSET($D$28,C559,0)),0)</f>
        <v>0</v>
      </c>
      <c r="E560" s="21">
        <f ca="1">12-$D560</f>
        <v>12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406</v>
      </c>
      <c r="C561" s="244">
        <f ca="1">IF(OFFSET($F$28,C559,0)&lt;0,0,OFFSET($F$28,C559,0))</f>
        <v>0</v>
      </c>
      <c r="D561" s="22" t="str">
        <f ca="1">OFFSET($C$28,C559,0)</f>
        <v/>
      </c>
      <c r="E561" s="22">
        <f ca="1">IF(D561&gt;10,ROUND(($C562/12)*$E560,0),$C561)</f>
        <v>0</v>
      </c>
      <c r="F561" s="21"/>
      <c r="G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1:24" hidden="1">
      <c r="A562" s="258"/>
      <c r="B562" s="21" t="s">
        <v>415</v>
      </c>
      <c r="C562" s="244">
        <f ca="1">IF(ISBLANK(OFFSET($D$28,C559,0)),0,IF(OFFSET($C$28,C559,0)&gt;10,ROUND(C561*am_wnip,0),IF(C561&lt;0,0,C561)))</f>
        <v>0</v>
      </c>
      <c r="D562" s="21"/>
      <c r="E562" s="21"/>
      <c r="F562" s="21"/>
      <c r="G562" s="21"/>
      <c r="I562" s="21"/>
      <c r="J562" s="473" cm="1">
        <f t="array" aca="1" ref="J562" ca="1">OFFSET('Środki trwałe'!$C$195,'Rozliczenie dotacji'!D559,,)</f>
        <v>0</v>
      </c>
      <c r="K562" s="74">
        <f ca="1">ROUND(IF($C560=LataProjekcji,$E561,IF($C560=LataProjekcji,$C562,0)),0)</f>
        <v>0</v>
      </c>
      <c r="L562" s="247">
        <f ca="1">ROUND(IF(OR(AND($C560=LataProjekcji,$E560&gt;0),AND($C560=LataProjekcji,$E560=0,$D561&lt;=10)),$E561,IF($C560&lt;LataProjekcji,IF((SUM($K562:K562)+$C562)&lt;$C561,$C562,$C561-SUM($K562:K562)),0)),0)</f>
        <v>0</v>
      </c>
      <c r="M562" s="247">
        <f ca="1">ROUND(IF(OR(AND($C560=LataProjekcji,$E560&gt;0),AND($C560=LataProjekcji,$E560=0,$D561&lt;=10)),$E561,IF($C560&lt;LataProjekcji,IF((SUM($K562:L562)+$C562)&lt;$C561,$C562,$C561-SUM($K562:L562)),0)),0)</f>
        <v>0</v>
      </c>
      <c r="N562" s="247">
        <f ca="1">ROUND(IF(OR(AND($C560=LataProjekcji,$E560&gt;0),AND($C560=LataProjekcji,$E560=0,$D561&lt;=10)),$E561,IF($C560&lt;LataProjekcji,IF((SUM($K562:M562)+$C562)&lt;$C561,$C562,$C561-SUM($K562:M562)),0)),0)</f>
        <v>0</v>
      </c>
      <c r="O562" s="247">
        <f ca="1">ROUND(IF(OR(AND($C560=LataProjekcji,$E560&gt;0),AND($C560=LataProjekcji,$E560=0,$D561&lt;=10)),$E561,IF($C560&lt;LataProjekcji,IF((SUM($K562:N562)+$C562)&lt;$C561,$C562,$C561-SUM($K562:N562)),0)),0)</f>
        <v>0</v>
      </c>
      <c r="P562" s="247">
        <f ca="1">ROUND(IF(OR(AND($C560=LataProjekcji,$E560&gt;0),AND($C560=LataProjekcji,$E560=0,$D561&lt;=10)),$E561,IF($C560&lt;LataProjekcji,IF((SUM($K562:O562)+$C562)&lt;$C561,$C562,$C561-SUM($K562:O562)),0)),0)</f>
        <v>0</v>
      </c>
      <c r="Q562" s="247">
        <f ca="1">ROUND(IF(OR(AND($C560=LataProjekcji,$E560&gt;0),AND($C560=LataProjekcji,$E560=0,$D561&lt;=10)),$E561,IF($C560&lt;LataProjekcji,IF((SUM($K562:P562)+$C562)&lt;$C561,$C562,$C561-SUM($K562:P562)),0)),0)</f>
        <v>0</v>
      </c>
      <c r="R562" s="247">
        <f ca="1">ROUND(IF(OR(AND($C560=LataProjekcji,$E560&gt;0),AND($C560=LataProjekcji,$E560=0,$D561&lt;=10)),$E561,IF($C560&lt;LataProjekcji,IF((SUM($K562:Q562)+$C562)&lt;$C561,$C562,$C561-SUM($K562:Q562)),0)),0)</f>
        <v>0</v>
      </c>
      <c r="S562" s="247">
        <f ca="1">ROUND(IF(OR(AND($C560=LataProjekcji,$E560&gt;0),AND($C560=LataProjekcji,$E560=0,$D561&lt;=10)),$E561,IF($C560&lt;LataProjekcji,IF((SUM($K562:R562)+$C562)&lt;$C561,$C562,$C561-SUM($K562:R562)),0)),0)</f>
        <v>0</v>
      </c>
      <c r="T562" s="247">
        <f ca="1">ROUND(IF(OR(AND($C560=LataProjekcji,$E560&gt;0),AND($C560=LataProjekcji,$E560=0,$D561&lt;=10)),$E561,IF($C560&lt;LataProjekcji,IF((SUM($K562:S562)+$C562)&lt;$C561,$C562,$C561-SUM($K562:S562)),0)),0)</f>
        <v>0</v>
      </c>
      <c r="U562" s="247">
        <f ca="1">ROUND(IF(OR(AND($C560=LataProjekcji,$E560&gt;0),AND($C560=LataProjekcji,$E560=0,$D561&lt;=10)),$E561,IF($C560&lt;LataProjekcji,IF((SUM($K562:T562)+$C562)&lt;$C561,$C562,$C561-SUM($K562:T562)),0)),0)</f>
        <v>0</v>
      </c>
      <c r="V562" s="247">
        <f ca="1">ROUND(IF(OR(AND($C560=LataProjekcji,$E560&gt;0),AND($C560=LataProjekcji,$E560=0,$D561&lt;=10)),$E561,IF($C560&lt;LataProjekcji,IF((SUM($K562:U562)+$C562)&lt;$C561,$C562,$C561-SUM($K562:U562)),0)),0)</f>
        <v>0</v>
      </c>
      <c r="W562" s="247">
        <f ca="1">ROUND(IF(OR(AND($C560=LataProjekcji,$E560&gt;0),AND($C560=LataProjekcji,$E560=0,$D561&lt;=10)),$E561,IF($C560&lt;LataProjekcji,IF((SUM($K562:V562)+$C562)&lt;$C561,$C562,$C561-SUM($K562:V562)),0)),0)</f>
        <v>0</v>
      </c>
      <c r="X562" s="247">
        <f ca="1">ROUND(IF(OR(AND($C560=LataProjekcji,$E560&gt;0),AND($C560=LataProjekcji,$E560=0,$D561&lt;=10)),$E561,IF($C560&lt;LataProjekcji,IF((SUM($K562:W562)+$C562)&lt;$C561,$C562,$C561-SUM($K562:W562)),0)),0)</f>
        <v>0</v>
      </c>
    </row>
    <row r="563" spans="1:24" hidden="1">
      <c r="A563" s="258"/>
      <c r="B563" s="21" t="s">
        <v>416</v>
      </c>
      <c r="C563" s="22"/>
      <c r="D563" s="21"/>
      <c r="E563" s="21"/>
      <c r="F563" s="21"/>
      <c r="G563" s="21"/>
      <c r="I563" s="21"/>
      <c r="J563" s="21"/>
      <c r="K563" s="22">
        <f ca="1">ROUND(K562,0)</f>
        <v>0</v>
      </c>
      <c r="L563" s="22">
        <f t="shared" ref="L563:X563" ca="1" si="339">ROUND(K563+L562,0)</f>
        <v>0</v>
      </c>
      <c r="M563" s="22">
        <f t="shared" ca="1" si="339"/>
        <v>0</v>
      </c>
      <c r="N563" s="22">
        <f t="shared" ca="1" si="339"/>
        <v>0</v>
      </c>
      <c r="O563" s="22">
        <f t="shared" ca="1" si="339"/>
        <v>0</v>
      </c>
      <c r="P563" s="22">
        <f t="shared" ca="1" si="339"/>
        <v>0</v>
      </c>
      <c r="Q563" s="22">
        <f t="shared" ca="1" si="339"/>
        <v>0</v>
      </c>
      <c r="R563" s="22">
        <f t="shared" ca="1" si="339"/>
        <v>0</v>
      </c>
      <c r="S563" s="22">
        <f t="shared" ca="1" si="339"/>
        <v>0</v>
      </c>
      <c r="T563" s="22">
        <f t="shared" ca="1" si="339"/>
        <v>0</v>
      </c>
      <c r="U563" s="22">
        <f t="shared" ca="1" si="339"/>
        <v>0</v>
      </c>
      <c r="V563" s="22">
        <f t="shared" ca="1" si="339"/>
        <v>0</v>
      </c>
      <c r="W563" s="22">
        <f t="shared" ca="1" si="339"/>
        <v>0</v>
      </c>
      <c r="X563" s="22">
        <f t="shared" ca="1" si="339"/>
        <v>0</v>
      </c>
    </row>
    <row r="564" spans="1:24" hidden="1">
      <c r="A564" s="258"/>
      <c r="B564" s="21" t="s">
        <v>406</v>
      </c>
      <c r="C564" s="22"/>
      <c r="D564" s="21"/>
      <c r="E564" s="21"/>
      <c r="F564" s="21"/>
      <c r="G564" s="21"/>
      <c r="I564" s="21"/>
      <c r="J564" s="21"/>
      <c r="K564" s="76">
        <f t="shared" ref="K564:X564" ca="1" si="340">IF($C560=LataProjekcji,ROUND($C561-K563,0),ROUND(IF(K562=0,0,$C561-K563),0))</f>
        <v>0</v>
      </c>
      <c r="L564" s="76">
        <f t="shared" ca="1" si="340"/>
        <v>0</v>
      </c>
      <c r="M564" s="76">
        <f t="shared" ca="1" si="340"/>
        <v>0</v>
      </c>
      <c r="N564" s="76">
        <f t="shared" ca="1" si="340"/>
        <v>0</v>
      </c>
      <c r="O564" s="76">
        <f t="shared" ca="1" si="340"/>
        <v>0</v>
      </c>
      <c r="P564" s="76">
        <f t="shared" ca="1" si="340"/>
        <v>0</v>
      </c>
      <c r="Q564" s="76">
        <f t="shared" ca="1" si="340"/>
        <v>0</v>
      </c>
      <c r="R564" s="76">
        <f t="shared" ca="1" si="340"/>
        <v>0</v>
      </c>
      <c r="S564" s="76">
        <f t="shared" ca="1" si="340"/>
        <v>0</v>
      </c>
      <c r="T564" s="76">
        <f t="shared" ca="1" si="340"/>
        <v>0</v>
      </c>
      <c r="U564" s="76">
        <f t="shared" ca="1" si="340"/>
        <v>0</v>
      </c>
      <c r="V564" s="76">
        <f t="shared" ca="1" si="340"/>
        <v>0</v>
      </c>
      <c r="W564" s="76">
        <f t="shared" ca="1" si="340"/>
        <v>0</v>
      </c>
      <c r="X564" s="76">
        <f t="shared" ca="1" si="340"/>
        <v>0</v>
      </c>
    </row>
    <row r="565" spans="1:24" hidden="1">
      <c r="A565" s="258"/>
      <c r="B565" s="21"/>
      <c r="C565" s="21"/>
      <c r="D565" s="21"/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0" t="s">
        <v>388</v>
      </c>
      <c r="C566" s="21">
        <f>C559+1</f>
        <v>44</v>
      </c>
      <c r="D566" s="473">
        <f>D559+1</f>
        <v>88</v>
      </c>
      <c r="E566" s="21"/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414</v>
      </c>
      <c r="C567" s="164">
        <f ca="1">IFERROR(YEAR(OFFSET($D$28,C566,0)),0)</f>
        <v>0</v>
      </c>
      <c r="D567" s="164">
        <f ca="1">IFERROR(MONTH(OFFSET($D$28,C566,0)),0)</f>
        <v>0</v>
      </c>
      <c r="E567" s="21">
        <f ca="1">12-$D567</f>
        <v>12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406</v>
      </c>
      <c r="C568" s="244">
        <f ca="1">IF(OFFSET($F$28,C566,0)&lt;0,0,OFFSET($F$28,C566,0))</f>
        <v>0</v>
      </c>
      <c r="D568" s="22" t="str">
        <f ca="1">OFFSET($C$28,C566,0)</f>
        <v/>
      </c>
      <c r="E568" s="22">
        <f ca="1">IF(D568&gt;10,ROUND(($C569/12)*$E567,0),$C568)</f>
        <v>0</v>
      </c>
      <c r="F568" s="21"/>
      <c r="G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1:24" hidden="1">
      <c r="A569" s="258"/>
      <c r="B569" s="21" t="s">
        <v>415</v>
      </c>
      <c r="C569" s="244">
        <f ca="1">IF(ISBLANK(OFFSET($D$28,C566,0)),0,IF(OFFSET($C$28,C566,0)&gt;10,ROUND(C568*am_wnip,0),IF(C568&lt;0,0,C568)))</f>
        <v>0</v>
      </c>
      <c r="D569" s="21"/>
      <c r="E569" s="21"/>
      <c r="F569" s="21"/>
      <c r="G569" s="21"/>
      <c r="I569" s="21"/>
      <c r="J569" s="473" cm="1">
        <f t="array" aca="1" ref="J569" ca="1">OFFSET('Środki trwałe'!$C$195,'Rozliczenie dotacji'!D566,,)</f>
        <v>0</v>
      </c>
      <c r="K569" s="74">
        <f ca="1">ROUND(IF($C567=LataProjekcji,$E568,IF($C567=LataProjekcji,$C569,0)),0)</f>
        <v>0</v>
      </c>
      <c r="L569" s="247">
        <f ca="1">ROUND(IF(OR(AND($C567=LataProjekcji,$E567&gt;0),AND($C567=LataProjekcji,$E567=0,$D568&lt;=10)),$E568,IF($C567&lt;LataProjekcji,IF((SUM($K569:K569)+$C569)&lt;$C568,$C569,$C568-SUM($K569:K569)),0)),0)</f>
        <v>0</v>
      </c>
      <c r="M569" s="247">
        <f ca="1">ROUND(IF(OR(AND($C567=LataProjekcji,$E567&gt;0),AND($C567=LataProjekcji,$E567=0,$D568&lt;=10)),$E568,IF($C567&lt;LataProjekcji,IF((SUM($K569:L569)+$C569)&lt;$C568,$C569,$C568-SUM($K569:L569)),0)),0)</f>
        <v>0</v>
      </c>
      <c r="N569" s="247">
        <f ca="1">ROUND(IF(OR(AND($C567=LataProjekcji,$E567&gt;0),AND($C567=LataProjekcji,$E567=0,$D568&lt;=10)),$E568,IF($C567&lt;LataProjekcji,IF((SUM($K569:M569)+$C569)&lt;$C568,$C569,$C568-SUM($K569:M569)),0)),0)</f>
        <v>0</v>
      </c>
      <c r="O569" s="247">
        <f ca="1">ROUND(IF(OR(AND($C567=LataProjekcji,$E567&gt;0),AND($C567=LataProjekcji,$E567=0,$D568&lt;=10)),$E568,IF($C567&lt;LataProjekcji,IF((SUM($K569:N569)+$C569)&lt;$C568,$C569,$C568-SUM($K569:N569)),0)),0)</f>
        <v>0</v>
      </c>
      <c r="P569" s="247">
        <f ca="1">ROUND(IF(OR(AND($C567=LataProjekcji,$E567&gt;0),AND($C567=LataProjekcji,$E567=0,$D568&lt;=10)),$E568,IF($C567&lt;LataProjekcji,IF((SUM($K569:O569)+$C569)&lt;$C568,$C569,$C568-SUM($K569:O569)),0)),0)</f>
        <v>0</v>
      </c>
      <c r="Q569" s="247">
        <f ca="1">ROUND(IF(OR(AND($C567=LataProjekcji,$E567&gt;0),AND($C567=LataProjekcji,$E567=0,$D568&lt;=10)),$E568,IF($C567&lt;LataProjekcji,IF((SUM($K569:P569)+$C569)&lt;$C568,$C569,$C568-SUM($K569:P569)),0)),0)</f>
        <v>0</v>
      </c>
      <c r="R569" s="247">
        <f ca="1">ROUND(IF(OR(AND($C567=LataProjekcji,$E567&gt;0),AND($C567=LataProjekcji,$E567=0,$D568&lt;=10)),$E568,IF($C567&lt;LataProjekcji,IF((SUM($K569:Q569)+$C569)&lt;$C568,$C569,$C568-SUM($K569:Q569)),0)),0)</f>
        <v>0</v>
      </c>
      <c r="S569" s="247">
        <f ca="1">ROUND(IF(OR(AND($C567=LataProjekcji,$E567&gt;0),AND($C567=LataProjekcji,$E567=0,$D568&lt;=10)),$E568,IF($C567&lt;LataProjekcji,IF((SUM($K569:R569)+$C569)&lt;$C568,$C569,$C568-SUM($K569:R569)),0)),0)</f>
        <v>0</v>
      </c>
      <c r="T569" s="247">
        <f ca="1">ROUND(IF(OR(AND($C567=LataProjekcji,$E567&gt;0),AND($C567=LataProjekcji,$E567=0,$D568&lt;=10)),$E568,IF($C567&lt;LataProjekcji,IF((SUM($K569:S569)+$C569)&lt;$C568,$C569,$C568-SUM($K569:S569)),0)),0)</f>
        <v>0</v>
      </c>
      <c r="U569" s="247">
        <f ca="1">ROUND(IF(OR(AND($C567=LataProjekcji,$E567&gt;0),AND($C567=LataProjekcji,$E567=0,$D568&lt;=10)),$E568,IF($C567&lt;LataProjekcji,IF((SUM($K569:T569)+$C569)&lt;$C568,$C569,$C568-SUM($K569:T569)),0)),0)</f>
        <v>0</v>
      </c>
      <c r="V569" s="247">
        <f ca="1">ROUND(IF(OR(AND($C567=LataProjekcji,$E567&gt;0),AND($C567=LataProjekcji,$E567=0,$D568&lt;=10)),$E568,IF($C567&lt;LataProjekcji,IF((SUM($K569:U569)+$C569)&lt;$C568,$C569,$C568-SUM($K569:U569)),0)),0)</f>
        <v>0</v>
      </c>
      <c r="W569" s="247">
        <f ca="1">ROUND(IF(OR(AND($C567=LataProjekcji,$E567&gt;0),AND($C567=LataProjekcji,$E567=0,$D568&lt;=10)),$E568,IF($C567&lt;LataProjekcji,IF((SUM($K569:V569)+$C569)&lt;$C568,$C569,$C568-SUM($K569:V569)),0)),0)</f>
        <v>0</v>
      </c>
      <c r="X569" s="247">
        <f ca="1">ROUND(IF(OR(AND($C567=LataProjekcji,$E567&gt;0),AND($C567=LataProjekcji,$E567=0,$D568&lt;=10)),$E568,IF($C567&lt;LataProjekcji,IF((SUM($K569:W569)+$C569)&lt;$C568,$C569,$C568-SUM($K569:W569)),0)),0)</f>
        <v>0</v>
      </c>
    </row>
    <row r="570" spans="1:24" hidden="1">
      <c r="A570" s="258"/>
      <c r="B570" s="21" t="s">
        <v>416</v>
      </c>
      <c r="C570" s="22"/>
      <c r="D570" s="21"/>
      <c r="E570" s="21"/>
      <c r="F570" s="21"/>
      <c r="G570" s="21"/>
      <c r="I570" s="21"/>
      <c r="J570" s="21"/>
      <c r="K570" s="22">
        <f ca="1">ROUND(K569,0)</f>
        <v>0</v>
      </c>
      <c r="L570" s="22">
        <f t="shared" ref="L570:X570" ca="1" si="341">ROUND(K570+L569,0)</f>
        <v>0</v>
      </c>
      <c r="M570" s="22">
        <f t="shared" ca="1" si="341"/>
        <v>0</v>
      </c>
      <c r="N570" s="22">
        <f t="shared" ca="1" si="341"/>
        <v>0</v>
      </c>
      <c r="O570" s="22">
        <f t="shared" ca="1" si="341"/>
        <v>0</v>
      </c>
      <c r="P570" s="22">
        <f t="shared" ca="1" si="341"/>
        <v>0</v>
      </c>
      <c r="Q570" s="22">
        <f t="shared" ca="1" si="341"/>
        <v>0</v>
      </c>
      <c r="R570" s="22">
        <f t="shared" ca="1" si="341"/>
        <v>0</v>
      </c>
      <c r="S570" s="22">
        <f t="shared" ca="1" si="341"/>
        <v>0</v>
      </c>
      <c r="T570" s="22">
        <f t="shared" ca="1" si="341"/>
        <v>0</v>
      </c>
      <c r="U570" s="22">
        <f t="shared" ca="1" si="341"/>
        <v>0</v>
      </c>
      <c r="V570" s="22">
        <f t="shared" ca="1" si="341"/>
        <v>0</v>
      </c>
      <c r="W570" s="22">
        <f t="shared" ca="1" si="341"/>
        <v>0</v>
      </c>
      <c r="X570" s="22">
        <f t="shared" ca="1" si="341"/>
        <v>0</v>
      </c>
    </row>
    <row r="571" spans="1:24" hidden="1">
      <c r="A571" s="258"/>
      <c r="B571" s="21" t="s">
        <v>406</v>
      </c>
      <c r="C571" s="22"/>
      <c r="D571" s="21"/>
      <c r="E571" s="21"/>
      <c r="F571" s="21"/>
      <c r="G571" s="21"/>
      <c r="I571" s="21"/>
      <c r="J571" s="21"/>
      <c r="K571" s="76">
        <f t="shared" ref="K571:X571" ca="1" si="342">IF($C567=LataProjekcji,ROUND($C568-K570,0),ROUND(IF(K569=0,0,$C568-K570),0))</f>
        <v>0</v>
      </c>
      <c r="L571" s="76">
        <f t="shared" ca="1" si="342"/>
        <v>0</v>
      </c>
      <c r="M571" s="76">
        <f t="shared" ca="1" si="342"/>
        <v>0</v>
      </c>
      <c r="N571" s="76">
        <f t="shared" ca="1" si="342"/>
        <v>0</v>
      </c>
      <c r="O571" s="76">
        <f t="shared" ca="1" si="342"/>
        <v>0</v>
      </c>
      <c r="P571" s="76">
        <f t="shared" ca="1" si="342"/>
        <v>0</v>
      </c>
      <c r="Q571" s="76">
        <f t="shared" ca="1" si="342"/>
        <v>0</v>
      </c>
      <c r="R571" s="76">
        <f t="shared" ca="1" si="342"/>
        <v>0</v>
      </c>
      <c r="S571" s="76">
        <f t="shared" ca="1" si="342"/>
        <v>0</v>
      </c>
      <c r="T571" s="76">
        <f t="shared" ca="1" si="342"/>
        <v>0</v>
      </c>
      <c r="U571" s="76">
        <f t="shared" ca="1" si="342"/>
        <v>0</v>
      </c>
      <c r="V571" s="76">
        <f t="shared" ca="1" si="342"/>
        <v>0</v>
      </c>
      <c r="W571" s="76">
        <f t="shared" ca="1" si="342"/>
        <v>0</v>
      </c>
      <c r="X571" s="76">
        <f t="shared" ca="1" si="342"/>
        <v>0</v>
      </c>
    </row>
    <row r="575" spans="1:24" ht="12.5" hidden="1" thickBot="1"/>
    <row r="576" spans="1:24" ht="12.5" hidden="1" thickBot="1">
      <c r="A576" s="258"/>
      <c r="B576" s="20" t="s">
        <v>389</v>
      </c>
      <c r="C576" s="249">
        <v>53</v>
      </c>
      <c r="D576" s="472">
        <v>131</v>
      </c>
      <c r="E576" s="21" t="s">
        <v>411</v>
      </c>
      <c r="F576" s="48"/>
      <c r="G576" s="50" t="s">
        <v>412</v>
      </c>
      <c r="H576" s="320"/>
      <c r="I576" s="21" t="s">
        <v>413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1:24" hidden="1">
      <c r="A577" s="258"/>
      <c r="B577" s="21" t="s">
        <v>414</v>
      </c>
      <c r="C577" s="164">
        <f ca="1">IFERROR(YEAR(OFFSET($D$28,C576,0)),0)</f>
        <v>0</v>
      </c>
      <c r="D577" s="164">
        <f ca="1">IFERROR(MONTH(OFFSET($D$28,C576,0)),0)</f>
        <v>0</v>
      </c>
      <c r="E577" s="21">
        <f ca="1">12-$D577</f>
        <v>12</v>
      </c>
      <c r="F577" s="49"/>
      <c r="G577" s="51">
        <f>C86-F577</f>
        <v>0</v>
      </c>
      <c r="H577" s="321"/>
      <c r="I577" s="22">
        <f>C86-F577-G577</f>
        <v>0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1:24" hidden="1">
      <c r="A578" s="258"/>
      <c r="B578" s="21" t="s">
        <v>406</v>
      </c>
      <c r="C578" s="244">
        <f ca="1">IF(OFFSET($F$28,C576,0)&lt;0,0,OFFSET($F$28,C576,0))</f>
        <v>0</v>
      </c>
      <c r="D578" s="22" t="str">
        <f ca="1">OFFSET($C$28,C576,0)</f>
        <v/>
      </c>
      <c r="E578" s="22">
        <f ca="1">IF(D578&gt;10,ROUND(($C579/12)*$E577,0),$C578)</f>
        <v>0</v>
      </c>
      <c r="F578" s="21" t="s">
        <v>426</v>
      </c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1" t="s">
        <v>415</v>
      </c>
      <c r="C579" s="244">
        <f ca="1">IF(ISBLANK(OFFSET($D$28,C576,0)),0,IF(OFFSET($C$28,C576,0)&gt;10,ROUND(C578*am_grunty,0),IF(C578&lt;0,0,C578)))</f>
        <v>0</v>
      </c>
      <c r="D579" s="21"/>
      <c r="E579" s="21"/>
      <c r="F579" s="21"/>
      <c r="G579" s="21"/>
      <c r="I579" s="21"/>
      <c r="J579" s="473" cm="1">
        <f t="array" aca="1" ref="J579" ca="1">OFFSET('Środki trwałe'!$C$195,'Rozliczenie dotacji'!D576,,)</f>
        <v>0</v>
      </c>
      <c r="K579" s="74">
        <f ca="1">ROUND(IF($C577=LataProjekcji,$E578,IF($C577=LataProjekcji,$C579,0)),0)</f>
        <v>0</v>
      </c>
      <c r="L579" s="247">
        <f ca="1">ROUND(IF(OR(AND($C577=LataProjekcji,$E577&gt;0),AND($C577=LataProjekcji,$E577=0,$D578&lt;=10)),$E578,IF($C577&lt;LataProjekcji,IF((SUM($K579:K579)+$C579)&lt;$C578,$C579,$C578-SUM($K579:K579)),0)),0)</f>
        <v>0</v>
      </c>
      <c r="M579" s="247">
        <f ca="1">ROUND(IF(OR(AND($C577=LataProjekcji,$E577&gt;0),AND($C577=LataProjekcji,$E577=0,$D578&lt;=10)),$E578,IF($C577&lt;LataProjekcji,IF((SUM($K579:L579)+$C579)&lt;$C578,$C579,$C578-SUM($K579:L579)),0)),0)</f>
        <v>0</v>
      </c>
      <c r="N579" s="247">
        <f ca="1">ROUND(IF(OR(AND($C577=LataProjekcji,$E577&gt;0),AND($C577=LataProjekcji,$E577=0,$D578&lt;=10)),$E578,IF($C577&lt;LataProjekcji,IF((SUM($K579:M579)+$C579)&lt;$C578,$C579,$C578-SUM($K579:M579)),0)),0)</f>
        <v>0</v>
      </c>
      <c r="O579" s="247">
        <f ca="1">ROUND(IF(OR(AND($C577=LataProjekcji,$E577&gt;0),AND($C577=LataProjekcji,$E577=0,$D578&lt;=10)),$E578,IF($C577&lt;LataProjekcji,IF((SUM($K579:N579)+$C579)&lt;$C578,$C579,$C578-SUM($K579:N579)),0)),0)</f>
        <v>0</v>
      </c>
      <c r="P579" s="247">
        <f ca="1">ROUND(IF(OR(AND($C577=LataProjekcji,$E577&gt;0),AND($C577=LataProjekcji,$E577=0,$D578&lt;=10)),$E578,IF($C577&lt;LataProjekcji,IF((SUM($K579:O579)+$C579)&lt;$C578,$C579,$C578-SUM($K579:O579)),0)),0)</f>
        <v>0</v>
      </c>
      <c r="Q579" s="247">
        <f ca="1">ROUND(IF(OR(AND($C577=LataProjekcji,$E577&gt;0),AND($C577=LataProjekcji,$E577=0,$D578&lt;=10)),$E578,IF($C577&lt;LataProjekcji,IF((SUM($K579:P579)+$C579)&lt;$C578,$C579,$C578-SUM($K579:P579)),0)),0)</f>
        <v>0</v>
      </c>
      <c r="R579" s="247">
        <f ca="1">ROUND(IF(OR(AND($C577=LataProjekcji,$E577&gt;0),AND($C577=LataProjekcji,$E577=0,$D578&lt;=10)),$E578,IF($C577&lt;LataProjekcji,IF((SUM($K579:Q579)+$C579)&lt;$C578,$C579,$C578-SUM($K579:Q579)),0)),0)</f>
        <v>0</v>
      </c>
      <c r="S579" s="247">
        <f ca="1">ROUND(IF(OR(AND($C577=LataProjekcji,$E577&gt;0),AND($C577=LataProjekcji,$E577=0,$D578&lt;=10)),$E578,IF($C577&lt;LataProjekcji,IF((SUM($K579:R579)+$C579)&lt;$C578,$C579,$C578-SUM($K579:R579)),0)),0)</f>
        <v>0</v>
      </c>
      <c r="T579" s="247">
        <f ca="1">ROUND(IF(OR(AND($C577=LataProjekcji,$E577&gt;0),AND($C577=LataProjekcji,$E577=0,$D578&lt;=10)),$E578,IF($C577&lt;LataProjekcji,IF((SUM($K579:S579)+$C579)&lt;$C578,$C579,$C578-SUM($K579:S579)),0)),0)</f>
        <v>0</v>
      </c>
      <c r="U579" s="247">
        <f ca="1">ROUND(IF(OR(AND($C577=LataProjekcji,$E577&gt;0),AND($C577=LataProjekcji,$E577=0,$D578&lt;=10)),$E578,IF($C577&lt;LataProjekcji,IF((SUM($K579:T579)+$C579)&lt;$C578,$C579,$C578-SUM($K579:T579)),0)),0)</f>
        <v>0</v>
      </c>
      <c r="V579" s="247">
        <f ca="1">ROUND(IF(OR(AND($C577=LataProjekcji,$E577&gt;0),AND($C577=LataProjekcji,$E577=0,$D578&lt;=10)),$E578,IF($C577&lt;LataProjekcji,IF((SUM($K579:U579)+$C579)&lt;$C578,$C579,$C578-SUM($K579:U579)),0)),0)</f>
        <v>0</v>
      </c>
      <c r="W579" s="247">
        <f ca="1">ROUND(IF(OR(AND($C577=LataProjekcji,$E577&gt;0),AND($C577=LataProjekcji,$E577=0,$D578&lt;=10)),$E578,IF($C577&lt;LataProjekcji,IF((SUM($K579:V579)+$C579)&lt;$C578,$C579,$C578-SUM($K579:V579)),0)),0)</f>
        <v>0</v>
      </c>
      <c r="X579" s="247">
        <f ca="1">ROUND(IF(OR(AND($C577=LataProjekcji,$E577&gt;0),AND($C577=LataProjekcji,$E577=0,$D578&lt;=10)),$E578,IF($C577&lt;LataProjekcji,IF((SUM($K579:W579)+$C579)&lt;$C578,$C579,$C578-SUM($K579:W579)),0)),0)</f>
        <v>0</v>
      </c>
    </row>
    <row r="580" spans="1:24" hidden="1">
      <c r="A580" s="258"/>
      <c r="B580" s="21" t="s">
        <v>416</v>
      </c>
      <c r="C580" s="22"/>
      <c r="D580" s="21"/>
      <c r="E580" s="21"/>
      <c r="F580" s="21"/>
      <c r="G580" s="21"/>
      <c r="I580" s="21"/>
      <c r="J580" s="21"/>
      <c r="K580" s="22">
        <f ca="1">ROUND(K579,0)</f>
        <v>0</v>
      </c>
      <c r="L580" s="22">
        <f t="shared" ref="L580:X580" ca="1" si="343">ROUND(K580+L579,0)</f>
        <v>0</v>
      </c>
      <c r="M580" s="22">
        <f t="shared" ca="1" si="343"/>
        <v>0</v>
      </c>
      <c r="N580" s="22">
        <f t="shared" ca="1" si="343"/>
        <v>0</v>
      </c>
      <c r="O580" s="22">
        <f t="shared" ca="1" si="343"/>
        <v>0</v>
      </c>
      <c r="P580" s="22">
        <f t="shared" ca="1" si="343"/>
        <v>0</v>
      </c>
      <c r="Q580" s="22">
        <f t="shared" ca="1" si="343"/>
        <v>0</v>
      </c>
      <c r="R580" s="22">
        <f t="shared" ca="1" si="343"/>
        <v>0</v>
      </c>
      <c r="S580" s="22">
        <f t="shared" ca="1" si="343"/>
        <v>0</v>
      </c>
      <c r="T580" s="22">
        <f t="shared" ca="1" si="343"/>
        <v>0</v>
      </c>
      <c r="U580" s="22">
        <f t="shared" ca="1" si="343"/>
        <v>0</v>
      </c>
      <c r="V580" s="22">
        <f t="shared" ca="1" si="343"/>
        <v>0</v>
      </c>
      <c r="W580" s="22">
        <f t="shared" ca="1" si="343"/>
        <v>0</v>
      </c>
      <c r="X580" s="22">
        <f t="shared" ca="1" si="343"/>
        <v>0</v>
      </c>
    </row>
    <row r="581" spans="1:24" hidden="1">
      <c r="A581" s="258"/>
      <c r="B581" s="21" t="s">
        <v>406</v>
      </c>
      <c r="C581" s="22"/>
      <c r="D581" s="21"/>
      <c r="E581" s="21"/>
      <c r="F581" s="21"/>
      <c r="G581" s="21"/>
      <c r="I581" s="21"/>
      <c r="J581" s="21"/>
      <c r="K581" s="76">
        <f t="shared" ref="K581:X581" ca="1" si="344">IF($C577=LataProjekcji,ROUND($C578-K580,0),ROUND(IF(K579=0,0,$C578-K580),0))</f>
        <v>0</v>
      </c>
      <c r="L581" s="76">
        <f t="shared" ca="1" si="344"/>
        <v>0</v>
      </c>
      <c r="M581" s="76">
        <f t="shared" ca="1" si="344"/>
        <v>0</v>
      </c>
      <c r="N581" s="76">
        <f t="shared" ca="1" si="344"/>
        <v>0</v>
      </c>
      <c r="O581" s="76">
        <f t="shared" ca="1" si="344"/>
        <v>0</v>
      </c>
      <c r="P581" s="76">
        <f t="shared" ca="1" si="344"/>
        <v>0</v>
      </c>
      <c r="Q581" s="76">
        <f t="shared" ca="1" si="344"/>
        <v>0</v>
      </c>
      <c r="R581" s="76">
        <f t="shared" ca="1" si="344"/>
        <v>0</v>
      </c>
      <c r="S581" s="76">
        <f t="shared" ca="1" si="344"/>
        <v>0</v>
      </c>
      <c r="T581" s="76">
        <f t="shared" ca="1" si="344"/>
        <v>0</v>
      </c>
      <c r="U581" s="76">
        <f t="shared" ca="1" si="344"/>
        <v>0</v>
      </c>
      <c r="V581" s="76">
        <f t="shared" ca="1" si="344"/>
        <v>0</v>
      </c>
      <c r="W581" s="76">
        <f t="shared" ca="1" si="344"/>
        <v>0</v>
      </c>
      <c r="X581" s="76">
        <f t="shared" ca="1" si="344"/>
        <v>0</v>
      </c>
    </row>
    <row r="582" spans="1:24" hidden="1">
      <c r="A582" s="258"/>
      <c r="B582" s="21"/>
      <c r="C582" s="22"/>
      <c r="D582" s="21"/>
      <c r="E582" s="21"/>
      <c r="F582" s="21"/>
      <c r="G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1:24" hidden="1">
      <c r="A583" s="258"/>
      <c r="B583" s="20" t="s">
        <v>389</v>
      </c>
      <c r="C583" s="21">
        <f>C576+1</f>
        <v>54</v>
      </c>
      <c r="D583" s="473">
        <f>D576+1</f>
        <v>132</v>
      </c>
      <c r="E583" s="21"/>
      <c r="F583" s="21"/>
      <c r="G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1:24" hidden="1">
      <c r="A584" s="258"/>
      <c r="B584" s="21" t="s">
        <v>414</v>
      </c>
      <c r="C584" s="164">
        <f ca="1">IFERROR(YEAR(OFFSET($D$28,C583,0)),0)</f>
        <v>0</v>
      </c>
      <c r="D584" s="164">
        <f ca="1">IFERROR(MONTH(OFFSET($D$28,C583,0)),0)</f>
        <v>0</v>
      </c>
      <c r="E584" s="21">
        <f ca="1">12-$D584</f>
        <v>12</v>
      </c>
      <c r="F584" s="21"/>
      <c r="G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1:24" hidden="1">
      <c r="A585" s="258"/>
      <c r="B585" s="21" t="s">
        <v>406</v>
      </c>
      <c r="C585" s="244">
        <f ca="1">IF(OFFSET($F$28,C583,0)&lt;0,0,OFFSET($F$28,C583,0))</f>
        <v>0</v>
      </c>
      <c r="D585" s="22" t="str">
        <f ca="1">OFFSET($C$28,C583,0)</f>
        <v/>
      </c>
      <c r="E585" s="22">
        <f ca="1">IF(D585&gt;10,ROUND(($C586/12)*$E584,0),$C585)</f>
        <v>0</v>
      </c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1" t="s">
        <v>415</v>
      </c>
      <c r="C586" s="244">
        <f ca="1">IF(ISBLANK(OFFSET($D$28,C583,0)),0,IF(OFFSET($C$28,C583,0)&gt;10,ROUND(C585*am_grunty,0),IF(C585&lt;0,0,C585)))</f>
        <v>0</v>
      </c>
      <c r="D586" s="21"/>
      <c r="E586" s="21"/>
      <c r="F586" s="21"/>
      <c r="G586" s="21"/>
      <c r="I586" s="21"/>
      <c r="J586" s="473" cm="1">
        <f t="array" aca="1" ref="J586" ca="1">OFFSET('Środki trwałe'!$C$195,'Rozliczenie dotacji'!D583,,)</f>
        <v>0</v>
      </c>
      <c r="K586" s="74">
        <f ca="1">ROUND(IF($C584=LataProjekcji,$E585,IF($C584=LataProjekcji,$C586,0)),0)</f>
        <v>0</v>
      </c>
      <c r="L586" s="247">
        <f ca="1">ROUND(IF(OR(AND($C584=LataProjekcji,$E584&gt;0),AND($C584=LataProjekcji,$E584=0,$D585&lt;=10)),$E585,IF($C584&lt;LataProjekcji,IF((SUM($K586:K586)+$C586)&lt;$C585,$C586,$C585-SUM($K586:K586)),0)),0)</f>
        <v>0</v>
      </c>
      <c r="M586" s="247">
        <f ca="1">ROUND(IF(OR(AND($C584=LataProjekcji,$E584&gt;0),AND($C584=LataProjekcji,$E584=0,$D585&lt;=10)),$E585,IF($C584&lt;LataProjekcji,IF((SUM($K586:L586)+$C586)&lt;$C585,$C586,$C585-SUM($K586:L586)),0)),0)</f>
        <v>0</v>
      </c>
      <c r="N586" s="247">
        <f ca="1">ROUND(IF(OR(AND($C584=LataProjekcji,$E584&gt;0),AND($C584=LataProjekcji,$E584=0,$D585&lt;=10)),$E585,IF($C584&lt;LataProjekcji,IF((SUM($K586:M586)+$C586)&lt;$C585,$C586,$C585-SUM($K586:M586)),0)),0)</f>
        <v>0</v>
      </c>
      <c r="O586" s="247">
        <f ca="1">ROUND(IF(OR(AND($C584=LataProjekcji,$E584&gt;0),AND($C584=LataProjekcji,$E584=0,$D585&lt;=10)),$E585,IF($C584&lt;LataProjekcji,IF((SUM($K586:N586)+$C586)&lt;$C585,$C586,$C585-SUM($K586:N586)),0)),0)</f>
        <v>0</v>
      </c>
      <c r="P586" s="247">
        <f ca="1">ROUND(IF(OR(AND($C584=LataProjekcji,$E584&gt;0),AND($C584=LataProjekcji,$E584=0,$D585&lt;=10)),$E585,IF($C584&lt;LataProjekcji,IF((SUM($K586:O586)+$C586)&lt;$C585,$C586,$C585-SUM($K586:O586)),0)),0)</f>
        <v>0</v>
      </c>
      <c r="Q586" s="247">
        <f ca="1">ROUND(IF(OR(AND($C584=LataProjekcji,$E584&gt;0),AND($C584=LataProjekcji,$E584=0,$D585&lt;=10)),$E585,IF($C584&lt;LataProjekcji,IF((SUM($K586:P586)+$C586)&lt;$C585,$C586,$C585-SUM($K586:P586)),0)),0)</f>
        <v>0</v>
      </c>
      <c r="R586" s="247">
        <f ca="1">ROUND(IF(OR(AND($C584=LataProjekcji,$E584&gt;0),AND($C584=LataProjekcji,$E584=0,$D585&lt;=10)),$E585,IF($C584&lt;LataProjekcji,IF((SUM($K586:Q586)+$C586)&lt;$C585,$C586,$C585-SUM($K586:Q586)),0)),0)</f>
        <v>0</v>
      </c>
      <c r="S586" s="247">
        <f ca="1">ROUND(IF(OR(AND($C584=LataProjekcji,$E584&gt;0),AND($C584=LataProjekcji,$E584=0,$D585&lt;=10)),$E585,IF($C584&lt;LataProjekcji,IF((SUM($K586:R586)+$C586)&lt;$C585,$C586,$C585-SUM($K586:R586)),0)),0)</f>
        <v>0</v>
      </c>
      <c r="T586" s="247">
        <f ca="1">ROUND(IF(OR(AND($C584=LataProjekcji,$E584&gt;0),AND($C584=LataProjekcji,$E584=0,$D585&lt;=10)),$E585,IF($C584&lt;LataProjekcji,IF((SUM($K586:S586)+$C586)&lt;$C585,$C586,$C585-SUM($K586:S586)),0)),0)</f>
        <v>0</v>
      </c>
      <c r="U586" s="247">
        <f ca="1">ROUND(IF(OR(AND($C584=LataProjekcji,$E584&gt;0),AND($C584=LataProjekcji,$E584=0,$D585&lt;=10)),$E585,IF($C584&lt;LataProjekcji,IF((SUM($K586:T586)+$C586)&lt;$C585,$C586,$C585-SUM($K586:T586)),0)),0)</f>
        <v>0</v>
      </c>
      <c r="V586" s="247">
        <f ca="1">ROUND(IF(OR(AND($C584=LataProjekcji,$E584&gt;0),AND($C584=LataProjekcji,$E584=0,$D585&lt;=10)),$E585,IF($C584&lt;LataProjekcji,IF((SUM($K586:U586)+$C586)&lt;$C585,$C586,$C585-SUM($K586:U586)),0)),0)</f>
        <v>0</v>
      </c>
      <c r="W586" s="247">
        <f ca="1">ROUND(IF(OR(AND($C584=LataProjekcji,$E584&gt;0),AND($C584=LataProjekcji,$E584=0,$D585&lt;=10)),$E585,IF($C584&lt;LataProjekcji,IF((SUM($K586:V586)+$C586)&lt;$C585,$C586,$C585-SUM($K586:V586)),0)),0)</f>
        <v>0</v>
      </c>
      <c r="X586" s="247">
        <f ca="1">ROUND(IF(OR(AND($C584=LataProjekcji,$E584&gt;0),AND($C584=LataProjekcji,$E584=0,$D585&lt;=10)),$E585,IF($C584&lt;LataProjekcji,IF((SUM($K586:W586)+$C586)&lt;$C585,$C586,$C585-SUM($K586:W586)),0)),0)</f>
        <v>0</v>
      </c>
    </row>
    <row r="587" spans="1:24" hidden="1">
      <c r="A587" s="258"/>
      <c r="B587" s="21" t="s">
        <v>416</v>
      </c>
      <c r="C587" s="22"/>
      <c r="D587" s="21"/>
      <c r="E587" s="21"/>
      <c r="F587" s="21"/>
      <c r="G587" s="21"/>
      <c r="I587" s="21"/>
      <c r="J587" s="21"/>
      <c r="K587" s="22">
        <f ca="1">ROUND(K586,0)</f>
        <v>0</v>
      </c>
      <c r="L587" s="22">
        <f t="shared" ref="L587:X587" ca="1" si="345">ROUND(K587+L586,0)</f>
        <v>0</v>
      </c>
      <c r="M587" s="22">
        <f t="shared" ca="1" si="345"/>
        <v>0</v>
      </c>
      <c r="N587" s="22">
        <f t="shared" ca="1" si="345"/>
        <v>0</v>
      </c>
      <c r="O587" s="22">
        <f t="shared" ca="1" si="345"/>
        <v>0</v>
      </c>
      <c r="P587" s="22">
        <f t="shared" ca="1" si="345"/>
        <v>0</v>
      </c>
      <c r="Q587" s="22">
        <f t="shared" ca="1" si="345"/>
        <v>0</v>
      </c>
      <c r="R587" s="22">
        <f t="shared" ca="1" si="345"/>
        <v>0</v>
      </c>
      <c r="S587" s="22">
        <f t="shared" ca="1" si="345"/>
        <v>0</v>
      </c>
      <c r="T587" s="22">
        <f t="shared" ca="1" si="345"/>
        <v>0</v>
      </c>
      <c r="U587" s="22">
        <f t="shared" ca="1" si="345"/>
        <v>0</v>
      </c>
      <c r="V587" s="22">
        <f t="shared" ca="1" si="345"/>
        <v>0</v>
      </c>
      <c r="W587" s="22">
        <f t="shared" ca="1" si="345"/>
        <v>0</v>
      </c>
      <c r="X587" s="22">
        <f t="shared" ca="1" si="345"/>
        <v>0</v>
      </c>
    </row>
    <row r="588" spans="1:24" hidden="1">
      <c r="A588" s="258"/>
      <c r="B588" s="21" t="s">
        <v>406</v>
      </c>
      <c r="C588" s="22"/>
      <c r="D588" s="21"/>
      <c r="E588" s="21"/>
      <c r="F588" s="21"/>
      <c r="G588" s="21"/>
      <c r="I588" s="21"/>
      <c r="J588" s="21"/>
      <c r="K588" s="76">
        <f t="shared" ref="K588:X588" ca="1" si="346">IF($C584=LataProjekcji,ROUND($C585-K587,0),ROUND(IF(K586=0,0,$C585-K587),0))</f>
        <v>0</v>
      </c>
      <c r="L588" s="76">
        <f t="shared" ca="1" si="346"/>
        <v>0</v>
      </c>
      <c r="M588" s="76">
        <f t="shared" ca="1" si="346"/>
        <v>0</v>
      </c>
      <c r="N588" s="76">
        <f t="shared" ca="1" si="346"/>
        <v>0</v>
      </c>
      <c r="O588" s="76">
        <f t="shared" ca="1" si="346"/>
        <v>0</v>
      </c>
      <c r="P588" s="76">
        <f t="shared" ca="1" si="346"/>
        <v>0</v>
      </c>
      <c r="Q588" s="76">
        <f t="shared" ca="1" si="346"/>
        <v>0</v>
      </c>
      <c r="R588" s="76">
        <f t="shared" ca="1" si="346"/>
        <v>0</v>
      </c>
      <c r="S588" s="76">
        <f t="shared" ca="1" si="346"/>
        <v>0</v>
      </c>
      <c r="T588" s="76">
        <f t="shared" ca="1" si="346"/>
        <v>0</v>
      </c>
      <c r="U588" s="76">
        <f t="shared" ca="1" si="346"/>
        <v>0</v>
      </c>
      <c r="V588" s="76">
        <f t="shared" ca="1" si="346"/>
        <v>0</v>
      </c>
      <c r="W588" s="76">
        <f t="shared" ca="1" si="346"/>
        <v>0</v>
      </c>
      <c r="X588" s="76">
        <f t="shared" ca="1" si="346"/>
        <v>0</v>
      </c>
    </row>
    <row r="589" spans="1:24" hidden="1">
      <c r="A589" s="258"/>
      <c r="B589" s="20"/>
      <c r="C589" s="21"/>
      <c r="D589" s="21"/>
      <c r="E589" s="21"/>
      <c r="F589" s="21"/>
      <c r="G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1:24" hidden="1">
      <c r="A590" s="258"/>
      <c r="B590" s="20" t="s">
        <v>389</v>
      </c>
      <c r="C590" s="21">
        <f>C583+1</f>
        <v>55</v>
      </c>
      <c r="D590" s="473">
        <f>D583+1</f>
        <v>133</v>
      </c>
      <c r="E590" s="21"/>
      <c r="F590" s="21"/>
      <c r="G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1:24" hidden="1">
      <c r="A591" s="258"/>
      <c r="B591" s="21" t="s">
        <v>414</v>
      </c>
      <c r="C591" s="164">
        <f ca="1">IFERROR(YEAR(OFFSET($D$28,C590,0)),0)</f>
        <v>0</v>
      </c>
      <c r="D591" s="164">
        <f ca="1">IFERROR(MONTH(OFFSET($D$28,C590,0)),0)</f>
        <v>0</v>
      </c>
      <c r="E591" s="21">
        <f ca="1">12-$D591</f>
        <v>12</v>
      </c>
      <c r="F591" s="21"/>
      <c r="G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</row>
    <row r="592" spans="1:24" hidden="1">
      <c r="A592" s="258"/>
      <c r="B592" s="21" t="s">
        <v>406</v>
      </c>
      <c r="C592" s="244">
        <f ca="1">IF(OFFSET($F$28,C590,0)&lt;0,0,OFFSET($F$28,C590,0))</f>
        <v>0</v>
      </c>
      <c r="D592" s="22" t="str">
        <f ca="1">OFFSET($C$28,C590,0)</f>
        <v/>
      </c>
      <c r="E592" s="22">
        <f ca="1">IF(D592&gt;10,ROUND(($C593/12)*$E591,0),$C592)</f>
        <v>0</v>
      </c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1" t="s">
        <v>415</v>
      </c>
      <c r="C593" s="244">
        <f ca="1">IF(ISBLANK(OFFSET($D$28,C590,0)),0,IF(OFFSET($C$28,C590,0)&gt;10,ROUND(C592*am_grunty,0),IF(C592&lt;0,0,C592)))</f>
        <v>0</v>
      </c>
      <c r="D593" s="21"/>
      <c r="E593" s="21"/>
      <c r="F593" s="21"/>
      <c r="G593" s="21"/>
      <c r="I593" s="21"/>
      <c r="J593" s="473" cm="1">
        <f t="array" aca="1" ref="J593" ca="1">OFFSET('Środki trwałe'!$C$195,'Rozliczenie dotacji'!D590,,)</f>
        <v>0</v>
      </c>
      <c r="K593" s="74">
        <f ca="1">ROUND(IF($C591=LataProjekcji,$E592,IF($C591=LataProjekcji,$C593,0)),0)</f>
        <v>0</v>
      </c>
      <c r="L593" s="247">
        <f ca="1">ROUND(IF(OR(AND($C591=LataProjekcji,$E591&gt;0),AND($C591=LataProjekcji,$E591=0,$D592&lt;=10)),$E592,IF($C591&lt;LataProjekcji,IF((SUM($K593:K593)+$C593)&lt;$C592,$C593,$C592-SUM($K593:K593)),0)),0)</f>
        <v>0</v>
      </c>
      <c r="M593" s="247">
        <f ca="1">ROUND(IF(OR(AND($C591=LataProjekcji,$E591&gt;0),AND($C591=LataProjekcji,$E591=0,$D592&lt;=10)),$E592,IF($C591&lt;LataProjekcji,IF((SUM($K593:L593)+$C593)&lt;$C592,$C593,$C592-SUM($K593:L593)),0)),0)</f>
        <v>0</v>
      </c>
      <c r="N593" s="247">
        <f ca="1">ROUND(IF(OR(AND($C591=LataProjekcji,$E591&gt;0),AND($C591=LataProjekcji,$E591=0,$D592&lt;=10)),$E592,IF($C591&lt;LataProjekcji,IF((SUM($K593:M593)+$C593)&lt;$C592,$C593,$C592-SUM($K593:M593)),0)),0)</f>
        <v>0</v>
      </c>
      <c r="O593" s="247">
        <f ca="1">ROUND(IF(OR(AND($C591=LataProjekcji,$E591&gt;0),AND($C591=LataProjekcji,$E591=0,$D592&lt;=10)),$E592,IF($C591&lt;LataProjekcji,IF((SUM($K593:N593)+$C593)&lt;$C592,$C593,$C592-SUM($K593:N593)),0)),0)</f>
        <v>0</v>
      </c>
      <c r="P593" s="247">
        <f ca="1">ROUND(IF(OR(AND($C591=LataProjekcji,$E591&gt;0),AND($C591=LataProjekcji,$E591=0,$D592&lt;=10)),$E592,IF($C591&lt;LataProjekcji,IF((SUM($K593:O593)+$C593)&lt;$C592,$C593,$C592-SUM($K593:O593)),0)),0)</f>
        <v>0</v>
      </c>
      <c r="Q593" s="247">
        <f ca="1">ROUND(IF(OR(AND($C591=LataProjekcji,$E591&gt;0),AND($C591=LataProjekcji,$E591=0,$D592&lt;=10)),$E592,IF($C591&lt;LataProjekcji,IF((SUM($K593:P593)+$C593)&lt;$C592,$C593,$C592-SUM($K593:P593)),0)),0)</f>
        <v>0</v>
      </c>
      <c r="R593" s="247">
        <f ca="1">ROUND(IF(OR(AND($C591=LataProjekcji,$E591&gt;0),AND($C591=LataProjekcji,$E591=0,$D592&lt;=10)),$E592,IF($C591&lt;LataProjekcji,IF((SUM($K593:Q593)+$C593)&lt;$C592,$C593,$C592-SUM($K593:Q593)),0)),0)</f>
        <v>0</v>
      </c>
      <c r="S593" s="247">
        <f ca="1">ROUND(IF(OR(AND($C591=LataProjekcji,$E591&gt;0),AND($C591=LataProjekcji,$E591=0,$D592&lt;=10)),$E592,IF($C591&lt;LataProjekcji,IF((SUM($K593:R593)+$C593)&lt;$C592,$C593,$C592-SUM($K593:R593)),0)),0)</f>
        <v>0</v>
      </c>
      <c r="T593" s="247">
        <f ca="1">ROUND(IF(OR(AND($C591=LataProjekcji,$E591&gt;0),AND($C591=LataProjekcji,$E591=0,$D592&lt;=10)),$E592,IF($C591&lt;LataProjekcji,IF((SUM($K593:S593)+$C593)&lt;$C592,$C593,$C592-SUM($K593:S593)),0)),0)</f>
        <v>0</v>
      </c>
      <c r="U593" s="247">
        <f ca="1">ROUND(IF(OR(AND($C591=LataProjekcji,$E591&gt;0),AND($C591=LataProjekcji,$E591=0,$D592&lt;=10)),$E592,IF($C591&lt;LataProjekcji,IF((SUM($K593:T593)+$C593)&lt;$C592,$C593,$C592-SUM($K593:T593)),0)),0)</f>
        <v>0</v>
      </c>
      <c r="V593" s="247">
        <f ca="1">ROUND(IF(OR(AND($C591=LataProjekcji,$E591&gt;0),AND($C591=LataProjekcji,$E591=0,$D592&lt;=10)),$E592,IF($C591&lt;LataProjekcji,IF((SUM($K593:U593)+$C593)&lt;$C592,$C593,$C592-SUM($K593:U593)),0)),0)</f>
        <v>0</v>
      </c>
      <c r="W593" s="247">
        <f ca="1">ROUND(IF(OR(AND($C591=LataProjekcji,$E591&gt;0),AND($C591=LataProjekcji,$E591=0,$D592&lt;=10)),$E592,IF($C591&lt;LataProjekcji,IF((SUM($K593:V593)+$C593)&lt;$C592,$C593,$C592-SUM($K593:V593)),0)),0)</f>
        <v>0</v>
      </c>
      <c r="X593" s="247">
        <f ca="1">ROUND(IF(OR(AND($C591=LataProjekcji,$E591&gt;0),AND($C591=LataProjekcji,$E591=0,$D592&lt;=10)),$E592,IF($C591&lt;LataProjekcji,IF((SUM($K593:W593)+$C593)&lt;$C592,$C593,$C592-SUM($K593:W593)),0)),0)</f>
        <v>0</v>
      </c>
    </row>
    <row r="594" spans="1:24" hidden="1">
      <c r="A594" s="258"/>
      <c r="B594" s="21" t="s">
        <v>416</v>
      </c>
      <c r="C594" s="22"/>
      <c r="D594" s="21"/>
      <c r="E594" s="21"/>
      <c r="F594" s="21"/>
      <c r="G594" s="21"/>
      <c r="I594" s="21"/>
      <c r="J594" s="21"/>
      <c r="K594" s="22">
        <f ca="1">ROUND(K593,0)</f>
        <v>0</v>
      </c>
      <c r="L594" s="22">
        <f t="shared" ref="L594:X594" ca="1" si="347">ROUND(K594+L593,0)</f>
        <v>0</v>
      </c>
      <c r="M594" s="22">
        <f t="shared" ca="1" si="347"/>
        <v>0</v>
      </c>
      <c r="N594" s="22">
        <f t="shared" ca="1" si="347"/>
        <v>0</v>
      </c>
      <c r="O594" s="22">
        <f t="shared" ca="1" si="347"/>
        <v>0</v>
      </c>
      <c r="P594" s="22">
        <f t="shared" ca="1" si="347"/>
        <v>0</v>
      </c>
      <c r="Q594" s="22">
        <f t="shared" ca="1" si="347"/>
        <v>0</v>
      </c>
      <c r="R594" s="22">
        <f t="shared" ca="1" si="347"/>
        <v>0</v>
      </c>
      <c r="S594" s="22">
        <f t="shared" ca="1" si="347"/>
        <v>0</v>
      </c>
      <c r="T594" s="22">
        <f t="shared" ca="1" si="347"/>
        <v>0</v>
      </c>
      <c r="U594" s="22">
        <f t="shared" ca="1" si="347"/>
        <v>0</v>
      </c>
      <c r="V594" s="22">
        <f t="shared" ca="1" si="347"/>
        <v>0</v>
      </c>
      <c r="W594" s="22">
        <f t="shared" ca="1" si="347"/>
        <v>0</v>
      </c>
      <c r="X594" s="22">
        <f t="shared" ca="1" si="347"/>
        <v>0</v>
      </c>
    </row>
    <row r="595" spans="1:24" hidden="1">
      <c r="A595" s="258"/>
      <c r="B595" s="21" t="s">
        <v>406</v>
      </c>
      <c r="C595" s="22"/>
      <c r="D595" s="21"/>
      <c r="E595" s="21"/>
      <c r="F595" s="21"/>
      <c r="G595" s="21"/>
      <c r="I595" s="21"/>
      <c r="J595" s="21"/>
      <c r="K595" s="76">
        <f t="shared" ref="K595:X595" ca="1" si="348">IF($C591=LataProjekcji,ROUND($C592-K594,0),ROUND(IF(K593=0,0,$C592-K594),0))</f>
        <v>0</v>
      </c>
      <c r="L595" s="76">
        <f t="shared" ca="1" si="348"/>
        <v>0</v>
      </c>
      <c r="M595" s="76">
        <f t="shared" ca="1" si="348"/>
        <v>0</v>
      </c>
      <c r="N595" s="76">
        <f t="shared" ca="1" si="348"/>
        <v>0</v>
      </c>
      <c r="O595" s="76">
        <f t="shared" ca="1" si="348"/>
        <v>0</v>
      </c>
      <c r="P595" s="76">
        <f t="shared" ca="1" si="348"/>
        <v>0</v>
      </c>
      <c r="Q595" s="76">
        <f t="shared" ca="1" si="348"/>
        <v>0</v>
      </c>
      <c r="R595" s="76">
        <f t="shared" ca="1" si="348"/>
        <v>0</v>
      </c>
      <c r="S595" s="76">
        <f t="shared" ca="1" si="348"/>
        <v>0</v>
      </c>
      <c r="T595" s="76">
        <f t="shared" ca="1" si="348"/>
        <v>0</v>
      </c>
      <c r="U595" s="76">
        <f t="shared" ca="1" si="348"/>
        <v>0</v>
      </c>
      <c r="V595" s="76">
        <f t="shared" ca="1" si="348"/>
        <v>0</v>
      </c>
      <c r="W595" s="76">
        <f t="shared" ca="1" si="348"/>
        <v>0</v>
      </c>
      <c r="X595" s="76">
        <f t="shared" ca="1" si="348"/>
        <v>0</v>
      </c>
    </row>
    <row r="596" spans="1:24" hidden="1">
      <c r="A596" s="258"/>
      <c r="B596" s="21"/>
      <c r="C596" s="22"/>
      <c r="D596" s="21"/>
      <c r="E596" s="21"/>
      <c r="F596" s="21"/>
      <c r="G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1:24" hidden="1">
      <c r="A597" s="258"/>
      <c r="B597" s="20" t="s">
        <v>389</v>
      </c>
      <c r="C597" s="21">
        <f>C590+1</f>
        <v>56</v>
      </c>
      <c r="D597" s="473">
        <f>D590+1</f>
        <v>134</v>
      </c>
      <c r="E597" s="21"/>
      <c r="F597" s="21"/>
      <c r="G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</row>
    <row r="598" spans="1:24" hidden="1">
      <c r="A598" s="258"/>
      <c r="B598" s="21" t="s">
        <v>414</v>
      </c>
      <c r="C598" s="164">
        <f ca="1">IFERROR(YEAR(OFFSET($D$28,C597,0)),0)</f>
        <v>0</v>
      </c>
      <c r="D598" s="164">
        <f ca="1">IFERROR(MONTH(OFFSET($D$28,C597,0)),0)</f>
        <v>0</v>
      </c>
      <c r="E598" s="21">
        <f ca="1">12-$D598</f>
        <v>12</v>
      </c>
      <c r="F598" s="21"/>
      <c r="G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1:24" hidden="1">
      <c r="A599" s="258"/>
      <c r="B599" s="21" t="s">
        <v>406</v>
      </c>
      <c r="C599" s="244">
        <f ca="1">IF(OFFSET($F$28,C597,0)&lt;0,0,OFFSET($F$28,C597,0))</f>
        <v>0</v>
      </c>
      <c r="D599" s="22" t="str">
        <f ca="1">OFFSET($C$28,C597,0)</f>
        <v/>
      </c>
      <c r="E599" s="22">
        <f ca="1">IF(D599&gt;10,ROUND(($C600/12)*$E598,0),$C599)</f>
        <v>0</v>
      </c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1" t="s">
        <v>415</v>
      </c>
      <c r="C600" s="244">
        <f ca="1">IF(ISBLANK(OFFSET($D$28,C597,0)),0,IF(OFFSET($C$28,C597,0)&gt;10,ROUND(C599*am_grunty,0),IF(C599&lt;0,0,C599)))</f>
        <v>0</v>
      </c>
      <c r="D600" s="21"/>
      <c r="E600" s="21"/>
      <c r="F600" s="21"/>
      <c r="G600" s="21"/>
      <c r="I600" s="21"/>
      <c r="J600" s="473" cm="1">
        <f t="array" aca="1" ref="J600" ca="1">OFFSET('Środki trwałe'!$C$195,'Rozliczenie dotacji'!D597,,)</f>
        <v>0</v>
      </c>
      <c r="K600" s="74">
        <f ca="1">ROUND(IF($C598=LataProjekcji,$E599,IF($C598=LataProjekcji,$C600,0)),0)</f>
        <v>0</v>
      </c>
      <c r="L600" s="247">
        <f ca="1">ROUND(IF(OR(AND($C598=LataProjekcji,$E598&gt;0),AND($C598=LataProjekcji,$E598=0,$D599&lt;=10)),$E599,IF($C598&lt;LataProjekcji,IF((SUM($K600:K600)+$C600)&lt;$C599,$C600,$C599-SUM($K600:K600)),0)),0)</f>
        <v>0</v>
      </c>
      <c r="M600" s="247">
        <f ca="1">ROUND(IF(OR(AND($C598=LataProjekcji,$E598&gt;0),AND($C598=LataProjekcji,$E598=0,$D599&lt;=10)),$E599,IF($C598&lt;LataProjekcji,IF((SUM($K600:L600)+$C600)&lt;$C599,$C600,$C599-SUM($K600:L600)),0)),0)</f>
        <v>0</v>
      </c>
      <c r="N600" s="247">
        <f ca="1">ROUND(IF(OR(AND($C598=LataProjekcji,$E598&gt;0),AND($C598=LataProjekcji,$E598=0,$D599&lt;=10)),$E599,IF($C598&lt;LataProjekcji,IF((SUM($K600:M600)+$C600)&lt;$C599,$C600,$C599-SUM($K600:M600)),0)),0)</f>
        <v>0</v>
      </c>
      <c r="O600" s="247">
        <f ca="1">ROUND(IF(OR(AND($C598=LataProjekcji,$E598&gt;0),AND($C598=LataProjekcji,$E598=0,$D599&lt;=10)),$E599,IF($C598&lt;LataProjekcji,IF((SUM($K600:N600)+$C600)&lt;$C599,$C600,$C599-SUM($K600:N600)),0)),0)</f>
        <v>0</v>
      </c>
      <c r="P600" s="247">
        <f ca="1">ROUND(IF(OR(AND($C598=LataProjekcji,$E598&gt;0),AND($C598=LataProjekcji,$E598=0,$D599&lt;=10)),$E599,IF($C598&lt;LataProjekcji,IF((SUM($K600:O600)+$C600)&lt;$C599,$C600,$C599-SUM($K600:O600)),0)),0)</f>
        <v>0</v>
      </c>
      <c r="Q600" s="247">
        <f ca="1">ROUND(IF(OR(AND($C598=LataProjekcji,$E598&gt;0),AND($C598=LataProjekcji,$E598=0,$D599&lt;=10)),$E599,IF($C598&lt;LataProjekcji,IF((SUM($K600:P600)+$C600)&lt;$C599,$C600,$C599-SUM($K600:P600)),0)),0)</f>
        <v>0</v>
      </c>
      <c r="R600" s="247">
        <f ca="1">ROUND(IF(OR(AND($C598=LataProjekcji,$E598&gt;0),AND($C598=LataProjekcji,$E598=0,$D599&lt;=10)),$E599,IF($C598&lt;LataProjekcji,IF((SUM($K600:Q600)+$C600)&lt;$C599,$C600,$C599-SUM($K600:Q600)),0)),0)</f>
        <v>0</v>
      </c>
      <c r="S600" s="247">
        <f ca="1">ROUND(IF(OR(AND($C598=LataProjekcji,$E598&gt;0),AND($C598=LataProjekcji,$E598=0,$D599&lt;=10)),$E599,IF($C598&lt;LataProjekcji,IF((SUM($K600:R600)+$C600)&lt;$C599,$C600,$C599-SUM($K600:R600)),0)),0)</f>
        <v>0</v>
      </c>
      <c r="T600" s="247">
        <f ca="1">ROUND(IF(OR(AND($C598=LataProjekcji,$E598&gt;0),AND($C598=LataProjekcji,$E598=0,$D599&lt;=10)),$E599,IF($C598&lt;LataProjekcji,IF((SUM($K600:S600)+$C600)&lt;$C599,$C600,$C599-SUM($K600:S600)),0)),0)</f>
        <v>0</v>
      </c>
      <c r="U600" s="247">
        <f ca="1">ROUND(IF(OR(AND($C598=LataProjekcji,$E598&gt;0),AND($C598=LataProjekcji,$E598=0,$D599&lt;=10)),$E599,IF($C598&lt;LataProjekcji,IF((SUM($K600:T600)+$C600)&lt;$C599,$C600,$C599-SUM($K600:T600)),0)),0)</f>
        <v>0</v>
      </c>
      <c r="V600" s="247">
        <f ca="1">ROUND(IF(OR(AND($C598=LataProjekcji,$E598&gt;0),AND($C598=LataProjekcji,$E598=0,$D599&lt;=10)),$E599,IF($C598&lt;LataProjekcji,IF((SUM($K600:U600)+$C600)&lt;$C599,$C600,$C599-SUM($K600:U600)),0)),0)</f>
        <v>0</v>
      </c>
      <c r="W600" s="247">
        <f ca="1">ROUND(IF(OR(AND($C598=LataProjekcji,$E598&gt;0),AND($C598=LataProjekcji,$E598=0,$D599&lt;=10)),$E599,IF($C598&lt;LataProjekcji,IF((SUM($K600:V600)+$C600)&lt;$C599,$C600,$C599-SUM($K600:V600)),0)),0)</f>
        <v>0</v>
      </c>
      <c r="X600" s="247">
        <f ca="1">ROUND(IF(OR(AND($C598=LataProjekcji,$E598&gt;0),AND($C598=LataProjekcji,$E598=0,$D599&lt;=10)),$E599,IF($C598&lt;LataProjekcji,IF((SUM($K600:W600)+$C600)&lt;$C599,$C600,$C599-SUM($K600:W600)),0)),0)</f>
        <v>0</v>
      </c>
    </row>
    <row r="601" spans="1:24" hidden="1">
      <c r="A601" s="258"/>
      <c r="B601" s="21" t="s">
        <v>416</v>
      </c>
      <c r="C601" s="22"/>
      <c r="D601" s="21"/>
      <c r="E601" s="21"/>
      <c r="F601" s="21"/>
      <c r="G601" s="21"/>
      <c r="I601" s="21"/>
      <c r="J601" s="21"/>
      <c r="K601" s="22">
        <f ca="1">ROUND(K600,0)</f>
        <v>0</v>
      </c>
      <c r="L601" s="22">
        <f t="shared" ref="L601:X601" ca="1" si="349">ROUND(K601+L600,0)</f>
        <v>0</v>
      </c>
      <c r="M601" s="22">
        <f t="shared" ca="1" si="349"/>
        <v>0</v>
      </c>
      <c r="N601" s="22">
        <f t="shared" ca="1" si="349"/>
        <v>0</v>
      </c>
      <c r="O601" s="22">
        <f t="shared" ca="1" si="349"/>
        <v>0</v>
      </c>
      <c r="P601" s="22">
        <f t="shared" ca="1" si="349"/>
        <v>0</v>
      </c>
      <c r="Q601" s="22">
        <f t="shared" ca="1" si="349"/>
        <v>0</v>
      </c>
      <c r="R601" s="22">
        <f t="shared" ca="1" si="349"/>
        <v>0</v>
      </c>
      <c r="S601" s="22">
        <f t="shared" ca="1" si="349"/>
        <v>0</v>
      </c>
      <c r="T601" s="22">
        <f t="shared" ca="1" si="349"/>
        <v>0</v>
      </c>
      <c r="U601" s="22">
        <f t="shared" ca="1" si="349"/>
        <v>0</v>
      </c>
      <c r="V601" s="22">
        <f t="shared" ca="1" si="349"/>
        <v>0</v>
      </c>
      <c r="W601" s="22">
        <f t="shared" ca="1" si="349"/>
        <v>0</v>
      </c>
      <c r="X601" s="22">
        <f t="shared" ca="1" si="349"/>
        <v>0</v>
      </c>
    </row>
    <row r="602" spans="1:24" hidden="1">
      <c r="A602" s="258"/>
      <c r="B602" s="21" t="s">
        <v>406</v>
      </c>
      <c r="C602" s="22"/>
      <c r="D602" s="21"/>
      <c r="E602" s="21"/>
      <c r="F602" s="21"/>
      <c r="G602" s="21"/>
      <c r="I602" s="21"/>
      <c r="J602" s="21"/>
      <c r="K602" s="76">
        <f t="shared" ref="K602:X602" ca="1" si="350">IF($C598=LataProjekcji,ROUND($C599-K601,0),ROUND(IF(K600=0,0,$C599-K601),0))</f>
        <v>0</v>
      </c>
      <c r="L602" s="76">
        <f t="shared" ca="1" si="350"/>
        <v>0</v>
      </c>
      <c r="M602" s="76">
        <f t="shared" ca="1" si="350"/>
        <v>0</v>
      </c>
      <c r="N602" s="76">
        <f t="shared" ca="1" si="350"/>
        <v>0</v>
      </c>
      <c r="O602" s="76">
        <f t="shared" ca="1" si="350"/>
        <v>0</v>
      </c>
      <c r="P602" s="76">
        <f t="shared" ca="1" si="350"/>
        <v>0</v>
      </c>
      <c r="Q602" s="76">
        <f t="shared" ca="1" si="350"/>
        <v>0</v>
      </c>
      <c r="R602" s="76">
        <f t="shared" ca="1" si="350"/>
        <v>0</v>
      </c>
      <c r="S602" s="76">
        <f t="shared" ca="1" si="350"/>
        <v>0</v>
      </c>
      <c r="T602" s="76">
        <f t="shared" ca="1" si="350"/>
        <v>0</v>
      </c>
      <c r="U602" s="76">
        <f t="shared" ca="1" si="350"/>
        <v>0</v>
      </c>
      <c r="V602" s="76">
        <f t="shared" ca="1" si="350"/>
        <v>0</v>
      </c>
      <c r="W602" s="76">
        <f t="shared" ca="1" si="350"/>
        <v>0</v>
      </c>
      <c r="X602" s="76">
        <f t="shared" ca="1" si="350"/>
        <v>0</v>
      </c>
    </row>
    <row r="603" spans="1:24" hidden="1">
      <c r="A603" s="258"/>
      <c r="B603" s="21"/>
      <c r="C603" s="21"/>
      <c r="D603" s="21"/>
      <c r="E603" s="21"/>
      <c r="F603" s="21"/>
      <c r="G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1:24" hidden="1">
      <c r="A604" s="258"/>
      <c r="B604" s="20" t="s">
        <v>389</v>
      </c>
      <c r="C604" s="21">
        <f>C597+1</f>
        <v>57</v>
      </c>
      <c r="D604" s="473">
        <f>D597+1</f>
        <v>135</v>
      </c>
      <c r="E604" s="21"/>
      <c r="F604" s="21"/>
      <c r="G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1:24" hidden="1">
      <c r="A605" s="258"/>
      <c r="B605" s="21" t="s">
        <v>414</v>
      </c>
      <c r="C605" s="164">
        <f ca="1">IFERROR(YEAR(OFFSET($D$28,C604,0)),0)</f>
        <v>0</v>
      </c>
      <c r="D605" s="164">
        <f ca="1">IFERROR(MONTH(OFFSET($D$28,C604,0)),0)</f>
        <v>0</v>
      </c>
      <c r="E605" s="21">
        <f ca="1">12-$D605</f>
        <v>12</v>
      </c>
      <c r="F605" s="21"/>
      <c r="G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1:24" hidden="1">
      <c r="A606" s="258"/>
      <c r="B606" s="21" t="s">
        <v>406</v>
      </c>
      <c r="C606" s="244">
        <f ca="1">IF(OFFSET($F$28,C604,0)&lt;0,0,OFFSET($F$28,C604,0))</f>
        <v>0</v>
      </c>
      <c r="D606" s="22" t="str">
        <f ca="1">OFFSET($C$28,C604,0)</f>
        <v/>
      </c>
      <c r="E606" s="22">
        <f ca="1">IF(D606&gt;10,ROUND(($C607/12)*$E605,0),$C606)</f>
        <v>0</v>
      </c>
      <c r="F606" s="21"/>
      <c r="G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1:24" hidden="1">
      <c r="A607" s="258"/>
      <c r="B607" s="21" t="s">
        <v>415</v>
      </c>
      <c r="C607" s="244">
        <f ca="1">IF(ISBLANK(OFFSET($D$28,C604,0)),0,IF(OFFSET($C$28,C604,0)&gt;10,ROUND(C606*am_grunty,0),IF(C606&lt;0,0,C606)))</f>
        <v>0</v>
      </c>
      <c r="D607" s="21"/>
      <c r="E607" s="21"/>
      <c r="F607" s="21"/>
      <c r="G607" s="21"/>
      <c r="I607" s="21"/>
      <c r="J607" s="473" cm="1">
        <f t="array" aca="1" ref="J607" ca="1">OFFSET('Środki trwałe'!$C$195,'Rozliczenie dotacji'!D604,,)</f>
        <v>0</v>
      </c>
      <c r="K607" s="74">
        <f ca="1">ROUND(IF($C605=LataProjekcji,$E606,IF($C605=LataProjekcji,$C607,0)),0)</f>
        <v>0</v>
      </c>
      <c r="L607" s="247">
        <f ca="1">ROUND(IF(OR(AND($C605=LataProjekcji,$E605&gt;0),AND($C605=LataProjekcji,$E605=0,$D606&lt;=10)),$E606,IF($C605&lt;LataProjekcji,IF((SUM($K607:K607)+$C607)&lt;$C606,$C607,$C606-SUM($K607:K607)),0)),0)</f>
        <v>0</v>
      </c>
      <c r="M607" s="247">
        <f ca="1">ROUND(IF(OR(AND($C605=LataProjekcji,$E605&gt;0),AND($C605=LataProjekcji,$E605=0,$D606&lt;=10)),$E606,IF($C605&lt;LataProjekcji,IF((SUM($K607:L607)+$C607)&lt;$C606,$C607,$C606-SUM($K607:L607)),0)),0)</f>
        <v>0</v>
      </c>
      <c r="N607" s="247">
        <f ca="1">ROUND(IF(OR(AND($C605=LataProjekcji,$E605&gt;0),AND($C605=LataProjekcji,$E605=0,$D606&lt;=10)),$E606,IF($C605&lt;LataProjekcji,IF((SUM($K607:M607)+$C607)&lt;$C606,$C607,$C606-SUM($K607:M607)),0)),0)</f>
        <v>0</v>
      </c>
      <c r="O607" s="247">
        <f ca="1">ROUND(IF(OR(AND($C605=LataProjekcji,$E605&gt;0),AND($C605=LataProjekcji,$E605=0,$D606&lt;=10)),$E606,IF($C605&lt;LataProjekcji,IF((SUM($K607:N607)+$C607)&lt;$C606,$C607,$C606-SUM($K607:N607)),0)),0)</f>
        <v>0</v>
      </c>
      <c r="P607" s="247">
        <f ca="1">ROUND(IF(OR(AND($C605=LataProjekcji,$E605&gt;0),AND($C605=LataProjekcji,$E605=0,$D606&lt;=10)),$E606,IF($C605&lt;LataProjekcji,IF((SUM($K607:O607)+$C607)&lt;$C606,$C607,$C606-SUM($K607:O607)),0)),0)</f>
        <v>0</v>
      </c>
      <c r="Q607" s="247">
        <f ca="1">ROUND(IF(OR(AND($C605=LataProjekcji,$E605&gt;0),AND($C605=LataProjekcji,$E605=0,$D606&lt;=10)),$E606,IF($C605&lt;LataProjekcji,IF((SUM($K607:P607)+$C607)&lt;$C606,$C607,$C606-SUM($K607:P607)),0)),0)</f>
        <v>0</v>
      </c>
      <c r="R607" s="247">
        <f ca="1">ROUND(IF(OR(AND($C605=LataProjekcji,$E605&gt;0),AND($C605=LataProjekcji,$E605=0,$D606&lt;=10)),$E606,IF($C605&lt;LataProjekcji,IF((SUM($K607:Q607)+$C607)&lt;$C606,$C607,$C606-SUM($K607:Q607)),0)),0)</f>
        <v>0</v>
      </c>
      <c r="S607" s="247">
        <f ca="1">ROUND(IF(OR(AND($C605=LataProjekcji,$E605&gt;0),AND($C605=LataProjekcji,$E605=0,$D606&lt;=10)),$E606,IF($C605&lt;LataProjekcji,IF((SUM($K607:R607)+$C607)&lt;$C606,$C607,$C606-SUM($K607:R607)),0)),0)</f>
        <v>0</v>
      </c>
      <c r="T607" s="247">
        <f ca="1">ROUND(IF(OR(AND($C605=LataProjekcji,$E605&gt;0),AND($C605=LataProjekcji,$E605=0,$D606&lt;=10)),$E606,IF($C605&lt;LataProjekcji,IF((SUM($K607:S607)+$C607)&lt;$C606,$C607,$C606-SUM($K607:S607)),0)),0)</f>
        <v>0</v>
      </c>
      <c r="U607" s="247">
        <f ca="1">ROUND(IF(OR(AND($C605=LataProjekcji,$E605&gt;0),AND($C605=LataProjekcji,$E605=0,$D606&lt;=10)),$E606,IF($C605&lt;LataProjekcji,IF((SUM($K607:T607)+$C607)&lt;$C606,$C607,$C606-SUM($K607:T607)),0)),0)</f>
        <v>0</v>
      </c>
      <c r="V607" s="247">
        <f ca="1">ROUND(IF(OR(AND($C605=LataProjekcji,$E605&gt;0),AND($C605=LataProjekcji,$E605=0,$D606&lt;=10)),$E606,IF($C605&lt;LataProjekcji,IF((SUM($K607:U607)+$C607)&lt;$C606,$C607,$C606-SUM($K607:U607)),0)),0)</f>
        <v>0</v>
      </c>
      <c r="W607" s="247">
        <f ca="1">ROUND(IF(OR(AND($C605=LataProjekcji,$E605&gt;0),AND($C605=LataProjekcji,$E605=0,$D606&lt;=10)),$E606,IF($C605&lt;LataProjekcji,IF((SUM($K607:V607)+$C607)&lt;$C606,$C607,$C606-SUM($K607:V607)),0)),0)</f>
        <v>0</v>
      </c>
      <c r="X607" s="247">
        <f ca="1">ROUND(IF(OR(AND($C605=LataProjekcji,$E605&gt;0),AND($C605=LataProjekcji,$E605=0,$D606&lt;=10)),$E606,IF($C605&lt;LataProjekcji,IF((SUM($K607:W607)+$C607)&lt;$C606,$C607,$C606-SUM($K607:W607)),0)),0)</f>
        <v>0</v>
      </c>
    </row>
    <row r="608" spans="1:24" hidden="1">
      <c r="A608" s="258"/>
      <c r="B608" s="21" t="s">
        <v>416</v>
      </c>
      <c r="C608" s="22"/>
      <c r="D608" s="21"/>
      <c r="E608" s="21"/>
      <c r="F608" s="21"/>
      <c r="G608" s="21"/>
      <c r="I608" s="21"/>
      <c r="J608" s="21"/>
      <c r="K608" s="22">
        <f ca="1">ROUND(K607,0)</f>
        <v>0</v>
      </c>
      <c r="L608" s="22">
        <f t="shared" ref="L608:X608" ca="1" si="351">ROUND(K608+L607,0)</f>
        <v>0</v>
      </c>
      <c r="M608" s="22">
        <f t="shared" ca="1" si="351"/>
        <v>0</v>
      </c>
      <c r="N608" s="22">
        <f t="shared" ca="1" si="351"/>
        <v>0</v>
      </c>
      <c r="O608" s="22">
        <f t="shared" ca="1" si="351"/>
        <v>0</v>
      </c>
      <c r="P608" s="22">
        <f t="shared" ca="1" si="351"/>
        <v>0</v>
      </c>
      <c r="Q608" s="22">
        <f t="shared" ca="1" si="351"/>
        <v>0</v>
      </c>
      <c r="R608" s="22">
        <f t="shared" ca="1" si="351"/>
        <v>0</v>
      </c>
      <c r="S608" s="22">
        <f t="shared" ca="1" si="351"/>
        <v>0</v>
      </c>
      <c r="T608" s="22">
        <f t="shared" ca="1" si="351"/>
        <v>0</v>
      </c>
      <c r="U608" s="22">
        <f t="shared" ca="1" si="351"/>
        <v>0</v>
      </c>
      <c r="V608" s="22">
        <f t="shared" ca="1" si="351"/>
        <v>0</v>
      </c>
      <c r="W608" s="22">
        <f t="shared" ca="1" si="351"/>
        <v>0</v>
      </c>
      <c r="X608" s="22">
        <f t="shared" ca="1" si="351"/>
        <v>0</v>
      </c>
    </row>
    <row r="609" spans="1:24" hidden="1">
      <c r="A609" s="258"/>
      <c r="B609" s="21" t="s">
        <v>406</v>
      </c>
      <c r="C609" s="22"/>
      <c r="D609" s="21"/>
      <c r="E609" s="21"/>
      <c r="F609" s="21"/>
      <c r="G609" s="21"/>
      <c r="I609" s="21"/>
      <c r="J609" s="21"/>
      <c r="K609" s="76">
        <f t="shared" ref="K609:X609" ca="1" si="352">IF($C605=LataProjekcji,ROUND($C606-K608,0),ROUND(IF(K607=0,0,$C606-K608),0))</f>
        <v>0</v>
      </c>
      <c r="L609" s="76">
        <f t="shared" ca="1" si="352"/>
        <v>0</v>
      </c>
      <c r="M609" s="76">
        <f t="shared" ca="1" si="352"/>
        <v>0</v>
      </c>
      <c r="N609" s="76">
        <f t="shared" ca="1" si="352"/>
        <v>0</v>
      </c>
      <c r="O609" s="76">
        <f t="shared" ca="1" si="352"/>
        <v>0</v>
      </c>
      <c r="P609" s="76">
        <f t="shared" ca="1" si="352"/>
        <v>0</v>
      </c>
      <c r="Q609" s="76">
        <f t="shared" ca="1" si="352"/>
        <v>0</v>
      </c>
      <c r="R609" s="76">
        <f t="shared" ca="1" si="352"/>
        <v>0</v>
      </c>
      <c r="S609" s="76">
        <f t="shared" ca="1" si="352"/>
        <v>0</v>
      </c>
      <c r="T609" s="76">
        <f t="shared" ca="1" si="352"/>
        <v>0</v>
      </c>
      <c r="U609" s="76">
        <f t="shared" ca="1" si="352"/>
        <v>0</v>
      </c>
      <c r="V609" s="76">
        <f t="shared" ca="1" si="352"/>
        <v>0</v>
      </c>
      <c r="W609" s="76">
        <f t="shared" ca="1" si="352"/>
        <v>0</v>
      </c>
      <c r="X609" s="76">
        <f t="shared" ca="1" si="352"/>
        <v>0</v>
      </c>
    </row>
    <row r="613" spans="1:24" ht="12.5" hidden="1" thickBot="1"/>
    <row r="614" spans="1:24" ht="12.5" hidden="1" thickBot="1">
      <c r="A614" s="258"/>
      <c r="B614" s="20" t="s">
        <v>390</v>
      </c>
      <c r="C614" s="249">
        <v>66</v>
      </c>
      <c r="D614" s="472">
        <v>158</v>
      </c>
      <c r="E614" s="21" t="s">
        <v>411</v>
      </c>
      <c r="F614" s="48"/>
      <c r="G614" s="50" t="s">
        <v>412</v>
      </c>
      <c r="H614" s="320"/>
      <c r="I614" s="21" t="s">
        <v>413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1:24" hidden="1">
      <c r="A615" s="258"/>
      <c r="B615" s="21" t="s">
        <v>414</v>
      </c>
      <c r="C615" s="164">
        <f ca="1">IFERROR(YEAR(OFFSET($D$28,C614,0)),0)</f>
        <v>0</v>
      </c>
      <c r="D615" s="164">
        <f ca="1">IFERROR(MONTH(OFFSET($D$28,C614,0)),0)</f>
        <v>0</v>
      </c>
      <c r="E615" s="21">
        <f ca="1">12-$D615</f>
        <v>12</v>
      </c>
      <c r="F615" s="49"/>
      <c r="G615" s="51">
        <f ca="1">C109-F615</f>
        <v>0</v>
      </c>
      <c r="H615" s="321"/>
      <c r="I615" s="22">
        <f ca="1">C109-F615-G615</f>
        <v>0</v>
      </c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1:24" hidden="1">
      <c r="A616" s="258"/>
      <c r="B616" s="21" t="s">
        <v>406</v>
      </c>
      <c r="C616" s="244">
        <f ca="1">IF(OFFSET($F$28,C614,0)&lt;0,0,OFFSET($F$28,C614,0))</f>
        <v>0</v>
      </c>
      <c r="D616" s="22" t="str">
        <f ca="1">OFFSET($C$28,C614,0)</f>
        <v/>
      </c>
      <c r="E616" s="22">
        <f ca="1">IF(D616&gt;10,ROUND(($C617/12)*$E615,0),$C616)</f>
        <v>0</v>
      </c>
      <c r="F616" s="21" t="s">
        <v>426</v>
      </c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1" t="s">
        <v>415</v>
      </c>
      <c r="C617" s="244">
        <f ca="1">IF(ISBLANK(OFFSET($D$28,C614,0)),0,IF(OFFSET($C$28,C614,0)&gt;10,ROUND(C616*am_budynki,0),IF(C616&lt;0,0,C616)))</f>
        <v>0</v>
      </c>
      <c r="D617" s="21"/>
      <c r="E617" s="21"/>
      <c r="F617" s="21"/>
      <c r="G617" s="21"/>
      <c r="I617" s="21"/>
      <c r="J617" s="473" cm="1">
        <f t="array" aca="1" ref="J617" ca="1">OFFSET('Środki trwałe'!$C$195,'Rozliczenie dotacji'!D614,,)</f>
        <v>0</v>
      </c>
      <c r="K617" s="74">
        <f ca="1">ROUND(IF($C615=LataProjekcji,$E616,IF($C615=LataProjekcji,$C617,0)),0)</f>
        <v>0</v>
      </c>
      <c r="L617" s="247">
        <f ca="1">ROUND(IF(OR(AND($C615=LataProjekcji,$E615&gt;0),AND($C615=LataProjekcji,$E615=0,$D616&lt;=10)),$E616,IF($C615&lt;LataProjekcji,IF((SUM($K617:K617)+$C617)&lt;$C616,$C617,$C616-SUM($K617:K617)),0)),0)</f>
        <v>0</v>
      </c>
      <c r="M617" s="247">
        <f ca="1">ROUND(IF(OR(AND($C615=LataProjekcji,$E615&gt;0),AND($C615=LataProjekcji,$E615=0,$D616&lt;=10)),$E616,IF($C615&lt;LataProjekcji,IF((SUM($K617:L617)+$C617)&lt;$C616,$C617,$C616-SUM($K617:L617)),0)),0)</f>
        <v>0</v>
      </c>
      <c r="N617" s="247">
        <f ca="1">ROUND(IF(OR(AND($C615=LataProjekcji,$E615&gt;0),AND($C615=LataProjekcji,$E615=0,$D616&lt;=10)),$E616,IF($C615&lt;LataProjekcji,IF((SUM($K617:M617)+$C617)&lt;$C616,$C617,$C616-SUM($K617:M617)),0)),0)</f>
        <v>0</v>
      </c>
      <c r="O617" s="247">
        <f ca="1">ROUND(IF(OR(AND($C615=LataProjekcji,$E615&gt;0),AND($C615=LataProjekcji,$E615=0,$D616&lt;=10)),$E616,IF($C615&lt;LataProjekcji,IF((SUM($K617:N617)+$C617)&lt;$C616,$C617,$C616-SUM($K617:N617)),0)),0)</f>
        <v>0</v>
      </c>
      <c r="P617" s="247">
        <f ca="1">ROUND(IF(OR(AND($C615=LataProjekcji,$E615&gt;0),AND($C615=LataProjekcji,$E615=0,$D616&lt;=10)),$E616,IF($C615&lt;LataProjekcji,IF((SUM($K617:O617)+$C617)&lt;$C616,$C617,$C616-SUM($K617:O617)),0)),0)</f>
        <v>0</v>
      </c>
      <c r="Q617" s="247">
        <f ca="1">ROUND(IF(OR(AND($C615=LataProjekcji,$E615&gt;0),AND($C615=LataProjekcji,$E615=0,$D616&lt;=10)),$E616,IF($C615&lt;LataProjekcji,IF((SUM($K617:P617)+$C617)&lt;$C616,$C617,$C616-SUM($K617:P617)),0)),0)</f>
        <v>0</v>
      </c>
      <c r="R617" s="247">
        <f ca="1">ROUND(IF(OR(AND($C615=LataProjekcji,$E615&gt;0),AND($C615=LataProjekcji,$E615=0,$D616&lt;=10)),$E616,IF($C615&lt;LataProjekcji,IF((SUM($K617:Q617)+$C617)&lt;$C616,$C617,$C616-SUM($K617:Q617)),0)),0)</f>
        <v>0</v>
      </c>
      <c r="S617" s="247">
        <f ca="1">ROUND(IF(OR(AND($C615=LataProjekcji,$E615&gt;0),AND($C615=LataProjekcji,$E615=0,$D616&lt;=10)),$E616,IF($C615&lt;LataProjekcji,IF((SUM($K617:R617)+$C617)&lt;$C616,$C617,$C616-SUM($K617:R617)),0)),0)</f>
        <v>0</v>
      </c>
      <c r="T617" s="247">
        <f ca="1">ROUND(IF(OR(AND($C615=LataProjekcji,$E615&gt;0),AND($C615=LataProjekcji,$E615=0,$D616&lt;=10)),$E616,IF($C615&lt;LataProjekcji,IF((SUM($K617:S617)+$C617)&lt;$C616,$C617,$C616-SUM($K617:S617)),0)),0)</f>
        <v>0</v>
      </c>
      <c r="U617" s="247">
        <f ca="1">ROUND(IF(OR(AND($C615=LataProjekcji,$E615&gt;0),AND($C615=LataProjekcji,$E615=0,$D616&lt;=10)),$E616,IF($C615&lt;LataProjekcji,IF((SUM($K617:T617)+$C617)&lt;$C616,$C617,$C616-SUM($K617:T617)),0)),0)</f>
        <v>0</v>
      </c>
      <c r="V617" s="247">
        <f ca="1">ROUND(IF(OR(AND($C615=LataProjekcji,$E615&gt;0),AND($C615=LataProjekcji,$E615=0,$D616&lt;=10)),$E616,IF($C615&lt;LataProjekcji,IF((SUM($K617:U617)+$C617)&lt;$C616,$C617,$C616-SUM($K617:U617)),0)),0)</f>
        <v>0</v>
      </c>
      <c r="W617" s="247">
        <f ca="1">ROUND(IF(OR(AND($C615=LataProjekcji,$E615&gt;0),AND($C615=LataProjekcji,$E615=0,$D616&lt;=10)),$E616,IF($C615&lt;LataProjekcji,IF((SUM($K617:V617)+$C617)&lt;$C616,$C617,$C616-SUM($K617:V617)),0)),0)</f>
        <v>0</v>
      </c>
      <c r="X617" s="247">
        <f ca="1">ROUND(IF(OR(AND($C615=LataProjekcji,$E615&gt;0),AND($C615=LataProjekcji,$E615=0,$D616&lt;=10)),$E616,IF($C615&lt;LataProjekcji,IF((SUM($K617:W617)+$C617)&lt;$C616,$C617,$C616-SUM($K617:W617)),0)),0)</f>
        <v>0</v>
      </c>
    </row>
    <row r="618" spans="1:24" hidden="1">
      <c r="A618" s="258"/>
      <c r="B618" s="21" t="s">
        <v>416</v>
      </c>
      <c r="C618" s="22"/>
      <c r="D618" s="21"/>
      <c r="E618" s="21"/>
      <c r="F618" s="21"/>
      <c r="G618" s="21"/>
      <c r="I618" s="21"/>
      <c r="J618" s="21"/>
      <c r="K618" s="22">
        <f ca="1">ROUND(K617,0)</f>
        <v>0</v>
      </c>
      <c r="L618" s="22">
        <f t="shared" ref="L618:X618" ca="1" si="353">ROUND(K618+L617,0)</f>
        <v>0</v>
      </c>
      <c r="M618" s="22">
        <f t="shared" ca="1" si="353"/>
        <v>0</v>
      </c>
      <c r="N618" s="22">
        <f t="shared" ca="1" si="353"/>
        <v>0</v>
      </c>
      <c r="O618" s="22">
        <f t="shared" ca="1" si="353"/>
        <v>0</v>
      </c>
      <c r="P618" s="22">
        <f t="shared" ca="1" si="353"/>
        <v>0</v>
      </c>
      <c r="Q618" s="22">
        <f t="shared" ca="1" si="353"/>
        <v>0</v>
      </c>
      <c r="R618" s="22">
        <f t="shared" ca="1" si="353"/>
        <v>0</v>
      </c>
      <c r="S618" s="22">
        <f t="shared" ca="1" si="353"/>
        <v>0</v>
      </c>
      <c r="T618" s="22">
        <f t="shared" ca="1" si="353"/>
        <v>0</v>
      </c>
      <c r="U618" s="22">
        <f t="shared" ca="1" si="353"/>
        <v>0</v>
      </c>
      <c r="V618" s="22">
        <f t="shared" ca="1" si="353"/>
        <v>0</v>
      </c>
      <c r="W618" s="22">
        <f t="shared" ca="1" si="353"/>
        <v>0</v>
      </c>
      <c r="X618" s="22">
        <f t="shared" ca="1" si="353"/>
        <v>0</v>
      </c>
    </row>
    <row r="619" spans="1:24" hidden="1">
      <c r="A619" s="258"/>
      <c r="B619" s="21" t="s">
        <v>406</v>
      </c>
      <c r="C619" s="22"/>
      <c r="D619" s="21"/>
      <c r="E619" s="21"/>
      <c r="F619" s="21"/>
      <c r="G619" s="21"/>
      <c r="I619" s="21"/>
      <c r="J619" s="21"/>
      <c r="K619" s="76">
        <f t="shared" ref="K619:X619" ca="1" si="354">IF($C615=LataProjekcji,ROUND($C616-K618,0),ROUND(IF(K617=0,0,$C616-K618),0))</f>
        <v>0</v>
      </c>
      <c r="L619" s="76">
        <f t="shared" ca="1" si="354"/>
        <v>0</v>
      </c>
      <c r="M619" s="76">
        <f t="shared" ca="1" si="354"/>
        <v>0</v>
      </c>
      <c r="N619" s="76">
        <f t="shared" ca="1" si="354"/>
        <v>0</v>
      </c>
      <c r="O619" s="76">
        <f t="shared" ca="1" si="354"/>
        <v>0</v>
      </c>
      <c r="P619" s="76">
        <f t="shared" ca="1" si="354"/>
        <v>0</v>
      </c>
      <c r="Q619" s="76">
        <f t="shared" ca="1" si="354"/>
        <v>0</v>
      </c>
      <c r="R619" s="76">
        <f t="shared" ca="1" si="354"/>
        <v>0</v>
      </c>
      <c r="S619" s="76">
        <f t="shared" ca="1" si="354"/>
        <v>0</v>
      </c>
      <c r="T619" s="76">
        <f t="shared" ca="1" si="354"/>
        <v>0</v>
      </c>
      <c r="U619" s="76">
        <f t="shared" ca="1" si="354"/>
        <v>0</v>
      </c>
      <c r="V619" s="76">
        <f t="shared" ca="1" si="354"/>
        <v>0</v>
      </c>
      <c r="W619" s="76">
        <f t="shared" ca="1" si="354"/>
        <v>0</v>
      </c>
      <c r="X619" s="76">
        <f t="shared" ca="1" si="354"/>
        <v>0</v>
      </c>
    </row>
    <row r="620" spans="1:24" hidden="1">
      <c r="A620" s="258"/>
      <c r="B620" s="21"/>
      <c r="C620" s="22"/>
      <c r="D620" s="21"/>
      <c r="E620" s="21"/>
      <c r="F620" s="21"/>
      <c r="G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1:24" hidden="1">
      <c r="A621" s="258"/>
      <c r="B621" s="20" t="s">
        <v>390</v>
      </c>
      <c r="C621" s="21">
        <f>C614+1</f>
        <v>67</v>
      </c>
      <c r="D621" s="473">
        <f>D614+1</f>
        <v>159</v>
      </c>
      <c r="E621" s="21"/>
      <c r="F621" s="21"/>
      <c r="G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1:24" hidden="1">
      <c r="A622" s="258"/>
      <c r="B622" s="21" t="s">
        <v>414</v>
      </c>
      <c r="C622" s="164">
        <f ca="1">IFERROR(YEAR(OFFSET($D$28,C621,0)),0)</f>
        <v>0</v>
      </c>
      <c r="D622" s="164">
        <f ca="1">IFERROR(MONTH(OFFSET($D$28,C621,0)),0)</f>
        <v>0</v>
      </c>
      <c r="E622" s="21">
        <f ca="1">12-$D622</f>
        <v>12</v>
      </c>
      <c r="F622" s="21"/>
      <c r="G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1:24" hidden="1">
      <c r="A623" s="258"/>
      <c r="B623" s="21" t="s">
        <v>406</v>
      </c>
      <c r="C623" s="244">
        <f ca="1">IF(OFFSET($F$28,C621,0)&lt;0,0,OFFSET($F$28,C621,0))</f>
        <v>0</v>
      </c>
      <c r="D623" s="22" t="str">
        <f ca="1">OFFSET($C$28,C621,0)</f>
        <v/>
      </c>
      <c r="E623" s="22">
        <f ca="1">IF(D623&gt;10,ROUND(($C624/12)*$E622,0),$C623)</f>
        <v>0</v>
      </c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1" t="s">
        <v>415</v>
      </c>
      <c r="C624" s="244">
        <f ca="1">IF(ISBLANK(OFFSET($D$28,C621,0)),0,IF(OFFSET($C$28,C621,0)&gt;10,ROUND(C623*am_budynki,0),IF(C623&lt;0,0,C623)))</f>
        <v>0</v>
      </c>
      <c r="D624" s="21"/>
      <c r="E624" s="21"/>
      <c r="F624" s="21"/>
      <c r="G624" s="21"/>
      <c r="I624" s="21"/>
      <c r="J624" s="473" cm="1">
        <f t="array" aca="1" ref="J624" ca="1">OFFSET('Środki trwałe'!$C$195,'Rozliczenie dotacji'!D621,,)</f>
        <v>0</v>
      </c>
      <c r="K624" s="74">
        <f ca="1">ROUND(IF($C622=LataProjekcji,$E623,IF($C622=LataProjekcji,$C624,0)),0)</f>
        <v>0</v>
      </c>
      <c r="L624" s="247">
        <f ca="1">ROUND(IF(OR(AND($C622=LataProjekcji,$E622&gt;0),AND($C622=LataProjekcji,$E622=0,$D623&lt;=10)),$E623,IF($C622&lt;LataProjekcji,IF((SUM($K624:K624)+$C624)&lt;$C623,$C624,$C623-SUM($K624:K624)),0)),0)</f>
        <v>0</v>
      </c>
      <c r="M624" s="247">
        <f ca="1">ROUND(IF(OR(AND($C622=LataProjekcji,$E622&gt;0),AND($C622=LataProjekcji,$E622=0,$D623&lt;=10)),$E623,IF($C622&lt;LataProjekcji,IF((SUM($K624:L624)+$C624)&lt;$C623,$C624,$C623-SUM($K624:L624)),0)),0)</f>
        <v>0</v>
      </c>
      <c r="N624" s="247">
        <f ca="1">ROUND(IF(OR(AND($C622=LataProjekcji,$E622&gt;0),AND($C622=LataProjekcji,$E622=0,$D623&lt;=10)),$E623,IF($C622&lt;LataProjekcji,IF((SUM($K624:M624)+$C624)&lt;$C623,$C624,$C623-SUM($K624:M624)),0)),0)</f>
        <v>0</v>
      </c>
      <c r="O624" s="247">
        <f ca="1">ROUND(IF(OR(AND($C622=LataProjekcji,$E622&gt;0),AND($C622=LataProjekcji,$E622=0,$D623&lt;=10)),$E623,IF($C622&lt;LataProjekcji,IF((SUM($K624:N624)+$C624)&lt;$C623,$C624,$C623-SUM($K624:N624)),0)),0)</f>
        <v>0</v>
      </c>
      <c r="P624" s="247">
        <f ca="1">ROUND(IF(OR(AND($C622=LataProjekcji,$E622&gt;0),AND($C622=LataProjekcji,$E622=0,$D623&lt;=10)),$E623,IF($C622&lt;LataProjekcji,IF((SUM($K624:O624)+$C624)&lt;$C623,$C624,$C623-SUM($K624:O624)),0)),0)</f>
        <v>0</v>
      </c>
      <c r="Q624" s="247">
        <f ca="1">ROUND(IF(OR(AND($C622=LataProjekcji,$E622&gt;0),AND($C622=LataProjekcji,$E622=0,$D623&lt;=10)),$E623,IF($C622&lt;LataProjekcji,IF((SUM($K624:P624)+$C624)&lt;$C623,$C624,$C623-SUM($K624:P624)),0)),0)</f>
        <v>0</v>
      </c>
      <c r="R624" s="247">
        <f ca="1">ROUND(IF(OR(AND($C622=LataProjekcji,$E622&gt;0),AND($C622=LataProjekcji,$E622=0,$D623&lt;=10)),$E623,IF($C622&lt;LataProjekcji,IF((SUM($K624:Q624)+$C624)&lt;$C623,$C624,$C623-SUM($K624:Q624)),0)),0)</f>
        <v>0</v>
      </c>
      <c r="S624" s="247">
        <f ca="1">ROUND(IF(OR(AND($C622=LataProjekcji,$E622&gt;0),AND($C622=LataProjekcji,$E622=0,$D623&lt;=10)),$E623,IF($C622&lt;LataProjekcji,IF((SUM($K624:R624)+$C624)&lt;$C623,$C624,$C623-SUM($K624:R624)),0)),0)</f>
        <v>0</v>
      </c>
      <c r="T624" s="247">
        <f ca="1">ROUND(IF(OR(AND($C622=LataProjekcji,$E622&gt;0),AND($C622=LataProjekcji,$E622=0,$D623&lt;=10)),$E623,IF($C622&lt;LataProjekcji,IF((SUM($K624:S624)+$C624)&lt;$C623,$C624,$C623-SUM($K624:S624)),0)),0)</f>
        <v>0</v>
      </c>
      <c r="U624" s="247">
        <f ca="1">ROUND(IF(OR(AND($C622=LataProjekcji,$E622&gt;0),AND($C622=LataProjekcji,$E622=0,$D623&lt;=10)),$E623,IF($C622&lt;LataProjekcji,IF((SUM($K624:T624)+$C624)&lt;$C623,$C624,$C623-SUM($K624:T624)),0)),0)</f>
        <v>0</v>
      </c>
      <c r="V624" s="247">
        <f ca="1">ROUND(IF(OR(AND($C622=LataProjekcji,$E622&gt;0),AND($C622=LataProjekcji,$E622=0,$D623&lt;=10)),$E623,IF($C622&lt;LataProjekcji,IF((SUM($K624:U624)+$C624)&lt;$C623,$C624,$C623-SUM($K624:U624)),0)),0)</f>
        <v>0</v>
      </c>
      <c r="W624" s="247">
        <f ca="1">ROUND(IF(OR(AND($C622=LataProjekcji,$E622&gt;0),AND($C622=LataProjekcji,$E622=0,$D623&lt;=10)),$E623,IF($C622&lt;LataProjekcji,IF((SUM($K624:V624)+$C624)&lt;$C623,$C624,$C623-SUM($K624:V624)),0)),0)</f>
        <v>0</v>
      </c>
      <c r="X624" s="247">
        <f ca="1">ROUND(IF(OR(AND($C622=LataProjekcji,$E622&gt;0),AND($C622=LataProjekcji,$E622=0,$D623&lt;=10)),$E623,IF($C622&lt;LataProjekcji,IF((SUM($K624:W624)+$C624)&lt;$C623,$C624,$C623-SUM($K624:W624)),0)),0)</f>
        <v>0</v>
      </c>
    </row>
    <row r="625" spans="1:24" hidden="1">
      <c r="A625" s="258"/>
      <c r="B625" s="21" t="s">
        <v>416</v>
      </c>
      <c r="C625" s="22"/>
      <c r="D625" s="21"/>
      <c r="E625" s="21"/>
      <c r="F625" s="21"/>
      <c r="G625" s="21"/>
      <c r="I625" s="21"/>
      <c r="J625" s="21"/>
      <c r="K625" s="22">
        <f ca="1">ROUND(K624,0)</f>
        <v>0</v>
      </c>
      <c r="L625" s="22">
        <f t="shared" ref="L625:X625" ca="1" si="355">ROUND(K625+L624,0)</f>
        <v>0</v>
      </c>
      <c r="M625" s="22">
        <f t="shared" ca="1" si="355"/>
        <v>0</v>
      </c>
      <c r="N625" s="22">
        <f t="shared" ca="1" si="355"/>
        <v>0</v>
      </c>
      <c r="O625" s="22">
        <f t="shared" ca="1" si="355"/>
        <v>0</v>
      </c>
      <c r="P625" s="22">
        <f t="shared" ca="1" si="355"/>
        <v>0</v>
      </c>
      <c r="Q625" s="22">
        <f t="shared" ca="1" si="355"/>
        <v>0</v>
      </c>
      <c r="R625" s="22">
        <f t="shared" ca="1" si="355"/>
        <v>0</v>
      </c>
      <c r="S625" s="22">
        <f t="shared" ca="1" si="355"/>
        <v>0</v>
      </c>
      <c r="T625" s="22">
        <f t="shared" ca="1" si="355"/>
        <v>0</v>
      </c>
      <c r="U625" s="22">
        <f t="shared" ca="1" si="355"/>
        <v>0</v>
      </c>
      <c r="V625" s="22">
        <f t="shared" ca="1" si="355"/>
        <v>0</v>
      </c>
      <c r="W625" s="22">
        <f t="shared" ca="1" si="355"/>
        <v>0</v>
      </c>
      <c r="X625" s="22">
        <f t="shared" ca="1" si="355"/>
        <v>0</v>
      </c>
    </row>
    <row r="626" spans="1:24" hidden="1">
      <c r="A626" s="258"/>
      <c r="B626" s="21" t="s">
        <v>406</v>
      </c>
      <c r="C626" s="22"/>
      <c r="D626" s="21"/>
      <c r="E626" s="21"/>
      <c r="F626" s="21"/>
      <c r="G626" s="21"/>
      <c r="I626" s="21"/>
      <c r="J626" s="21"/>
      <c r="K626" s="76">
        <f t="shared" ref="K626:X626" ca="1" si="356">IF($C622=LataProjekcji,ROUND($C623-K625,0),ROUND(IF(K624=0,0,$C623-K625),0))</f>
        <v>0</v>
      </c>
      <c r="L626" s="76">
        <f t="shared" ca="1" si="356"/>
        <v>0</v>
      </c>
      <c r="M626" s="76">
        <f t="shared" ca="1" si="356"/>
        <v>0</v>
      </c>
      <c r="N626" s="76">
        <f t="shared" ca="1" si="356"/>
        <v>0</v>
      </c>
      <c r="O626" s="76">
        <f t="shared" ca="1" si="356"/>
        <v>0</v>
      </c>
      <c r="P626" s="76">
        <f t="shared" ca="1" si="356"/>
        <v>0</v>
      </c>
      <c r="Q626" s="76">
        <f t="shared" ca="1" si="356"/>
        <v>0</v>
      </c>
      <c r="R626" s="76">
        <f t="shared" ca="1" si="356"/>
        <v>0</v>
      </c>
      <c r="S626" s="76">
        <f t="shared" ca="1" si="356"/>
        <v>0</v>
      </c>
      <c r="T626" s="76">
        <f t="shared" ca="1" si="356"/>
        <v>0</v>
      </c>
      <c r="U626" s="76">
        <f t="shared" ca="1" si="356"/>
        <v>0</v>
      </c>
      <c r="V626" s="76">
        <f t="shared" ca="1" si="356"/>
        <v>0</v>
      </c>
      <c r="W626" s="76">
        <f t="shared" ca="1" si="356"/>
        <v>0</v>
      </c>
      <c r="X626" s="76">
        <f t="shared" ca="1" si="356"/>
        <v>0</v>
      </c>
    </row>
    <row r="627" spans="1:24" hidden="1">
      <c r="A627" s="258"/>
      <c r="B627" s="20"/>
      <c r="C627" s="21"/>
      <c r="D627" s="21"/>
      <c r="E627" s="21"/>
      <c r="F627" s="21"/>
      <c r="G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1:24" hidden="1">
      <c r="A628" s="258"/>
      <c r="B628" s="20" t="s">
        <v>390</v>
      </c>
      <c r="C628" s="21">
        <f>C621+1</f>
        <v>68</v>
      </c>
      <c r="D628" s="473">
        <f>D621+1</f>
        <v>160</v>
      </c>
      <c r="E628" s="21"/>
      <c r="F628" s="21"/>
      <c r="G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1:24" hidden="1">
      <c r="A629" s="258"/>
      <c r="B629" s="21" t="s">
        <v>414</v>
      </c>
      <c r="C629" s="164">
        <f ca="1">IFERROR(YEAR(OFFSET($D$28,C628,0)),0)</f>
        <v>0</v>
      </c>
      <c r="D629" s="164">
        <f ca="1">IFERROR(MONTH(OFFSET($D$28,C628,0)),0)</f>
        <v>0</v>
      </c>
      <c r="E629" s="21">
        <f ca="1">12-$D629</f>
        <v>12</v>
      </c>
      <c r="F629" s="21"/>
      <c r="G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idden="1">
      <c r="A630" s="258"/>
      <c r="B630" s="21" t="s">
        <v>406</v>
      </c>
      <c r="C630" s="244">
        <f ca="1">IF(OFFSET($F$28,C628,0)&lt;0,0,OFFSET($F$28,C628,0))</f>
        <v>0</v>
      </c>
      <c r="D630" s="22" t="str">
        <f ca="1">OFFSET($C$28,C628,0)</f>
        <v/>
      </c>
      <c r="E630" s="22">
        <f ca="1">IF(D630&gt;10,ROUND(($C631/12)*$E629,0),$C630)</f>
        <v>0</v>
      </c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1" t="s">
        <v>415</v>
      </c>
      <c r="C631" s="244">
        <f ca="1">IF(ISBLANK(OFFSET($D$28,C628,0)),0,IF(OFFSET($C$28,C628,0)&gt;10,ROUND(C630*am_budynki,0),IF(C630&lt;0,0,C630)))</f>
        <v>0</v>
      </c>
      <c r="D631" s="21"/>
      <c r="E631" s="21"/>
      <c r="F631" s="21"/>
      <c r="G631" s="21"/>
      <c r="I631" s="21"/>
      <c r="J631" s="473" cm="1">
        <f t="array" aca="1" ref="J631" ca="1">OFFSET('Środki trwałe'!$C$195,'Rozliczenie dotacji'!D628,,)</f>
        <v>0</v>
      </c>
      <c r="K631" s="74">
        <f ca="1">ROUND(IF($C629=LataProjekcji,$E630,IF($C629=LataProjekcji,$C631,0)),0)</f>
        <v>0</v>
      </c>
      <c r="L631" s="247">
        <f ca="1">ROUND(IF(OR(AND($C629=LataProjekcji,$E629&gt;0),AND($C629=LataProjekcji,$E629=0,$D630&lt;=10)),$E630,IF($C629&lt;LataProjekcji,IF((SUM($K631:K631)+$C631)&lt;$C630,$C631,$C630-SUM($K631:K631)),0)),0)</f>
        <v>0</v>
      </c>
      <c r="M631" s="247">
        <f ca="1">ROUND(IF(OR(AND($C629=LataProjekcji,$E629&gt;0),AND($C629=LataProjekcji,$E629=0,$D630&lt;=10)),$E630,IF($C629&lt;LataProjekcji,IF((SUM($K631:L631)+$C631)&lt;$C630,$C631,$C630-SUM($K631:L631)),0)),0)</f>
        <v>0</v>
      </c>
      <c r="N631" s="247">
        <f ca="1">ROUND(IF(OR(AND($C629=LataProjekcji,$E629&gt;0),AND($C629=LataProjekcji,$E629=0,$D630&lt;=10)),$E630,IF($C629&lt;LataProjekcji,IF((SUM($K631:M631)+$C631)&lt;$C630,$C631,$C630-SUM($K631:M631)),0)),0)</f>
        <v>0</v>
      </c>
      <c r="O631" s="247">
        <f ca="1">ROUND(IF(OR(AND($C629=LataProjekcji,$E629&gt;0),AND($C629=LataProjekcji,$E629=0,$D630&lt;=10)),$E630,IF($C629&lt;LataProjekcji,IF((SUM($K631:N631)+$C631)&lt;$C630,$C631,$C630-SUM($K631:N631)),0)),0)</f>
        <v>0</v>
      </c>
      <c r="P631" s="247">
        <f ca="1">ROUND(IF(OR(AND($C629=LataProjekcji,$E629&gt;0),AND($C629=LataProjekcji,$E629=0,$D630&lt;=10)),$E630,IF($C629&lt;LataProjekcji,IF((SUM($K631:O631)+$C631)&lt;$C630,$C631,$C630-SUM($K631:O631)),0)),0)</f>
        <v>0</v>
      </c>
      <c r="Q631" s="247">
        <f ca="1">ROUND(IF(OR(AND($C629=LataProjekcji,$E629&gt;0),AND($C629=LataProjekcji,$E629=0,$D630&lt;=10)),$E630,IF($C629&lt;LataProjekcji,IF((SUM($K631:P631)+$C631)&lt;$C630,$C631,$C630-SUM($K631:P631)),0)),0)</f>
        <v>0</v>
      </c>
      <c r="R631" s="247">
        <f ca="1">ROUND(IF(OR(AND($C629=LataProjekcji,$E629&gt;0),AND($C629=LataProjekcji,$E629=0,$D630&lt;=10)),$E630,IF($C629&lt;LataProjekcji,IF((SUM($K631:Q631)+$C631)&lt;$C630,$C631,$C630-SUM($K631:Q631)),0)),0)</f>
        <v>0</v>
      </c>
      <c r="S631" s="247">
        <f ca="1">ROUND(IF(OR(AND($C629=LataProjekcji,$E629&gt;0),AND($C629=LataProjekcji,$E629=0,$D630&lt;=10)),$E630,IF($C629&lt;LataProjekcji,IF((SUM($K631:R631)+$C631)&lt;$C630,$C631,$C630-SUM($K631:R631)),0)),0)</f>
        <v>0</v>
      </c>
      <c r="T631" s="247">
        <f ca="1">ROUND(IF(OR(AND($C629=LataProjekcji,$E629&gt;0),AND($C629=LataProjekcji,$E629=0,$D630&lt;=10)),$E630,IF($C629&lt;LataProjekcji,IF((SUM($K631:S631)+$C631)&lt;$C630,$C631,$C630-SUM($K631:S631)),0)),0)</f>
        <v>0</v>
      </c>
      <c r="U631" s="247">
        <f ca="1">ROUND(IF(OR(AND($C629=LataProjekcji,$E629&gt;0),AND($C629=LataProjekcji,$E629=0,$D630&lt;=10)),$E630,IF($C629&lt;LataProjekcji,IF((SUM($K631:T631)+$C631)&lt;$C630,$C631,$C630-SUM($K631:T631)),0)),0)</f>
        <v>0</v>
      </c>
      <c r="V631" s="247">
        <f ca="1">ROUND(IF(OR(AND($C629=LataProjekcji,$E629&gt;0),AND($C629=LataProjekcji,$E629=0,$D630&lt;=10)),$E630,IF($C629&lt;LataProjekcji,IF((SUM($K631:U631)+$C631)&lt;$C630,$C631,$C630-SUM($K631:U631)),0)),0)</f>
        <v>0</v>
      </c>
      <c r="W631" s="247">
        <f ca="1">ROUND(IF(OR(AND($C629=LataProjekcji,$E629&gt;0),AND($C629=LataProjekcji,$E629=0,$D630&lt;=10)),$E630,IF($C629&lt;LataProjekcji,IF((SUM($K631:V631)+$C631)&lt;$C630,$C631,$C630-SUM($K631:V631)),0)),0)</f>
        <v>0</v>
      </c>
      <c r="X631" s="247">
        <f ca="1">ROUND(IF(OR(AND($C629=LataProjekcji,$E629&gt;0),AND($C629=LataProjekcji,$E629=0,$D630&lt;=10)),$E630,IF($C629&lt;LataProjekcji,IF((SUM($K631:W631)+$C631)&lt;$C630,$C631,$C630-SUM($K631:W631)),0)),0)</f>
        <v>0</v>
      </c>
    </row>
    <row r="632" spans="1:24" hidden="1">
      <c r="A632" s="258"/>
      <c r="B632" s="21" t="s">
        <v>416</v>
      </c>
      <c r="C632" s="22"/>
      <c r="D632" s="21"/>
      <c r="E632" s="21"/>
      <c r="F632" s="21"/>
      <c r="G632" s="21"/>
      <c r="I632" s="21"/>
      <c r="J632" s="21"/>
      <c r="K632" s="22">
        <f ca="1">ROUND(K631,0)</f>
        <v>0</v>
      </c>
      <c r="L632" s="22">
        <f t="shared" ref="L632:X632" ca="1" si="357">ROUND(K632+L631,0)</f>
        <v>0</v>
      </c>
      <c r="M632" s="22">
        <f t="shared" ca="1" si="357"/>
        <v>0</v>
      </c>
      <c r="N632" s="22">
        <f t="shared" ca="1" si="357"/>
        <v>0</v>
      </c>
      <c r="O632" s="22">
        <f t="shared" ca="1" si="357"/>
        <v>0</v>
      </c>
      <c r="P632" s="22">
        <f t="shared" ca="1" si="357"/>
        <v>0</v>
      </c>
      <c r="Q632" s="22">
        <f t="shared" ca="1" si="357"/>
        <v>0</v>
      </c>
      <c r="R632" s="22">
        <f t="shared" ca="1" si="357"/>
        <v>0</v>
      </c>
      <c r="S632" s="22">
        <f t="shared" ca="1" si="357"/>
        <v>0</v>
      </c>
      <c r="T632" s="22">
        <f t="shared" ca="1" si="357"/>
        <v>0</v>
      </c>
      <c r="U632" s="22">
        <f t="shared" ca="1" si="357"/>
        <v>0</v>
      </c>
      <c r="V632" s="22">
        <f t="shared" ca="1" si="357"/>
        <v>0</v>
      </c>
      <c r="W632" s="22">
        <f t="shared" ca="1" si="357"/>
        <v>0</v>
      </c>
      <c r="X632" s="22">
        <f t="shared" ca="1" si="357"/>
        <v>0</v>
      </c>
    </row>
    <row r="633" spans="1:24" hidden="1">
      <c r="A633" s="258"/>
      <c r="B633" s="21" t="s">
        <v>406</v>
      </c>
      <c r="C633" s="22"/>
      <c r="D633" s="21"/>
      <c r="E633" s="21"/>
      <c r="F633" s="21"/>
      <c r="G633" s="21"/>
      <c r="I633" s="21"/>
      <c r="J633" s="21"/>
      <c r="K633" s="76">
        <f t="shared" ref="K633:X633" ca="1" si="358">IF($C629=LataProjekcji,ROUND($C630-K632,0),ROUND(IF(K631=0,0,$C630-K632),0))</f>
        <v>0</v>
      </c>
      <c r="L633" s="76">
        <f t="shared" ca="1" si="358"/>
        <v>0</v>
      </c>
      <c r="M633" s="76">
        <f t="shared" ca="1" si="358"/>
        <v>0</v>
      </c>
      <c r="N633" s="76">
        <f t="shared" ca="1" si="358"/>
        <v>0</v>
      </c>
      <c r="O633" s="76">
        <f t="shared" ca="1" si="358"/>
        <v>0</v>
      </c>
      <c r="P633" s="76">
        <f t="shared" ca="1" si="358"/>
        <v>0</v>
      </c>
      <c r="Q633" s="76">
        <f t="shared" ca="1" si="358"/>
        <v>0</v>
      </c>
      <c r="R633" s="76">
        <f t="shared" ca="1" si="358"/>
        <v>0</v>
      </c>
      <c r="S633" s="76">
        <f t="shared" ca="1" si="358"/>
        <v>0</v>
      </c>
      <c r="T633" s="76">
        <f t="shared" ca="1" si="358"/>
        <v>0</v>
      </c>
      <c r="U633" s="76">
        <f t="shared" ca="1" si="358"/>
        <v>0</v>
      </c>
      <c r="V633" s="76">
        <f t="shared" ca="1" si="358"/>
        <v>0</v>
      </c>
      <c r="W633" s="76">
        <f t="shared" ca="1" si="358"/>
        <v>0</v>
      </c>
      <c r="X633" s="76">
        <f t="shared" ca="1" si="358"/>
        <v>0</v>
      </c>
    </row>
    <row r="634" spans="1:24" hidden="1">
      <c r="A634" s="258"/>
      <c r="B634" s="21"/>
      <c r="C634" s="22"/>
      <c r="D634" s="21"/>
      <c r="E634" s="21"/>
      <c r="F634" s="21"/>
      <c r="G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1:24" hidden="1">
      <c r="A635" s="258"/>
      <c r="B635" s="20" t="s">
        <v>390</v>
      </c>
      <c r="C635" s="21">
        <f>C628+1</f>
        <v>69</v>
      </c>
      <c r="D635" s="473">
        <f>D628+1</f>
        <v>161</v>
      </c>
      <c r="E635" s="21"/>
      <c r="F635" s="21"/>
      <c r="G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1:24" hidden="1">
      <c r="A636" s="258"/>
      <c r="B636" s="21" t="s">
        <v>414</v>
      </c>
      <c r="C636" s="164">
        <f ca="1">IFERROR(YEAR(OFFSET($D$28,C635,0)),0)</f>
        <v>0</v>
      </c>
      <c r="D636" s="164">
        <f ca="1">IFERROR(MONTH(OFFSET($D$28,C635,0)),0)</f>
        <v>0</v>
      </c>
      <c r="E636" s="21">
        <f ca="1">12-$D636</f>
        <v>12</v>
      </c>
      <c r="F636" s="21"/>
      <c r="G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idden="1">
      <c r="A637" s="258"/>
      <c r="B637" s="21" t="s">
        <v>406</v>
      </c>
      <c r="C637" s="244">
        <f ca="1">IF(OFFSET($F$28,C635,0)&lt;0,0,OFFSET($F$28,C635,0))</f>
        <v>0</v>
      </c>
      <c r="D637" s="22" t="str">
        <f ca="1">OFFSET($C$28,C635,0)</f>
        <v/>
      </c>
      <c r="E637" s="22">
        <f ca="1">IF(D637&gt;10,ROUND(($C638/12)*$E636,0),$C637)</f>
        <v>0</v>
      </c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1" t="s">
        <v>415</v>
      </c>
      <c r="C638" s="244">
        <f ca="1">IF(ISBLANK(OFFSET($D$28,C635,0)),0,IF(OFFSET($C$28,C635,0)&gt;10,ROUND(C637*am_budynki,0),IF(C637&lt;0,0,C637)))</f>
        <v>0</v>
      </c>
      <c r="D638" s="21"/>
      <c r="E638" s="21"/>
      <c r="F638" s="21"/>
      <c r="G638" s="21"/>
      <c r="I638" s="21"/>
      <c r="J638" s="473" cm="1">
        <f t="array" aca="1" ref="J638" ca="1">OFFSET('Środki trwałe'!$C$195,'Rozliczenie dotacji'!D635,,)</f>
        <v>0</v>
      </c>
      <c r="K638" s="74">
        <f ca="1">ROUND(IF($C636=LataProjekcji,$E637,IF($C636=LataProjekcji,$C638,0)),0)</f>
        <v>0</v>
      </c>
      <c r="L638" s="247">
        <f ca="1">ROUND(IF(OR(AND($C636=LataProjekcji,$E636&gt;0),AND($C636=LataProjekcji,$E636=0,$D637&lt;=10)),$E637,IF($C636&lt;LataProjekcji,IF((SUM($K638:K638)+$C638)&lt;$C637,$C638,$C637-SUM($K638:K638)),0)),0)</f>
        <v>0</v>
      </c>
      <c r="M638" s="247">
        <f ca="1">ROUND(IF(OR(AND($C636=LataProjekcji,$E636&gt;0),AND($C636=LataProjekcji,$E636=0,$D637&lt;=10)),$E637,IF($C636&lt;LataProjekcji,IF((SUM($K638:L638)+$C638)&lt;$C637,$C638,$C637-SUM($K638:L638)),0)),0)</f>
        <v>0</v>
      </c>
      <c r="N638" s="247">
        <f ca="1">ROUND(IF(OR(AND($C636=LataProjekcji,$E636&gt;0),AND($C636=LataProjekcji,$E636=0,$D637&lt;=10)),$E637,IF($C636&lt;LataProjekcji,IF((SUM($K638:M638)+$C638)&lt;$C637,$C638,$C637-SUM($K638:M638)),0)),0)</f>
        <v>0</v>
      </c>
      <c r="O638" s="247">
        <f ca="1">ROUND(IF(OR(AND($C636=LataProjekcji,$E636&gt;0),AND($C636=LataProjekcji,$E636=0,$D637&lt;=10)),$E637,IF($C636&lt;LataProjekcji,IF((SUM($K638:N638)+$C638)&lt;$C637,$C638,$C637-SUM($K638:N638)),0)),0)</f>
        <v>0</v>
      </c>
      <c r="P638" s="247">
        <f ca="1">ROUND(IF(OR(AND($C636=LataProjekcji,$E636&gt;0),AND($C636=LataProjekcji,$E636=0,$D637&lt;=10)),$E637,IF($C636&lt;LataProjekcji,IF((SUM($K638:O638)+$C638)&lt;$C637,$C638,$C637-SUM($K638:O638)),0)),0)</f>
        <v>0</v>
      </c>
      <c r="Q638" s="247">
        <f ca="1">ROUND(IF(OR(AND($C636=LataProjekcji,$E636&gt;0),AND($C636=LataProjekcji,$E636=0,$D637&lt;=10)),$E637,IF($C636&lt;LataProjekcji,IF((SUM($K638:P638)+$C638)&lt;$C637,$C638,$C637-SUM($K638:P638)),0)),0)</f>
        <v>0</v>
      </c>
      <c r="R638" s="247">
        <f ca="1">ROUND(IF(OR(AND($C636=LataProjekcji,$E636&gt;0),AND($C636=LataProjekcji,$E636=0,$D637&lt;=10)),$E637,IF($C636&lt;LataProjekcji,IF((SUM($K638:Q638)+$C638)&lt;$C637,$C638,$C637-SUM($K638:Q638)),0)),0)</f>
        <v>0</v>
      </c>
      <c r="S638" s="247">
        <f ca="1">ROUND(IF(OR(AND($C636=LataProjekcji,$E636&gt;0),AND($C636=LataProjekcji,$E636=0,$D637&lt;=10)),$E637,IF($C636&lt;LataProjekcji,IF((SUM($K638:R638)+$C638)&lt;$C637,$C638,$C637-SUM($K638:R638)),0)),0)</f>
        <v>0</v>
      </c>
      <c r="T638" s="247">
        <f ca="1">ROUND(IF(OR(AND($C636=LataProjekcji,$E636&gt;0),AND($C636=LataProjekcji,$E636=0,$D637&lt;=10)),$E637,IF($C636&lt;LataProjekcji,IF((SUM($K638:S638)+$C638)&lt;$C637,$C638,$C637-SUM($K638:S638)),0)),0)</f>
        <v>0</v>
      </c>
      <c r="U638" s="247">
        <f ca="1">ROUND(IF(OR(AND($C636=LataProjekcji,$E636&gt;0),AND($C636=LataProjekcji,$E636=0,$D637&lt;=10)),$E637,IF($C636&lt;LataProjekcji,IF((SUM($K638:T638)+$C638)&lt;$C637,$C638,$C637-SUM($K638:T638)),0)),0)</f>
        <v>0</v>
      </c>
      <c r="V638" s="247">
        <f ca="1">ROUND(IF(OR(AND($C636=LataProjekcji,$E636&gt;0),AND($C636=LataProjekcji,$E636=0,$D637&lt;=10)),$E637,IF($C636&lt;LataProjekcji,IF((SUM($K638:U638)+$C638)&lt;$C637,$C638,$C637-SUM($K638:U638)),0)),0)</f>
        <v>0</v>
      </c>
      <c r="W638" s="247">
        <f ca="1">ROUND(IF(OR(AND($C636=LataProjekcji,$E636&gt;0),AND($C636=LataProjekcji,$E636=0,$D637&lt;=10)),$E637,IF($C636&lt;LataProjekcji,IF((SUM($K638:V638)+$C638)&lt;$C637,$C638,$C637-SUM($K638:V638)),0)),0)</f>
        <v>0</v>
      </c>
      <c r="X638" s="247">
        <f ca="1">ROUND(IF(OR(AND($C636=LataProjekcji,$E636&gt;0),AND($C636=LataProjekcji,$E636=0,$D637&lt;=10)),$E637,IF($C636&lt;LataProjekcji,IF((SUM($K638:W638)+$C638)&lt;$C637,$C638,$C637-SUM($K638:W638)),0)),0)</f>
        <v>0</v>
      </c>
    </row>
    <row r="639" spans="1:24" hidden="1">
      <c r="A639" s="258"/>
      <c r="B639" s="21" t="s">
        <v>416</v>
      </c>
      <c r="C639" s="22"/>
      <c r="D639" s="21"/>
      <c r="E639" s="21"/>
      <c r="F639" s="21"/>
      <c r="G639" s="21"/>
      <c r="I639" s="21"/>
      <c r="J639" s="21"/>
      <c r="K639" s="22">
        <f ca="1">ROUND(K638,0)</f>
        <v>0</v>
      </c>
      <c r="L639" s="22">
        <f t="shared" ref="L639:X639" ca="1" si="359">ROUND(K639+L638,0)</f>
        <v>0</v>
      </c>
      <c r="M639" s="22">
        <f t="shared" ca="1" si="359"/>
        <v>0</v>
      </c>
      <c r="N639" s="22">
        <f t="shared" ca="1" si="359"/>
        <v>0</v>
      </c>
      <c r="O639" s="22">
        <f t="shared" ca="1" si="359"/>
        <v>0</v>
      </c>
      <c r="P639" s="22">
        <f t="shared" ca="1" si="359"/>
        <v>0</v>
      </c>
      <c r="Q639" s="22">
        <f t="shared" ca="1" si="359"/>
        <v>0</v>
      </c>
      <c r="R639" s="22">
        <f t="shared" ca="1" si="359"/>
        <v>0</v>
      </c>
      <c r="S639" s="22">
        <f t="shared" ca="1" si="359"/>
        <v>0</v>
      </c>
      <c r="T639" s="22">
        <f t="shared" ca="1" si="359"/>
        <v>0</v>
      </c>
      <c r="U639" s="22">
        <f t="shared" ca="1" si="359"/>
        <v>0</v>
      </c>
      <c r="V639" s="22">
        <f t="shared" ca="1" si="359"/>
        <v>0</v>
      </c>
      <c r="W639" s="22">
        <f t="shared" ca="1" si="359"/>
        <v>0</v>
      </c>
      <c r="X639" s="22">
        <f t="shared" ca="1" si="359"/>
        <v>0</v>
      </c>
    </row>
    <row r="640" spans="1:24" hidden="1">
      <c r="A640" s="258"/>
      <c r="B640" s="21" t="s">
        <v>406</v>
      </c>
      <c r="C640" s="22"/>
      <c r="D640" s="21"/>
      <c r="E640" s="21"/>
      <c r="F640" s="21"/>
      <c r="G640" s="21"/>
      <c r="I640" s="21"/>
      <c r="J640" s="21"/>
      <c r="K640" s="76">
        <f t="shared" ref="K640:X640" ca="1" si="360">IF($C636=LataProjekcji,ROUND($C637-K639,0),ROUND(IF(K638=0,0,$C637-K639),0))</f>
        <v>0</v>
      </c>
      <c r="L640" s="76">
        <f t="shared" ca="1" si="360"/>
        <v>0</v>
      </c>
      <c r="M640" s="76">
        <f t="shared" ca="1" si="360"/>
        <v>0</v>
      </c>
      <c r="N640" s="76">
        <f t="shared" ca="1" si="360"/>
        <v>0</v>
      </c>
      <c r="O640" s="76">
        <f t="shared" ca="1" si="360"/>
        <v>0</v>
      </c>
      <c r="P640" s="76">
        <f t="shared" ca="1" si="360"/>
        <v>0</v>
      </c>
      <c r="Q640" s="76">
        <f t="shared" ca="1" si="360"/>
        <v>0</v>
      </c>
      <c r="R640" s="76">
        <f t="shared" ca="1" si="360"/>
        <v>0</v>
      </c>
      <c r="S640" s="76">
        <f t="shared" ca="1" si="360"/>
        <v>0</v>
      </c>
      <c r="T640" s="76">
        <f t="shared" ca="1" si="360"/>
        <v>0</v>
      </c>
      <c r="U640" s="76">
        <f t="shared" ca="1" si="360"/>
        <v>0</v>
      </c>
      <c r="V640" s="76">
        <f t="shared" ca="1" si="360"/>
        <v>0</v>
      </c>
      <c r="W640" s="76">
        <f t="shared" ca="1" si="360"/>
        <v>0</v>
      </c>
      <c r="X640" s="76">
        <f t="shared" ca="1" si="360"/>
        <v>0</v>
      </c>
    </row>
    <row r="641" spans="1:24" hidden="1">
      <c r="A641" s="258"/>
      <c r="B641" s="21"/>
      <c r="C641" s="22"/>
      <c r="D641" s="21"/>
      <c r="E641" s="21"/>
      <c r="F641" s="21"/>
      <c r="G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1:24" hidden="1">
      <c r="A642" s="258"/>
      <c r="B642" s="20" t="s">
        <v>390</v>
      </c>
      <c r="C642" s="21">
        <f>C635+1</f>
        <v>70</v>
      </c>
      <c r="D642" s="473">
        <f>D635+1</f>
        <v>162</v>
      </c>
      <c r="E642" s="21"/>
      <c r="F642" s="21"/>
      <c r="G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1:24" hidden="1">
      <c r="A643" s="258"/>
      <c r="B643" s="21" t="s">
        <v>414</v>
      </c>
      <c r="C643" s="164">
        <f ca="1">IFERROR(YEAR(OFFSET($D$28,C642,0)),0)</f>
        <v>0</v>
      </c>
      <c r="D643" s="164">
        <f ca="1">IFERROR(MONTH(OFFSET($D$28,C642,0)),0)</f>
        <v>0</v>
      </c>
      <c r="E643" s="21">
        <f ca="1">12-$D643</f>
        <v>12</v>
      </c>
      <c r="F643" s="21"/>
      <c r="G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idden="1">
      <c r="A644" s="258"/>
      <c r="B644" s="21" t="s">
        <v>406</v>
      </c>
      <c r="C644" s="244">
        <f ca="1">IF(OFFSET($F$28,C642,0)&lt;0,0,OFFSET($F$28,C642,0))</f>
        <v>0</v>
      </c>
      <c r="D644" s="22" t="str">
        <f ca="1">OFFSET($C$28,C642,0)</f>
        <v/>
      </c>
      <c r="E644" s="22">
        <f ca="1">IF(D644&gt;10,ROUND(($C645/12)*$E643,0),$C644)</f>
        <v>0</v>
      </c>
      <c r="F644" s="21"/>
      <c r="G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1:24" hidden="1">
      <c r="A645" s="258"/>
      <c r="B645" s="21" t="s">
        <v>415</v>
      </c>
      <c r="C645" s="244">
        <f ca="1">IF(ISBLANK(OFFSET($D$28,C642,0)),0,IF(OFFSET($C$28,C642,0)&gt;10,ROUND(C644*am_budynki,0),IF(C644&lt;0,0,C644)))</f>
        <v>0</v>
      </c>
      <c r="D645" s="21"/>
      <c r="E645" s="21"/>
      <c r="F645" s="21"/>
      <c r="G645" s="21"/>
      <c r="I645" s="21"/>
      <c r="J645" s="473" cm="1">
        <f t="array" aca="1" ref="J645" ca="1">OFFSET('Środki trwałe'!$C$195,'Rozliczenie dotacji'!D642,,)</f>
        <v>0</v>
      </c>
      <c r="K645" s="74">
        <f ca="1">ROUND(IF($C643=LataProjekcji,$E644,IF($C643=LataProjekcji,$C645,0)),0)</f>
        <v>0</v>
      </c>
      <c r="L645" s="247">
        <f ca="1">ROUND(IF(OR(AND($C643=LataProjekcji,$E643&gt;0),AND($C643=LataProjekcji,$E643=0,$D644&lt;=10)),$E644,IF($C643&lt;LataProjekcji,IF((SUM($K645:K645)+$C645)&lt;$C644,$C645,$C644-SUM($K645:K645)),0)),0)</f>
        <v>0</v>
      </c>
      <c r="M645" s="247">
        <f ca="1">ROUND(IF(OR(AND($C643=LataProjekcji,$E643&gt;0),AND($C643=LataProjekcji,$E643=0,$D644&lt;=10)),$E644,IF($C643&lt;LataProjekcji,IF((SUM($K645:L645)+$C645)&lt;$C644,$C645,$C644-SUM($K645:L645)),0)),0)</f>
        <v>0</v>
      </c>
      <c r="N645" s="247">
        <f ca="1">ROUND(IF(OR(AND($C643=LataProjekcji,$E643&gt;0),AND($C643=LataProjekcji,$E643=0,$D644&lt;=10)),$E644,IF($C643&lt;LataProjekcji,IF((SUM($K645:M645)+$C645)&lt;$C644,$C645,$C644-SUM($K645:M645)),0)),0)</f>
        <v>0</v>
      </c>
      <c r="O645" s="247">
        <f ca="1">ROUND(IF(OR(AND($C643=LataProjekcji,$E643&gt;0),AND($C643=LataProjekcji,$E643=0,$D644&lt;=10)),$E644,IF($C643&lt;LataProjekcji,IF((SUM($K645:N645)+$C645)&lt;$C644,$C645,$C644-SUM($K645:N645)),0)),0)</f>
        <v>0</v>
      </c>
      <c r="P645" s="247">
        <f ca="1">ROUND(IF(OR(AND($C643=LataProjekcji,$E643&gt;0),AND($C643=LataProjekcji,$E643=0,$D644&lt;=10)),$E644,IF($C643&lt;LataProjekcji,IF((SUM($K645:O645)+$C645)&lt;$C644,$C645,$C644-SUM($K645:O645)),0)),0)</f>
        <v>0</v>
      </c>
      <c r="Q645" s="247">
        <f ca="1">ROUND(IF(OR(AND($C643=LataProjekcji,$E643&gt;0),AND($C643=LataProjekcji,$E643=0,$D644&lt;=10)),$E644,IF($C643&lt;LataProjekcji,IF((SUM($K645:P645)+$C645)&lt;$C644,$C645,$C644-SUM($K645:P645)),0)),0)</f>
        <v>0</v>
      </c>
      <c r="R645" s="247">
        <f ca="1">ROUND(IF(OR(AND($C643=LataProjekcji,$E643&gt;0),AND($C643=LataProjekcji,$E643=0,$D644&lt;=10)),$E644,IF($C643&lt;LataProjekcji,IF((SUM($K645:Q645)+$C645)&lt;$C644,$C645,$C644-SUM($K645:Q645)),0)),0)</f>
        <v>0</v>
      </c>
      <c r="S645" s="247">
        <f ca="1">ROUND(IF(OR(AND($C643=LataProjekcji,$E643&gt;0),AND($C643=LataProjekcji,$E643=0,$D644&lt;=10)),$E644,IF($C643&lt;LataProjekcji,IF((SUM($K645:R645)+$C645)&lt;$C644,$C645,$C644-SUM($K645:R645)),0)),0)</f>
        <v>0</v>
      </c>
      <c r="T645" s="247">
        <f ca="1">ROUND(IF(OR(AND($C643=LataProjekcji,$E643&gt;0),AND($C643=LataProjekcji,$E643=0,$D644&lt;=10)),$E644,IF($C643&lt;LataProjekcji,IF((SUM($K645:S645)+$C645)&lt;$C644,$C645,$C644-SUM($K645:S645)),0)),0)</f>
        <v>0</v>
      </c>
      <c r="U645" s="247">
        <f ca="1">ROUND(IF(OR(AND($C643=LataProjekcji,$E643&gt;0),AND($C643=LataProjekcji,$E643=0,$D644&lt;=10)),$E644,IF($C643&lt;LataProjekcji,IF((SUM($K645:T645)+$C645)&lt;$C644,$C645,$C644-SUM($K645:T645)),0)),0)</f>
        <v>0</v>
      </c>
      <c r="V645" s="247">
        <f ca="1">ROUND(IF(OR(AND($C643=LataProjekcji,$E643&gt;0),AND($C643=LataProjekcji,$E643=0,$D644&lt;=10)),$E644,IF($C643&lt;LataProjekcji,IF((SUM($K645:U645)+$C645)&lt;$C644,$C645,$C644-SUM($K645:U645)),0)),0)</f>
        <v>0</v>
      </c>
      <c r="W645" s="247">
        <f ca="1">ROUND(IF(OR(AND($C643=LataProjekcji,$E643&gt;0),AND($C643=LataProjekcji,$E643=0,$D644&lt;=10)),$E644,IF($C643&lt;LataProjekcji,IF((SUM($K645:V645)+$C645)&lt;$C644,$C645,$C644-SUM($K645:V645)),0)),0)</f>
        <v>0</v>
      </c>
      <c r="X645" s="247">
        <f ca="1">ROUND(IF(OR(AND($C643=LataProjekcji,$E643&gt;0),AND($C643=LataProjekcji,$E643=0,$D644&lt;=10)),$E644,IF($C643&lt;LataProjekcji,IF((SUM($K645:W645)+$C645)&lt;$C644,$C645,$C644-SUM($K645:W645)),0)),0)</f>
        <v>0</v>
      </c>
    </row>
    <row r="646" spans="1:24" hidden="1">
      <c r="A646" s="258"/>
      <c r="B646" s="21" t="s">
        <v>416</v>
      </c>
      <c r="C646" s="22"/>
      <c r="D646" s="21"/>
      <c r="E646" s="21"/>
      <c r="F646" s="21"/>
      <c r="G646" s="21"/>
      <c r="I646" s="21"/>
      <c r="J646" s="21"/>
      <c r="K646" s="22">
        <f ca="1">ROUND(K645,0)</f>
        <v>0</v>
      </c>
      <c r="L646" s="22">
        <f t="shared" ref="L646:X646" ca="1" si="361">ROUND(K646+L645,0)</f>
        <v>0</v>
      </c>
      <c r="M646" s="22">
        <f t="shared" ca="1" si="361"/>
        <v>0</v>
      </c>
      <c r="N646" s="22">
        <f t="shared" ca="1" si="361"/>
        <v>0</v>
      </c>
      <c r="O646" s="22">
        <f t="shared" ca="1" si="361"/>
        <v>0</v>
      </c>
      <c r="P646" s="22">
        <f t="shared" ca="1" si="361"/>
        <v>0</v>
      </c>
      <c r="Q646" s="22">
        <f t="shared" ca="1" si="361"/>
        <v>0</v>
      </c>
      <c r="R646" s="22">
        <f t="shared" ca="1" si="361"/>
        <v>0</v>
      </c>
      <c r="S646" s="22">
        <f t="shared" ca="1" si="361"/>
        <v>0</v>
      </c>
      <c r="T646" s="22">
        <f t="shared" ca="1" si="361"/>
        <v>0</v>
      </c>
      <c r="U646" s="22">
        <f t="shared" ca="1" si="361"/>
        <v>0</v>
      </c>
      <c r="V646" s="22">
        <f t="shared" ca="1" si="361"/>
        <v>0</v>
      </c>
      <c r="W646" s="22">
        <f t="shared" ca="1" si="361"/>
        <v>0</v>
      </c>
      <c r="X646" s="22">
        <f t="shared" ca="1" si="361"/>
        <v>0</v>
      </c>
    </row>
    <row r="647" spans="1:24" hidden="1">
      <c r="A647" s="258"/>
      <c r="B647" s="21" t="s">
        <v>406</v>
      </c>
      <c r="C647" s="22"/>
      <c r="D647" s="21"/>
      <c r="E647" s="21"/>
      <c r="F647" s="21"/>
      <c r="G647" s="21"/>
      <c r="I647" s="21"/>
      <c r="J647" s="21"/>
      <c r="K647" s="76">
        <f t="shared" ref="K647:X647" ca="1" si="362">IF($C643=LataProjekcji,ROUND($C644-K646,0),ROUND(IF(K645=0,0,$C644-K646),0))</f>
        <v>0</v>
      </c>
      <c r="L647" s="76">
        <f t="shared" ca="1" si="362"/>
        <v>0</v>
      </c>
      <c r="M647" s="76">
        <f t="shared" ca="1" si="362"/>
        <v>0</v>
      </c>
      <c r="N647" s="76">
        <f t="shared" ca="1" si="362"/>
        <v>0</v>
      </c>
      <c r="O647" s="76">
        <f t="shared" ca="1" si="362"/>
        <v>0</v>
      </c>
      <c r="P647" s="76">
        <f t="shared" ca="1" si="362"/>
        <v>0</v>
      </c>
      <c r="Q647" s="76">
        <f t="shared" ca="1" si="362"/>
        <v>0</v>
      </c>
      <c r="R647" s="76">
        <f t="shared" ca="1" si="362"/>
        <v>0</v>
      </c>
      <c r="S647" s="76">
        <f t="shared" ca="1" si="362"/>
        <v>0</v>
      </c>
      <c r="T647" s="76">
        <f t="shared" ca="1" si="362"/>
        <v>0</v>
      </c>
      <c r="U647" s="76">
        <f t="shared" ca="1" si="362"/>
        <v>0</v>
      </c>
      <c r="V647" s="76">
        <f t="shared" ca="1" si="362"/>
        <v>0</v>
      </c>
      <c r="W647" s="76">
        <f t="shared" ca="1" si="362"/>
        <v>0</v>
      </c>
      <c r="X647" s="76">
        <f t="shared" ca="1" si="362"/>
        <v>0</v>
      </c>
    </row>
    <row r="648" spans="1:24" hidden="1">
      <c r="A648" s="258"/>
      <c r="B648" s="20"/>
      <c r="C648" s="21"/>
      <c r="D648" s="21"/>
      <c r="E648" s="21"/>
      <c r="F648" s="21"/>
      <c r="G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0" t="s">
        <v>390</v>
      </c>
      <c r="C649" s="21">
        <f>C642+1</f>
        <v>71</v>
      </c>
      <c r="D649" s="473">
        <f>D642+1</f>
        <v>163</v>
      </c>
      <c r="E649" s="21"/>
      <c r="F649" s="21"/>
      <c r="G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414</v>
      </c>
      <c r="C650" s="164">
        <f ca="1">IFERROR(YEAR(OFFSET($D$28,C649,0)),0)</f>
        <v>0</v>
      </c>
      <c r="D650" s="164">
        <f ca="1">IFERROR(MONTH(OFFSET($D$28,C649,0)),0)</f>
        <v>0</v>
      </c>
      <c r="E650" s="21">
        <f ca="1">12-$D650</f>
        <v>12</v>
      </c>
      <c r="F650" s="21"/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406</v>
      </c>
      <c r="C651" s="244">
        <f ca="1">IF(OFFSET($F$28,C649,0)&lt;0,0,OFFSET($F$28,C649,0))</f>
        <v>0</v>
      </c>
      <c r="D651" s="22" t="str">
        <f ca="1">OFFSET($C$28,C649,0)</f>
        <v/>
      </c>
      <c r="E651" s="22">
        <f ca="1">IF(D651&gt;10,ROUND(($C652/12)*$E650,0),$C651)</f>
        <v>0</v>
      </c>
      <c r="F651" s="21"/>
      <c r="G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1:24" hidden="1">
      <c r="A652" s="258"/>
      <c r="B652" s="21" t="s">
        <v>415</v>
      </c>
      <c r="C652" s="244">
        <f ca="1">IF(ISBLANK(OFFSET($D$28,C649,0)),0,IF(OFFSET($C$28,C649,0)&gt;10,ROUND(C651*am_budynki,0),IF(C651&lt;0,0,C651)))</f>
        <v>0</v>
      </c>
      <c r="D652" s="21"/>
      <c r="E652" s="21"/>
      <c r="F652" s="21"/>
      <c r="G652" s="21"/>
      <c r="I652" s="21"/>
      <c r="J652" s="473" cm="1">
        <f t="array" aca="1" ref="J652" ca="1">OFFSET('Środki trwałe'!$C$195,'Rozliczenie dotacji'!D649,,)</f>
        <v>0</v>
      </c>
      <c r="K652" s="74">
        <f ca="1">ROUND(IF($C650=LataProjekcji,$E651,IF($C650=LataProjekcji,$C652,0)),0)</f>
        <v>0</v>
      </c>
      <c r="L652" s="247">
        <f ca="1">ROUND(IF(OR(AND($C650=LataProjekcji,$E650&gt;0),AND($C650=LataProjekcji,$E650=0,$D651&lt;=10)),$E651,IF($C650&lt;LataProjekcji,IF((SUM($K652:K652)+$C652)&lt;$C651,$C652,$C651-SUM($K652:K652)),0)),0)</f>
        <v>0</v>
      </c>
      <c r="M652" s="247">
        <f ca="1">ROUND(IF(OR(AND($C650=LataProjekcji,$E650&gt;0),AND($C650=LataProjekcji,$E650=0,$D651&lt;=10)),$E651,IF($C650&lt;LataProjekcji,IF((SUM($K652:L652)+$C652)&lt;$C651,$C652,$C651-SUM($K652:L652)),0)),0)</f>
        <v>0</v>
      </c>
      <c r="N652" s="247">
        <f ca="1">ROUND(IF(OR(AND($C650=LataProjekcji,$E650&gt;0),AND($C650=LataProjekcji,$E650=0,$D651&lt;=10)),$E651,IF($C650&lt;LataProjekcji,IF((SUM($K652:M652)+$C652)&lt;$C651,$C652,$C651-SUM($K652:M652)),0)),0)</f>
        <v>0</v>
      </c>
      <c r="O652" s="247">
        <f ca="1">ROUND(IF(OR(AND($C650=LataProjekcji,$E650&gt;0),AND($C650=LataProjekcji,$E650=0,$D651&lt;=10)),$E651,IF($C650&lt;LataProjekcji,IF((SUM($K652:N652)+$C652)&lt;$C651,$C652,$C651-SUM($K652:N652)),0)),0)</f>
        <v>0</v>
      </c>
      <c r="P652" s="247">
        <f ca="1">ROUND(IF(OR(AND($C650=LataProjekcji,$E650&gt;0),AND($C650=LataProjekcji,$E650=0,$D651&lt;=10)),$E651,IF($C650&lt;LataProjekcji,IF((SUM($K652:O652)+$C652)&lt;$C651,$C652,$C651-SUM($K652:O652)),0)),0)</f>
        <v>0</v>
      </c>
      <c r="Q652" s="247">
        <f ca="1">ROUND(IF(OR(AND($C650=LataProjekcji,$E650&gt;0),AND($C650=LataProjekcji,$E650=0,$D651&lt;=10)),$E651,IF($C650&lt;LataProjekcji,IF((SUM($K652:P652)+$C652)&lt;$C651,$C652,$C651-SUM($K652:P652)),0)),0)</f>
        <v>0</v>
      </c>
      <c r="R652" s="247">
        <f ca="1">ROUND(IF(OR(AND($C650=LataProjekcji,$E650&gt;0),AND($C650=LataProjekcji,$E650=0,$D651&lt;=10)),$E651,IF($C650&lt;LataProjekcji,IF((SUM($K652:Q652)+$C652)&lt;$C651,$C652,$C651-SUM($K652:Q652)),0)),0)</f>
        <v>0</v>
      </c>
      <c r="S652" s="247">
        <f ca="1">ROUND(IF(OR(AND($C650=LataProjekcji,$E650&gt;0),AND($C650=LataProjekcji,$E650=0,$D651&lt;=10)),$E651,IF($C650&lt;LataProjekcji,IF((SUM($K652:R652)+$C652)&lt;$C651,$C652,$C651-SUM($K652:R652)),0)),0)</f>
        <v>0</v>
      </c>
      <c r="T652" s="247">
        <f ca="1">ROUND(IF(OR(AND($C650=LataProjekcji,$E650&gt;0),AND($C650=LataProjekcji,$E650=0,$D651&lt;=10)),$E651,IF($C650&lt;LataProjekcji,IF((SUM($K652:S652)+$C652)&lt;$C651,$C652,$C651-SUM($K652:S652)),0)),0)</f>
        <v>0</v>
      </c>
      <c r="U652" s="247">
        <f ca="1">ROUND(IF(OR(AND($C650=LataProjekcji,$E650&gt;0),AND($C650=LataProjekcji,$E650=0,$D651&lt;=10)),$E651,IF($C650&lt;LataProjekcji,IF((SUM($K652:T652)+$C652)&lt;$C651,$C652,$C651-SUM($K652:T652)),0)),0)</f>
        <v>0</v>
      </c>
      <c r="V652" s="247">
        <f ca="1">ROUND(IF(OR(AND($C650=LataProjekcji,$E650&gt;0),AND($C650=LataProjekcji,$E650=0,$D651&lt;=10)),$E651,IF($C650&lt;LataProjekcji,IF((SUM($K652:U652)+$C652)&lt;$C651,$C652,$C651-SUM($K652:U652)),0)),0)</f>
        <v>0</v>
      </c>
      <c r="W652" s="247">
        <f ca="1">ROUND(IF(OR(AND($C650=LataProjekcji,$E650&gt;0),AND($C650=LataProjekcji,$E650=0,$D651&lt;=10)),$E651,IF($C650&lt;LataProjekcji,IF((SUM($K652:V652)+$C652)&lt;$C651,$C652,$C651-SUM($K652:V652)),0)),0)</f>
        <v>0</v>
      </c>
      <c r="X652" s="247">
        <f ca="1">ROUND(IF(OR(AND($C650=LataProjekcji,$E650&gt;0),AND($C650=LataProjekcji,$E650=0,$D651&lt;=10)),$E651,IF($C650&lt;LataProjekcji,IF((SUM($K652:W652)+$C652)&lt;$C651,$C652,$C651-SUM($K652:W652)),0)),0)</f>
        <v>0</v>
      </c>
    </row>
    <row r="653" spans="1:24" hidden="1">
      <c r="A653" s="258"/>
      <c r="B653" s="21" t="s">
        <v>416</v>
      </c>
      <c r="C653" s="22"/>
      <c r="D653" s="21"/>
      <c r="E653" s="21"/>
      <c r="F653" s="21"/>
      <c r="G653" s="21"/>
      <c r="I653" s="21"/>
      <c r="J653" s="21"/>
      <c r="K653" s="22">
        <f ca="1">ROUND(K652,0)</f>
        <v>0</v>
      </c>
      <c r="L653" s="22">
        <f t="shared" ref="L653:X653" ca="1" si="363">ROUND(K653+L652,0)</f>
        <v>0</v>
      </c>
      <c r="M653" s="22">
        <f t="shared" ca="1" si="363"/>
        <v>0</v>
      </c>
      <c r="N653" s="22">
        <f t="shared" ca="1" si="363"/>
        <v>0</v>
      </c>
      <c r="O653" s="22">
        <f t="shared" ca="1" si="363"/>
        <v>0</v>
      </c>
      <c r="P653" s="22">
        <f t="shared" ca="1" si="363"/>
        <v>0</v>
      </c>
      <c r="Q653" s="22">
        <f t="shared" ca="1" si="363"/>
        <v>0</v>
      </c>
      <c r="R653" s="22">
        <f t="shared" ca="1" si="363"/>
        <v>0</v>
      </c>
      <c r="S653" s="22">
        <f t="shared" ca="1" si="363"/>
        <v>0</v>
      </c>
      <c r="T653" s="22">
        <f t="shared" ca="1" si="363"/>
        <v>0</v>
      </c>
      <c r="U653" s="22">
        <f t="shared" ca="1" si="363"/>
        <v>0</v>
      </c>
      <c r="V653" s="22">
        <f t="shared" ca="1" si="363"/>
        <v>0</v>
      </c>
      <c r="W653" s="22">
        <f t="shared" ca="1" si="363"/>
        <v>0</v>
      </c>
      <c r="X653" s="22">
        <f t="shared" ca="1" si="363"/>
        <v>0</v>
      </c>
    </row>
    <row r="654" spans="1:24" hidden="1">
      <c r="A654" s="258"/>
      <c r="B654" s="21" t="s">
        <v>406</v>
      </c>
      <c r="C654" s="22"/>
      <c r="D654" s="21"/>
      <c r="E654" s="21"/>
      <c r="F654" s="21"/>
      <c r="G654" s="21"/>
      <c r="I654" s="21"/>
      <c r="J654" s="21"/>
      <c r="K654" s="76">
        <f t="shared" ref="K654:X654" ca="1" si="364">IF($C650=LataProjekcji,ROUND($C651-K653,0),ROUND(IF(K652=0,0,$C651-K653),0))</f>
        <v>0</v>
      </c>
      <c r="L654" s="76">
        <f t="shared" ca="1" si="364"/>
        <v>0</v>
      </c>
      <c r="M654" s="76">
        <f t="shared" ca="1" si="364"/>
        <v>0</v>
      </c>
      <c r="N654" s="76">
        <f t="shared" ca="1" si="364"/>
        <v>0</v>
      </c>
      <c r="O654" s="76">
        <f t="shared" ca="1" si="364"/>
        <v>0</v>
      </c>
      <c r="P654" s="76">
        <f t="shared" ca="1" si="364"/>
        <v>0</v>
      </c>
      <c r="Q654" s="76">
        <f t="shared" ca="1" si="364"/>
        <v>0</v>
      </c>
      <c r="R654" s="76">
        <f t="shared" ca="1" si="364"/>
        <v>0</v>
      </c>
      <c r="S654" s="76">
        <f t="shared" ca="1" si="364"/>
        <v>0</v>
      </c>
      <c r="T654" s="76">
        <f t="shared" ca="1" si="364"/>
        <v>0</v>
      </c>
      <c r="U654" s="76">
        <f t="shared" ca="1" si="364"/>
        <v>0</v>
      </c>
      <c r="V654" s="76">
        <f t="shared" ca="1" si="364"/>
        <v>0</v>
      </c>
      <c r="W654" s="76">
        <f t="shared" ca="1" si="364"/>
        <v>0</v>
      </c>
      <c r="X654" s="76">
        <f t="shared" ca="1" si="364"/>
        <v>0</v>
      </c>
    </row>
    <row r="655" spans="1:24" hidden="1">
      <c r="A655" s="258"/>
      <c r="B655" s="21"/>
      <c r="C655" s="22"/>
      <c r="D655" s="21"/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0" t="s">
        <v>390</v>
      </c>
      <c r="C656" s="21">
        <f>C649+1</f>
        <v>72</v>
      </c>
      <c r="D656" s="473">
        <f>D649+1</f>
        <v>164</v>
      </c>
      <c r="E656" s="21"/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414</v>
      </c>
      <c r="C657" s="164">
        <f ca="1">IFERROR(YEAR(OFFSET($D$28,C656,0)),0)</f>
        <v>0</v>
      </c>
      <c r="D657" s="164">
        <f ca="1">IFERROR(MONTH(OFFSET($D$28,C656,0)),0)</f>
        <v>0</v>
      </c>
      <c r="E657" s="21">
        <f ca="1">12-$D657</f>
        <v>12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406</v>
      </c>
      <c r="C658" s="244">
        <f ca="1">IF(OFFSET($F$28,C656,0)&lt;0,0,OFFSET($F$28,C656,0))</f>
        <v>0</v>
      </c>
      <c r="D658" s="22" t="str">
        <f ca="1">OFFSET($C$28,C656,0)</f>
        <v/>
      </c>
      <c r="E658" s="22">
        <f ca="1">IF(D658&gt;10,ROUND(($C659/12)*$E657,0),$C658)</f>
        <v>0</v>
      </c>
      <c r="F658" s="21"/>
      <c r="G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1:24" hidden="1">
      <c r="A659" s="258"/>
      <c r="B659" s="21" t="s">
        <v>415</v>
      </c>
      <c r="C659" s="244">
        <f ca="1">IF(ISBLANK(OFFSET($D$28,C656,0)),0,IF(OFFSET($C$28,C656,0)&gt;10,ROUND(C658*am_budynki,0),IF(C658&lt;0,0,C658)))</f>
        <v>0</v>
      </c>
      <c r="D659" s="21"/>
      <c r="E659" s="21"/>
      <c r="F659" s="21"/>
      <c r="G659" s="21"/>
      <c r="I659" s="21"/>
      <c r="J659" s="473" cm="1">
        <f t="array" aca="1" ref="J659" ca="1">OFFSET('Środki trwałe'!$C$195,'Rozliczenie dotacji'!D656,,)</f>
        <v>0</v>
      </c>
      <c r="K659" s="74">
        <f ca="1">ROUND(IF($C657=LataProjekcji,$E658,IF($C657=LataProjekcji,$C659,0)),0)</f>
        <v>0</v>
      </c>
      <c r="L659" s="247">
        <f ca="1">ROUND(IF(OR(AND($C657=LataProjekcji,$E657&gt;0),AND($C657=LataProjekcji,$E657=0,$D658&lt;=10)),$E658,IF($C657&lt;LataProjekcji,IF((SUM($K659:K659)+$C659)&lt;$C658,$C659,$C658-SUM($K659:K659)),0)),0)</f>
        <v>0</v>
      </c>
      <c r="M659" s="247">
        <f ca="1">ROUND(IF(OR(AND($C657=LataProjekcji,$E657&gt;0),AND($C657=LataProjekcji,$E657=0,$D658&lt;=10)),$E658,IF($C657&lt;LataProjekcji,IF((SUM($K659:L659)+$C659)&lt;$C658,$C659,$C658-SUM($K659:L659)),0)),0)</f>
        <v>0</v>
      </c>
      <c r="N659" s="247">
        <f ca="1">ROUND(IF(OR(AND($C657=LataProjekcji,$E657&gt;0),AND($C657=LataProjekcji,$E657=0,$D658&lt;=10)),$E658,IF($C657&lt;LataProjekcji,IF((SUM($K659:M659)+$C659)&lt;$C658,$C659,$C658-SUM($K659:M659)),0)),0)</f>
        <v>0</v>
      </c>
      <c r="O659" s="247">
        <f ca="1">ROUND(IF(OR(AND($C657=LataProjekcji,$E657&gt;0),AND($C657=LataProjekcji,$E657=0,$D658&lt;=10)),$E658,IF($C657&lt;LataProjekcji,IF((SUM($K659:N659)+$C659)&lt;$C658,$C659,$C658-SUM($K659:N659)),0)),0)</f>
        <v>0</v>
      </c>
      <c r="P659" s="247">
        <f ca="1">ROUND(IF(OR(AND($C657=LataProjekcji,$E657&gt;0),AND($C657=LataProjekcji,$E657=0,$D658&lt;=10)),$E658,IF($C657&lt;LataProjekcji,IF((SUM($K659:O659)+$C659)&lt;$C658,$C659,$C658-SUM($K659:O659)),0)),0)</f>
        <v>0</v>
      </c>
      <c r="Q659" s="247">
        <f ca="1">ROUND(IF(OR(AND($C657=LataProjekcji,$E657&gt;0),AND($C657=LataProjekcji,$E657=0,$D658&lt;=10)),$E658,IF($C657&lt;LataProjekcji,IF((SUM($K659:P659)+$C659)&lt;$C658,$C659,$C658-SUM($K659:P659)),0)),0)</f>
        <v>0</v>
      </c>
      <c r="R659" s="247">
        <f ca="1">ROUND(IF(OR(AND($C657=LataProjekcji,$E657&gt;0),AND($C657=LataProjekcji,$E657=0,$D658&lt;=10)),$E658,IF($C657&lt;LataProjekcji,IF((SUM($K659:Q659)+$C659)&lt;$C658,$C659,$C658-SUM($K659:Q659)),0)),0)</f>
        <v>0</v>
      </c>
      <c r="S659" s="247">
        <f ca="1">ROUND(IF(OR(AND($C657=LataProjekcji,$E657&gt;0),AND($C657=LataProjekcji,$E657=0,$D658&lt;=10)),$E658,IF($C657&lt;LataProjekcji,IF((SUM($K659:R659)+$C659)&lt;$C658,$C659,$C658-SUM($K659:R659)),0)),0)</f>
        <v>0</v>
      </c>
      <c r="T659" s="247">
        <f ca="1">ROUND(IF(OR(AND($C657=LataProjekcji,$E657&gt;0),AND($C657=LataProjekcji,$E657=0,$D658&lt;=10)),$E658,IF($C657&lt;LataProjekcji,IF((SUM($K659:S659)+$C659)&lt;$C658,$C659,$C658-SUM($K659:S659)),0)),0)</f>
        <v>0</v>
      </c>
      <c r="U659" s="247">
        <f ca="1">ROUND(IF(OR(AND($C657=LataProjekcji,$E657&gt;0),AND($C657=LataProjekcji,$E657=0,$D658&lt;=10)),$E658,IF($C657&lt;LataProjekcji,IF((SUM($K659:T659)+$C659)&lt;$C658,$C659,$C658-SUM($K659:T659)),0)),0)</f>
        <v>0</v>
      </c>
      <c r="V659" s="247">
        <f ca="1">ROUND(IF(OR(AND($C657=LataProjekcji,$E657&gt;0),AND($C657=LataProjekcji,$E657=0,$D658&lt;=10)),$E658,IF($C657&lt;LataProjekcji,IF((SUM($K659:U659)+$C659)&lt;$C658,$C659,$C658-SUM($K659:U659)),0)),0)</f>
        <v>0</v>
      </c>
      <c r="W659" s="247">
        <f ca="1">ROUND(IF(OR(AND($C657=LataProjekcji,$E657&gt;0),AND($C657=LataProjekcji,$E657=0,$D658&lt;=10)),$E658,IF($C657&lt;LataProjekcji,IF((SUM($K659:V659)+$C659)&lt;$C658,$C659,$C658-SUM($K659:V659)),0)),0)</f>
        <v>0</v>
      </c>
      <c r="X659" s="247">
        <f ca="1">ROUND(IF(OR(AND($C657=LataProjekcji,$E657&gt;0),AND($C657=LataProjekcji,$E657=0,$D658&lt;=10)),$E658,IF($C657&lt;LataProjekcji,IF((SUM($K659:W659)+$C659)&lt;$C658,$C659,$C658-SUM($K659:W659)),0)),0)</f>
        <v>0</v>
      </c>
    </row>
    <row r="660" spans="1:24" hidden="1">
      <c r="A660" s="258"/>
      <c r="B660" s="21" t="s">
        <v>416</v>
      </c>
      <c r="C660" s="22"/>
      <c r="D660" s="21"/>
      <c r="E660" s="21"/>
      <c r="F660" s="21"/>
      <c r="G660" s="21"/>
      <c r="I660" s="21"/>
      <c r="J660" s="21"/>
      <c r="K660" s="22">
        <f ca="1">ROUND(K659,0)</f>
        <v>0</v>
      </c>
      <c r="L660" s="22">
        <f t="shared" ref="L660:X660" ca="1" si="365">ROUND(K660+L659,0)</f>
        <v>0</v>
      </c>
      <c r="M660" s="22">
        <f t="shared" ca="1" si="365"/>
        <v>0</v>
      </c>
      <c r="N660" s="22">
        <f t="shared" ca="1" si="365"/>
        <v>0</v>
      </c>
      <c r="O660" s="22">
        <f t="shared" ca="1" si="365"/>
        <v>0</v>
      </c>
      <c r="P660" s="22">
        <f t="shared" ca="1" si="365"/>
        <v>0</v>
      </c>
      <c r="Q660" s="22">
        <f t="shared" ca="1" si="365"/>
        <v>0</v>
      </c>
      <c r="R660" s="22">
        <f t="shared" ca="1" si="365"/>
        <v>0</v>
      </c>
      <c r="S660" s="22">
        <f t="shared" ca="1" si="365"/>
        <v>0</v>
      </c>
      <c r="T660" s="22">
        <f t="shared" ca="1" si="365"/>
        <v>0</v>
      </c>
      <c r="U660" s="22">
        <f t="shared" ca="1" si="365"/>
        <v>0</v>
      </c>
      <c r="V660" s="22">
        <f t="shared" ca="1" si="365"/>
        <v>0</v>
      </c>
      <c r="W660" s="22">
        <f t="shared" ca="1" si="365"/>
        <v>0</v>
      </c>
      <c r="X660" s="22">
        <f t="shared" ca="1" si="365"/>
        <v>0</v>
      </c>
    </row>
    <row r="661" spans="1:24" hidden="1">
      <c r="A661" s="258"/>
      <c r="B661" s="21" t="s">
        <v>406</v>
      </c>
      <c r="C661" s="22"/>
      <c r="D661" s="21"/>
      <c r="E661" s="21"/>
      <c r="F661" s="21"/>
      <c r="G661" s="21"/>
      <c r="I661" s="21"/>
      <c r="J661" s="21"/>
      <c r="K661" s="76">
        <f t="shared" ref="K661:X661" ca="1" si="366">IF($C657=LataProjekcji,ROUND($C658-K660,0),ROUND(IF(K659=0,0,$C658-K660),0))</f>
        <v>0</v>
      </c>
      <c r="L661" s="76">
        <f t="shared" ca="1" si="366"/>
        <v>0</v>
      </c>
      <c r="M661" s="76">
        <f t="shared" ca="1" si="366"/>
        <v>0</v>
      </c>
      <c r="N661" s="76">
        <f t="shared" ca="1" si="366"/>
        <v>0</v>
      </c>
      <c r="O661" s="76">
        <f t="shared" ca="1" si="366"/>
        <v>0</v>
      </c>
      <c r="P661" s="76">
        <f t="shared" ca="1" si="366"/>
        <v>0</v>
      </c>
      <c r="Q661" s="76">
        <f t="shared" ca="1" si="366"/>
        <v>0</v>
      </c>
      <c r="R661" s="76">
        <f t="shared" ca="1" si="366"/>
        <v>0</v>
      </c>
      <c r="S661" s="76">
        <f t="shared" ca="1" si="366"/>
        <v>0</v>
      </c>
      <c r="T661" s="76">
        <f t="shared" ca="1" si="366"/>
        <v>0</v>
      </c>
      <c r="U661" s="76">
        <f t="shared" ca="1" si="366"/>
        <v>0</v>
      </c>
      <c r="V661" s="76">
        <f t="shared" ca="1" si="366"/>
        <v>0</v>
      </c>
      <c r="W661" s="76">
        <f t="shared" ca="1" si="366"/>
        <v>0</v>
      </c>
      <c r="X661" s="76">
        <f t="shared" ca="1" si="366"/>
        <v>0</v>
      </c>
    </row>
    <row r="662" spans="1:24" hidden="1">
      <c r="A662" s="258"/>
      <c r="B662" s="21"/>
      <c r="C662" s="22"/>
      <c r="D662" s="21"/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0" t="s">
        <v>390</v>
      </c>
      <c r="C663" s="21">
        <f>C656+1</f>
        <v>73</v>
      </c>
      <c r="D663" s="473">
        <f>D656+1</f>
        <v>165</v>
      </c>
      <c r="E663" s="21"/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414</v>
      </c>
      <c r="C664" s="164">
        <f ca="1">IFERROR(YEAR(OFFSET($D$28,C663,0)),0)</f>
        <v>0</v>
      </c>
      <c r="D664" s="164">
        <f ca="1">IFERROR(MONTH(OFFSET($D$28,C663,0)),0)</f>
        <v>0</v>
      </c>
      <c r="E664" s="21">
        <f ca="1">12-$D664</f>
        <v>12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406</v>
      </c>
      <c r="C665" s="244">
        <f ca="1">IF(OFFSET($F$28,C663,0)&lt;0,0,OFFSET($F$28,C663,0))</f>
        <v>0</v>
      </c>
      <c r="D665" s="22" t="str">
        <f ca="1">OFFSET($C$28,C663,0)</f>
        <v/>
      </c>
      <c r="E665" s="22">
        <f ca="1">IF(D665&gt;10,ROUND(($C666/12)*$E664,0),$C665)</f>
        <v>0</v>
      </c>
      <c r="F665" s="21"/>
      <c r="G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1:24" hidden="1">
      <c r="A666" s="258"/>
      <c r="B666" s="21" t="s">
        <v>415</v>
      </c>
      <c r="C666" s="244">
        <f ca="1">IF(ISBLANK(OFFSET($D$28,C663,0)),0,IF(OFFSET($C$28,C663,0)&gt;10,ROUND(C665*am_budynki,0),IF(C665&lt;0,0,C665)))</f>
        <v>0</v>
      </c>
      <c r="D666" s="21"/>
      <c r="E666" s="21"/>
      <c r="F666" s="21"/>
      <c r="G666" s="21"/>
      <c r="I666" s="21"/>
      <c r="J666" s="473" cm="1">
        <f t="array" aca="1" ref="J666" ca="1">OFFSET('Środki trwałe'!$C$195,'Rozliczenie dotacji'!D663,,)</f>
        <v>0</v>
      </c>
      <c r="K666" s="74">
        <f ca="1">ROUND(IF($C664=LataProjekcji,$E665,IF($C664=LataProjekcji,$C666,0)),0)</f>
        <v>0</v>
      </c>
      <c r="L666" s="247">
        <f ca="1">ROUND(IF(OR(AND($C664=LataProjekcji,$E664&gt;0),AND($C664=LataProjekcji,$E664=0,$D665&lt;=10)),$E665,IF($C664&lt;LataProjekcji,IF((SUM($K666:K666)+$C666)&lt;$C665,$C666,$C665-SUM($K666:K666)),0)),0)</f>
        <v>0</v>
      </c>
      <c r="M666" s="247">
        <f ca="1">ROUND(IF(OR(AND($C664=LataProjekcji,$E664&gt;0),AND($C664=LataProjekcji,$E664=0,$D665&lt;=10)),$E665,IF($C664&lt;LataProjekcji,IF((SUM($K666:L666)+$C666)&lt;$C665,$C666,$C665-SUM($K666:L666)),0)),0)</f>
        <v>0</v>
      </c>
      <c r="N666" s="247">
        <f ca="1">ROUND(IF(OR(AND($C664=LataProjekcji,$E664&gt;0),AND($C664=LataProjekcji,$E664=0,$D665&lt;=10)),$E665,IF($C664&lt;LataProjekcji,IF((SUM($K666:M666)+$C666)&lt;$C665,$C666,$C665-SUM($K666:M666)),0)),0)</f>
        <v>0</v>
      </c>
      <c r="O666" s="247">
        <f ca="1">ROUND(IF(OR(AND($C664=LataProjekcji,$E664&gt;0),AND($C664=LataProjekcji,$E664=0,$D665&lt;=10)),$E665,IF($C664&lt;LataProjekcji,IF((SUM($K666:N666)+$C666)&lt;$C665,$C666,$C665-SUM($K666:N666)),0)),0)</f>
        <v>0</v>
      </c>
      <c r="P666" s="247">
        <f ca="1">ROUND(IF(OR(AND($C664=LataProjekcji,$E664&gt;0),AND($C664=LataProjekcji,$E664=0,$D665&lt;=10)),$E665,IF($C664&lt;LataProjekcji,IF((SUM($K666:O666)+$C666)&lt;$C665,$C666,$C665-SUM($K666:O666)),0)),0)</f>
        <v>0</v>
      </c>
      <c r="Q666" s="247">
        <f ca="1">ROUND(IF(OR(AND($C664=LataProjekcji,$E664&gt;0),AND($C664=LataProjekcji,$E664=0,$D665&lt;=10)),$E665,IF($C664&lt;LataProjekcji,IF((SUM($K666:P666)+$C666)&lt;$C665,$C666,$C665-SUM($K666:P666)),0)),0)</f>
        <v>0</v>
      </c>
      <c r="R666" s="247">
        <f ca="1">ROUND(IF(OR(AND($C664=LataProjekcji,$E664&gt;0),AND($C664=LataProjekcji,$E664=0,$D665&lt;=10)),$E665,IF($C664&lt;LataProjekcji,IF((SUM($K666:Q666)+$C666)&lt;$C665,$C666,$C665-SUM($K666:Q666)),0)),0)</f>
        <v>0</v>
      </c>
      <c r="S666" s="247">
        <f ca="1">ROUND(IF(OR(AND($C664=LataProjekcji,$E664&gt;0),AND($C664=LataProjekcji,$E664=0,$D665&lt;=10)),$E665,IF($C664&lt;LataProjekcji,IF((SUM($K666:R666)+$C666)&lt;$C665,$C666,$C665-SUM($K666:R666)),0)),0)</f>
        <v>0</v>
      </c>
      <c r="T666" s="247">
        <f ca="1">ROUND(IF(OR(AND($C664=LataProjekcji,$E664&gt;0),AND($C664=LataProjekcji,$E664=0,$D665&lt;=10)),$E665,IF($C664&lt;LataProjekcji,IF((SUM($K666:S666)+$C666)&lt;$C665,$C666,$C665-SUM($K666:S666)),0)),0)</f>
        <v>0</v>
      </c>
      <c r="U666" s="247">
        <f ca="1">ROUND(IF(OR(AND($C664=LataProjekcji,$E664&gt;0),AND($C664=LataProjekcji,$E664=0,$D665&lt;=10)),$E665,IF($C664&lt;LataProjekcji,IF((SUM($K666:T666)+$C666)&lt;$C665,$C666,$C665-SUM($K666:T666)),0)),0)</f>
        <v>0</v>
      </c>
      <c r="V666" s="247">
        <f ca="1">ROUND(IF(OR(AND($C664=LataProjekcji,$E664&gt;0),AND($C664=LataProjekcji,$E664=0,$D665&lt;=10)),$E665,IF($C664&lt;LataProjekcji,IF((SUM($K666:U666)+$C666)&lt;$C665,$C666,$C665-SUM($K666:U666)),0)),0)</f>
        <v>0</v>
      </c>
      <c r="W666" s="247">
        <f ca="1">ROUND(IF(OR(AND($C664=LataProjekcji,$E664&gt;0),AND($C664=LataProjekcji,$E664=0,$D665&lt;=10)),$E665,IF($C664&lt;LataProjekcji,IF((SUM($K666:V666)+$C666)&lt;$C665,$C666,$C665-SUM($K666:V666)),0)),0)</f>
        <v>0</v>
      </c>
      <c r="X666" s="247">
        <f ca="1">ROUND(IF(OR(AND($C664=LataProjekcji,$E664&gt;0),AND($C664=LataProjekcji,$E664=0,$D665&lt;=10)),$E665,IF($C664&lt;LataProjekcji,IF((SUM($K666:W666)+$C666)&lt;$C665,$C666,$C665-SUM($K666:W666)),0)),0)</f>
        <v>0</v>
      </c>
    </row>
    <row r="667" spans="1:24" hidden="1">
      <c r="A667" s="258"/>
      <c r="B667" s="21" t="s">
        <v>416</v>
      </c>
      <c r="C667" s="22"/>
      <c r="D667" s="21"/>
      <c r="E667" s="21"/>
      <c r="F667" s="21"/>
      <c r="G667" s="21"/>
      <c r="I667" s="21"/>
      <c r="J667" s="21"/>
      <c r="K667" s="22">
        <f ca="1">ROUND(K666,0)</f>
        <v>0</v>
      </c>
      <c r="L667" s="22">
        <f t="shared" ref="L667:X667" ca="1" si="367">ROUND(K667+L666,0)</f>
        <v>0</v>
      </c>
      <c r="M667" s="22">
        <f t="shared" ca="1" si="367"/>
        <v>0</v>
      </c>
      <c r="N667" s="22">
        <f t="shared" ca="1" si="367"/>
        <v>0</v>
      </c>
      <c r="O667" s="22">
        <f t="shared" ca="1" si="367"/>
        <v>0</v>
      </c>
      <c r="P667" s="22">
        <f t="shared" ca="1" si="367"/>
        <v>0</v>
      </c>
      <c r="Q667" s="22">
        <f t="shared" ca="1" si="367"/>
        <v>0</v>
      </c>
      <c r="R667" s="22">
        <f t="shared" ca="1" si="367"/>
        <v>0</v>
      </c>
      <c r="S667" s="22">
        <f t="shared" ca="1" si="367"/>
        <v>0</v>
      </c>
      <c r="T667" s="22">
        <f t="shared" ca="1" si="367"/>
        <v>0</v>
      </c>
      <c r="U667" s="22">
        <f t="shared" ca="1" si="367"/>
        <v>0</v>
      </c>
      <c r="V667" s="22">
        <f t="shared" ca="1" si="367"/>
        <v>0</v>
      </c>
      <c r="W667" s="22">
        <f t="shared" ca="1" si="367"/>
        <v>0</v>
      </c>
      <c r="X667" s="22">
        <f t="shared" ca="1" si="367"/>
        <v>0</v>
      </c>
    </row>
    <row r="668" spans="1:24" hidden="1">
      <c r="A668" s="258"/>
      <c r="B668" s="21" t="s">
        <v>406</v>
      </c>
      <c r="C668" s="22"/>
      <c r="D668" s="21"/>
      <c r="E668" s="21"/>
      <c r="F668" s="21"/>
      <c r="G668" s="21"/>
      <c r="I668" s="21"/>
      <c r="J668" s="21"/>
      <c r="K668" s="76">
        <f t="shared" ref="K668:X668" ca="1" si="368">IF($C664=LataProjekcji,ROUND($C665-K667,0),ROUND(IF(K666=0,0,$C665-K667),0))</f>
        <v>0</v>
      </c>
      <c r="L668" s="76">
        <f t="shared" ca="1" si="368"/>
        <v>0</v>
      </c>
      <c r="M668" s="76">
        <f t="shared" ca="1" si="368"/>
        <v>0</v>
      </c>
      <c r="N668" s="76">
        <f t="shared" ca="1" si="368"/>
        <v>0</v>
      </c>
      <c r="O668" s="76">
        <f t="shared" ca="1" si="368"/>
        <v>0</v>
      </c>
      <c r="P668" s="76">
        <f t="shared" ca="1" si="368"/>
        <v>0</v>
      </c>
      <c r="Q668" s="76">
        <f t="shared" ca="1" si="368"/>
        <v>0</v>
      </c>
      <c r="R668" s="76">
        <f t="shared" ca="1" si="368"/>
        <v>0</v>
      </c>
      <c r="S668" s="76">
        <f t="shared" ca="1" si="368"/>
        <v>0</v>
      </c>
      <c r="T668" s="76">
        <f t="shared" ca="1" si="368"/>
        <v>0</v>
      </c>
      <c r="U668" s="76">
        <f t="shared" ca="1" si="368"/>
        <v>0</v>
      </c>
      <c r="V668" s="76">
        <f t="shared" ca="1" si="368"/>
        <v>0</v>
      </c>
      <c r="W668" s="76">
        <f t="shared" ca="1" si="368"/>
        <v>0</v>
      </c>
      <c r="X668" s="76">
        <f t="shared" ca="1" si="368"/>
        <v>0</v>
      </c>
    </row>
    <row r="669" spans="1:24" hidden="1">
      <c r="A669" s="258"/>
      <c r="B669" s="20"/>
      <c r="C669" s="21"/>
      <c r="D669" s="21"/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0" t="s">
        <v>390</v>
      </c>
      <c r="C670" s="21">
        <f>C663+1</f>
        <v>74</v>
      </c>
      <c r="D670" s="473">
        <f>D663+1</f>
        <v>166</v>
      </c>
      <c r="E670" s="21"/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414</v>
      </c>
      <c r="C671" s="164">
        <f ca="1">IFERROR(YEAR(OFFSET($D$28,C670,0)),0)</f>
        <v>0</v>
      </c>
      <c r="D671" s="164">
        <f ca="1">IFERROR(MONTH(OFFSET($D$28,C670,0)),0)</f>
        <v>0</v>
      </c>
      <c r="E671" s="21">
        <f ca="1">12-$D671</f>
        <v>12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406</v>
      </c>
      <c r="C672" s="244">
        <f ca="1">IF(OFFSET($F$28,C670,0)&lt;0,0,OFFSET($F$28,C670,0))</f>
        <v>0</v>
      </c>
      <c r="D672" s="22" t="str">
        <f ca="1">OFFSET($C$28,C670,0)</f>
        <v/>
      </c>
      <c r="E672" s="22">
        <f ca="1">IF(D672&gt;10,ROUND(($C673/12)*$E671,0),$C672)</f>
        <v>0</v>
      </c>
      <c r="F672" s="21"/>
      <c r="G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1:24" hidden="1">
      <c r="A673" s="258"/>
      <c r="B673" s="21" t="s">
        <v>415</v>
      </c>
      <c r="C673" s="244">
        <f ca="1">IF(ISBLANK(OFFSET($D$28,C670,0)),0,IF(OFFSET($C$28,C670,0)&gt;10,ROUND(C672*am_budynki,0),IF(C672&lt;0,0,C672)))</f>
        <v>0</v>
      </c>
      <c r="D673" s="21"/>
      <c r="E673" s="21"/>
      <c r="F673" s="21"/>
      <c r="G673" s="21"/>
      <c r="I673" s="21"/>
      <c r="J673" s="473" cm="1">
        <f t="array" aca="1" ref="J673" ca="1">OFFSET('Środki trwałe'!$C$195,'Rozliczenie dotacji'!D670,,)</f>
        <v>0</v>
      </c>
      <c r="K673" s="74">
        <f ca="1">ROUND(IF($C671=LataProjekcji,$E672,IF($C671=LataProjekcji,$C673,0)),0)</f>
        <v>0</v>
      </c>
      <c r="L673" s="247">
        <f ca="1">ROUND(IF(OR(AND($C671=LataProjekcji,$E671&gt;0),AND($C671=LataProjekcji,$E671=0,$D672&lt;=10)),$E672,IF($C671&lt;LataProjekcji,IF((SUM($K673:K673)+$C673)&lt;$C672,$C673,$C672-SUM($K673:K673)),0)),0)</f>
        <v>0</v>
      </c>
      <c r="M673" s="247">
        <f ca="1">ROUND(IF(OR(AND($C671=LataProjekcji,$E671&gt;0),AND($C671=LataProjekcji,$E671=0,$D672&lt;=10)),$E672,IF($C671&lt;LataProjekcji,IF((SUM($K673:L673)+$C673)&lt;$C672,$C673,$C672-SUM($K673:L673)),0)),0)</f>
        <v>0</v>
      </c>
      <c r="N673" s="247">
        <f ca="1">ROUND(IF(OR(AND($C671=LataProjekcji,$E671&gt;0),AND($C671=LataProjekcji,$E671=0,$D672&lt;=10)),$E672,IF($C671&lt;LataProjekcji,IF((SUM($K673:M673)+$C673)&lt;$C672,$C673,$C672-SUM($K673:M673)),0)),0)</f>
        <v>0</v>
      </c>
      <c r="O673" s="247">
        <f ca="1">ROUND(IF(OR(AND($C671=LataProjekcji,$E671&gt;0),AND($C671=LataProjekcji,$E671=0,$D672&lt;=10)),$E672,IF($C671&lt;LataProjekcji,IF((SUM($K673:N673)+$C673)&lt;$C672,$C673,$C672-SUM($K673:N673)),0)),0)</f>
        <v>0</v>
      </c>
      <c r="P673" s="247">
        <f ca="1">ROUND(IF(OR(AND($C671=LataProjekcji,$E671&gt;0),AND($C671=LataProjekcji,$E671=0,$D672&lt;=10)),$E672,IF($C671&lt;LataProjekcji,IF((SUM($K673:O673)+$C673)&lt;$C672,$C673,$C672-SUM($K673:O673)),0)),0)</f>
        <v>0</v>
      </c>
      <c r="Q673" s="247">
        <f ca="1">ROUND(IF(OR(AND($C671=LataProjekcji,$E671&gt;0),AND($C671=LataProjekcji,$E671=0,$D672&lt;=10)),$E672,IF($C671&lt;LataProjekcji,IF((SUM($K673:P673)+$C673)&lt;$C672,$C673,$C672-SUM($K673:P673)),0)),0)</f>
        <v>0</v>
      </c>
      <c r="R673" s="247">
        <f ca="1">ROUND(IF(OR(AND($C671=LataProjekcji,$E671&gt;0),AND($C671=LataProjekcji,$E671=0,$D672&lt;=10)),$E672,IF($C671&lt;LataProjekcji,IF((SUM($K673:Q673)+$C673)&lt;$C672,$C673,$C672-SUM($K673:Q673)),0)),0)</f>
        <v>0</v>
      </c>
      <c r="S673" s="247">
        <f ca="1">ROUND(IF(OR(AND($C671=LataProjekcji,$E671&gt;0),AND($C671=LataProjekcji,$E671=0,$D672&lt;=10)),$E672,IF($C671&lt;LataProjekcji,IF((SUM($K673:R673)+$C673)&lt;$C672,$C673,$C672-SUM($K673:R673)),0)),0)</f>
        <v>0</v>
      </c>
      <c r="T673" s="247">
        <f ca="1">ROUND(IF(OR(AND($C671=LataProjekcji,$E671&gt;0),AND($C671=LataProjekcji,$E671=0,$D672&lt;=10)),$E672,IF($C671&lt;LataProjekcji,IF((SUM($K673:S673)+$C673)&lt;$C672,$C673,$C672-SUM($K673:S673)),0)),0)</f>
        <v>0</v>
      </c>
      <c r="U673" s="247">
        <f ca="1">ROUND(IF(OR(AND($C671=LataProjekcji,$E671&gt;0),AND($C671=LataProjekcji,$E671=0,$D672&lt;=10)),$E672,IF($C671&lt;LataProjekcji,IF((SUM($K673:T673)+$C673)&lt;$C672,$C673,$C672-SUM($K673:T673)),0)),0)</f>
        <v>0</v>
      </c>
      <c r="V673" s="247">
        <f ca="1">ROUND(IF(OR(AND($C671=LataProjekcji,$E671&gt;0),AND($C671=LataProjekcji,$E671=0,$D672&lt;=10)),$E672,IF($C671&lt;LataProjekcji,IF((SUM($K673:U673)+$C673)&lt;$C672,$C673,$C672-SUM($K673:U673)),0)),0)</f>
        <v>0</v>
      </c>
      <c r="W673" s="247">
        <f ca="1">ROUND(IF(OR(AND($C671=LataProjekcji,$E671&gt;0),AND($C671=LataProjekcji,$E671=0,$D672&lt;=10)),$E672,IF($C671&lt;LataProjekcji,IF((SUM($K673:V673)+$C673)&lt;$C672,$C673,$C672-SUM($K673:V673)),0)),0)</f>
        <v>0</v>
      </c>
      <c r="X673" s="247">
        <f ca="1">ROUND(IF(OR(AND($C671=LataProjekcji,$E671&gt;0),AND($C671=LataProjekcji,$E671=0,$D672&lt;=10)),$E672,IF($C671&lt;LataProjekcji,IF((SUM($K673:W673)+$C673)&lt;$C672,$C673,$C672-SUM($K673:W673)),0)),0)</f>
        <v>0</v>
      </c>
    </row>
    <row r="674" spans="1:24" hidden="1">
      <c r="A674" s="258"/>
      <c r="B674" s="21" t="s">
        <v>416</v>
      </c>
      <c r="C674" s="22"/>
      <c r="D674" s="21"/>
      <c r="E674" s="21"/>
      <c r="F674" s="21"/>
      <c r="G674" s="21"/>
      <c r="I674" s="21"/>
      <c r="J674" s="21"/>
      <c r="K674" s="22">
        <f ca="1">ROUND(K673,0)</f>
        <v>0</v>
      </c>
      <c r="L674" s="22">
        <f t="shared" ref="L674:X674" ca="1" si="369">ROUND(K674+L673,0)</f>
        <v>0</v>
      </c>
      <c r="M674" s="22">
        <f t="shared" ca="1" si="369"/>
        <v>0</v>
      </c>
      <c r="N674" s="22">
        <f t="shared" ca="1" si="369"/>
        <v>0</v>
      </c>
      <c r="O674" s="22">
        <f t="shared" ca="1" si="369"/>
        <v>0</v>
      </c>
      <c r="P674" s="22">
        <f t="shared" ca="1" si="369"/>
        <v>0</v>
      </c>
      <c r="Q674" s="22">
        <f t="shared" ca="1" si="369"/>
        <v>0</v>
      </c>
      <c r="R674" s="22">
        <f t="shared" ca="1" si="369"/>
        <v>0</v>
      </c>
      <c r="S674" s="22">
        <f t="shared" ca="1" si="369"/>
        <v>0</v>
      </c>
      <c r="T674" s="22">
        <f t="shared" ca="1" si="369"/>
        <v>0</v>
      </c>
      <c r="U674" s="22">
        <f t="shared" ca="1" si="369"/>
        <v>0</v>
      </c>
      <c r="V674" s="22">
        <f t="shared" ca="1" si="369"/>
        <v>0</v>
      </c>
      <c r="W674" s="22">
        <f t="shared" ca="1" si="369"/>
        <v>0</v>
      </c>
      <c r="X674" s="22">
        <f t="shared" ca="1" si="369"/>
        <v>0</v>
      </c>
    </row>
    <row r="675" spans="1:24" hidden="1">
      <c r="A675" s="258"/>
      <c r="B675" s="21" t="s">
        <v>406</v>
      </c>
      <c r="C675" s="22"/>
      <c r="D675" s="21"/>
      <c r="E675" s="21"/>
      <c r="F675" s="21"/>
      <c r="G675" s="21"/>
      <c r="I675" s="21"/>
      <c r="J675" s="21"/>
      <c r="K675" s="76">
        <f t="shared" ref="K675:X675" ca="1" si="370">IF($C671=LataProjekcji,ROUND($C672-K674,0),ROUND(IF(K673=0,0,$C672-K674),0))</f>
        <v>0</v>
      </c>
      <c r="L675" s="76">
        <f t="shared" ca="1" si="370"/>
        <v>0</v>
      </c>
      <c r="M675" s="76">
        <f t="shared" ca="1" si="370"/>
        <v>0</v>
      </c>
      <c r="N675" s="76">
        <f t="shared" ca="1" si="370"/>
        <v>0</v>
      </c>
      <c r="O675" s="76">
        <f t="shared" ca="1" si="370"/>
        <v>0</v>
      </c>
      <c r="P675" s="76">
        <f t="shared" ca="1" si="370"/>
        <v>0</v>
      </c>
      <c r="Q675" s="76">
        <f t="shared" ca="1" si="370"/>
        <v>0</v>
      </c>
      <c r="R675" s="76">
        <f t="shared" ca="1" si="370"/>
        <v>0</v>
      </c>
      <c r="S675" s="76">
        <f t="shared" ca="1" si="370"/>
        <v>0</v>
      </c>
      <c r="T675" s="76">
        <f t="shared" ca="1" si="370"/>
        <v>0</v>
      </c>
      <c r="U675" s="76">
        <f t="shared" ca="1" si="370"/>
        <v>0</v>
      </c>
      <c r="V675" s="76">
        <f t="shared" ca="1" si="370"/>
        <v>0</v>
      </c>
      <c r="W675" s="76">
        <f t="shared" ca="1" si="370"/>
        <v>0</v>
      </c>
      <c r="X675" s="76">
        <f t="shared" ca="1" si="370"/>
        <v>0</v>
      </c>
    </row>
    <row r="676" spans="1:24" hidden="1">
      <c r="A676" s="258"/>
      <c r="B676" s="21"/>
      <c r="C676" s="21"/>
      <c r="D676" s="21"/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0" t="s">
        <v>390</v>
      </c>
      <c r="C677" s="21">
        <f>C670+1</f>
        <v>75</v>
      </c>
      <c r="D677" s="473">
        <f>D670+1</f>
        <v>167</v>
      </c>
      <c r="E677" s="21"/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414</v>
      </c>
      <c r="C678" s="164">
        <f ca="1">IFERROR(YEAR(OFFSET($D$28,C677,0)),0)</f>
        <v>0</v>
      </c>
      <c r="D678" s="164">
        <f ca="1">IFERROR(MONTH(OFFSET($D$28,C677,0)),0)</f>
        <v>0</v>
      </c>
      <c r="E678" s="21">
        <f ca="1">12-$D678</f>
        <v>12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406</v>
      </c>
      <c r="C679" s="244">
        <f ca="1">IF(OFFSET($F$28,C677,0)&lt;0,0,OFFSET($F$28,C677,0))</f>
        <v>0</v>
      </c>
      <c r="D679" s="22" t="str">
        <f ca="1">OFFSET($C$28,C677,0)</f>
        <v/>
      </c>
      <c r="E679" s="22">
        <f ca="1">IF(D679&gt;10,ROUND(($C680/12)*$E678,0),$C679)</f>
        <v>0</v>
      </c>
      <c r="F679" s="21"/>
      <c r="G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1:24" hidden="1">
      <c r="A680" s="258"/>
      <c r="B680" s="21" t="s">
        <v>415</v>
      </c>
      <c r="C680" s="244">
        <f ca="1">IF(ISBLANK(OFFSET($D$28,C677,0)),0,IF(OFFSET($C$28,C677,0)&gt;10,ROUND(C679*am_budynki,0),IF(C679&lt;0,0,C679)))</f>
        <v>0</v>
      </c>
      <c r="D680" s="21"/>
      <c r="E680" s="21"/>
      <c r="F680" s="21"/>
      <c r="G680" s="21"/>
      <c r="I680" s="21"/>
      <c r="J680" s="473" cm="1">
        <f t="array" aca="1" ref="J680" ca="1">OFFSET('Środki trwałe'!$C$195,'Rozliczenie dotacji'!D677,,)</f>
        <v>0</v>
      </c>
      <c r="K680" s="74">
        <f ca="1">ROUND(IF($C678=LataProjekcji,$E679,IF($C678=LataProjekcji,$C680,0)),0)</f>
        <v>0</v>
      </c>
      <c r="L680" s="247">
        <f ca="1">ROUND(IF(OR(AND($C678=LataProjekcji,$E678&gt;0),AND($C678=LataProjekcji,$E678=0,$D679&lt;=10)),$E679,IF($C678&lt;LataProjekcji,IF((SUM($K680:K680)+$C680)&lt;$C679,$C680,$C679-SUM($K680:K680)),0)),0)</f>
        <v>0</v>
      </c>
      <c r="M680" s="247">
        <f ca="1">ROUND(IF(OR(AND($C678=LataProjekcji,$E678&gt;0),AND($C678=LataProjekcji,$E678=0,$D679&lt;=10)),$E679,IF($C678&lt;LataProjekcji,IF((SUM($K680:L680)+$C680)&lt;$C679,$C680,$C679-SUM($K680:L680)),0)),0)</f>
        <v>0</v>
      </c>
      <c r="N680" s="247">
        <f ca="1">ROUND(IF(OR(AND($C678=LataProjekcji,$E678&gt;0),AND($C678=LataProjekcji,$E678=0,$D679&lt;=10)),$E679,IF($C678&lt;LataProjekcji,IF((SUM($K680:M680)+$C680)&lt;$C679,$C680,$C679-SUM($K680:M680)),0)),0)</f>
        <v>0</v>
      </c>
      <c r="O680" s="247">
        <f ca="1">ROUND(IF(OR(AND($C678=LataProjekcji,$E678&gt;0),AND($C678=LataProjekcji,$E678=0,$D679&lt;=10)),$E679,IF($C678&lt;LataProjekcji,IF((SUM($K680:N680)+$C680)&lt;$C679,$C680,$C679-SUM($K680:N680)),0)),0)</f>
        <v>0</v>
      </c>
      <c r="P680" s="247">
        <f ca="1">ROUND(IF(OR(AND($C678=LataProjekcji,$E678&gt;0),AND($C678=LataProjekcji,$E678=0,$D679&lt;=10)),$E679,IF($C678&lt;LataProjekcji,IF((SUM($K680:O680)+$C680)&lt;$C679,$C680,$C679-SUM($K680:O680)),0)),0)</f>
        <v>0</v>
      </c>
      <c r="Q680" s="247">
        <f ca="1">ROUND(IF(OR(AND($C678=LataProjekcji,$E678&gt;0),AND($C678=LataProjekcji,$E678=0,$D679&lt;=10)),$E679,IF($C678&lt;LataProjekcji,IF((SUM($K680:P680)+$C680)&lt;$C679,$C680,$C679-SUM($K680:P680)),0)),0)</f>
        <v>0</v>
      </c>
      <c r="R680" s="247">
        <f ca="1">ROUND(IF(OR(AND($C678=LataProjekcji,$E678&gt;0),AND($C678=LataProjekcji,$E678=0,$D679&lt;=10)),$E679,IF($C678&lt;LataProjekcji,IF((SUM($K680:Q680)+$C680)&lt;$C679,$C680,$C679-SUM($K680:Q680)),0)),0)</f>
        <v>0</v>
      </c>
      <c r="S680" s="247">
        <f ca="1">ROUND(IF(OR(AND($C678=LataProjekcji,$E678&gt;0),AND($C678=LataProjekcji,$E678=0,$D679&lt;=10)),$E679,IF($C678&lt;LataProjekcji,IF((SUM($K680:R680)+$C680)&lt;$C679,$C680,$C679-SUM($K680:R680)),0)),0)</f>
        <v>0</v>
      </c>
      <c r="T680" s="247">
        <f ca="1">ROUND(IF(OR(AND($C678=LataProjekcji,$E678&gt;0),AND($C678=LataProjekcji,$E678=0,$D679&lt;=10)),$E679,IF($C678&lt;LataProjekcji,IF((SUM($K680:S680)+$C680)&lt;$C679,$C680,$C679-SUM($K680:S680)),0)),0)</f>
        <v>0</v>
      </c>
      <c r="U680" s="247">
        <f ca="1">ROUND(IF(OR(AND($C678=LataProjekcji,$E678&gt;0),AND($C678=LataProjekcji,$E678=0,$D679&lt;=10)),$E679,IF($C678&lt;LataProjekcji,IF((SUM($K680:T680)+$C680)&lt;$C679,$C680,$C679-SUM($K680:T680)),0)),0)</f>
        <v>0</v>
      </c>
      <c r="V680" s="247">
        <f ca="1">ROUND(IF(OR(AND($C678=LataProjekcji,$E678&gt;0),AND($C678=LataProjekcji,$E678=0,$D679&lt;=10)),$E679,IF($C678&lt;LataProjekcji,IF((SUM($K680:U680)+$C680)&lt;$C679,$C680,$C679-SUM($K680:U680)),0)),0)</f>
        <v>0</v>
      </c>
      <c r="W680" s="247">
        <f ca="1">ROUND(IF(OR(AND($C678=LataProjekcji,$E678&gt;0),AND($C678=LataProjekcji,$E678=0,$D679&lt;=10)),$E679,IF($C678&lt;LataProjekcji,IF((SUM($K680:V680)+$C680)&lt;$C679,$C680,$C679-SUM($K680:V680)),0)),0)</f>
        <v>0</v>
      </c>
      <c r="X680" s="247">
        <f ca="1">ROUND(IF(OR(AND($C678=LataProjekcji,$E678&gt;0),AND($C678=LataProjekcji,$E678=0,$D679&lt;=10)),$E679,IF($C678&lt;LataProjekcji,IF((SUM($K680:W680)+$C680)&lt;$C679,$C680,$C679-SUM($K680:W680)),0)),0)</f>
        <v>0</v>
      </c>
    </row>
    <row r="681" spans="1:24" hidden="1">
      <c r="A681" s="258"/>
      <c r="B681" s="21" t="s">
        <v>416</v>
      </c>
      <c r="C681" s="22"/>
      <c r="D681" s="21"/>
      <c r="E681" s="21"/>
      <c r="F681" s="21"/>
      <c r="G681" s="21"/>
      <c r="I681" s="21"/>
      <c r="J681" s="21"/>
      <c r="K681" s="22">
        <f ca="1">ROUND(K680,0)</f>
        <v>0</v>
      </c>
      <c r="L681" s="22">
        <f t="shared" ref="L681:X681" ca="1" si="371">ROUND(K681+L680,0)</f>
        <v>0</v>
      </c>
      <c r="M681" s="22">
        <f t="shared" ca="1" si="371"/>
        <v>0</v>
      </c>
      <c r="N681" s="22">
        <f t="shared" ca="1" si="371"/>
        <v>0</v>
      </c>
      <c r="O681" s="22">
        <f t="shared" ca="1" si="371"/>
        <v>0</v>
      </c>
      <c r="P681" s="22">
        <f t="shared" ca="1" si="371"/>
        <v>0</v>
      </c>
      <c r="Q681" s="22">
        <f t="shared" ca="1" si="371"/>
        <v>0</v>
      </c>
      <c r="R681" s="22">
        <f t="shared" ca="1" si="371"/>
        <v>0</v>
      </c>
      <c r="S681" s="22">
        <f t="shared" ca="1" si="371"/>
        <v>0</v>
      </c>
      <c r="T681" s="22">
        <f t="shared" ca="1" si="371"/>
        <v>0</v>
      </c>
      <c r="U681" s="22">
        <f t="shared" ca="1" si="371"/>
        <v>0</v>
      </c>
      <c r="V681" s="22">
        <f t="shared" ca="1" si="371"/>
        <v>0</v>
      </c>
      <c r="W681" s="22">
        <f t="shared" ca="1" si="371"/>
        <v>0</v>
      </c>
      <c r="X681" s="22">
        <f t="shared" ca="1" si="371"/>
        <v>0</v>
      </c>
    </row>
    <row r="682" spans="1:24" hidden="1">
      <c r="A682" s="258"/>
      <c r="B682" s="21" t="s">
        <v>406</v>
      </c>
      <c r="C682" s="22"/>
      <c r="D682" s="21"/>
      <c r="E682" s="21"/>
      <c r="F682" s="21"/>
      <c r="G682" s="21"/>
      <c r="I682" s="21"/>
      <c r="J682" s="21"/>
      <c r="K682" s="76">
        <f t="shared" ref="K682:X682" ca="1" si="372">IF($C678=LataProjekcji,ROUND($C679-K681,0),ROUND(IF(K680=0,0,$C679-K681),0))</f>
        <v>0</v>
      </c>
      <c r="L682" s="76">
        <f t="shared" ca="1" si="372"/>
        <v>0</v>
      </c>
      <c r="M682" s="76">
        <f t="shared" ca="1" si="372"/>
        <v>0</v>
      </c>
      <c r="N682" s="76">
        <f t="shared" ca="1" si="372"/>
        <v>0</v>
      </c>
      <c r="O682" s="76">
        <f t="shared" ca="1" si="372"/>
        <v>0</v>
      </c>
      <c r="P682" s="76">
        <f t="shared" ca="1" si="372"/>
        <v>0</v>
      </c>
      <c r="Q682" s="76">
        <f t="shared" ca="1" si="372"/>
        <v>0</v>
      </c>
      <c r="R682" s="76">
        <f t="shared" ca="1" si="372"/>
        <v>0</v>
      </c>
      <c r="S682" s="76">
        <f t="shared" ca="1" si="372"/>
        <v>0</v>
      </c>
      <c r="T682" s="76">
        <f t="shared" ca="1" si="372"/>
        <v>0</v>
      </c>
      <c r="U682" s="76">
        <f t="shared" ca="1" si="372"/>
        <v>0</v>
      </c>
      <c r="V682" s="76">
        <f t="shared" ca="1" si="372"/>
        <v>0</v>
      </c>
      <c r="W682" s="76">
        <f t="shared" ca="1" si="372"/>
        <v>0</v>
      </c>
      <c r="X682" s="76">
        <f t="shared" ca="1" si="372"/>
        <v>0</v>
      </c>
    </row>
    <row r="683" spans="1:24" hidden="1">
      <c r="A683" s="258"/>
      <c r="B683" s="21"/>
      <c r="C683" s="22"/>
      <c r="D683" s="21"/>
      <c r="E683" s="21"/>
      <c r="F683" s="21"/>
      <c r="G683" s="21"/>
      <c r="I683" s="21"/>
      <c r="J683" s="21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</row>
    <row r="684" spans="1:24" hidden="1">
      <c r="A684" s="258"/>
      <c r="B684" s="20" t="str">
        <f>B104</f>
        <v/>
      </c>
      <c r="C684" s="21">
        <f>C677+1</f>
        <v>76</v>
      </c>
      <c r="D684" s="473">
        <f>D677+1</f>
        <v>168</v>
      </c>
      <c r="E684" s="21"/>
      <c r="F684" s="48"/>
      <c r="G684" s="50"/>
      <c r="H684" s="320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414</v>
      </c>
      <c r="C685" s="164">
        <f ca="1">IFERROR(YEAR(OFFSET($D$28,C684,0)),0)</f>
        <v>0</v>
      </c>
      <c r="D685" s="164">
        <f ca="1">IFERROR(MONTH(OFFSET($D$28,C684,0)),0)</f>
        <v>0</v>
      </c>
      <c r="E685" s="21">
        <f ca="1">12-$D685</f>
        <v>12</v>
      </c>
      <c r="F685" s="49"/>
      <c r="G685" s="51"/>
      <c r="H685" s="321"/>
      <c r="I685" s="22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406</v>
      </c>
      <c r="C686" s="244">
        <f ca="1">IF(OFFSET($F$28,C684,0)&lt;0,0,OFFSET($F$28,C684,0))</f>
        <v>0</v>
      </c>
      <c r="D686" s="22">
        <f ca="1">OFFSET($C$28,C684,0)</f>
        <v>0</v>
      </c>
      <c r="E686" s="22">
        <f ca="1">IF(D686&gt;10,ROUND(($C687/12)*$E685,0),$C686)</f>
        <v>0</v>
      </c>
      <c r="F686" s="21"/>
      <c r="G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1:24" hidden="1">
      <c r="A687" s="258"/>
      <c r="B687" s="21" t="s">
        <v>415</v>
      </c>
      <c r="C687" s="244">
        <f ca="1">IF(ISBLANK(OFFSET($D$28,C684,0)),0,IF(OFFSET($C$28,C684,0)&gt;10,ROUND(C686*am_budynki,0),IF(C686&lt;0,0,C686)))</f>
        <v>0</v>
      </c>
      <c r="D687" s="21"/>
      <c r="E687" s="21"/>
      <c r="F687" s="21"/>
      <c r="G687" s="21"/>
      <c r="I687" s="21"/>
      <c r="J687" s="473" t="str" cm="1">
        <f t="array" aca="1" ref="J687" ca="1">OFFSET('Środki trwałe'!$C$195,'Rozliczenie dotacji'!D684,,)</f>
        <v/>
      </c>
      <c r="K687" s="74">
        <f ca="1">ROUND(IF($C685=LataProjekcji,$E686,IF($C685=LataProjekcji,$C687,0)),0)</f>
        <v>0</v>
      </c>
      <c r="L687" s="247">
        <f ca="1">ROUND(IF(OR(AND($C685=LataProjekcji,$E685&gt;0),AND($C685=LataProjekcji,$E685=0,$D686&lt;=10)),$E686,IF($C685&lt;LataProjekcji,IF((SUM($K687:K687)+$C687)&lt;$C686,$C687,$C686-SUM($K687:K687)),0)),0)</f>
        <v>0</v>
      </c>
      <c r="M687" s="247">
        <f ca="1">ROUND(IF(OR(AND($C685=LataProjekcji,$E685&gt;0),AND($C685=LataProjekcji,$E685=0,$D686&lt;=10)),$E686,IF($C685&lt;LataProjekcji,IF((SUM($K687:L687)+$C687)&lt;$C686,$C687,$C686-SUM($K687:L687)),0)),0)</f>
        <v>0</v>
      </c>
      <c r="N687" s="247">
        <f ca="1">ROUND(IF(OR(AND($C685=LataProjekcji,$E685&gt;0),AND($C685=LataProjekcji,$E685=0,$D686&lt;=10)),$E686,IF($C685&lt;LataProjekcji,IF((SUM($K687:M687)+$C687)&lt;$C686,$C687,$C686-SUM($K687:M687)),0)),0)</f>
        <v>0</v>
      </c>
      <c r="O687" s="247">
        <f ca="1">ROUND(IF(OR(AND($C685=LataProjekcji,$E685&gt;0),AND($C685=LataProjekcji,$E685=0,$D686&lt;=10)),$E686,IF($C685&lt;LataProjekcji,IF((SUM($K687:N687)+$C687)&lt;$C686,$C687,$C686-SUM($K687:N687)),0)),0)</f>
        <v>0</v>
      </c>
      <c r="P687" s="247">
        <f ca="1">ROUND(IF(OR(AND($C685=LataProjekcji,$E685&gt;0),AND($C685=LataProjekcji,$E685=0,$D686&lt;=10)),$E686,IF($C685&lt;LataProjekcji,IF((SUM($K687:O687)+$C687)&lt;$C686,$C687,$C686-SUM($K687:O687)),0)),0)</f>
        <v>0</v>
      </c>
      <c r="Q687" s="247">
        <f ca="1">ROUND(IF(OR(AND($C685=LataProjekcji,$E685&gt;0),AND($C685=LataProjekcji,$E685=0,$D686&lt;=10)),$E686,IF($C685&lt;LataProjekcji,IF((SUM($K687:P687)+$C687)&lt;$C686,$C687,$C686-SUM($K687:P687)),0)),0)</f>
        <v>0</v>
      </c>
      <c r="R687" s="247">
        <f ca="1">ROUND(IF(OR(AND($C685=LataProjekcji,$E685&gt;0),AND($C685=LataProjekcji,$E685=0,$D686&lt;=10)),$E686,IF($C685&lt;LataProjekcji,IF((SUM($K687:Q687)+$C687)&lt;$C686,$C687,$C686-SUM($K687:Q687)),0)),0)</f>
        <v>0</v>
      </c>
      <c r="S687" s="247">
        <f ca="1">ROUND(IF(OR(AND($C685=LataProjekcji,$E685&gt;0),AND($C685=LataProjekcji,$E685=0,$D686&lt;=10)),$E686,IF($C685&lt;LataProjekcji,IF((SUM($K687:R687)+$C687)&lt;$C686,$C687,$C686-SUM($K687:R687)),0)),0)</f>
        <v>0</v>
      </c>
      <c r="T687" s="247">
        <f ca="1">ROUND(IF(OR(AND($C685=LataProjekcji,$E685&gt;0),AND($C685=LataProjekcji,$E685=0,$D686&lt;=10)),$E686,IF($C685&lt;LataProjekcji,IF((SUM($K687:S687)+$C687)&lt;$C686,$C687,$C686-SUM($K687:S687)),0)),0)</f>
        <v>0</v>
      </c>
      <c r="U687" s="247">
        <f ca="1">ROUND(IF(OR(AND($C685=LataProjekcji,$E685&gt;0),AND($C685=LataProjekcji,$E685=0,$D686&lt;=10)),$E686,IF($C685&lt;LataProjekcji,IF((SUM($K687:T687)+$C687)&lt;$C686,$C687,$C686-SUM($K687:T687)),0)),0)</f>
        <v>0</v>
      </c>
      <c r="V687" s="247">
        <f ca="1">ROUND(IF(OR(AND($C685=LataProjekcji,$E685&gt;0),AND($C685=LataProjekcji,$E685=0,$D686&lt;=10)),$E686,IF($C685&lt;LataProjekcji,IF((SUM($K687:U687)+$C687)&lt;$C686,$C687,$C686-SUM($K687:U687)),0)),0)</f>
        <v>0</v>
      </c>
      <c r="W687" s="247">
        <f ca="1">ROUND(IF(OR(AND($C685=LataProjekcji,$E685&gt;0),AND($C685=LataProjekcji,$E685=0,$D686&lt;=10)),$E686,IF($C685&lt;LataProjekcji,IF((SUM($K687:V687)+$C687)&lt;$C686,$C687,$C686-SUM($K687:V687)),0)),0)</f>
        <v>0</v>
      </c>
      <c r="X687" s="247">
        <f ca="1">ROUND(IF(OR(AND($C685=LataProjekcji,$E685&gt;0),AND($C685=LataProjekcji,$E685=0,$D686&lt;=10)),$E686,IF($C685&lt;LataProjekcji,IF((SUM($K687:W687)+$C687)&lt;$C686,$C687,$C686-SUM($K687:W687)),0)),0)</f>
        <v>0</v>
      </c>
    </row>
    <row r="688" spans="1:24" hidden="1">
      <c r="A688" s="258"/>
      <c r="B688" s="21" t="s">
        <v>416</v>
      </c>
      <c r="C688" s="22"/>
      <c r="D688" s="21"/>
      <c r="E688" s="21"/>
      <c r="F688" s="21"/>
      <c r="G688" s="21"/>
      <c r="I688" s="21"/>
      <c r="J688" s="21"/>
      <c r="K688" s="22">
        <f ca="1">ROUND(K687,0)</f>
        <v>0</v>
      </c>
      <c r="L688" s="22">
        <f t="shared" ref="L688:X688" ca="1" si="373">ROUND(K688+L687,0)</f>
        <v>0</v>
      </c>
      <c r="M688" s="22">
        <f t="shared" ca="1" si="373"/>
        <v>0</v>
      </c>
      <c r="N688" s="22">
        <f t="shared" ca="1" si="373"/>
        <v>0</v>
      </c>
      <c r="O688" s="22">
        <f t="shared" ca="1" si="373"/>
        <v>0</v>
      </c>
      <c r="P688" s="22">
        <f t="shared" ca="1" si="373"/>
        <v>0</v>
      </c>
      <c r="Q688" s="22">
        <f t="shared" ca="1" si="373"/>
        <v>0</v>
      </c>
      <c r="R688" s="22">
        <f t="shared" ca="1" si="373"/>
        <v>0</v>
      </c>
      <c r="S688" s="22">
        <f t="shared" ca="1" si="373"/>
        <v>0</v>
      </c>
      <c r="T688" s="22">
        <f t="shared" ca="1" si="373"/>
        <v>0</v>
      </c>
      <c r="U688" s="22">
        <f t="shared" ca="1" si="373"/>
        <v>0</v>
      </c>
      <c r="V688" s="22">
        <f t="shared" ca="1" si="373"/>
        <v>0</v>
      </c>
      <c r="W688" s="22">
        <f t="shared" ca="1" si="373"/>
        <v>0</v>
      </c>
      <c r="X688" s="22">
        <f t="shared" ca="1" si="373"/>
        <v>0</v>
      </c>
    </row>
    <row r="689" spans="1:24" hidden="1">
      <c r="A689" s="258"/>
      <c r="B689" s="21" t="s">
        <v>406</v>
      </c>
      <c r="C689" s="22"/>
      <c r="D689" s="21"/>
      <c r="E689" s="21"/>
      <c r="F689" s="21"/>
      <c r="G689" s="21"/>
      <c r="I689" s="21"/>
      <c r="J689" s="21"/>
      <c r="K689" s="76">
        <f t="shared" ref="K689:X689" ca="1" si="374">IF($C685=LataProjekcji,ROUND($C686-K688,0),ROUND(IF(K687=0,0,$C686-K688),0))</f>
        <v>0</v>
      </c>
      <c r="L689" s="76">
        <f t="shared" ca="1" si="374"/>
        <v>0</v>
      </c>
      <c r="M689" s="76">
        <f t="shared" ca="1" si="374"/>
        <v>0</v>
      </c>
      <c r="N689" s="76">
        <f t="shared" ca="1" si="374"/>
        <v>0</v>
      </c>
      <c r="O689" s="76">
        <f t="shared" ca="1" si="374"/>
        <v>0</v>
      </c>
      <c r="P689" s="76">
        <f t="shared" ca="1" si="374"/>
        <v>0</v>
      </c>
      <c r="Q689" s="76">
        <f t="shared" ca="1" si="374"/>
        <v>0</v>
      </c>
      <c r="R689" s="76">
        <f t="shared" ca="1" si="374"/>
        <v>0</v>
      </c>
      <c r="S689" s="76">
        <f t="shared" ca="1" si="374"/>
        <v>0</v>
      </c>
      <c r="T689" s="76">
        <f t="shared" ca="1" si="374"/>
        <v>0</v>
      </c>
      <c r="U689" s="76">
        <f t="shared" ca="1" si="374"/>
        <v>0</v>
      </c>
      <c r="V689" s="76">
        <f t="shared" ca="1" si="374"/>
        <v>0</v>
      </c>
      <c r="W689" s="76">
        <f t="shared" ca="1" si="374"/>
        <v>0</v>
      </c>
      <c r="X689" s="76">
        <f t="shared" ca="1" si="374"/>
        <v>0</v>
      </c>
    </row>
    <row r="690" spans="1:24" hidden="1">
      <c r="A690" s="258"/>
      <c r="B690" s="21"/>
      <c r="C690" s="22"/>
      <c r="D690" s="21"/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0" t="str">
        <f>B105</f>
        <v/>
      </c>
      <c r="C691" s="21">
        <f>C684+1</f>
        <v>77</v>
      </c>
      <c r="D691" s="473">
        <f>D684+1</f>
        <v>169</v>
      </c>
      <c r="E691" s="21"/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414</v>
      </c>
      <c r="C692" s="164">
        <f ca="1">IFERROR(YEAR(OFFSET($D$28,C691,0)),0)</f>
        <v>0</v>
      </c>
      <c r="D692" s="164">
        <f ca="1">IFERROR(MONTH(OFFSET($D$28,C691,0)),0)</f>
        <v>0</v>
      </c>
      <c r="E692" s="21">
        <f ca="1">12-$D692</f>
        <v>12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406</v>
      </c>
      <c r="C693" s="244">
        <f ca="1">IF(OFFSET($F$28,C691,0)&lt;0,0,OFFSET($F$28,C691,0))</f>
        <v>0</v>
      </c>
      <c r="D693" s="22">
        <f ca="1">OFFSET($C$28,C691,0)</f>
        <v>0</v>
      </c>
      <c r="E693" s="22">
        <f ca="1">IF(D693&gt;10,ROUND(($C694/12)*$E692,0),$C693)</f>
        <v>0</v>
      </c>
      <c r="F693" s="21"/>
      <c r="G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1:24" hidden="1">
      <c r="A694" s="258"/>
      <c r="B694" s="21" t="s">
        <v>415</v>
      </c>
      <c r="C694" s="244">
        <f ca="1">IF(ISBLANK(OFFSET($D$28,C691,0)),0,IF(OFFSET($C$28,C691,0)&gt;10,ROUND(C693*am_budynki,0),IF(C693&lt;0,0,C693)))</f>
        <v>0</v>
      </c>
      <c r="D694" s="21"/>
      <c r="E694" s="21"/>
      <c r="F694" s="21"/>
      <c r="G694" s="21"/>
      <c r="I694" s="21"/>
      <c r="J694" s="473" t="str" cm="1">
        <f t="array" aca="1" ref="J694" ca="1">OFFSET('Środki trwałe'!$C$195,'Rozliczenie dotacji'!D691,,)</f>
        <v/>
      </c>
      <c r="K694" s="74">
        <f ca="1">ROUND(IF($C692=LataProjekcji,$E693,IF($C692=LataProjekcji,$C694,0)),0)</f>
        <v>0</v>
      </c>
      <c r="L694" s="247">
        <f ca="1">ROUND(IF(OR(AND($C692=LataProjekcji,$E692&gt;0),AND($C692=LataProjekcji,$E692=0,$D693&lt;=10)),$E693,IF($C692&lt;LataProjekcji,IF((SUM($K694:K694)+$C694)&lt;$C693,$C694,$C693-SUM($K694:K694)),0)),0)</f>
        <v>0</v>
      </c>
      <c r="M694" s="247">
        <f ca="1">ROUND(IF(OR(AND($C692=LataProjekcji,$E692&gt;0),AND($C692=LataProjekcji,$E692=0,$D693&lt;=10)),$E693,IF($C692&lt;LataProjekcji,IF((SUM($K694:L694)+$C694)&lt;$C693,$C694,$C693-SUM($K694:L694)),0)),0)</f>
        <v>0</v>
      </c>
      <c r="N694" s="247">
        <f ca="1">ROUND(IF(OR(AND($C692=LataProjekcji,$E692&gt;0),AND($C692=LataProjekcji,$E692=0,$D693&lt;=10)),$E693,IF($C692&lt;LataProjekcji,IF((SUM($K694:M694)+$C694)&lt;$C693,$C694,$C693-SUM($K694:M694)),0)),0)</f>
        <v>0</v>
      </c>
      <c r="O694" s="247">
        <f ca="1">ROUND(IF(OR(AND($C692=LataProjekcji,$E692&gt;0),AND($C692=LataProjekcji,$E692=0,$D693&lt;=10)),$E693,IF($C692&lt;LataProjekcji,IF((SUM($K694:N694)+$C694)&lt;$C693,$C694,$C693-SUM($K694:N694)),0)),0)</f>
        <v>0</v>
      </c>
      <c r="P694" s="247">
        <f ca="1">ROUND(IF(OR(AND($C692=LataProjekcji,$E692&gt;0),AND($C692=LataProjekcji,$E692=0,$D693&lt;=10)),$E693,IF($C692&lt;LataProjekcji,IF((SUM($K694:O694)+$C694)&lt;$C693,$C694,$C693-SUM($K694:O694)),0)),0)</f>
        <v>0</v>
      </c>
      <c r="Q694" s="247">
        <f ca="1">ROUND(IF(OR(AND($C692=LataProjekcji,$E692&gt;0),AND($C692=LataProjekcji,$E692=0,$D693&lt;=10)),$E693,IF($C692&lt;LataProjekcji,IF((SUM($K694:P694)+$C694)&lt;$C693,$C694,$C693-SUM($K694:P694)),0)),0)</f>
        <v>0</v>
      </c>
      <c r="R694" s="247">
        <f ca="1">ROUND(IF(OR(AND($C692=LataProjekcji,$E692&gt;0),AND($C692=LataProjekcji,$E692=0,$D693&lt;=10)),$E693,IF($C692&lt;LataProjekcji,IF((SUM($K694:Q694)+$C694)&lt;$C693,$C694,$C693-SUM($K694:Q694)),0)),0)</f>
        <v>0</v>
      </c>
      <c r="S694" s="247">
        <f ca="1">ROUND(IF(OR(AND($C692=LataProjekcji,$E692&gt;0),AND($C692=LataProjekcji,$E692=0,$D693&lt;=10)),$E693,IF($C692&lt;LataProjekcji,IF((SUM($K694:R694)+$C694)&lt;$C693,$C694,$C693-SUM($K694:R694)),0)),0)</f>
        <v>0</v>
      </c>
      <c r="T694" s="247">
        <f ca="1">ROUND(IF(OR(AND($C692=LataProjekcji,$E692&gt;0),AND($C692=LataProjekcji,$E692=0,$D693&lt;=10)),$E693,IF($C692&lt;LataProjekcji,IF((SUM($K694:S694)+$C694)&lt;$C693,$C694,$C693-SUM($K694:S694)),0)),0)</f>
        <v>0</v>
      </c>
      <c r="U694" s="247">
        <f ca="1">ROUND(IF(OR(AND($C692=LataProjekcji,$E692&gt;0),AND($C692=LataProjekcji,$E692=0,$D693&lt;=10)),$E693,IF($C692&lt;LataProjekcji,IF((SUM($K694:T694)+$C694)&lt;$C693,$C694,$C693-SUM($K694:T694)),0)),0)</f>
        <v>0</v>
      </c>
      <c r="V694" s="247">
        <f ca="1">ROUND(IF(OR(AND($C692=LataProjekcji,$E692&gt;0),AND($C692=LataProjekcji,$E692=0,$D693&lt;=10)),$E693,IF($C692&lt;LataProjekcji,IF((SUM($K694:U694)+$C694)&lt;$C693,$C694,$C693-SUM($K694:U694)),0)),0)</f>
        <v>0</v>
      </c>
      <c r="W694" s="247">
        <f ca="1">ROUND(IF(OR(AND($C692=LataProjekcji,$E692&gt;0),AND($C692=LataProjekcji,$E692=0,$D693&lt;=10)),$E693,IF($C692&lt;LataProjekcji,IF((SUM($K694:V694)+$C694)&lt;$C693,$C694,$C693-SUM($K694:V694)),0)),0)</f>
        <v>0</v>
      </c>
      <c r="X694" s="247">
        <f ca="1">ROUND(IF(OR(AND($C692=LataProjekcji,$E692&gt;0),AND($C692=LataProjekcji,$E692=0,$D693&lt;=10)),$E693,IF($C692&lt;LataProjekcji,IF((SUM($K694:W694)+$C694)&lt;$C693,$C694,$C693-SUM($K694:W694)),0)),0)</f>
        <v>0</v>
      </c>
    </row>
    <row r="695" spans="1:24" hidden="1">
      <c r="A695" s="258"/>
      <c r="B695" s="21" t="s">
        <v>416</v>
      </c>
      <c r="C695" s="22"/>
      <c r="D695" s="21"/>
      <c r="E695" s="21"/>
      <c r="F695" s="21"/>
      <c r="G695" s="21"/>
      <c r="I695" s="21"/>
      <c r="J695" s="21"/>
      <c r="K695" s="22">
        <f ca="1">ROUND(K694,0)</f>
        <v>0</v>
      </c>
      <c r="L695" s="22">
        <f t="shared" ref="L695:X695" ca="1" si="375">ROUND(K695+L694,0)</f>
        <v>0</v>
      </c>
      <c r="M695" s="22">
        <f t="shared" ca="1" si="375"/>
        <v>0</v>
      </c>
      <c r="N695" s="22">
        <f t="shared" ca="1" si="375"/>
        <v>0</v>
      </c>
      <c r="O695" s="22">
        <f t="shared" ca="1" si="375"/>
        <v>0</v>
      </c>
      <c r="P695" s="22">
        <f t="shared" ca="1" si="375"/>
        <v>0</v>
      </c>
      <c r="Q695" s="22">
        <f t="shared" ca="1" si="375"/>
        <v>0</v>
      </c>
      <c r="R695" s="22">
        <f t="shared" ca="1" si="375"/>
        <v>0</v>
      </c>
      <c r="S695" s="22">
        <f t="shared" ca="1" si="375"/>
        <v>0</v>
      </c>
      <c r="T695" s="22">
        <f t="shared" ca="1" si="375"/>
        <v>0</v>
      </c>
      <c r="U695" s="22">
        <f t="shared" ca="1" si="375"/>
        <v>0</v>
      </c>
      <c r="V695" s="22">
        <f t="shared" ca="1" si="375"/>
        <v>0</v>
      </c>
      <c r="W695" s="22">
        <f t="shared" ca="1" si="375"/>
        <v>0</v>
      </c>
      <c r="X695" s="22">
        <f t="shared" ca="1" si="375"/>
        <v>0</v>
      </c>
    </row>
    <row r="696" spans="1:24" hidden="1">
      <c r="A696" s="258"/>
      <c r="B696" s="21" t="s">
        <v>406</v>
      </c>
      <c r="C696" s="22"/>
      <c r="D696" s="21"/>
      <c r="E696" s="21"/>
      <c r="F696" s="21"/>
      <c r="G696" s="21"/>
      <c r="I696" s="21"/>
      <c r="J696" s="21"/>
      <c r="K696" s="76">
        <f t="shared" ref="K696:X696" ca="1" si="376">IF($C692=LataProjekcji,ROUND($C693-K695,0),ROUND(IF(K694=0,0,$C693-K695),0))</f>
        <v>0</v>
      </c>
      <c r="L696" s="76">
        <f t="shared" ca="1" si="376"/>
        <v>0</v>
      </c>
      <c r="M696" s="76">
        <f t="shared" ca="1" si="376"/>
        <v>0</v>
      </c>
      <c r="N696" s="76">
        <f t="shared" ca="1" si="376"/>
        <v>0</v>
      </c>
      <c r="O696" s="76">
        <f t="shared" ca="1" si="376"/>
        <v>0</v>
      </c>
      <c r="P696" s="76">
        <f t="shared" ca="1" si="376"/>
        <v>0</v>
      </c>
      <c r="Q696" s="76">
        <f t="shared" ca="1" si="376"/>
        <v>0</v>
      </c>
      <c r="R696" s="76">
        <f t="shared" ca="1" si="376"/>
        <v>0</v>
      </c>
      <c r="S696" s="76">
        <f t="shared" ca="1" si="376"/>
        <v>0</v>
      </c>
      <c r="T696" s="76">
        <f t="shared" ca="1" si="376"/>
        <v>0</v>
      </c>
      <c r="U696" s="76">
        <f t="shared" ca="1" si="376"/>
        <v>0</v>
      </c>
      <c r="V696" s="76">
        <f t="shared" ca="1" si="376"/>
        <v>0</v>
      </c>
      <c r="W696" s="76">
        <f t="shared" ca="1" si="376"/>
        <v>0</v>
      </c>
      <c r="X696" s="76">
        <f t="shared" ca="1" si="376"/>
        <v>0</v>
      </c>
    </row>
    <row r="697" spans="1:24" hidden="1">
      <c r="A697" s="258"/>
      <c r="B697" s="20"/>
      <c r="C697" s="21"/>
      <c r="D697" s="21"/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0" t="str">
        <f>B106</f>
        <v/>
      </c>
      <c r="C698" s="21">
        <f>C691+1</f>
        <v>78</v>
      </c>
      <c r="D698" s="473">
        <f>D691+1</f>
        <v>170</v>
      </c>
      <c r="E698" s="21"/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414</v>
      </c>
      <c r="C699" s="164">
        <f ca="1">IFERROR(YEAR(OFFSET($D$28,C698,0)),0)</f>
        <v>0</v>
      </c>
      <c r="D699" s="164">
        <f ca="1">IFERROR(MONTH(OFFSET($D$28,C698,0)),0)</f>
        <v>0</v>
      </c>
      <c r="E699" s="21">
        <f ca="1">12-$D699</f>
        <v>12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406</v>
      </c>
      <c r="C700" s="244">
        <f ca="1">IF(OFFSET($F$28,C698,0)&lt;0,0,OFFSET($F$28,C698,0))</f>
        <v>0</v>
      </c>
      <c r="D700" s="22">
        <f ca="1">OFFSET($C$28,C698,0)</f>
        <v>0</v>
      </c>
      <c r="E700" s="22">
        <f ca="1">IF(D700&gt;10,ROUND(($C701/12)*$E699,0),$C700)</f>
        <v>0</v>
      </c>
      <c r="F700" s="21"/>
      <c r="G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21" t="s">
        <v>415</v>
      </c>
      <c r="C701" s="244">
        <f ca="1">IF(ISBLANK(OFFSET($D$28,C698,0)),0,IF(OFFSET($C$28,C698,0)&gt;10,ROUND(C700*am_budynki,0),IF(C700&lt;0,0,C700)))</f>
        <v>0</v>
      </c>
      <c r="D701" s="21"/>
      <c r="E701" s="21"/>
      <c r="F701" s="21"/>
      <c r="G701" s="21"/>
      <c r="I701" s="21"/>
      <c r="J701" s="473" t="str" cm="1">
        <f t="array" aca="1" ref="J701" ca="1">OFFSET('Środki trwałe'!$C$195,'Rozliczenie dotacji'!D698,,)</f>
        <v/>
      </c>
      <c r="K701" s="74">
        <f ca="1">ROUND(IF($C699=LataProjekcji,$E700,IF($C699=LataProjekcji,$C701,0)),0)</f>
        <v>0</v>
      </c>
      <c r="L701" s="247">
        <f ca="1">ROUND(IF(OR(AND($C699=LataProjekcji,$E699&gt;0),AND($C699=LataProjekcji,$E699=0,$D700&lt;=10)),$E700,IF($C699&lt;LataProjekcji,IF((SUM($K701:K701)+$C701)&lt;$C700,$C701,$C700-SUM($K701:K701)),0)),0)</f>
        <v>0</v>
      </c>
      <c r="M701" s="247">
        <f ca="1">ROUND(IF(OR(AND($C699=LataProjekcji,$E699&gt;0),AND($C699=LataProjekcji,$E699=0,$D700&lt;=10)),$E700,IF($C699&lt;LataProjekcji,IF((SUM($K701:L701)+$C701)&lt;$C700,$C701,$C700-SUM($K701:L701)),0)),0)</f>
        <v>0</v>
      </c>
      <c r="N701" s="247">
        <f ca="1">ROUND(IF(OR(AND($C699=LataProjekcji,$E699&gt;0),AND($C699=LataProjekcji,$E699=0,$D700&lt;=10)),$E700,IF($C699&lt;LataProjekcji,IF((SUM($K701:M701)+$C701)&lt;$C700,$C701,$C700-SUM($K701:M701)),0)),0)</f>
        <v>0</v>
      </c>
      <c r="O701" s="247">
        <f ca="1">ROUND(IF(OR(AND($C699=LataProjekcji,$E699&gt;0),AND($C699=LataProjekcji,$E699=0,$D700&lt;=10)),$E700,IF($C699&lt;LataProjekcji,IF((SUM($K701:N701)+$C701)&lt;$C700,$C701,$C700-SUM($K701:N701)),0)),0)</f>
        <v>0</v>
      </c>
      <c r="P701" s="247">
        <f ca="1">ROUND(IF(OR(AND($C699=LataProjekcji,$E699&gt;0),AND($C699=LataProjekcji,$E699=0,$D700&lt;=10)),$E700,IF($C699&lt;LataProjekcji,IF((SUM($K701:O701)+$C701)&lt;$C700,$C701,$C700-SUM($K701:O701)),0)),0)</f>
        <v>0</v>
      </c>
      <c r="Q701" s="247">
        <f ca="1">ROUND(IF(OR(AND($C699=LataProjekcji,$E699&gt;0),AND($C699=LataProjekcji,$E699=0,$D700&lt;=10)),$E700,IF($C699&lt;LataProjekcji,IF((SUM($K701:P701)+$C701)&lt;$C700,$C701,$C700-SUM($K701:P701)),0)),0)</f>
        <v>0</v>
      </c>
      <c r="R701" s="247">
        <f ca="1">ROUND(IF(OR(AND($C699=LataProjekcji,$E699&gt;0),AND($C699=LataProjekcji,$E699=0,$D700&lt;=10)),$E700,IF($C699&lt;LataProjekcji,IF((SUM($K701:Q701)+$C701)&lt;$C700,$C701,$C700-SUM($K701:Q701)),0)),0)</f>
        <v>0</v>
      </c>
      <c r="S701" s="247">
        <f ca="1">ROUND(IF(OR(AND($C699=LataProjekcji,$E699&gt;0),AND($C699=LataProjekcji,$E699=0,$D700&lt;=10)),$E700,IF($C699&lt;LataProjekcji,IF((SUM($K701:R701)+$C701)&lt;$C700,$C701,$C700-SUM($K701:R701)),0)),0)</f>
        <v>0</v>
      </c>
      <c r="T701" s="247">
        <f ca="1">ROUND(IF(OR(AND($C699=LataProjekcji,$E699&gt;0),AND($C699=LataProjekcji,$E699=0,$D700&lt;=10)),$E700,IF($C699&lt;LataProjekcji,IF((SUM($K701:S701)+$C701)&lt;$C700,$C701,$C700-SUM($K701:S701)),0)),0)</f>
        <v>0</v>
      </c>
      <c r="U701" s="247">
        <f ca="1">ROUND(IF(OR(AND($C699=LataProjekcji,$E699&gt;0),AND($C699=LataProjekcji,$E699=0,$D700&lt;=10)),$E700,IF($C699&lt;LataProjekcji,IF((SUM($K701:T701)+$C701)&lt;$C700,$C701,$C700-SUM($K701:T701)),0)),0)</f>
        <v>0</v>
      </c>
      <c r="V701" s="247">
        <f ca="1">ROUND(IF(OR(AND($C699=LataProjekcji,$E699&gt;0),AND($C699=LataProjekcji,$E699=0,$D700&lt;=10)),$E700,IF($C699&lt;LataProjekcji,IF((SUM($K701:U701)+$C701)&lt;$C700,$C701,$C700-SUM($K701:U701)),0)),0)</f>
        <v>0</v>
      </c>
      <c r="W701" s="247">
        <f ca="1">ROUND(IF(OR(AND($C699=LataProjekcji,$E699&gt;0),AND($C699=LataProjekcji,$E699=0,$D700&lt;=10)),$E700,IF($C699&lt;LataProjekcji,IF((SUM($K701:V701)+$C701)&lt;$C700,$C701,$C700-SUM($K701:V701)),0)),0)</f>
        <v>0</v>
      </c>
      <c r="X701" s="247">
        <f ca="1">ROUND(IF(OR(AND($C699=LataProjekcji,$E699&gt;0),AND($C699=LataProjekcji,$E699=0,$D700&lt;=10)),$E700,IF($C699&lt;LataProjekcji,IF((SUM($K701:W701)+$C701)&lt;$C700,$C701,$C700-SUM($K701:W701)),0)),0)</f>
        <v>0</v>
      </c>
    </row>
    <row r="702" spans="1:24" hidden="1">
      <c r="A702" s="258"/>
      <c r="B702" s="21" t="s">
        <v>416</v>
      </c>
      <c r="C702" s="22"/>
      <c r="D702" s="21"/>
      <c r="E702" s="21"/>
      <c r="F702" s="21"/>
      <c r="G702" s="21"/>
      <c r="I702" s="21"/>
      <c r="J702" s="21"/>
      <c r="K702" s="22">
        <f ca="1">ROUND(K701,0)</f>
        <v>0</v>
      </c>
      <c r="L702" s="22">
        <f t="shared" ref="L702:X702" ca="1" si="377">ROUND(K702+L701,0)</f>
        <v>0</v>
      </c>
      <c r="M702" s="22">
        <f t="shared" ca="1" si="377"/>
        <v>0</v>
      </c>
      <c r="N702" s="22">
        <f t="shared" ca="1" si="377"/>
        <v>0</v>
      </c>
      <c r="O702" s="22">
        <f t="shared" ca="1" si="377"/>
        <v>0</v>
      </c>
      <c r="P702" s="22">
        <f t="shared" ca="1" si="377"/>
        <v>0</v>
      </c>
      <c r="Q702" s="22">
        <f t="shared" ca="1" si="377"/>
        <v>0</v>
      </c>
      <c r="R702" s="22">
        <f t="shared" ca="1" si="377"/>
        <v>0</v>
      </c>
      <c r="S702" s="22">
        <f t="shared" ca="1" si="377"/>
        <v>0</v>
      </c>
      <c r="T702" s="22">
        <f t="shared" ca="1" si="377"/>
        <v>0</v>
      </c>
      <c r="U702" s="22">
        <f t="shared" ca="1" si="377"/>
        <v>0</v>
      </c>
      <c r="V702" s="22">
        <f t="shared" ca="1" si="377"/>
        <v>0</v>
      </c>
      <c r="W702" s="22">
        <f t="shared" ca="1" si="377"/>
        <v>0</v>
      </c>
      <c r="X702" s="22">
        <f t="shared" ca="1" si="377"/>
        <v>0</v>
      </c>
    </row>
    <row r="703" spans="1:24" hidden="1">
      <c r="A703" s="258"/>
      <c r="B703" s="21" t="s">
        <v>406</v>
      </c>
      <c r="C703" s="22"/>
      <c r="D703" s="21"/>
      <c r="E703" s="21"/>
      <c r="F703" s="21"/>
      <c r="G703" s="21"/>
      <c r="I703" s="21"/>
      <c r="J703" s="21"/>
      <c r="K703" s="76">
        <f t="shared" ref="K703:X703" ca="1" si="378">IF($C699=LataProjekcji,ROUND($C700-K702,0),ROUND(IF(K701=0,0,$C700-K702),0))</f>
        <v>0</v>
      </c>
      <c r="L703" s="76">
        <f t="shared" ca="1" si="378"/>
        <v>0</v>
      </c>
      <c r="M703" s="76">
        <f t="shared" ca="1" si="378"/>
        <v>0</v>
      </c>
      <c r="N703" s="76">
        <f t="shared" ca="1" si="378"/>
        <v>0</v>
      </c>
      <c r="O703" s="76">
        <f t="shared" ca="1" si="378"/>
        <v>0</v>
      </c>
      <c r="P703" s="76">
        <f t="shared" ca="1" si="378"/>
        <v>0</v>
      </c>
      <c r="Q703" s="76">
        <f t="shared" ca="1" si="378"/>
        <v>0</v>
      </c>
      <c r="R703" s="76">
        <f t="shared" ca="1" si="378"/>
        <v>0</v>
      </c>
      <c r="S703" s="76">
        <f t="shared" ca="1" si="378"/>
        <v>0</v>
      </c>
      <c r="T703" s="76">
        <f t="shared" ca="1" si="378"/>
        <v>0</v>
      </c>
      <c r="U703" s="76">
        <f t="shared" ca="1" si="378"/>
        <v>0</v>
      </c>
      <c r="V703" s="76">
        <f t="shared" ca="1" si="378"/>
        <v>0</v>
      </c>
      <c r="W703" s="76">
        <f t="shared" ca="1" si="378"/>
        <v>0</v>
      </c>
      <c r="X703" s="76">
        <f t="shared" ca="1" si="378"/>
        <v>0</v>
      </c>
    </row>
    <row r="704" spans="1:24" hidden="1">
      <c r="A704" s="258"/>
      <c r="B704" s="21"/>
      <c r="C704" s="22"/>
      <c r="D704" s="21"/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0" t="str">
        <f>B107</f>
        <v/>
      </c>
      <c r="C705" s="21">
        <f>C698+1</f>
        <v>79</v>
      </c>
      <c r="D705" s="473">
        <f>D698+1</f>
        <v>171</v>
      </c>
      <c r="E705" s="21"/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414</v>
      </c>
      <c r="C706" s="164">
        <f ca="1">IFERROR(YEAR(OFFSET($D$28,C705,0)),0)</f>
        <v>0</v>
      </c>
      <c r="D706" s="164">
        <f ca="1">IFERROR(MONTH(OFFSET($D$28,C705,0)),0)</f>
        <v>0</v>
      </c>
      <c r="E706" s="21">
        <f ca="1">12-$D706</f>
        <v>12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406</v>
      </c>
      <c r="C707" s="244">
        <f ca="1">IF(OFFSET($F$28,C705,0)&lt;0,0,OFFSET($F$28,C705,0))</f>
        <v>0</v>
      </c>
      <c r="D707" s="22">
        <f ca="1">OFFSET($C$28,C705,0)</f>
        <v>0</v>
      </c>
      <c r="E707" s="22">
        <f ca="1">IF(D707&gt;10,ROUND(($C708/12)*$E706,0),$C707)</f>
        <v>0</v>
      </c>
      <c r="F707" s="21"/>
      <c r="G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1:24" hidden="1">
      <c r="A708" s="258"/>
      <c r="B708" s="21" t="s">
        <v>415</v>
      </c>
      <c r="C708" s="244">
        <f ca="1">IF(ISBLANK(OFFSET($D$28,C705,0)),0,IF(OFFSET($C$28,C705,0)&gt;10,ROUND(C707*am_budynki,0),IF(C707&lt;0,0,C707)))</f>
        <v>0</v>
      </c>
      <c r="D708" s="21"/>
      <c r="E708" s="21"/>
      <c r="F708" s="21"/>
      <c r="G708" s="21"/>
      <c r="I708" s="21"/>
      <c r="J708" s="473" t="str" cm="1">
        <f t="array" aca="1" ref="J708" ca="1">OFFSET('Środki trwałe'!$C$195,'Rozliczenie dotacji'!D705,,)</f>
        <v/>
      </c>
      <c r="K708" s="74">
        <f ca="1">ROUND(IF($C706=LataProjekcji,$E707,IF($C706=LataProjekcji,$C708,0)),0)</f>
        <v>0</v>
      </c>
      <c r="L708" s="247">
        <f ca="1">ROUND(IF(OR(AND($C706=LataProjekcji,$E706&gt;0),AND($C706=LataProjekcji,$E706=0,$D707&lt;=10)),$E707,IF($C706&lt;LataProjekcji,IF((SUM($K708:K708)+$C708)&lt;$C707,$C708,$C707-SUM($K708:K708)),0)),0)</f>
        <v>0</v>
      </c>
      <c r="M708" s="247">
        <f ca="1">ROUND(IF(OR(AND($C706=LataProjekcji,$E706&gt;0),AND($C706=LataProjekcji,$E706=0,$D707&lt;=10)),$E707,IF($C706&lt;LataProjekcji,IF((SUM($K708:L708)+$C708)&lt;$C707,$C708,$C707-SUM($K708:L708)),0)),0)</f>
        <v>0</v>
      </c>
      <c r="N708" s="247">
        <f ca="1">ROUND(IF(OR(AND($C706=LataProjekcji,$E706&gt;0),AND($C706=LataProjekcji,$E706=0,$D707&lt;=10)),$E707,IF($C706&lt;LataProjekcji,IF((SUM($K708:M708)+$C708)&lt;$C707,$C708,$C707-SUM($K708:M708)),0)),0)</f>
        <v>0</v>
      </c>
      <c r="O708" s="247">
        <f ca="1">ROUND(IF(OR(AND($C706=LataProjekcji,$E706&gt;0),AND($C706=LataProjekcji,$E706=0,$D707&lt;=10)),$E707,IF($C706&lt;LataProjekcji,IF((SUM($K708:N708)+$C708)&lt;$C707,$C708,$C707-SUM($K708:N708)),0)),0)</f>
        <v>0</v>
      </c>
      <c r="P708" s="247">
        <f ca="1">ROUND(IF(OR(AND($C706=LataProjekcji,$E706&gt;0),AND($C706=LataProjekcji,$E706=0,$D707&lt;=10)),$E707,IF($C706&lt;LataProjekcji,IF((SUM($K708:O708)+$C708)&lt;$C707,$C708,$C707-SUM($K708:O708)),0)),0)</f>
        <v>0</v>
      </c>
      <c r="Q708" s="247">
        <f ca="1">ROUND(IF(OR(AND($C706=LataProjekcji,$E706&gt;0),AND($C706=LataProjekcji,$E706=0,$D707&lt;=10)),$E707,IF($C706&lt;LataProjekcji,IF((SUM($K708:P708)+$C708)&lt;$C707,$C708,$C707-SUM($K708:P708)),0)),0)</f>
        <v>0</v>
      </c>
      <c r="R708" s="247">
        <f ca="1">ROUND(IF(OR(AND($C706=LataProjekcji,$E706&gt;0),AND($C706=LataProjekcji,$E706=0,$D707&lt;=10)),$E707,IF($C706&lt;LataProjekcji,IF((SUM($K708:Q708)+$C708)&lt;$C707,$C708,$C707-SUM($K708:Q708)),0)),0)</f>
        <v>0</v>
      </c>
      <c r="S708" s="247">
        <f ca="1">ROUND(IF(OR(AND($C706=LataProjekcji,$E706&gt;0),AND($C706=LataProjekcji,$E706=0,$D707&lt;=10)),$E707,IF($C706&lt;LataProjekcji,IF((SUM($K708:R708)+$C708)&lt;$C707,$C708,$C707-SUM($K708:R708)),0)),0)</f>
        <v>0</v>
      </c>
      <c r="T708" s="247">
        <f ca="1">ROUND(IF(OR(AND($C706=LataProjekcji,$E706&gt;0),AND($C706=LataProjekcji,$E706=0,$D707&lt;=10)),$E707,IF($C706&lt;LataProjekcji,IF((SUM($K708:S708)+$C708)&lt;$C707,$C708,$C707-SUM($K708:S708)),0)),0)</f>
        <v>0</v>
      </c>
      <c r="U708" s="247">
        <f ca="1">ROUND(IF(OR(AND($C706=LataProjekcji,$E706&gt;0),AND($C706=LataProjekcji,$E706=0,$D707&lt;=10)),$E707,IF($C706&lt;LataProjekcji,IF((SUM($K708:T708)+$C708)&lt;$C707,$C708,$C707-SUM($K708:T708)),0)),0)</f>
        <v>0</v>
      </c>
      <c r="V708" s="247">
        <f ca="1">ROUND(IF(OR(AND($C706=LataProjekcji,$E706&gt;0),AND($C706=LataProjekcji,$E706=0,$D707&lt;=10)),$E707,IF($C706&lt;LataProjekcji,IF((SUM($K708:U708)+$C708)&lt;$C707,$C708,$C707-SUM($K708:U708)),0)),0)</f>
        <v>0</v>
      </c>
      <c r="W708" s="247">
        <f ca="1">ROUND(IF(OR(AND($C706=LataProjekcji,$E706&gt;0),AND($C706=LataProjekcji,$E706=0,$D707&lt;=10)),$E707,IF($C706&lt;LataProjekcji,IF((SUM($K708:V708)+$C708)&lt;$C707,$C708,$C707-SUM($K708:V708)),0)),0)</f>
        <v>0</v>
      </c>
      <c r="X708" s="247">
        <f ca="1">ROUND(IF(OR(AND($C706=LataProjekcji,$E706&gt;0),AND($C706=LataProjekcji,$E706=0,$D707&lt;=10)),$E707,IF($C706&lt;LataProjekcji,IF((SUM($K708:W708)+$C708)&lt;$C707,$C708,$C707-SUM($K708:W708)),0)),0)</f>
        <v>0</v>
      </c>
    </row>
    <row r="709" spans="1:24" hidden="1">
      <c r="A709" s="258"/>
      <c r="B709" s="21" t="s">
        <v>416</v>
      </c>
      <c r="C709" s="22"/>
      <c r="D709" s="21"/>
      <c r="E709" s="21"/>
      <c r="F709" s="21"/>
      <c r="G709" s="21"/>
      <c r="I709" s="21"/>
      <c r="J709" s="21"/>
      <c r="K709" s="22">
        <f ca="1">ROUND(K708,0)</f>
        <v>0</v>
      </c>
      <c r="L709" s="22">
        <f t="shared" ref="L709:X709" ca="1" si="379">ROUND(K709+L708,0)</f>
        <v>0</v>
      </c>
      <c r="M709" s="22">
        <f t="shared" ca="1" si="379"/>
        <v>0</v>
      </c>
      <c r="N709" s="22">
        <f t="shared" ca="1" si="379"/>
        <v>0</v>
      </c>
      <c r="O709" s="22">
        <f t="shared" ca="1" si="379"/>
        <v>0</v>
      </c>
      <c r="P709" s="22">
        <f t="shared" ca="1" si="379"/>
        <v>0</v>
      </c>
      <c r="Q709" s="22">
        <f t="shared" ca="1" si="379"/>
        <v>0</v>
      </c>
      <c r="R709" s="22">
        <f t="shared" ca="1" si="379"/>
        <v>0</v>
      </c>
      <c r="S709" s="22">
        <f t="shared" ca="1" si="379"/>
        <v>0</v>
      </c>
      <c r="T709" s="22">
        <f t="shared" ca="1" si="379"/>
        <v>0</v>
      </c>
      <c r="U709" s="22">
        <f t="shared" ca="1" si="379"/>
        <v>0</v>
      </c>
      <c r="V709" s="22">
        <f t="shared" ca="1" si="379"/>
        <v>0</v>
      </c>
      <c r="W709" s="22">
        <f t="shared" ca="1" si="379"/>
        <v>0</v>
      </c>
      <c r="X709" s="22">
        <f t="shared" ca="1" si="379"/>
        <v>0</v>
      </c>
    </row>
    <row r="710" spans="1:24" hidden="1">
      <c r="A710" s="258"/>
      <c r="B710" s="21" t="s">
        <v>406</v>
      </c>
      <c r="C710" s="22"/>
      <c r="D710" s="21"/>
      <c r="E710" s="21"/>
      <c r="F710" s="21"/>
      <c r="G710" s="21"/>
      <c r="I710" s="21"/>
      <c r="J710" s="21"/>
      <c r="K710" s="76">
        <f t="shared" ref="K710:X710" ca="1" si="380">IF($C706=LataProjekcji,ROUND($C707-K709,0),ROUND(IF(K708=0,0,$C707-K709),0))</f>
        <v>0</v>
      </c>
      <c r="L710" s="76">
        <f t="shared" ca="1" si="380"/>
        <v>0</v>
      </c>
      <c r="M710" s="76">
        <f t="shared" ca="1" si="380"/>
        <v>0</v>
      </c>
      <c r="N710" s="76">
        <f t="shared" ca="1" si="380"/>
        <v>0</v>
      </c>
      <c r="O710" s="76">
        <f t="shared" ca="1" si="380"/>
        <v>0</v>
      </c>
      <c r="P710" s="76">
        <f t="shared" ca="1" si="380"/>
        <v>0</v>
      </c>
      <c r="Q710" s="76">
        <f t="shared" ca="1" si="380"/>
        <v>0</v>
      </c>
      <c r="R710" s="76">
        <f t="shared" ca="1" si="380"/>
        <v>0</v>
      </c>
      <c r="S710" s="76">
        <f t="shared" ca="1" si="380"/>
        <v>0</v>
      </c>
      <c r="T710" s="76">
        <f t="shared" ca="1" si="380"/>
        <v>0</v>
      </c>
      <c r="U710" s="76">
        <f t="shared" ca="1" si="380"/>
        <v>0</v>
      </c>
      <c r="V710" s="76">
        <f t="shared" ca="1" si="380"/>
        <v>0</v>
      </c>
      <c r="W710" s="76">
        <f t="shared" ca="1" si="380"/>
        <v>0</v>
      </c>
      <c r="X710" s="76">
        <f t="shared" ca="1" si="380"/>
        <v>0</v>
      </c>
    </row>
    <row r="711" spans="1:24" hidden="1">
      <c r="A711" s="258"/>
      <c r="B711" s="21"/>
      <c r="C711" s="21"/>
      <c r="D711" s="21"/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0" t="str">
        <f>B108</f>
        <v/>
      </c>
      <c r="C712" s="21">
        <f>C705+1</f>
        <v>80</v>
      </c>
      <c r="D712" s="473">
        <f>D705+1</f>
        <v>172</v>
      </c>
      <c r="E712" s="21"/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414</v>
      </c>
      <c r="C713" s="164">
        <f ca="1">IFERROR(YEAR(OFFSET($D$28,C712,0)),0)</f>
        <v>0</v>
      </c>
      <c r="D713" s="164">
        <f ca="1">IFERROR(MONTH(OFFSET($D$28,C712,0)),0)</f>
        <v>0</v>
      </c>
      <c r="E713" s="21">
        <f ca="1">12-$D713</f>
        <v>12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406</v>
      </c>
      <c r="C714" s="244">
        <f ca="1">IF(OFFSET($F$28,C712,0)&lt;0,0,OFFSET($F$28,C712,0))</f>
        <v>0</v>
      </c>
      <c r="D714" s="22">
        <f ca="1">OFFSET($C$28,C712,0)</f>
        <v>0</v>
      </c>
      <c r="E714" s="22">
        <f ca="1">IF(D714&gt;10,ROUND(($C715/12)*$E713,0),$C714)</f>
        <v>0</v>
      </c>
      <c r="F714" s="21"/>
      <c r="G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1:24" hidden="1">
      <c r="A715" s="258"/>
      <c r="B715" s="21" t="s">
        <v>415</v>
      </c>
      <c r="C715" s="244">
        <f ca="1">IF(ISBLANK(OFFSET($D$28,C712,0)),0,IF(OFFSET($C$28,C712,0)&gt;10,ROUND(C714*am_budynki,0),IF(C714&lt;0,0,C714)))</f>
        <v>0</v>
      </c>
      <c r="D715" s="21"/>
      <c r="E715" s="21"/>
      <c r="F715" s="21"/>
      <c r="G715" s="21"/>
      <c r="I715" s="21"/>
      <c r="J715" s="473" t="str" cm="1">
        <f t="array" aca="1" ref="J715" ca="1">OFFSET('Środki trwałe'!$C$195,'Rozliczenie dotacji'!D712,,)</f>
        <v/>
      </c>
      <c r="K715" s="74">
        <f ca="1">ROUND(IF($C713=LataProjekcji,$E714,IF($C713=LataProjekcji,$C715,0)),0)</f>
        <v>0</v>
      </c>
      <c r="L715" s="247">
        <f ca="1">ROUND(IF(OR(AND($C713=LataProjekcji,$E713&gt;0),AND($C713=LataProjekcji,$E713=0,$D714&lt;=10)),$E714,IF($C713&lt;LataProjekcji,IF((SUM($K715:K715)+$C715)&lt;$C714,$C715,$C714-SUM($K715:K715)),0)),0)</f>
        <v>0</v>
      </c>
      <c r="M715" s="247">
        <f ca="1">ROUND(IF(OR(AND($C713=LataProjekcji,$E713&gt;0),AND($C713=LataProjekcji,$E713=0,$D714&lt;=10)),$E714,IF($C713&lt;LataProjekcji,IF((SUM($K715:L715)+$C715)&lt;$C714,$C715,$C714-SUM($K715:L715)),0)),0)</f>
        <v>0</v>
      </c>
      <c r="N715" s="247">
        <f ca="1">ROUND(IF(OR(AND($C713=LataProjekcji,$E713&gt;0),AND($C713=LataProjekcji,$E713=0,$D714&lt;=10)),$E714,IF($C713&lt;LataProjekcji,IF((SUM($K715:M715)+$C715)&lt;$C714,$C715,$C714-SUM($K715:M715)),0)),0)</f>
        <v>0</v>
      </c>
      <c r="O715" s="247">
        <f ca="1">ROUND(IF(OR(AND($C713=LataProjekcji,$E713&gt;0),AND($C713=LataProjekcji,$E713=0,$D714&lt;=10)),$E714,IF($C713&lt;LataProjekcji,IF((SUM($K715:N715)+$C715)&lt;$C714,$C715,$C714-SUM($K715:N715)),0)),0)</f>
        <v>0</v>
      </c>
      <c r="P715" s="247">
        <f ca="1">ROUND(IF(OR(AND($C713=LataProjekcji,$E713&gt;0),AND($C713=LataProjekcji,$E713=0,$D714&lt;=10)),$E714,IF($C713&lt;LataProjekcji,IF((SUM($K715:O715)+$C715)&lt;$C714,$C715,$C714-SUM($K715:O715)),0)),0)</f>
        <v>0</v>
      </c>
      <c r="Q715" s="247">
        <f ca="1">ROUND(IF(OR(AND($C713=LataProjekcji,$E713&gt;0),AND($C713=LataProjekcji,$E713=0,$D714&lt;=10)),$E714,IF($C713&lt;LataProjekcji,IF((SUM($K715:P715)+$C715)&lt;$C714,$C715,$C714-SUM($K715:P715)),0)),0)</f>
        <v>0</v>
      </c>
      <c r="R715" s="247">
        <f ca="1">ROUND(IF(OR(AND($C713=LataProjekcji,$E713&gt;0),AND($C713=LataProjekcji,$E713=0,$D714&lt;=10)),$E714,IF($C713&lt;LataProjekcji,IF((SUM($K715:Q715)+$C715)&lt;$C714,$C715,$C714-SUM($K715:Q715)),0)),0)</f>
        <v>0</v>
      </c>
      <c r="S715" s="247">
        <f ca="1">ROUND(IF(OR(AND($C713=LataProjekcji,$E713&gt;0),AND($C713=LataProjekcji,$E713=0,$D714&lt;=10)),$E714,IF($C713&lt;LataProjekcji,IF((SUM($K715:R715)+$C715)&lt;$C714,$C715,$C714-SUM($K715:R715)),0)),0)</f>
        <v>0</v>
      </c>
      <c r="T715" s="247">
        <f ca="1">ROUND(IF(OR(AND($C713=LataProjekcji,$E713&gt;0),AND($C713=LataProjekcji,$E713=0,$D714&lt;=10)),$E714,IF($C713&lt;LataProjekcji,IF((SUM($K715:S715)+$C715)&lt;$C714,$C715,$C714-SUM($K715:S715)),0)),0)</f>
        <v>0</v>
      </c>
      <c r="U715" s="247">
        <f ca="1">ROUND(IF(OR(AND($C713=LataProjekcji,$E713&gt;0),AND($C713=LataProjekcji,$E713=0,$D714&lt;=10)),$E714,IF($C713&lt;LataProjekcji,IF((SUM($K715:T715)+$C715)&lt;$C714,$C715,$C714-SUM($K715:T715)),0)),0)</f>
        <v>0</v>
      </c>
      <c r="V715" s="247">
        <f ca="1">ROUND(IF(OR(AND($C713=LataProjekcji,$E713&gt;0),AND($C713=LataProjekcji,$E713=0,$D714&lt;=10)),$E714,IF($C713&lt;LataProjekcji,IF((SUM($K715:U715)+$C715)&lt;$C714,$C715,$C714-SUM($K715:U715)),0)),0)</f>
        <v>0</v>
      </c>
      <c r="W715" s="247">
        <f ca="1">ROUND(IF(OR(AND($C713=LataProjekcji,$E713&gt;0),AND($C713=LataProjekcji,$E713=0,$D714&lt;=10)),$E714,IF($C713&lt;LataProjekcji,IF((SUM($K715:V715)+$C715)&lt;$C714,$C715,$C714-SUM($K715:V715)),0)),0)</f>
        <v>0</v>
      </c>
      <c r="X715" s="247">
        <f ca="1">ROUND(IF(OR(AND($C713=LataProjekcji,$E713&gt;0),AND($C713=LataProjekcji,$E713=0,$D714&lt;=10)),$E714,IF($C713&lt;LataProjekcji,IF((SUM($K715:W715)+$C715)&lt;$C714,$C715,$C714-SUM($K715:W715)),0)),0)</f>
        <v>0</v>
      </c>
    </row>
    <row r="716" spans="1:24" hidden="1">
      <c r="A716" s="258"/>
      <c r="B716" s="21" t="s">
        <v>416</v>
      </c>
      <c r="C716" s="22"/>
      <c r="D716" s="21"/>
      <c r="E716" s="21"/>
      <c r="F716" s="21"/>
      <c r="G716" s="21"/>
      <c r="I716" s="21"/>
      <c r="J716" s="21"/>
      <c r="K716" s="22">
        <f ca="1">ROUND(K715,0)</f>
        <v>0</v>
      </c>
      <c r="L716" s="22">
        <f t="shared" ref="L716:X716" ca="1" si="381">ROUND(K716+L715,0)</f>
        <v>0</v>
      </c>
      <c r="M716" s="22">
        <f t="shared" ca="1" si="381"/>
        <v>0</v>
      </c>
      <c r="N716" s="22">
        <f t="shared" ca="1" si="381"/>
        <v>0</v>
      </c>
      <c r="O716" s="22">
        <f t="shared" ca="1" si="381"/>
        <v>0</v>
      </c>
      <c r="P716" s="22">
        <f t="shared" ca="1" si="381"/>
        <v>0</v>
      </c>
      <c r="Q716" s="22">
        <f t="shared" ca="1" si="381"/>
        <v>0</v>
      </c>
      <c r="R716" s="22">
        <f t="shared" ca="1" si="381"/>
        <v>0</v>
      </c>
      <c r="S716" s="22">
        <f t="shared" ca="1" si="381"/>
        <v>0</v>
      </c>
      <c r="T716" s="22">
        <f t="shared" ca="1" si="381"/>
        <v>0</v>
      </c>
      <c r="U716" s="22">
        <f t="shared" ca="1" si="381"/>
        <v>0</v>
      </c>
      <c r="V716" s="22">
        <f t="shared" ca="1" si="381"/>
        <v>0</v>
      </c>
      <c r="W716" s="22">
        <f t="shared" ca="1" si="381"/>
        <v>0</v>
      </c>
      <c r="X716" s="22">
        <f t="shared" ca="1" si="381"/>
        <v>0</v>
      </c>
    </row>
    <row r="717" spans="1:24" hidden="1">
      <c r="A717" s="258"/>
      <c r="B717" s="21" t="s">
        <v>406</v>
      </c>
      <c r="C717" s="22"/>
      <c r="D717" s="21"/>
      <c r="E717" s="21"/>
      <c r="F717" s="21"/>
      <c r="G717" s="21"/>
      <c r="I717" s="21"/>
      <c r="J717" s="21"/>
      <c r="K717" s="76">
        <f t="shared" ref="K717:X717" ca="1" si="382">IF($C713=LataProjekcji,ROUND($C714-K716,0),ROUND(IF(K715=0,0,$C714-K716),0))</f>
        <v>0</v>
      </c>
      <c r="L717" s="76">
        <f t="shared" ca="1" si="382"/>
        <v>0</v>
      </c>
      <c r="M717" s="76">
        <f t="shared" ca="1" si="382"/>
        <v>0</v>
      </c>
      <c r="N717" s="76">
        <f t="shared" ca="1" si="382"/>
        <v>0</v>
      </c>
      <c r="O717" s="76">
        <f t="shared" ca="1" si="382"/>
        <v>0</v>
      </c>
      <c r="P717" s="76">
        <f t="shared" ca="1" si="382"/>
        <v>0</v>
      </c>
      <c r="Q717" s="76">
        <f t="shared" ca="1" si="382"/>
        <v>0</v>
      </c>
      <c r="R717" s="76">
        <f t="shared" ca="1" si="382"/>
        <v>0</v>
      </c>
      <c r="S717" s="76">
        <f t="shared" ca="1" si="382"/>
        <v>0</v>
      </c>
      <c r="T717" s="76">
        <f t="shared" ca="1" si="382"/>
        <v>0</v>
      </c>
      <c r="U717" s="76">
        <f t="shared" ca="1" si="382"/>
        <v>0</v>
      </c>
      <c r="V717" s="76">
        <f t="shared" ca="1" si="382"/>
        <v>0</v>
      </c>
      <c r="W717" s="76">
        <f t="shared" ca="1" si="382"/>
        <v>0</v>
      </c>
      <c r="X717" s="76">
        <f t="shared" ca="1" si="382"/>
        <v>0</v>
      </c>
    </row>
    <row r="718" spans="1:24" hidden="1">
      <c r="A718" s="258"/>
      <c r="B718" s="21"/>
      <c r="C718" s="22"/>
      <c r="D718" s="21"/>
      <c r="E718" s="21"/>
      <c r="F718" s="21"/>
      <c r="G718" s="21"/>
      <c r="I718" s="21"/>
      <c r="J718" s="21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</row>
    <row r="722" spans="1:24" ht="12.5" hidden="1" thickBot="1"/>
    <row r="723" spans="1:24" ht="12.5" hidden="1" thickBot="1">
      <c r="A723" s="258"/>
      <c r="B723" s="20" t="s">
        <v>391</v>
      </c>
      <c r="C723" s="249">
        <v>89</v>
      </c>
      <c r="D723" s="472">
        <v>223</v>
      </c>
      <c r="E723" s="21" t="s">
        <v>411</v>
      </c>
      <c r="F723" s="48"/>
      <c r="G723" s="50" t="s">
        <v>412</v>
      </c>
      <c r="H723" s="320"/>
      <c r="I723" s="21" t="s">
        <v>413</v>
      </c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1:24" hidden="1">
      <c r="A724" s="258"/>
      <c r="B724" s="21" t="s">
        <v>414</v>
      </c>
      <c r="C724" s="164">
        <f ca="1">IFERROR(YEAR(OFFSET($D$28,C723,0)),0)</f>
        <v>0</v>
      </c>
      <c r="D724" s="164">
        <f ca="1">IFERROR(MONTH(OFFSET($D$28,C723,0)),0)</f>
        <v>0</v>
      </c>
      <c r="E724" s="21">
        <f ca="1">12-$D724</f>
        <v>12</v>
      </c>
      <c r="F724" s="49"/>
      <c r="G724" s="51">
        <f>C162-F724</f>
        <v>0</v>
      </c>
      <c r="H724" s="321"/>
      <c r="I724" s="22">
        <f>C162-F724-G724</f>
        <v>0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1" t="s">
        <v>406</v>
      </c>
      <c r="C725" s="244">
        <f ca="1">IF(OFFSET($F$28,C723,0)&lt;0,0,OFFSET($F$28,C723,0))</f>
        <v>0</v>
      </c>
      <c r="D725" s="22" t="str">
        <f ca="1">OFFSET($C$28,C723,0)</f>
        <v/>
      </c>
      <c r="E725" s="22">
        <f ca="1">IF(D725&gt;10,ROUND(($C726/12)*$E724,0),$C725)</f>
        <v>0</v>
      </c>
      <c r="F725" s="21" t="s">
        <v>426</v>
      </c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415</v>
      </c>
      <c r="C726" s="244">
        <f ca="1">IF(ISBLANK(OFFSET($D$28,C723,0)),0,IF(OFFSET($C$28,C723,0)&gt;10,ROUND(C725*am_maszyny,0),IF(C725&lt;0,0,C725)))</f>
        <v>0</v>
      </c>
      <c r="D726" s="21"/>
      <c r="E726" s="21"/>
      <c r="F726" s="21"/>
      <c r="G726" s="21"/>
      <c r="I726" s="21"/>
      <c r="J726" s="473" cm="1">
        <f t="array" aca="1" ref="J726" ca="1">OFFSET('Środki trwałe'!$C$195,'Rozliczenie dotacji'!D723,,)</f>
        <v>0</v>
      </c>
      <c r="K726" s="74">
        <f ca="1">ROUND(IF($C724=LataProjekcji,$E725,IF($C724=LataProjekcji,$C726,0)),0)</f>
        <v>0</v>
      </c>
      <c r="L726" s="247">
        <f ca="1">ROUND(IF(OR(AND($C724=LataProjekcji,$E724&gt;0),AND($C724=LataProjekcji,$E724=0,$D725&lt;=10)),$E725,IF($C724&lt;LataProjekcji,IF((SUM($K726:K726)+$C726)&lt;$C725,$C726,$C725-SUM($K726:K726)),0)),0)</f>
        <v>0</v>
      </c>
      <c r="M726" s="247">
        <f ca="1">ROUND(IF(OR(AND($C724=LataProjekcji,$E724&gt;0),AND($C724=LataProjekcji,$E724=0,$D725&lt;=10)),$E725,IF($C724&lt;LataProjekcji,IF((SUM($K726:L726)+$C726)&lt;$C725,$C726,$C725-SUM($K726:L726)),0)),0)</f>
        <v>0</v>
      </c>
      <c r="N726" s="247">
        <f ca="1">ROUND(IF(OR(AND($C724=LataProjekcji,$E724&gt;0),AND($C724=LataProjekcji,$E724=0,$D725&lt;=10)),$E725,IF($C724&lt;LataProjekcji,IF((SUM($K726:M726)+$C726)&lt;$C725,$C726,$C725-SUM($K726:M726)),0)),0)</f>
        <v>0</v>
      </c>
      <c r="O726" s="247">
        <f ca="1">ROUND(IF(OR(AND($C724=LataProjekcji,$E724&gt;0),AND($C724=LataProjekcji,$E724=0,$D725&lt;=10)),$E725,IF($C724&lt;LataProjekcji,IF((SUM($K726:N726)+$C726)&lt;$C725,$C726,$C725-SUM($K726:N726)),0)),0)</f>
        <v>0</v>
      </c>
      <c r="P726" s="247">
        <f ca="1">ROUND(IF(OR(AND($C724=LataProjekcji,$E724&gt;0),AND($C724=LataProjekcji,$E724=0,$D725&lt;=10)),$E725,IF($C724&lt;LataProjekcji,IF((SUM($K726:O726)+$C726)&lt;$C725,$C726,$C725-SUM($K726:O726)),0)),0)</f>
        <v>0</v>
      </c>
      <c r="Q726" s="247">
        <f ca="1">ROUND(IF(OR(AND($C724=LataProjekcji,$E724&gt;0),AND($C724=LataProjekcji,$E724=0,$D725&lt;=10)),$E725,IF($C724&lt;LataProjekcji,IF((SUM($K726:P726)+$C726)&lt;$C725,$C726,$C725-SUM($K726:P726)),0)),0)</f>
        <v>0</v>
      </c>
      <c r="R726" s="247">
        <f ca="1">ROUND(IF(OR(AND($C724=LataProjekcji,$E724&gt;0),AND($C724=LataProjekcji,$E724=0,$D725&lt;=10)),$E725,IF($C724&lt;LataProjekcji,IF((SUM($K726:Q726)+$C726)&lt;$C725,$C726,$C725-SUM($K726:Q726)),0)),0)</f>
        <v>0</v>
      </c>
      <c r="S726" s="247">
        <f ca="1">ROUND(IF(OR(AND($C724=LataProjekcji,$E724&gt;0),AND($C724=LataProjekcji,$E724=0,$D725&lt;=10)),$E725,IF($C724&lt;LataProjekcji,IF((SUM($K726:R726)+$C726)&lt;$C725,$C726,$C725-SUM($K726:R726)),0)),0)</f>
        <v>0</v>
      </c>
      <c r="T726" s="247">
        <f ca="1">ROUND(IF(OR(AND($C724=LataProjekcji,$E724&gt;0),AND($C724=LataProjekcji,$E724=0,$D725&lt;=10)),$E725,IF($C724&lt;LataProjekcji,IF((SUM($K726:S726)+$C726)&lt;$C725,$C726,$C725-SUM($K726:S726)),0)),0)</f>
        <v>0</v>
      </c>
      <c r="U726" s="247">
        <f ca="1">ROUND(IF(OR(AND($C724=LataProjekcji,$E724&gt;0),AND($C724=LataProjekcji,$E724=0,$D725&lt;=10)),$E725,IF($C724&lt;LataProjekcji,IF((SUM($K726:T726)+$C726)&lt;$C725,$C726,$C725-SUM($K726:T726)),0)),0)</f>
        <v>0</v>
      </c>
      <c r="V726" s="247">
        <f ca="1">ROUND(IF(OR(AND($C724=LataProjekcji,$E724&gt;0),AND($C724=LataProjekcji,$E724=0,$D725&lt;=10)),$E725,IF($C724&lt;LataProjekcji,IF((SUM($K726:U726)+$C726)&lt;$C725,$C726,$C725-SUM($K726:U726)),0)),0)</f>
        <v>0</v>
      </c>
      <c r="W726" s="247">
        <f ca="1">ROUND(IF(OR(AND($C724=LataProjekcji,$E724&gt;0),AND($C724=LataProjekcji,$E724=0,$D725&lt;=10)),$E725,IF($C724&lt;LataProjekcji,IF((SUM($K726:V726)+$C726)&lt;$C725,$C726,$C725-SUM($K726:V726)),0)),0)</f>
        <v>0</v>
      </c>
      <c r="X726" s="247">
        <f ca="1">ROUND(IF(OR(AND($C724=LataProjekcji,$E724&gt;0),AND($C724=LataProjekcji,$E724=0,$D725&lt;=10)),$E725,IF($C724&lt;LataProjekcji,IF((SUM($K726:W726)+$C726)&lt;$C725,$C726,$C725-SUM($K726:W726)),0)),0)</f>
        <v>0</v>
      </c>
    </row>
    <row r="727" spans="1:24" hidden="1">
      <c r="A727" s="258"/>
      <c r="B727" s="21" t="s">
        <v>416</v>
      </c>
      <c r="C727" s="22"/>
      <c r="D727" s="21"/>
      <c r="E727" s="21"/>
      <c r="F727" s="21"/>
      <c r="G727" s="21"/>
      <c r="I727" s="21"/>
      <c r="J727" s="21"/>
      <c r="K727" s="22">
        <f ca="1">ROUND(K726,0)</f>
        <v>0</v>
      </c>
      <c r="L727" s="22">
        <f t="shared" ref="L727:X727" ca="1" si="383">ROUND(K727+L726,0)</f>
        <v>0</v>
      </c>
      <c r="M727" s="22">
        <f t="shared" ca="1" si="383"/>
        <v>0</v>
      </c>
      <c r="N727" s="22">
        <f t="shared" ca="1" si="383"/>
        <v>0</v>
      </c>
      <c r="O727" s="22">
        <f t="shared" ca="1" si="383"/>
        <v>0</v>
      </c>
      <c r="P727" s="22">
        <f t="shared" ca="1" si="383"/>
        <v>0</v>
      </c>
      <c r="Q727" s="22">
        <f t="shared" ca="1" si="383"/>
        <v>0</v>
      </c>
      <c r="R727" s="22">
        <f t="shared" ca="1" si="383"/>
        <v>0</v>
      </c>
      <c r="S727" s="22">
        <f t="shared" ca="1" si="383"/>
        <v>0</v>
      </c>
      <c r="T727" s="22">
        <f t="shared" ca="1" si="383"/>
        <v>0</v>
      </c>
      <c r="U727" s="22">
        <f t="shared" ca="1" si="383"/>
        <v>0</v>
      </c>
      <c r="V727" s="22">
        <f t="shared" ca="1" si="383"/>
        <v>0</v>
      </c>
      <c r="W727" s="22">
        <f t="shared" ca="1" si="383"/>
        <v>0</v>
      </c>
      <c r="X727" s="22">
        <f t="shared" ca="1" si="383"/>
        <v>0</v>
      </c>
    </row>
    <row r="728" spans="1:24" hidden="1">
      <c r="A728" s="258"/>
      <c r="B728" s="21" t="s">
        <v>406</v>
      </c>
      <c r="C728" s="22"/>
      <c r="D728" s="21"/>
      <c r="E728" s="21"/>
      <c r="F728" s="21"/>
      <c r="G728" s="21"/>
      <c r="I728" s="21"/>
      <c r="J728" s="21"/>
      <c r="K728" s="76">
        <f t="shared" ref="K728:X728" ca="1" si="384">IF($C724=LataProjekcji,ROUND($C725-K727,0),ROUND(IF(K726=0,0,$C725-K727),0))</f>
        <v>0</v>
      </c>
      <c r="L728" s="76">
        <f t="shared" ca="1" si="384"/>
        <v>0</v>
      </c>
      <c r="M728" s="76">
        <f t="shared" ca="1" si="384"/>
        <v>0</v>
      </c>
      <c r="N728" s="76">
        <f t="shared" ca="1" si="384"/>
        <v>0</v>
      </c>
      <c r="O728" s="76">
        <f t="shared" ca="1" si="384"/>
        <v>0</v>
      </c>
      <c r="P728" s="76">
        <f t="shared" ca="1" si="384"/>
        <v>0</v>
      </c>
      <c r="Q728" s="76">
        <f t="shared" ca="1" si="384"/>
        <v>0</v>
      </c>
      <c r="R728" s="76">
        <f t="shared" ca="1" si="384"/>
        <v>0</v>
      </c>
      <c r="S728" s="76">
        <f t="shared" ca="1" si="384"/>
        <v>0</v>
      </c>
      <c r="T728" s="76">
        <f t="shared" ca="1" si="384"/>
        <v>0</v>
      </c>
      <c r="U728" s="76">
        <f t="shared" ca="1" si="384"/>
        <v>0</v>
      </c>
      <c r="V728" s="76">
        <f t="shared" ca="1" si="384"/>
        <v>0</v>
      </c>
      <c r="W728" s="76">
        <f t="shared" ca="1" si="384"/>
        <v>0</v>
      </c>
      <c r="X728" s="76">
        <f t="shared" ca="1" si="384"/>
        <v>0</v>
      </c>
    </row>
    <row r="729" spans="1:24" hidden="1">
      <c r="A729" s="258"/>
      <c r="B729" s="21"/>
      <c r="C729" s="22"/>
      <c r="D729" s="21"/>
      <c r="E729" s="21"/>
      <c r="F729" s="21"/>
      <c r="G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1:24" hidden="1">
      <c r="A730" s="258"/>
      <c r="B730" s="20" t="s">
        <v>391</v>
      </c>
      <c r="C730" s="21">
        <f>C723+1</f>
        <v>90</v>
      </c>
      <c r="D730" s="473">
        <f>D723+1</f>
        <v>224</v>
      </c>
      <c r="E730" s="21"/>
      <c r="F730" s="21"/>
      <c r="G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1:24" hidden="1">
      <c r="A731" s="258"/>
      <c r="B731" s="21" t="s">
        <v>414</v>
      </c>
      <c r="C731" s="164">
        <f ca="1">IFERROR(YEAR(OFFSET($D$28,C730,0)),0)</f>
        <v>0</v>
      </c>
      <c r="D731" s="164">
        <f ca="1">IFERROR(MONTH(OFFSET($D$28,C730,0)),0)</f>
        <v>0</v>
      </c>
      <c r="E731" s="21">
        <f ca="1">12-$D731</f>
        <v>12</v>
      </c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1" t="s">
        <v>406</v>
      </c>
      <c r="C732" s="244">
        <f ca="1">IF(OFFSET($F$28,C730,0)&lt;0,0,OFFSET($F$28,C730,0))</f>
        <v>0</v>
      </c>
      <c r="D732" s="22" t="str">
        <f ca="1">OFFSET($C$28,C730,0)</f>
        <v/>
      </c>
      <c r="E732" s="22">
        <f ca="1">IF(D732&gt;10,ROUND(($C733/12)*$E731,0),$C732)</f>
        <v>0</v>
      </c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415</v>
      </c>
      <c r="C733" s="244">
        <f ca="1">IF(ISBLANK(OFFSET($D$28,C730,0)),0,IF(OFFSET($C$28,C730,0)&gt;10,ROUND(C732*am_maszyny,0),IF(C732&lt;0,0,C732)))</f>
        <v>0</v>
      </c>
      <c r="D733" s="21"/>
      <c r="E733" s="21"/>
      <c r="F733" s="21"/>
      <c r="G733" s="21"/>
      <c r="I733" s="21"/>
      <c r="J733" s="473" cm="1">
        <f t="array" aca="1" ref="J733" ca="1">OFFSET('Środki trwałe'!$C$195,'Rozliczenie dotacji'!D730,,)</f>
        <v>0</v>
      </c>
      <c r="K733" s="74">
        <f ca="1">ROUND(IF($C731=LataProjekcji,$E732,IF($C731=LataProjekcji,$C733,0)),0)</f>
        <v>0</v>
      </c>
      <c r="L733" s="247">
        <f ca="1">ROUND(IF(OR(AND($C731=LataProjekcji,$E731&gt;0),AND($C731=LataProjekcji,$E731=0,$D732&lt;=10)),$E732,IF($C731&lt;LataProjekcji,IF((SUM($K733:K733)+$C733)&lt;$C732,$C733,$C732-SUM($K733:K733)),0)),0)</f>
        <v>0</v>
      </c>
      <c r="M733" s="247">
        <f ca="1">ROUND(IF(OR(AND($C731=LataProjekcji,$E731&gt;0),AND($C731=LataProjekcji,$E731=0,$D732&lt;=10)),$E732,IF($C731&lt;LataProjekcji,IF((SUM($K733:L733)+$C733)&lt;$C732,$C733,$C732-SUM($K733:L733)),0)),0)</f>
        <v>0</v>
      </c>
      <c r="N733" s="247">
        <f ca="1">ROUND(IF(OR(AND($C731=LataProjekcji,$E731&gt;0),AND($C731=LataProjekcji,$E731=0,$D732&lt;=10)),$E732,IF($C731&lt;LataProjekcji,IF((SUM($K733:M733)+$C733)&lt;$C732,$C733,$C732-SUM($K733:M733)),0)),0)</f>
        <v>0</v>
      </c>
      <c r="O733" s="247">
        <f ca="1">ROUND(IF(OR(AND($C731=LataProjekcji,$E731&gt;0),AND($C731=LataProjekcji,$E731=0,$D732&lt;=10)),$E732,IF($C731&lt;LataProjekcji,IF((SUM($K733:N733)+$C733)&lt;$C732,$C733,$C732-SUM($K733:N733)),0)),0)</f>
        <v>0</v>
      </c>
      <c r="P733" s="247">
        <f ca="1">ROUND(IF(OR(AND($C731=LataProjekcji,$E731&gt;0),AND($C731=LataProjekcji,$E731=0,$D732&lt;=10)),$E732,IF($C731&lt;LataProjekcji,IF((SUM($K733:O733)+$C733)&lt;$C732,$C733,$C732-SUM($K733:O733)),0)),0)</f>
        <v>0</v>
      </c>
      <c r="Q733" s="247">
        <f ca="1">ROUND(IF(OR(AND($C731=LataProjekcji,$E731&gt;0),AND($C731=LataProjekcji,$E731=0,$D732&lt;=10)),$E732,IF($C731&lt;LataProjekcji,IF((SUM($K733:P733)+$C733)&lt;$C732,$C733,$C732-SUM($K733:P733)),0)),0)</f>
        <v>0</v>
      </c>
      <c r="R733" s="247">
        <f ca="1">ROUND(IF(OR(AND($C731=LataProjekcji,$E731&gt;0),AND($C731=LataProjekcji,$E731=0,$D732&lt;=10)),$E732,IF($C731&lt;LataProjekcji,IF((SUM($K733:Q733)+$C733)&lt;$C732,$C733,$C732-SUM($K733:Q733)),0)),0)</f>
        <v>0</v>
      </c>
      <c r="S733" s="247">
        <f ca="1">ROUND(IF(OR(AND($C731=LataProjekcji,$E731&gt;0),AND($C731=LataProjekcji,$E731=0,$D732&lt;=10)),$E732,IF($C731&lt;LataProjekcji,IF((SUM($K733:R733)+$C733)&lt;$C732,$C733,$C732-SUM($K733:R733)),0)),0)</f>
        <v>0</v>
      </c>
      <c r="T733" s="247">
        <f ca="1">ROUND(IF(OR(AND($C731=LataProjekcji,$E731&gt;0),AND($C731=LataProjekcji,$E731=0,$D732&lt;=10)),$E732,IF($C731&lt;LataProjekcji,IF((SUM($K733:S733)+$C733)&lt;$C732,$C733,$C732-SUM($K733:S733)),0)),0)</f>
        <v>0</v>
      </c>
      <c r="U733" s="247">
        <f ca="1">ROUND(IF(OR(AND($C731=LataProjekcji,$E731&gt;0),AND($C731=LataProjekcji,$E731=0,$D732&lt;=10)),$E732,IF($C731&lt;LataProjekcji,IF((SUM($K733:T733)+$C733)&lt;$C732,$C733,$C732-SUM($K733:T733)),0)),0)</f>
        <v>0</v>
      </c>
      <c r="V733" s="247">
        <f ca="1">ROUND(IF(OR(AND($C731=LataProjekcji,$E731&gt;0),AND($C731=LataProjekcji,$E731=0,$D732&lt;=10)),$E732,IF($C731&lt;LataProjekcji,IF((SUM($K733:U733)+$C733)&lt;$C732,$C733,$C732-SUM($K733:U733)),0)),0)</f>
        <v>0</v>
      </c>
      <c r="W733" s="247">
        <f ca="1">ROUND(IF(OR(AND($C731=LataProjekcji,$E731&gt;0),AND($C731=LataProjekcji,$E731=0,$D732&lt;=10)),$E732,IF($C731&lt;LataProjekcji,IF((SUM($K733:V733)+$C733)&lt;$C732,$C733,$C732-SUM($K733:V733)),0)),0)</f>
        <v>0</v>
      </c>
      <c r="X733" s="247">
        <f ca="1">ROUND(IF(OR(AND($C731=LataProjekcji,$E731&gt;0),AND($C731=LataProjekcji,$E731=0,$D732&lt;=10)),$E732,IF($C731&lt;LataProjekcji,IF((SUM($K733:W733)+$C733)&lt;$C732,$C733,$C732-SUM($K733:W733)),0)),0)</f>
        <v>0</v>
      </c>
    </row>
    <row r="734" spans="1:24" hidden="1">
      <c r="A734" s="258"/>
      <c r="B734" s="21" t="s">
        <v>416</v>
      </c>
      <c r="C734" s="22"/>
      <c r="D734" s="21"/>
      <c r="E734" s="21"/>
      <c r="F734" s="21"/>
      <c r="G734" s="21"/>
      <c r="I734" s="21"/>
      <c r="J734" s="21"/>
      <c r="K734" s="22">
        <f ca="1">ROUND(K733,0)</f>
        <v>0</v>
      </c>
      <c r="L734" s="22">
        <f t="shared" ref="L734:X734" ca="1" si="385">ROUND(K734+L733,0)</f>
        <v>0</v>
      </c>
      <c r="M734" s="22">
        <f t="shared" ca="1" si="385"/>
        <v>0</v>
      </c>
      <c r="N734" s="22">
        <f t="shared" ca="1" si="385"/>
        <v>0</v>
      </c>
      <c r="O734" s="22">
        <f t="shared" ca="1" si="385"/>
        <v>0</v>
      </c>
      <c r="P734" s="22">
        <f t="shared" ca="1" si="385"/>
        <v>0</v>
      </c>
      <c r="Q734" s="22">
        <f t="shared" ca="1" si="385"/>
        <v>0</v>
      </c>
      <c r="R734" s="22">
        <f t="shared" ca="1" si="385"/>
        <v>0</v>
      </c>
      <c r="S734" s="22">
        <f t="shared" ca="1" si="385"/>
        <v>0</v>
      </c>
      <c r="T734" s="22">
        <f t="shared" ca="1" si="385"/>
        <v>0</v>
      </c>
      <c r="U734" s="22">
        <f t="shared" ca="1" si="385"/>
        <v>0</v>
      </c>
      <c r="V734" s="22">
        <f t="shared" ca="1" si="385"/>
        <v>0</v>
      </c>
      <c r="W734" s="22">
        <f t="shared" ca="1" si="385"/>
        <v>0</v>
      </c>
      <c r="X734" s="22">
        <f t="shared" ca="1" si="385"/>
        <v>0</v>
      </c>
    </row>
    <row r="735" spans="1:24" hidden="1">
      <c r="A735" s="258"/>
      <c r="B735" s="21" t="s">
        <v>406</v>
      </c>
      <c r="C735" s="22"/>
      <c r="D735" s="21"/>
      <c r="E735" s="21"/>
      <c r="F735" s="21"/>
      <c r="G735" s="21"/>
      <c r="I735" s="21"/>
      <c r="J735" s="21"/>
      <c r="K735" s="76">
        <f t="shared" ref="K735:X735" ca="1" si="386">IF($C731=LataProjekcji,ROUND($C732-K734,0),ROUND(IF(K733=0,0,$C732-K734),0))</f>
        <v>0</v>
      </c>
      <c r="L735" s="76">
        <f t="shared" ca="1" si="386"/>
        <v>0</v>
      </c>
      <c r="M735" s="76">
        <f t="shared" ca="1" si="386"/>
        <v>0</v>
      </c>
      <c r="N735" s="76">
        <f t="shared" ca="1" si="386"/>
        <v>0</v>
      </c>
      <c r="O735" s="76">
        <f t="shared" ca="1" si="386"/>
        <v>0</v>
      </c>
      <c r="P735" s="76">
        <f t="shared" ca="1" si="386"/>
        <v>0</v>
      </c>
      <c r="Q735" s="76">
        <f t="shared" ca="1" si="386"/>
        <v>0</v>
      </c>
      <c r="R735" s="76">
        <f t="shared" ca="1" si="386"/>
        <v>0</v>
      </c>
      <c r="S735" s="76">
        <f t="shared" ca="1" si="386"/>
        <v>0</v>
      </c>
      <c r="T735" s="76">
        <f t="shared" ca="1" si="386"/>
        <v>0</v>
      </c>
      <c r="U735" s="76">
        <f t="shared" ca="1" si="386"/>
        <v>0</v>
      </c>
      <c r="V735" s="76">
        <f t="shared" ca="1" si="386"/>
        <v>0</v>
      </c>
      <c r="W735" s="76">
        <f t="shared" ca="1" si="386"/>
        <v>0</v>
      </c>
      <c r="X735" s="76">
        <f t="shared" ca="1" si="386"/>
        <v>0</v>
      </c>
    </row>
    <row r="736" spans="1:24" hidden="1">
      <c r="A736" s="258"/>
      <c r="B736" s="20"/>
      <c r="C736" s="21"/>
      <c r="D736" s="21"/>
      <c r="E736" s="21"/>
      <c r="F736" s="21"/>
      <c r="G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1:24" hidden="1">
      <c r="A737" s="258"/>
      <c r="B737" s="20" t="s">
        <v>391</v>
      </c>
      <c r="C737" s="21">
        <f>C730+1</f>
        <v>91</v>
      </c>
      <c r="D737" s="473">
        <f>D730+1</f>
        <v>225</v>
      </c>
      <c r="E737" s="21"/>
      <c r="F737" s="21"/>
      <c r="G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1:24" hidden="1">
      <c r="A738" s="258"/>
      <c r="B738" s="21" t="s">
        <v>414</v>
      </c>
      <c r="C738" s="164">
        <f ca="1">IFERROR(YEAR(OFFSET($D$28,C737,0)),0)</f>
        <v>0</v>
      </c>
      <c r="D738" s="164">
        <f ca="1">IFERROR(MONTH(OFFSET($D$28,C737,0)),0)</f>
        <v>0</v>
      </c>
      <c r="E738" s="21">
        <f ca="1">12-$D738</f>
        <v>12</v>
      </c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1" t="s">
        <v>406</v>
      </c>
      <c r="C739" s="244">
        <f ca="1">IF(OFFSET($F$28,C737,0)&lt;0,0,OFFSET($F$28,C737,0))</f>
        <v>0</v>
      </c>
      <c r="D739" s="22" t="str">
        <f ca="1">OFFSET($C$28,C737,0)</f>
        <v/>
      </c>
      <c r="E739" s="22">
        <f ca="1">IF(D739&gt;10,ROUND(($C740/12)*$E738,0),$C739)</f>
        <v>0</v>
      </c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415</v>
      </c>
      <c r="C740" s="244">
        <f ca="1">IF(ISBLANK(OFFSET($D$28,C737,0)),0,IF(OFFSET($C$28,C737,0)&gt;10,ROUND(C739*am_maszyny,0),IF(C739&lt;0,0,C739)))</f>
        <v>0</v>
      </c>
      <c r="D740" s="21"/>
      <c r="E740" s="21"/>
      <c r="F740" s="21"/>
      <c r="G740" s="21"/>
      <c r="I740" s="21"/>
      <c r="J740" s="473" cm="1">
        <f t="array" aca="1" ref="J740" ca="1">OFFSET('Środki trwałe'!$C$195,'Rozliczenie dotacji'!D737,,)</f>
        <v>0</v>
      </c>
      <c r="K740" s="74">
        <f ca="1">ROUND(IF($C738=LataProjekcji,$E739,IF($C738=LataProjekcji,$C740,0)),0)</f>
        <v>0</v>
      </c>
      <c r="L740" s="247">
        <f ca="1">ROUND(IF(OR(AND($C738=LataProjekcji,$E738&gt;0),AND($C738=LataProjekcji,$E738=0,$D739&lt;=10)),$E739,IF($C738&lt;LataProjekcji,IF((SUM($K740:K740)+$C740)&lt;$C739,$C740,$C739-SUM($K740:K740)),0)),0)</f>
        <v>0</v>
      </c>
      <c r="M740" s="247">
        <f ca="1">ROUND(IF(OR(AND($C738=LataProjekcji,$E738&gt;0),AND($C738=LataProjekcji,$E738=0,$D739&lt;=10)),$E739,IF($C738&lt;LataProjekcji,IF((SUM($K740:L740)+$C740)&lt;$C739,$C740,$C739-SUM($K740:L740)),0)),0)</f>
        <v>0</v>
      </c>
      <c r="N740" s="247">
        <f ca="1">ROUND(IF(OR(AND($C738=LataProjekcji,$E738&gt;0),AND($C738=LataProjekcji,$E738=0,$D739&lt;=10)),$E739,IF($C738&lt;LataProjekcji,IF((SUM($K740:M740)+$C740)&lt;$C739,$C740,$C739-SUM($K740:M740)),0)),0)</f>
        <v>0</v>
      </c>
      <c r="O740" s="247">
        <f ca="1">ROUND(IF(OR(AND($C738=LataProjekcji,$E738&gt;0),AND($C738=LataProjekcji,$E738=0,$D739&lt;=10)),$E739,IF($C738&lt;LataProjekcji,IF((SUM($K740:N740)+$C740)&lt;$C739,$C740,$C739-SUM($K740:N740)),0)),0)</f>
        <v>0</v>
      </c>
      <c r="P740" s="247">
        <f ca="1">ROUND(IF(OR(AND($C738=LataProjekcji,$E738&gt;0),AND($C738=LataProjekcji,$E738=0,$D739&lt;=10)),$E739,IF($C738&lt;LataProjekcji,IF((SUM($K740:O740)+$C740)&lt;$C739,$C740,$C739-SUM($K740:O740)),0)),0)</f>
        <v>0</v>
      </c>
      <c r="Q740" s="247">
        <f ca="1">ROUND(IF(OR(AND($C738=LataProjekcji,$E738&gt;0),AND($C738=LataProjekcji,$E738=0,$D739&lt;=10)),$E739,IF($C738&lt;LataProjekcji,IF((SUM($K740:P740)+$C740)&lt;$C739,$C740,$C739-SUM($K740:P740)),0)),0)</f>
        <v>0</v>
      </c>
      <c r="R740" s="247">
        <f ca="1">ROUND(IF(OR(AND($C738=LataProjekcji,$E738&gt;0),AND($C738=LataProjekcji,$E738=0,$D739&lt;=10)),$E739,IF($C738&lt;LataProjekcji,IF((SUM($K740:Q740)+$C740)&lt;$C739,$C740,$C739-SUM($K740:Q740)),0)),0)</f>
        <v>0</v>
      </c>
      <c r="S740" s="247">
        <f ca="1">ROUND(IF(OR(AND($C738=LataProjekcji,$E738&gt;0),AND($C738=LataProjekcji,$E738=0,$D739&lt;=10)),$E739,IF($C738&lt;LataProjekcji,IF((SUM($K740:R740)+$C740)&lt;$C739,$C740,$C739-SUM($K740:R740)),0)),0)</f>
        <v>0</v>
      </c>
      <c r="T740" s="247">
        <f ca="1">ROUND(IF(OR(AND($C738=LataProjekcji,$E738&gt;0),AND($C738=LataProjekcji,$E738=0,$D739&lt;=10)),$E739,IF($C738&lt;LataProjekcji,IF((SUM($K740:S740)+$C740)&lt;$C739,$C740,$C739-SUM($K740:S740)),0)),0)</f>
        <v>0</v>
      </c>
      <c r="U740" s="247">
        <f ca="1">ROUND(IF(OR(AND($C738=LataProjekcji,$E738&gt;0),AND($C738=LataProjekcji,$E738=0,$D739&lt;=10)),$E739,IF($C738&lt;LataProjekcji,IF((SUM($K740:T740)+$C740)&lt;$C739,$C740,$C739-SUM($K740:T740)),0)),0)</f>
        <v>0</v>
      </c>
      <c r="V740" s="247">
        <f ca="1">ROUND(IF(OR(AND($C738=LataProjekcji,$E738&gt;0),AND($C738=LataProjekcji,$E738=0,$D739&lt;=10)),$E739,IF($C738&lt;LataProjekcji,IF((SUM($K740:U740)+$C740)&lt;$C739,$C740,$C739-SUM($K740:U740)),0)),0)</f>
        <v>0</v>
      </c>
      <c r="W740" s="247">
        <f ca="1">ROUND(IF(OR(AND($C738=LataProjekcji,$E738&gt;0),AND($C738=LataProjekcji,$E738=0,$D739&lt;=10)),$E739,IF($C738&lt;LataProjekcji,IF((SUM($K740:V740)+$C740)&lt;$C739,$C740,$C739-SUM($K740:V740)),0)),0)</f>
        <v>0</v>
      </c>
      <c r="X740" s="247">
        <f ca="1">ROUND(IF(OR(AND($C738=LataProjekcji,$E738&gt;0),AND($C738=LataProjekcji,$E738=0,$D739&lt;=10)),$E739,IF($C738&lt;LataProjekcji,IF((SUM($K740:W740)+$C740)&lt;$C739,$C740,$C739-SUM($K740:W740)),0)),0)</f>
        <v>0</v>
      </c>
    </row>
    <row r="741" spans="1:24" hidden="1">
      <c r="A741" s="258"/>
      <c r="B741" s="21" t="s">
        <v>416</v>
      </c>
      <c r="C741" s="22"/>
      <c r="D741" s="21"/>
      <c r="E741" s="21"/>
      <c r="F741" s="21"/>
      <c r="G741" s="21"/>
      <c r="I741" s="21"/>
      <c r="J741" s="21"/>
      <c r="K741" s="22">
        <f ca="1">ROUND(K740,0)</f>
        <v>0</v>
      </c>
      <c r="L741" s="22">
        <f t="shared" ref="L741:X741" ca="1" si="387">ROUND(K741+L740,0)</f>
        <v>0</v>
      </c>
      <c r="M741" s="22">
        <f t="shared" ca="1" si="387"/>
        <v>0</v>
      </c>
      <c r="N741" s="22">
        <f t="shared" ca="1" si="387"/>
        <v>0</v>
      </c>
      <c r="O741" s="22">
        <f t="shared" ca="1" si="387"/>
        <v>0</v>
      </c>
      <c r="P741" s="22">
        <f t="shared" ca="1" si="387"/>
        <v>0</v>
      </c>
      <c r="Q741" s="22">
        <f t="shared" ca="1" si="387"/>
        <v>0</v>
      </c>
      <c r="R741" s="22">
        <f t="shared" ca="1" si="387"/>
        <v>0</v>
      </c>
      <c r="S741" s="22">
        <f t="shared" ca="1" si="387"/>
        <v>0</v>
      </c>
      <c r="T741" s="22">
        <f t="shared" ca="1" si="387"/>
        <v>0</v>
      </c>
      <c r="U741" s="22">
        <f t="shared" ca="1" si="387"/>
        <v>0</v>
      </c>
      <c r="V741" s="22">
        <f t="shared" ca="1" si="387"/>
        <v>0</v>
      </c>
      <c r="W741" s="22">
        <f t="shared" ca="1" si="387"/>
        <v>0</v>
      </c>
      <c r="X741" s="22">
        <f t="shared" ca="1" si="387"/>
        <v>0</v>
      </c>
    </row>
    <row r="742" spans="1:24" hidden="1">
      <c r="A742" s="258"/>
      <c r="B742" s="21" t="s">
        <v>406</v>
      </c>
      <c r="C742" s="22"/>
      <c r="D742" s="21"/>
      <c r="E742" s="21"/>
      <c r="F742" s="21"/>
      <c r="G742" s="21"/>
      <c r="I742" s="21"/>
      <c r="J742" s="21"/>
      <c r="K742" s="76">
        <f t="shared" ref="K742:X742" ca="1" si="388">IF($C738=LataProjekcji,ROUND($C739-K741,0),ROUND(IF(K740=0,0,$C739-K741),0))</f>
        <v>0</v>
      </c>
      <c r="L742" s="76">
        <f t="shared" ca="1" si="388"/>
        <v>0</v>
      </c>
      <c r="M742" s="76">
        <f t="shared" ca="1" si="388"/>
        <v>0</v>
      </c>
      <c r="N742" s="76">
        <f t="shared" ca="1" si="388"/>
        <v>0</v>
      </c>
      <c r="O742" s="76">
        <f t="shared" ca="1" si="388"/>
        <v>0</v>
      </c>
      <c r="P742" s="76">
        <f t="shared" ca="1" si="388"/>
        <v>0</v>
      </c>
      <c r="Q742" s="76">
        <f t="shared" ca="1" si="388"/>
        <v>0</v>
      </c>
      <c r="R742" s="76">
        <f t="shared" ca="1" si="388"/>
        <v>0</v>
      </c>
      <c r="S742" s="76">
        <f t="shared" ca="1" si="388"/>
        <v>0</v>
      </c>
      <c r="T742" s="76">
        <f t="shared" ca="1" si="388"/>
        <v>0</v>
      </c>
      <c r="U742" s="76">
        <f t="shared" ca="1" si="388"/>
        <v>0</v>
      </c>
      <c r="V742" s="76">
        <f t="shared" ca="1" si="388"/>
        <v>0</v>
      </c>
      <c r="W742" s="76">
        <f t="shared" ca="1" si="388"/>
        <v>0</v>
      </c>
      <c r="X742" s="76">
        <f t="shared" ca="1" si="388"/>
        <v>0</v>
      </c>
    </row>
    <row r="743" spans="1:24" hidden="1">
      <c r="A743" s="258"/>
      <c r="B743" s="21"/>
      <c r="C743" s="22"/>
      <c r="D743" s="21"/>
      <c r="E743" s="21"/>
      <c r="F743" s="21"/>
      <c r="G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1:24" hidden="1">
      <c r="A744" s="258"/>
      <c r="B744" s="20" t="s">
        <v>391</v>
      </c>
      <c r="C744" s="21">
        <f>C737+1</f>
        <v>92</v>
      </c>
      <c r="D744" s="473">
        <f>D737+1</f>
        <v>226</v>
      </c>
      <c r="E744" s="21"/>
      <c r="F744" s="21"/>
      <c r="G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1:24" hidden="1">
      <c r="A745" s="258"/>
      <c r="B745" s="21" t="s">
        <v>414</v>
      </c>
      <c r="C745" s="164">
        <f ca="1">IFERROR(YEAR(OFFSET($D$28,C744,0)),0)</f>
        <v>0</v>
      </c>
      <c r="D745" s="164">
        <f ca="1">IFERROR(MONTH(OFFSET($D$28,C744,0)),0)</f>
        <v>0</v>
      </c>
      <c r="E745" s="21">
        <f ca="1">12-$D745</f>
        <v>12</v>
      </c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1" t="s">
        <v>406</v>
      </c>
      <c r="C746" s="244">
        <f ca="1">IF(OFFSET($F$28,C744,0)&lt;0,0,OFFSET($F$28,C744,0))</f>
        <v>0</v>
      </c>
      <c r="D746" s="22" t="str">
        <f ca="1">OFFSET($C$28,C744,0)</f>
        <v/>
      </c>
      <c r="E746" s="22">
        <f ca="1">IF(D746&gt;10,ROUND(($C747/12)*$E745,0),$C746)</f>
        <v>0</v>
      </c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415</v>
      </c>
      <c r="C747" s="244">
        <f ca="1">IF(ISBLANK(OFFSET($D$28,C744,0)),0,IF(OFFSET($C$28,C744,0)&gt;10,ROUND(C746*am_maszyny,0),IF(C746&lt;0,0,C746)))</f>
        <v>0</v>
      </c>
      <c r="D747" s="21"/>
      <c r="E747" s="21"/>
      <c r="F747" s="21"/>
      <c r="G747" s="21"/>
      <c r="I747" s="21"/>
      <c r="J747" s="473" cm="1">
        <f t="array" aca="1" ref="J747" ca="1">OFFSET('Środki trwałe'!$C$195,'Rozliczenie dotacji'!D744,,)</f>
        <v>0</v>
      </c>
      <c r="K747" s="74">
        <f ca="1">ROUND(IF($C745=LataProjekcji,$E746,IF($C745=LataProjekcji,$C747,0)),0)</f>
        <v>0</v>
      </c>
      <c r="L747" s="247">
        <f ca="1">ROUND(IF(OR(AND($C745=LataProjekcji,$E745&gt;0),AND($C745=LataProjekcji,$E745=0,$D746&lt;=10)),$E746,IF($C745&lt;LataProjekcji,IF((SUM($K747:K747)+$C747)&lt;$C746,$C747,$C746-SUM($K747:K747)),0)),0)</f>
        <v>0</v>
      </c>
      <c r="M747" s="247">
        <f ca="1">ROUND(IF(OR(AND($C745=LataProjekcji,$E745&gt;0),AND($C745=LataProjekcji,$E745=0,$D746&lt;=10)),$E746,IF($C745&lt;LataProjekcji,IF((SUM($K747:L747)+$C747)&lt;$C746,$C747,$C746-SUM($K747:L747)),0)),0)</f>
        <v>0</v>
      </c>
      <c r="N747" s="247">
        <f ca="1">ROUND(IF(OR(AND($C745=LataProjekcji,$E745&gt;0),AND($C745=LataProjekcji,$E745=0,$D746&lt;=10)),$E746,IF($C745&lt;LataProjekcji,IF((SUM($K747:M747)+$C747)&lt;$C746,$C747,$C746-SUM($K747:M747)),0)),0)</f>
        <v>0</v>
      </c>
      <c r="O747" s="247">
        <f ca="1">ROUND(IF(OR(AND($C745=LataProjekcji,$E745&gt;0),AND($C745=LataProjekcji,$E745=0,$D746&lt;=10)),$E746,IF($C745&lt;LataProjekcji,IF((SUM($K747:N747)+$C747)&lt;$C746,$C747,$C746-SUM($K747:N747)),0)),0)</f>
        <v>0</v>
      </c>
      <c r="P747" s="247">
        <f ca="1">ROUND(IF(OR(AND($C745=LataProjekcji,$E745&gt;0),AND($C745=LataProjekcji,$E745=0,$D746&lt;=10)),$E746,IF($C745&lt;LataProjekcji,IF((SUM($K747:O747)+$C747)&lt;$C746,$C747,$C746-SUM($K747:O747)),0)),0)</f>
        <v>0</v>
      </c>
      <c r="Q747" s="247">
        <f ca="1">ROUND(IF(OR(AND($C745=LataProjekcji,$E745&gt;0),AND($C745=LataProjekcji,$E745=0,$D746&lt;=10)),$E746,IF($C745&lt;LataProjekcji,IF((SUM($K747:P747)+$C747)&lt;$C746,$C747,$C746-SUM($K747:P747)),0)),0)</f>
        <v>0</v>
      </c>
      <c r="R747" s="247">
        <f ca="1">ROUND(IF(OR(AND($C745=LataProjekcji,$E745&gt;0),AND($C745=LataProjekcji,$E745=0,$D746&lt;=10)),$E746,IF($C745&lt;LataProjekcji,IF((SUM($K747:Q747)+$C747)&lt;$C746,$C747,$C746-SUM($K747:Q747)),0)),0)</f>
        <v>0</v>
      </c>
      <c r="S747" s="247">
        <f ca="1">ROUND(IF(OR(AND($C745=LataProjekcji,$E745&gt;0),AND($C745=LataProjekcji,$E745=0,$D746&lt;=10)),$E746,IF($C745&lt;LataProjekcji,IF((SUM($K747:R747)+$C747)&lt;$C746,$C747,$C746-SUM($K747:R747)),0)),0)</f>
        <v>0</v>
      </c>
      <c r="T747" s="247">
        <f ca="1">ROUND(IF(OR(AND($C745=LataProjekcji,$E745&gt;0),AND($C745=LataProjekcji,$E745=0,$D746&lt;=10)),$E746,IF($C745&lt;LataProjekcji,IF((SUM($K747:S747)+$C747)&lt;$C746,$C747,$C746-SUM($K747:S747)),0)),0)</f>
        <v>0</v>
      </c>
      <c r="U747" s="247">
        <f ca="1">ROUND(IF(OR(AND($C745=LataProjekcji,$E745&gt;0),AND($C745=LataProjekcji,$E745=0,$D746&lt;=10)),$E746,IF($C745&lt;LataProjekcji,IF((SUM($K747:T747)+$C747)&lt;$C746,$C747,$C746-SUM($K747:T747)),0)),0)</f>
        <v>0</v>
      </c>
      <c r="V747" s="247">
        <f ca="1">ROUND(IF(OR(AND($C745=LataProjekcji,$E745&gt;0),AND($C745=LataProjekcji,$E745=0,$D746&lt;=10)),$E746,IF($C745&lt;LataProjekcji,IF((SUM($K747:U747)+$C747)&lt;$C746,$C747,$C746-SUM($K747:U747)),0)),0)</f>
        <v>0</v>
      </c>
      <c r="W747" s="247">
        <f ca="1">ROUND(IF(OR(AND($C745=LataProjekcji,$E745&gt;0),AND($C745=LataProjekcji,$E745=0,$D746&lt;=10)),$E746,IF($C745&lt;LataProjekcji,IF((SUM($K747:V747)+$C747)&lt;$C746,$C747,$C746-SUM($K747:V747)),0)),0)</f>
        <v>0</v>
      </c>
      <c r="X747" s="247">
        <f ca="1">ROUND(IF(OR(AND($C745=LataProjekcji,$E745&gt;0),AND($C745=LataProjekcji,$E745=0,$D746&lt;=10)),$E746,IF($C745&lt;LataProjekcji,IF((SUM($K747:W747)+$C747)&lt;$C746,$C747,$C746-SUM($K747:W747)),0)),0)</f>
        <v>0</v>
      </c>
    </row>
    <row r="748" spans="1:24" hidden="1">
      <c r="A748" s="258"/>
      <c r="B748" s="21" t="s">
        <v>416</v>
      </c>
      <c r="C748" s="22"/>
      <c r="D748" s="21"/>
      <c r="E748" s="21"/>
      <c r="F748" s="21"/>
      <c r="G748" s="21"/>
      <c r="I748" s="21"/>
      <c r="J748" s="21"/>
      <c r="K748" s="22">
        <f ca="1">ROUND(K747,0)</f>
        <v>0</v>
      </c>
      <c r="L748" s="22">
        <f t="shared" ref="L748:X748" ca="1" si="389">ROUND(K748+L747,0)</f>
        <v>0</v>
      </c>
      <c r="M748" s="22">
        <f t="shared" ca="1" si="389"/>
        <v>0</v>
      </c>
      <c r="N748" s="22">
        <f t="shared" ca="1" si="389"/>
        <v>0</v>
      </c>
      <c r="O748" s="22">
        <f t="shared" ca="1" si="389"/>
        <v>0</v>
      </c>
      <c r="P748" s="22">
        <f t="shared" ca="1" si="389"/>
        <v>0</v>
      </c>
      <c r="Q748" s="22">
        <f t="shared" ca="1" si="389"/>
        <v>0</v>
      </c>
      <c r="R748" s="22">
        <f t="shared" ca="1" si="389"/>
        <v>0</v>
      </c>
      <c r="S748" s="22">
        <f t="shared" ca="1" si="389"/>
        <v>0</v>
      </c>
      <c r="T748" s="22">
        <f t="shared" ca="1" si="389"/>
        <v>0</v>
      </c>
      <c r="U748" s="22">
        <f t="shared" ca="1" si="389"/>
        <v>0</v>
      </c>
      <c r="V748" s="22">
        <f t="shared" ca="1" si="389"/>
        <v>0</v>
      </c>
      <c r="W748" s="22">
        <f t="shared" ca="1" si="389"/>
        <v>0</v>
      </c>
      <c r="X748" s="22">
        <f t="shared" ca="1" si="389"/>
        <v>0</v>
      </c>
    </row>
    <row r="749" spans="1:24" hidden="1">
      <c r="A749" s="258"/>
      <c r="B749" s="21" t="s">
        <v>406</v>
      </c>
      <c r="C749" s="22"/>
      <c r="D749" s="21"/>
      <c r="E749" s="21"/>
      <c r="F749" s="21"/>
      <c r="G749" s="21"/>
      <c r="I749" s="21"/>
      <c r="J749" s="21"/>
      <c r="K749" s="76">
        <f t="shared" ref="K749:X749" ca="1" si="390">IF($C745=LataProjekcji,ROUND($C746-K748,0),ROUND(IF(K747=0,0,$C746-K748),0))</f>
        <v>0</v>
      </c>
      <c r="L749" s="76">
        <f t="shared" ca="1" si="390"/>
        <v>0</v>
      </c>
      <c r="M749" s="76">
        <f t="shared" ca="1" si="390"/>
        <v>0</v>
      </c>
      <c r="N749" s="76">
        <f t="shared" ca="1" si="390"/>
        <v>0</v>
      </c>
      <c r="O749" s="76">
        <f t="shared" ca="1" si="390"/>
        <v>0</v>
      </c>
      <c r="P749" s="76">
        <f t="shared" ca="1" si="390"/>
        <v>0</v>
      </c>
      <c r="Q749" s="76">
        <f t="shared" ca="1" si="390"/>
        <v>0</v>
      </c>
      <c r="R749" s="76">
        <f t="shared" ca="1" si="390"/>
        <v>0</v>
      </c>
      <c r="S749" s="76">
        <f t="shared" ca="1" si="390"/>
        <v>0</v>
      </c>
      <c r="T749" s="76">
        <f t="shared" ca="1" si="390"/>
        <v>0</v>
      </c>
      <c r="U749" s="76">
        <f t="shared" ca="1" si="390"/>
        <v>0</v>
      </c>
      <c r="V749" s="76">
        <f t="shared" ca="1" si="390"/>
        <v>0</v>
      </c>
      <c r="W749" s="76">
        <f t="shared" ca="1" si="390"/>
        <v>0</v>
      </c>
      <c r="X749" s="76">
        <f t="shared" ca="1" si="390"/>
        <v>0</v>
      </c>
    </row>
    <row r="750" spans="1:24" hidden="1">
      <c r="A750" s="258"/>
      <c r="B750" s="21"/>
      <c r="C750" s="22"/>
      <c r="D750" s="21"/>
      <c r="E750" s="21"/>
      <c r="F750" s="21"/>
      <c r="G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1:24" hidden="1">
      <c r="A751" s="258"/>
      <c r="B751" s="20" t="s">
        <v>391</v>
      </c>
      <c r="C751" s="21">
        <f>C744+1</f>
        <v>93</v>
      </c>
      <c r="D751" s="473">
        <f>D744+1</f>
        <v>227</v>
      </c>
      <c r="E751" s="21"/>
      <c r="F751" s="21"/>
      <c r="G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1:24" hidden="1">
      <c r="A752" s="258"/>
      <c r="B752" s="21" t="s">
        <v>414</v>
      </c>
      <c r="C752" s="164">
        <f ca="1">IFERROR(YEAR(OFFSET($D$28,C751,0)),0)</f>
        <v>0</v>
      </c>
      <c r="D752" s="164">
        <f ca="1">IFERROR(MONTH(OFFSET($D$28,C751,0)),0)</f>
        <v>0</v>
      </c>
      <c r="E752" s="21">
        <f ca="1">12-$D752</f>
        <v>12</v>
      </c>
      <c r="F752" s="21"/>
      <c r="G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1:24" hidden="1">
      <c r="A753" s="258"/>
      <c r="B753" s="21" t="s">
        <v>406</v>
      </c>
      <c r="C753" s="244">
        <f ca="1">IF(OFFSET($F$28,C751,0)&lt;0,0,OFFSET($F$28,C751,0))</f>
        <v>0</v>
      </c>
      <c r="D753" s="22" t="str">
        <f ca="1">OFFSET($C$28,C751,0)</f>
        <v/>
      </c>
      <c r="E753" s="22">
        <f ca="1">IF(D753&gt;10,ROUND(($C754/12)*$E752,0),$C753)</f>
        <v>0</v>
      </c>
      <c r="F753" s="21"/>
      <c r="G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1:24" hidden="1">
      <c r="A754" s="258"/>
      <c r="B754" s="21" t="s">
        <v>415</v>
      </c>
      <c r="C754" s="244">
        <f ca="1">IF(ISBLANK(OFFSET($D$28,C751,0)),0,IF(OFFSET($C$28,C751,0)&gt;10,ROUND(C753*am_maszyny,0),IF(C753&lt;0,0,C753)))</f>
        <v>0</v>
      </c>
      <c r="D754" s="21"/>
      <c r="E754" s="21"/>
      <c r="F754" s="21"/>
      <c r="G754" s="21"/>
      <c r="I754" s="21"/>
      <c r="J754" s="473" cm="1">
        <f t="array" aca="1" ref="J754" ca="1">OFFSET('Środki trwałe'!$C$195,'Rozliczenie dotacji'!D751,,)</f>
        <v>0</v>
      </c>
      <c r="K754" s="74">
        <f ca="1">ROUND(IF($C752=LataProjekcji,$E753,IF($C752=LataProjekcji,$C754,0)),0)</f>
        <v>0</v>
      </c>
      <c r="L754" s="247">
        <f ca="1">ROUND(IF(OR(AND($C752=LataProjekcji,$E752&gt;0),AND($C752=LataProjekcji,$E752=0,$D753&lt;=10)),$E753,IF($C752&lt;LataProjekcji,IF((SUM($K754:K754)+$C754)&lt;$C753,$C754,$C753-SUM($K754:K754)),0)),0)</f>
        <v>0</v>
      </c>
      <c r="M754" s="247">
        <f ca="1">ROUND(IF(OR(AND($C752=LataProjekcji,$E752&gt;0),AND($C752=LataProjekcji,$E752=0,$D753&lt;=10)),$E753,IF($C752&lt;LataProjekcji,IF((SUM($K754:L754)+$C754)&lt;$C753,$C754,$C753-SUM($K754:L754)),0)),0)</f>
        <v>0</v>
      </c>
      <c r="N754" s="247">
        <f ca="1">ROUND(IF(OR(AND($C752=LataProjekcji,$E752&gt;0),AND($C752=LataProjekcji,$E752=0,$D753&lt;=10)),$E753,IF($C752&lt;LataProjekcji,IF((SUM($K754:M754)+$C754)&lt;$C753,$C754,$C753-SUM($K754:M754)),0)),0)</f>
        <v>0</v>
      </c>
      <c r="O754" s="247">
        <f ca="1">ROUND(IF(OR(AND($C752=LataProjekcji,$E752&gt;0),AND($C752=LataProjekcji,$E752=0,$D753&lt;=10)),$E753,IF($C752&lt;LataProjekcji,IF((SUM($K754:N754)+$C754)&lt;$C753,$C754,$C753-SUM($K754:N754)),0)),0)</f>
        <v>0</v>
      </c>
      <c r="P754" s="247">
        <f ca="1">ROUND(IF(OR(AND($C752=LataProjekcji,$E752&gt;0),AND($C752=LataProjekcji,$E752=0,$D753&lt;=10)),$E753,IF($C752&lt;LataProjekcji,IF((SUM($K754:O754)+$C754)&lt;$C753,$C754,$C753-SUM($K754:O754)),0)),0)</f>
        <v>0</v>
      </c>
      <c r="Q754" s="247">
        <f ca="1">ROUND(IF(OR(AND($C752=LataProjekcji,$E752&gt;0),AND($C752=LataProjekcji,$E752=0,$D753&lt;=10)),$E753,IF($C752&lt;LataProjekcji,IF((SUM($K754:P754)+$C754)&lt;$C753,$C754,$C753-SUM($K754:P754)),0)),0)</f>
        <v>0</v>
      </c>
      <c r="R754" s="247">
        <f ca="1">ROUND(IF(OR(AND($C752=LataProjekcji,$E752&gt;0),AND($C752=LataProjekcji,$E752=0,$D753&lt;=10)),$E753,IF($C752&lt;LataProjekcji,IF((SUM($K754:Q754)+$C754)&lt;$C753,$C754,$C753-SUM($K754:Q754)),0)),0)</f>
        <v>0</v>
      </c>
      <c r="S754" s="247">
        <f ca="1">ROUND(IF(OR(AND($C752=LataProjekcji,$E752&gt;0),AND($C752=LataProjekcji,$E752=0,$D753&lt;=10)),$E753,IF($C752&lt;LataProjekcji,IF((SUM($K754:R754)+$C754)&lt;$C753,$C754,$C753-SUM($K754:R754)),0)),0)</f>
        <v>0</v>
      </c>
      <c r="T754" s="247">
        <f ca="1">ROUND(IF(OR(AND($C752=LataProjekcji,$E752&gt;0),AND($C752=LataProjekcji,$E752=0,$D753&lt;=10)),$E753,IF($C752&lt;LataProjekcji,IF((SUM($K754:S754)+$C754)&lt;$C753,$C754,$C753-SUM($K754:S754)),0)),0)</f>
        <v>0</v>
      </c>
      <c r="U754" s="247">
        <f ca="1">ROUND(IF(OR(AND($C752=LataProjekcji,$E752&gt;0),AND($C752=LataProjekcji,$E752=0,$D753&lt;=10)),$E753,IF($C752&lt;LataProjekcji,IF((SUM($K754:T754)+$C754)&lt;$C753,$C754,$C753-SUM($K754:T754)),0)),0)</f>
        <v>0</v>
      </c>
      <c r="V754" s="247">
        <f ca="1">ROUND(IF(OR(AND($C752=LataProjekcji,$E752&gt;0),AND($C752=LataProjekcji,$E752=0,$D753&lt;=10)),$E753,IF($C752&lt;LataProjekcji,IF((SUM($K754:U754)+$C754)&lt;$C753,$C754,$C753-SUM($K754:U754)),0)),0)</f>
        <v>0</v>
      </c>
      <c r="W754" s="247">
        <f ca="1">ROUND(IF(OR(AND($C752=LataProjekcji,$E752&gt;0),AND($C752=LataProjekcji,$E752=0,$D753&lt;=10)),$E753,IF($C752&lt;LataProjekcji,IF((SUM($K754:V754)+$C754)&lt;$C753,$C754,$C753-SUM($K754:V754)),0)),0)</f>
        <v>0</v>
      </c>
      <c r="X754" s="247">
        <f ca="1">ROUND(IF(OR(AND($C752=LataProjekcji,$E752&gt;0),AND($C752=LataProjekcji,$E752=0,$D753&lt;=10)),$E753,IF($C752&lt;LataProjekcji,IF((SUM($K754:W754)+$C754)&lt;$C753,$C754,$C753-SUM($K754:W754)),0)),0)</f>
        <v>0</v>
      </c>
    </row>
    <row r="755" spans="1:24" hidden="1">
      <c r="A755" s="258"/>
      <c r="B755" s="21" t="s">
        <v>416</v>
      </c>
      <c r="C755" s="22"/>
      <c r="D755" s="21"/>
      <c r="E755" s="21"/>
      <c r="F755" s="21"/>
      <c r="G755" s="21"/>
      <c r="I755" s="21"/>
      <c r="J755" s="21"/>
      <c r="K755" s="22">
        <f ca="1">ROUND(K754,0)</f>
        <v>0</v>
      </c>
      <c r="L755" s="22">
        <f t="shared" ref="L755:X755" ca="1" si="391">ROUND(K755+L754,0)</f>
        <v>0</v>
      </c>
      <c r="M755" s="22">
        <f t="shared" ca="1" si="391"/>
        <v>0</v>
      </c>
      <c r="N755" s="22">
        <f t="shared" ca="1" si="391"/>
        <v>0</v>
      </c>
      <c r="O755" s="22">
        <f t="shared" ca="1" si="391"/>
        <v>0</v>
      </c>
      <c r="P755" s="22">
        <f t="shared" ca="1" si="391"/>
        <v>0</v>
      </c>
      <c r="Q755" s="22">
        <f t="shared" ca="1" si="391"/>
        <v>0</v>
      </c>
      <c r="R755" s="22">
        <f t="shared" ca="1" si="391"/>
        <v>0</v>
      </c>
      <c r="S755" s="22">
        <f t="shared" ca="1" si="391"/>
        <v>0</v>
      </c>
      <c r="T755" s="22">
        <f t="shared" ca="1" si="391"/>
        <v>0</v>
      </c>
      <c r="U755" s="22">
        <f t="shared" ca="1" si="391"/>
        <v>0</v>
      </c>
      <c r="V755" s="22">
        <f t="shared" ca="1" si="391"/>
        <v>0</v>
      </c>
      <c r="W755" s="22">
        <f t="shared" ca="1" si="391"/>
        <v>0</v>
      </c>
      <c r="X755" s="22">
        <f t="shared" ca="1" si="391"/>
        <v>0</v>
      </c>
    </row>
    <row r="756" spans="1:24" hidden="1">
      <c r="A756" s="258"/>
      <c r="B756" s="21" t="s">
        <v>406</v>
      </c>
      <c r="C756" s="22"/>
      <c r="D756" s="21"/>
      <c r="E756" s="21"/>
      <c r="F756" s="21"/>
      <c r="G756" s="21"/>
      <c r="I756" s="21"/>
      <c r="J756" s="21"/>
      <c r="K756" s="76">
        <f t="shared" ref="K756:X756" ca="1" si="392">IF($C752=LataProjekcji,ROUND($C753-K755,0),ROUND(IF(K754=0,0,$C753-K755),0))</f>
        <v>0</v>
      </c>
      <c r="L756" s="76">
        <f t="shared" ca="1" si="392"/>
        <v>0</v>
      </c>
      <c r="M756" s="76">
        <f t="shared" ca="1" si="392"/>
        <v>0</v>
      </c>
      <c r="N756" s="76">
        <f t="shared" ca="1" si="392"/>
        <v>0</v>
      </c>
      <c r="O756" s="76">
        <f t="shared" ca="1" si="392"/>
        <v>0</v>
      </c>
      <c r="P756" s="76">
        <f t="shared" ca="1" si="392"/>
        <v>0</v>
      </c>
      <c r="Q756" s="76">
        <f t="shared" ca="1" si="392"/>
        <v>0</v>
      </c>
      <c r="R756" s="76">
        <f t="shared" ca="1" si="392"/>
        <v>0</v>
      </c>
      <c r="S756" s="76">
        <f t="shared" ca="1" si="392"/>
        <v>0</v>
      </c>
      <c r="T756" s="76">
        <f t="shared" ca="1" si="392"/>
        <v>0</v>
      </c>
      <c r="U756" s="76">
        <f t="shared" ca="1" si="392"/>
        <v>0</v>
      </c>
      <c r="V756" s="76">
        <f t="shared" ca="1" si="392"/>
        <v>0</v>
      </c>
      <c r="W756" s="76">
        <f t="shared" ca="1" si="392"/>
        <v>0</v>
      </c>
      <c r="X756" s="76">
        <f t="shared" ca="1" si="392"/>
        <v>0</v>
      </c>
    </row>
    <row r="757" spans="1:24" hidden="1">
      <c r="A757" s="258"/>
      <c r="B757" s="20"/>
      <c r="C757" s="21"/>
      <c r="D757" s="21"/>
      <c r="E757" s="21"/>
      <c r="F757" s="21"/>
      <c r="G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0" t="s">
        <v>391</v>
      </c>
      <c r="C758" s="21">
        <f>C751+1</f>
        <v>94</v>
      </c>
      <c r="D758" s="473">
        <f>D751+1</f>
        <v>228</v>
      </c>
      <c r="E758" s="21"/>
      <c r="F758" s="21"/>
      <c r="G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414</v>
      </c>
      <c r="C759" s="164">
        <f ca="1">IFERROR(YEAR(OFFSET($D$28,C758,0)),0)</f>
        <v>0</v>
      </c>
      <c r="D759" s="164">
        <f ca="1">IFERROR(MONTH(OFFSET($D$28,C758,0)),0)</f>
        <v>0</v>
      </c>
      <c r="E759" s="21">
        <f ca="1">12-$D759</f>
        <v>12</v>
      </c>
      <c r="F759" s="21"/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406</v>
      </c>
      <c r="C760" s="244">
        <f ca="1">IF(OFFSET($F$28,C758,0)&lt;0,0,OFFSET($F$28,C758,0))</f>
        <v>0</v>
      </c>
      <c r="D760" s="22" t="str">
        <f ca="1">OFFSET($C$28,C758,0)</f>
        <v/>
      </c>
      <c r="E760" s="22">
        <f ca="1">IF(D760&gt;10,ROUND(($C761/12)*$E759,0),$C760)</f>
        <v>0</v>
      </c>
      <c r="F760" s="21"/>
      <c r="G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1:24" hidden="1">
      <c r="A761" s="258"/>
      <c r="B761" s="21" t="s">
        <v>415</v>
      </c>
      <c r="C761" s="244">
        <f ca="1">IF(ISBLANK(OFFSET($D$28,C758,0)),0,IF(OFFSET($C$28,C758,0)&gt;10,ROUND(C760*am_maszyny,0),IF(C760&lt;0,0,C760)))</f>
        <v>0</v>
      </c>
      <c r="D761" s="21"/>
      <c r="E761" s="21"/>
      <c r="F761" s="21"/>
      <c r="G761" s="21"/>
      <c r="I761" s="21"/>
      <c r="J761" s="473" cm="1">
        <f t="array" aca="1" ref="J761" ca="1">OFFSET('Środki trwałe'!$C$195,'Rozliczenie dotacji'!D758,,)</f>
        <v>0</v>
      </c>
      <c r="K761" s="74">
        <f ca="1">ROUND(IF($C759=LataProjekcji,$E760,IF($C759=LataProjekcji,$C761,0)),0)</f>
        <v>0</v>
      </c>
      <c r="L761" s="247">
        <f ca="1">ROUND(IF(OR(AND($C759=LataProjekcji,$E759&gt;0),AND($C759=LataProjekcji,$E759=0,$D760&lt;=10)),$E760,IF($C759&lt;LataProjekcji,IF((SUM($K761:K761)+$C761)&lt;$C760,$C761,$C760-SUM($K761:K761)),0)),0)</f>
        <v>0</v>
      </c>
      <c r="M761" s="247">
        <f ca="1">ROUND(IF(OR(AND($C759=LataProjekcji,$E759&gt;0),AND($C759=LataProjekcji,$E759=0,$D760&lt;=10)),$E760,IF($C759&lt;LataProjekcji,IF((SUM($K761:L761)+$C761)&lt;$C760,$C761,$C760-SUM($K761:L761)),0)),0)</f>
        <v>0</v>
      </c>
      <c r="N761" s="247">
        <f ca="1">ROUND(IF(OR(AND($C759=LataProjekcji,$E759&gt;0),AND($C759=LataProjekcji,$E759=0,$D760&lt;=10)),$E760,IF($C759&lt;LataProjekcji,IF((SUM($K761:M761)+$C761)&lt;$C760,$C761,$C760-SUM($K761:M761)),0)),0)</f>
        <v>0</v>
      </c>
      <c r="O761" s="247">
        <f ca="1">ROUND(IF(OR(AND($C759=LataProjekcji,$E759&gt;0),AND($C759=LataProjekcji,$E759=0,$D760&lt;=10)),$E760,IF($C759&lt;LataProjekcji,IF((SUM($K761:N761)+$C761)&lt;$C760,$C761,$C760-SUM($K761:N761)),0)),0)</f>
        <v>0</v>
      </c>
      <c r="P761" s="247">
        <f ca="1">ROUND(IF(OR(AND($C759=LataProjekcji,$E759&gt;0),AND($C759=LataProjekcji,$E759=0,$D760&lt;=10)),$E760,IF($C759&lt;LataProjekcji,IF((SUM($K761:O761)+$C761)&lt;$C760,$C761,$C760-SUM($K761:O761)),0)),0)</f>
        <v>0</v>
      </c>
      <c r="Q761" s="247">
        <f ca="1">ROUND(IF(OR(AND($C759=LataProjekcji,$E759&gt;0),AND($C759=LataProjekcji,$E759=0,$D760&lt;=10)),$E760,IF($C759&lt;LataProjekcji,IF((SUM($K761:P761)+$C761)&lt;$C760,$C761,$C760-SUM($K761:P761)),0)),0)</f>
        <v>0</v>
      </c>
      <c r="R761" s="247">
        <f ca="1">ROUND(IF(OR(AND($C759=LataProjekcji,$E759&gt;0),AND($C759=LataProjekcji,$E759=0,$D760&lt;=10)),$E760,IF($C759&lt;LataProjekcji,IF((SUM($K761:Q761)+$C761)&lt;$C760,$C761,$C760-SUM($K761:Q761)),0)),0)</f>
        <v>0</v>
      </c>
      <c r="S761" s="247">
        <f ca="1">ROUND(IF(OR(AND($C759=LataProjekcji,$E759&gt;0),AND($C759=LataProjekcji,$E759=0,$D760&lt;=10)),$E760,IF($C759&lt;LataProjekcji,IF((SUM($K761:R761)+$C761)&lt;$C760,$C761,$C760-SUM($K761:R761)),0)),0)</f>
        <v>0</v>
      </c>
      <c r="T761" s="247">
        <f ca="1">ROUND(IF(OR(AND($C759=LataProjekcji,$E759&gt;0),AND($C759=LataProjekcji,$E759=0,$D760&lt;=10)),$E760,IF($C759&lt;LataProjekcji,IF((SUM($K761:S761)+$C761)&lt;$C760,$C761,$C760-SUM($K761:S761)),0)),0)</f>
        <v>0</v>
      </c>
      <c r="U761" s="247">
        <f ca="1">ROUND(IF(OR(AND($C759=LataProjekcji,$E759&gt;0),AND($C759=LataProjekcji,$E759=0,$D760&lt;=10)),$E760,IF($C759&lt;LataProjekcji,IF((SUM($K761:T761)+$C761)&lt;$C760,$C761,$C760-SUM($K761:T761)),0)),0)</f>
        <v>0</v>
      </c>
      <c r="V761" s="247">
        <f ca="1">ROUND(IF(OR(AND($C759=LataProjekcji,$E759&gt;0),AND($C759=LataProjekcji,$E759=0,$D760&lt;=10)),$E760,IF($C759&lt;LataProjekcji,IF((SUM($K761:U761)+$C761)&lt;$C760,$C761,$C760-SUM($K761:U761)),0)),0)</f>
        <v>0</v>
      </c>
      <c r="W761" s="247">
        <f ca="1">ROUND(IF(OR(AND($C759=LataProjekcji,$E759&gt;0),AND($C759=LataProjekcji,$E759=0,$D760&lt;=10)),$E760,IF($C759&lt;LataProjekcji,IF((SUM($K761:V761)+$C761)&lt;$C760,$C761,$C760-SUM($K761:V761)),0)),0)</f>
        <v>0</v>
      </c>
      <c r="X761" s="247">
        <f ca="1">ROUND(IF(OR(AND($C759=LataProjekcji,$E759&gt;0),AND($C759=LataProjekcji,$E759=0,$D760&lt;=10)),$E760,IF($C759&lt;LataProjekcji,IF((SUM($K761:W761)+$C761)&lt;$C760,$C761,$C760-SUM($K761:W761)),0)),0)</f>
        <v>0</v>
      </c>
    </row>
    <row r="762" spans="1:24" hidden="1">
      <c r="A762" s="258"/>
      <c r="B762" s="21" t="s">
        <v>416</v>
      </c>
      <c r="C762" s="22"/>
      <c r="D762" s="21"/>
      <c r="E762" s="21"/>
      <c r="F762" s="21"/>
      <c r="G762" s="21"/>
      <c r="I762" s="21"/>
      <c r="J762" s="21"/>
      <c r="K762" s="22">
        <f ca="1">ROUND(K761,0)</f>
        <v>0</v>
      </c>
      <c r="L762" s="22">
        <f t="shared" ref="L762:X762" ca="1" si="393">ROUND(K762+L761,0)</f>
        <v>0</v>
      </c>
      <c r="M762" s="22">
        <f t="shared" ca="1" si="393"/>
        <v>0</v>
      </c>
      <c r="N762" s="22">
        <f t="shared" ca="1" si="393"/>
        <v>0</v>
      </c>
      <c r="O762" s="22">
        <f t="shared" ca="1" si="393"/>
        <v>0</v>
      </c>
      <c r="P762" s="22">
        <f t="shared" ca="1" si="393"/>
        <v>0</v>
      </c>
      <c r="Q762" s="22">
        <f t="shared" ca="1" si="393"/>
        <v>0</v>
      </c>
      <c r="R762" s="22">
        <f t="shared" ca="1" si="393"/>
        <v>0</v>
      </c>
      <c r="S762" s="22">
        <f t="shared" ca="1" si="393"/>
        <v>0</v>
      </c>
      <c r="T762" s="22">
        <f t="shared" ca="1" si="393"/>
        <v>0</v>
      </c>
      <c r="U762" s="22">
        <f t="shared" ca="1" si="393"/>
        <v>0</v>
      </c>
      <c r="V762" s="22">
        <f t="shared" ca="1" si="393"/>
        <v>0</v>
      </c>
      <c r="W762" s="22">
        <f t="shared" ca="1" si="393"/>
        <v>0</v>
      </c>
      <c r="X762" s="22">
        <f t="shared" ca="1" si="393"/>
        <v>0</v>
      </c>
    </row>
    <row r="763" spans="1:24" hidden="1">
      <c r="A763" s="258"/>
      <c r="B763" s="21" t="s">
        <v>406</v>
      </c>
      <c r="C763" s="22"/>
      <c r="D763" s="21"/>
      <c r="E763" s="21"/>
      <c r="F763" s="21"/>
      <c r="G763" s="21"/>
      <c r="I763" s="21"/>
      <c r="J763" s="21"/>
      <c r="K763" s="76">
        <f t="shared" ref="K763:X763" ca="1" si="394">IF($C759=LataProjekcji,ROUND($C760-K762,0),ROUND(IF(K761=0,0,$C760-K762),0))</f>
        <v>0</v>
      </c>
      <c r="L763" s="76">
        <f t="shared" ca="1" si="394"/>
        <v>0</v>
      </c>
      <c r="M763" s="76">
        <f t="shared" ca="1" si="394"/>
        <v>0</v>
      </c>
      <c r="N763" s="76">
        <f t="shared" ca="1" si="394"/>
        <v>0</v>
      </c>
      <c r="O763" s="76">
        <f t="shared" ca="1" si="394"/>
        <v>0</v>
      </c>
      <c r="P763" s="76">
        <f t="shared" ca="1" si="394"/>
        <v>0</v>
      </c>
      <c r="Q763" s="76">
        <f t="shared" ca="1" si="394"/>
        <v>0</v>
      </c>
      <c r="R763" s="76">
        <f t="shared" ca="1" si="394"/>
        <v>0</v>
      </c>
      <c r="S763" s="76">
        <f t="shared" ca="1" si="394"/>
        <v>0</v>
      </c>
      <c r="T763" s="76">
        <f t="shared" ca="1" si="394"/>
        <v>0</v>
      </c>
      <c r="U763" s="76">
        <f t="shared" ca="1" si="394"/>
        <v>0</v>
      </c>
      <c r="V763" s="76">
        <f t="shared" ca="1" si="394"/>
        <v>0</v>
      </c>
      <c r="W763" s="76">
        <f t="shared" ca="1" si="394"/>
        <v>0</v>
      </c>
      <c r="X763" s="76">
        <f t="shared" ca="1" si="394"/>
        <v>0</v>
      </c>
    </row>
    <row r="764" spans="1:24" hidden="1">
      <c r="A764" s="258"/>
      <c r="B764" s="21"/>
      <c r="C764" s="22"/>
      <c r="D764" s="21"/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0" t="s">
        <v>391</v>
      </c>
      <c r="C765" s="21">
        <f>C758+1</f>
        <v>95</v>
      </c>
      <c r="D765" s="473">
        <f>D758+1</f>
        <v>229</v>
      </c>
      <c r="E765" s="21"/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414</v>
      </c>
      <c r="C766" s="164">
        <f ca="1">IFERROR(YEAR(OFFSET($D$28,C765,0)),0)</f>
        <v>0</v>
      </c>
      <c r="D766" s="164">
        <f ca="1">IFERROR(MONTH(OFFSET($D$28,C765,0)),0)</f>
        <v>0</v>
      </c>
      <c r="E766" s="21">
        <f ca="1">12-$D766</f>
        <v>12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406</v>
      </c>
      <c r="C767" s="244">
        <f ca="1">IF(OFFSET($F$28,C765,0)&lt;0,0,OFFSET($F$28,C765,0))</f>
        <v>0</v>
      </c>
      <c r="D767" s="22" t="str">
        <f ca="1">OFFSET($C$28,C765,0)</f>
        <v/>
      </c>
      <c r="E767" s="22">
        <f ca="1">IF(D767&gt;10,ROUND(($C768/12)*$E766,0),$C767)</f>
        <v>0</v>
      </c>
      <c r="F767" s="21"/>
      <c r="G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1:24" hidden="1">
      <c r="A768" s="258"/>
      <c r="B768" s="21" t="s">
        <v>415</v>
      </c>
      <c r="C768" s="244">
        <f ca="1">IF(ISBLANK(OFFSET($D$28,C765,0)),0,IF(OFFSET($C$28,C765,0)&gt;10,ROUND(C767*am_maszyny,0),IF(C767&lt;0,0,C767)))</f>
        <v>0</v>
      </c>
      <c r="D768" s="21"/>
      <c r="E768" s="21"/>
      <c r="F768" s="21"/>
      <c r="G768" s="21"/>
      <c r="I768" s="21"/>
      <c r="J768" s="473" cm="1">
        <f t="array" aca="1" ref="J768" ca="1">OFFSET('Środki trwałe'!$C$195,'Rozliczenie dotacji'!D765,,)</f>
        <v>0</v>
      </c>
      <c r="K768" s="74">
        <f ca="1">ROUND(IF($C766=LataProjekcji,$E767,IF($C766=LataProjekcji,$C768,0)),0)</f>
        <v>0</v>
      </c>
      <c r="L768" s="247">
        <f ca="1">ROUND(IF(OR(AND($C766=LataProjekcji,$E766&gt;0),AND($C766=LataProjekcji,$E766=0,$D767&lt;=10)),$E767,IF($C766&lt;LataProjekcji,IF((SUM($K768:K768)+$C768)&lt;$C767,$C768,$C767-SUM($K768:K768)),0)),0)</f>
        <v>0</v>
      </c>
      <c r="M768" s="247">
        <f ca="1">ROUND(IF(OR(AND($C766=LataProjekcji,$E766&gt;0),AND($C766=LataProjekcji,$E766=0,$D767&lt;=10)),$E767,IF($C766&lt;LataProjekcji,IF((SUM($K768:L768)+$C768)&lt;$C767,$C768,$C767-SUM($K768:L768)),0)),0)</f>
        <v>0</v>
      </c>
      <c r="N768" s="247">
        <f ca="1">ROUND(IF(OR(AND($C766=LataProjekcji,$E766&gt;0),AND($C766=LataProjekcji,$E766=0,$D767&lt;=10)),$E767,IF($C766&lt;LataProjekcji,IF((SUM($K768:M768)+$C768)&lt;$C767,$C768,$C767-SUM($K768:M768)),0)),0)</f>
        <v>0</v>
      </c>
      <c r="O768" s="247">
        <f ca="1">ROUND(IF(OR(AND($C766=LataProjekcji,$E766&gt;0),AND($C766=LataProjekcji,$E766=0,$D767&lt;=10)),$E767,IF($C766&lt;LataProjekcji,IF((SUM($K768:N768)+$C768)&lt;$C767,$C768,$C767-SUM($K768:N768)),0)),0)</f>
        <v>0</v>
      </c>
      <c r="P768" s="247">
        <f ca="1">ROUND(IF(OR(AND($C766=LataProjekcji,$E766&gt;0),AND($C766=LataProjekcji,$E766=0,$D767&lt;=10)),$E767,IF($C766&lt;LataProjekcji,IF((SUM($K768:O768)+$C768)&lt;$C767,$C768,$C767-SUM($K768:O768)),0)),0)</f>
        <v>0</v>
      </c>
      <c r="Q768" s="247">
        <f ca="1">ROUND(IF(OR(AND($C766=LataProjekcji,$E766&gt;0),AND($C766=LataProjekcji,$E766=0,$D767&lt;=10)),$E767,IF($C766&lt;LataProjekcji,IF((SUM($K768:P768)+$C768)&lt;$C767,$C768,$C767-SUM($K768:P768)),0)),0)</f>
        <v>0</v>
      </c>
      <c r="R768" s="247">
        <f ca="1">ROUND(IF(OR(AND($C766=LataProjekcji,$E766&gt;0),AND($C766=LataProjekcji,$E766=0,$D767&lt;=10)),$E767,IF($C766&lt;LataProjekcji,IF((SUM($K768:Q768)+$C768)&lt;$C767,$C768,$C767-SUM($K768:Q768)),0)),0)</f>
        <v>0</v>
      </c>
      <c r="S768" s="247">
        <f ca="1">ROUND(IF(OR(AND($C766=LataProjekcji,$E766&gt;0),AND($C766=LataProjekcji,$E766=0,$D767&lt;=10)),$E767,IF($C766&lt;LataProjekcji,IF((SUM($K768:R768)+$C768)&lt;$C767,$C768,$C767-SUM($K768:R768)),0)),0)</f>
        <v>0</v>
      </c>
      <c r="T768" s="247">
        <f ca="1">ROUND(IF(OR(AND($C766=LataProjekcji,$E766&gt;0),AND($C766=LataProjekcji,$E766=0,$D767&lt;=10)),$E767,IF($C766&lt;LataProjekcji,IF((SUM($K768:S768)+$C768)&lt;$C767,$C768,$C767-SUM($K768:S768)),0)),0)</f>
        <v>0</v>
      </c>
      <c r="U768" s="247">
        <f ca="1">ROUND(IF(OR(AND($C766=LataProjekcji,$E766&gt;0),AND($C766=LataProjekcji,$E766=0,$D767&lt;=10)),$E767,IF($C766&lt;LataProjekcji,IF((SUM($K768:T768)+$C768)&lt;$C767,$C768,$C767-SUM($K768:T768)),0)),0)</f>
        <v>0</v>
      </c>
      <c r="V768" s="247">
        <f ca="1">ROUND(IF(OR(AND($C766=LataProjekcji,$E766&gt;0),AND($C766=LataProjekcji,$E766=0,$D767&lt;=10)),$E767,IF($C766&lt;LataProjekcji,IF((SUM($K768:U768)+$C768)&lt;$C767,$C768,$C767-SUM($K768:U768)),0)),0)</f>
        <v>0</v>
      </c>
      <c r="W768" s="247">
        <f ca="1">ROUND(IF(OR(AND($C766=LataProjekcji,$E766&gt;0),AND($C766=LataProjekcji,$E766=0,$D767&lt;=10)),$E767,IF($C766&lt;LataProjekcji,IF((SUM($K768:V768)+$C768)&lt;$C767,$C768,$C767-SUM($K768:V768)),0)),0)</f>
        <v>0</v>
      </c>
      <c r="X768" s="247">
        <f ca="1">ROUND(IF(OR(AND($C766=LataProjekcji,$E766&gt;0),AND($C766=LataProjekcji,$E766=0,$D767&lt;=10)),$E767,IF($C766&lt;LataProjekcji,IF((SUM($K768:W768)+$C768)&lt;$C767,$C768,$C767-SUM($K768:W768)),0)),0)</f>
        <v>0</v>
      </c>
    </row>
    <row r="769" spans="1:24" hidden="1">
      <c r="A769" s="258"/>
      <c r="B769" s="21" t="s">
        <v>416</v>
      </c>
      <c r="C769" s="22"/>
      <c r="D769" s="21"/>
      <c r="E769" s="21"/>
      <c r="F769" s="21"/>
      <c r="G769" s="21"/>
      <c r="I769" s="21"/>
      <c r="J769" s="21"/>
      <c r="K769" s="22">
        <f ca="1">ROUND(K768,0)</f>
        <v>0</v>
      </c>
      <c r="L769" s="22">
        <f t="shared" ref="L769:X769" ca="1" si="395">ROUND(K769+L768,0)</f>
        <v>0</v>
      </c>
      <c r="M769" s="22">
        <f t="shared" ca="1" si="395"/>
        <v>0</v>
      </c>
      <c r="N769" s="22">
        <f t="shared" ca="1" si="395"/>
        <v>0</v>
      </c>
      <c r="O769" s="22">
        <f t="shared" ca="1" si="395"/>
        <v>0</v>
      </c>
      <c r="P769" s="22">
        <f t="shared" ca="1" si="395"/>
        <v>0</v>
      </c>
      <c r="Q769" s="22">
        <f t="shared" ca="1" si="395"/>
        <v>0</v>
      </c>
      <c r="R769" s="22">
        <f t="shared" ca="1" si="395"/>
        <v>0</v>
      </c>
      <c r="S769" s="22">
        <f t="shared" ca="1" si="395"/>
        <v>0</v>
      </c>
      <c r="T769" s="22">
        <f t="shared" ca="1" si="395"/>
        <v>0</v>
      </c>
      <c r="U769" s="22">
        <f t="shared" ca="1" si="395"/>
        <v>0</v>
      </c>
      <c r="V769" s="22">
        <f t="shared" ca="1" si="395"/>
        <v>0</v>
      </c>
      <c r="W769" s="22">
        <f t="shared" ca="1" si="395"/>
        <v>0</v>
      </c>
      <c r="X769" s="22">
        <f t="shared" ca="1" si="395"/>
        <v>0</v>
      </c>
    </row>
    <row r="770" spans="1:24" hidden="1">
      <c r="A770" s="258"/>
      <c r="B770" s="21" t="s">
        <v>406</v>
      </c>
      <c r="C770" s="22"/>
      <c r="D770" s="21"/>
      <c r="E770" s="21"/>
      <c r="F770" s="21"/>
      <c r="G770" s="21"/>
      <c r="I770" s="21"/>
      <c r="J770" s="21"/>
      <c r="K770" s="76">
        <f t="shared" ref="K770:X770" ca="1" si="396">IF($C766=LataProjekcji,ROUND($C767-K769,0),ROUND(IF(K768=0,0,$C767-K769),0))</f>
        <v>0</v>
      </c>
      <c r="L770" s="76">
        <f t="shared" ca="1" si="396"/>
        <v>0</v>
      </c>
      <c r="M770" s="76">
        <f t="shared" ca="1" si="396"/>
        <v>0</v>
      </c>
      <c r="N770" s="76">
        <f t="shared" ca="1" si="396"/>
        <v>0</v>
      </c>
      <c r="O770" s="76">
        <f t="shared" ca="1" si="396"/>
        <v>0</v>
      </c>
      <c r="P770" s="76">
        <f t="shared" ca="1" si="396"/>
        <v>0</v>
      </c>
      <c r="Q770" s="76">
        <f t="shared" ca="1" si="396"/>
        <v>0</v>
      </c>
      <c r="R770" s="76">
        <f t="shared" ca="1" si="396"/>
        <v>0</v>
      </c>
      <c r="S770" s="76">
        <f t="shared" ca="1" si="396"/>
        <v>0</v>
      </c>
      <c r="T770" s="76">
        <f t="shared" ca="1" si="396"/>
        <v>0</v>
      </c>
      <c r="U770" s="76">
        <f t="shared" ca="1" si="396"/>
        <v>0</v>
      </c>
      <c r="V770" s="76">
        <f t="shared" ca="1" si="396"/>
        <v>0</v>
      </c>
      <c r="W770" s="76">
        <f t="shared" ca="1" si="396"/>
        <v>0</v>
      </c>
      <c r="X770" s="76">
        <f t="shared" ca="1" si="396"/>
        <v>0</v>
      </c>
    </row>
    <row r="771" spans="1:24" hidden="1">
      <c r="A771" s="258"/>
      <c r="B771" s="21"/>
      <c r="C771" s="22"/>
      <c r="D771" s="21"/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0" t="s">
        <v>391</v>
      </c>
      <c r="C772" s="21">
        <f>C765+1</f>
        <v>96</v>
      </c>
      <c r="D772" s="473">
        <f>D765+1</f>
        <v>230</v>
      </c>
      <c r="E772" s="21"/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414</v>
      </c>
      <c r="C773" s="164">
        <f ca="1">IFERROR(YEAR(OFFSET($D$28,C772,0)),0)</f>
        <v>0</v>
      </c>
      <c r="D773" s="164">
        <f ca="1">IFERROR(MONTH(OFFSET($D$28,C772,0)),0)</f>
        <v>0</v>
      </c>
      <c r="E773" s="21">
        <f ca="1">12-$D773</f>
        <v>12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406</v>
      </c>
      <c r="C774" s="244">
        <f ca="1">IF(OFFSET($F$28,C772,0)&lt;0,0,OFFSET($F$28,C772,0))</f>
        <v>0</v>
      </c>
      <c r="D774" s="22" t="str">
        <f ca="1">OFFSET($C$28,C772,0)</f>
        <v/>
      </c>
      <c r="E774" s="22">
        <f ca="1">IF(D774&gt;10,ROUND(($C775/12)*$E773,0),$C774)</f>
        <v>0</v>
      </c>
      <c r="F774" s="21"/>
      <c r="G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1:24" hidden="1">
      <c r="A775" s="258"/>
      <c r="B775" s="21" t="s">
        <v>415</v>
      </c>
      <c r="C775" s="244">
        <f ca="1">IF(ISBLANK(OFFSET($D$28,C772,0)),0,IF(OFFSET($C$28,C772,0)&gt;10,ROUND(C774*am_maszyny,0),IF(C774&lt;0,0,C774)))</f>
        <v>0</v>
      </c>
      <c r="D775" s="21"/>
      <c r="E775" s="21"/>
      <c r="F775" s="21"/>
      <c r="G775" s="21"/>
      <c r="I775" s="21"/>
      <c r="J775" s="473" cm="1">
        <f t="array" aca="1" ref="J775" ca="1">OFFSET('Środki trwałe'!$C$195,'Rozliczenie dotacji'!D772,,)</f>
        <v>0</v>
      </c>
      <c r="K775" s="74">
        <f ca="1">ROUND(IF($C773=LataProjekcji,$E774,IF($C773=LataProjekcji,$C775,0)),0)</f>
        <v>0</v>
      </c>
      <c r="L775" s="247">
        <f ca="1">ROUND(IF(OR(AND($C773=LataProjekcji,$E773&gt;0),AND($C773=LataProjekcji,$E773=0,$D774&lt;=10)),$E774,IF($C773&lt;LataProjekcji,IF((SUM($K775:K775)+$C775)&lt;$C774,$C775,$C774-SUM($K775:K775)),0)),0)</f>
        <v>0</v>
      </c>
      <c r="M775" s="247">
        <f ca="1">ROUND(IF(OR(AND($C773=LataProjekcji,$E773&gt;0),AND($C773=LataProjekcji,$E773=0,$D774&lt;=10)),$E774,IF($C773&lt;LataProjekcji,IF((SUM($K775:L775)+$C775)&lt;$C774,$C775,$C774-SUM($K775:L775)),0)),0)</f>
        <v>0</v>
      </c>
      <c r="N775" s="247">
        <f ca="1">ROUND(IF(OR(AND($C773=LataProjekcji,$E773&gt;0),AND($C773=LataProjekcji,$E773=0,$D774&lt;=10)),$E774,IF($C773&lt;LataProjekcji,IF((SUM($K775:M775)+$C775)&lt;$C774,$C775,$C774-SUM($K775:M775)),0)),0)</f>
        <v>0</v>
      </c>
      <c r="O775" s="247">
        <f ca="1">ROUND(IF(OR(AND($C773=LataProjekcji,$E773&gt;0),AND($C773=LataProjekcji,$E773=0,$D774&lt;=10)),$E774,IF($C773&lt;LataProjekcji,IF((SUM($K775:N775)+$C775)&lt;$C774,$C775,$C774-SUM($K775:N775)),0)),0)</f>
        <v>0</v>
      </c>
      <c r="P775" s="247">
        <f ca="1">ROUND(IF(OR(AND($C773=LataProjekcji,$E773&gt;0),AND($C773=LataProjekcji,$E773=0,$D774&lt;=10)),$E774,IF($C773&lt;LataProjekcji,IF((SUM($K775:O775)+$C775)&lt;$C774,$C775,$C774-SUM($K775:O775)),0)),0)</f>
        <v>0</v>
      </c>
      <c r="Q775" s="247">
        <f ca="1">ROUND(IF(OR(AND($C773=LataProjekcji,$E773&gt;0),AND($C773=LataProjekcji,$E773=0,$D774&lt;=10)),$E774,IF($C773&lt;LataProjekcji,IF((SUM($K775:P775)+$C775)&lt;$C774,$C775,$C774-SUM($K775:P775)),0)),0)</f>
        <v>0</v>
      </c>
      <c r="R775" s="247">
        <f ca="1">ROUND(IF(OR(AND($C773=LataProjekcji,$E773&gt;0),AND($C773=LataProjekcji,$E773=0,$D774&lt;=10)),$E774,IF($C773&lt;LataProjekcji,IF((SUM($K775:Q775)+$C775)&lt;$C774,$C775,$C774-SUM($K775:Q775)),0)),0)</f>
        <v>0</v>
      </c>
      <c r="S775" s="247">
        <f ca="1">ROUND(IF(OR(AND($C773=LataProjekcji,$E773&gt;0),AND($C773=LataProjekcji,$E773=0,$D774&lt;=10)),$E774,IF($C773&lt;LataProjekcji,IF((SUM($K775:R775)+$C775)&lt;$C774,$C775,$C774-SUM($K775:R775)),0)),0)</f>
        <v>0</v>
      </c>
      <c r="T775" s="247">
        <f ca="1">ROUND(IF(OR(AND($C773=LataProjekcji,$E773&gt;0),AND($C773=LataProjekcji,$E773=0,$D774&lt;=10)),$E774,IF($C773&lt;LataProjekcji,IF((SUM($K775:S775)+$C775)&lt;$C774,$C775,$C774-SUM($K775:S775)),0)),0)</f>
        <v>0</v>
      </c>
      <c r="U775" s="247">
        <f ca="1">ROUND(IF(OR(AND($C773=LataProjekcji,$E773&gt;0),AND($C773=LataProjekcji,$E773=0,$D774&lt;=10)),$E774,IF($C773&lt;LataProjekcji,IF((SUM($K775:T775)+$C775)&lt;$C774,$C775,$C774-SUM($K775:T775)),0)),0)</f>
        <v>0</v>
      </c>
      <c r="V775" s="247">
        <f ca="1">ROUND(IF(OR(AND($C773=LataProjekcji,$E773&gt;0),AND($C773=LataProjekcji,$E773=0,$D774&lt;=10)),$E774,IF($C773&lt;LataProjekcji,IF((SUM($K775:U775)+$C775)&lt;$C774,$C775,$C774-SUM($K775:U775)),0)),0)</f>
        <v>0</v>
      </c>
      <c r="W775" s="247">
        <f ca="1">ROUND(IF(OR(AND($C773=LataProjekcji,$E773&gt;0),AND($C773=LataProjekcji,$E773=0,$D774&lt;=10)),$E774,IF($C773&lt;LataProjekcji,IF((SUM($K775:V775)+$C775)&lt;$C774,$C775,$C774-SUM($K775:V775)),0)),0)</f>
        <v>0</v>
      </c>
      <c r="X775" s="247">
        <f ca="1">ROUND(IF(OR(AND($C773=LataProjekcji,$E773&gt;0),AND($C773=LataProjekcji,$E773=0,$D774&lt;=10)),$E774,IF($C773&lt;LataProjekcji,IF((SUM($K775:W775)+$C775)&lt;$C774,$C775,$C774-SUM($K775:W775)),0)),0)</f>
        <v>0</v>
      </c>
    </row>
    <row r="776" spans="1:24" hidden="1">
      <c r="A776" s="258"/>
      <c r="B776" s="21" t="s">
        <v>416</v>
      </c>
      <c r="C776" s="22"/>
      <c r="D776" s="21"/>
      <c r="E776" s="21"/>
      <c r="F776" s="21"/>
      <c r="G776" s="21"/>
      <c r="I776" s="21"/>
      <c r="J776" s="21"/>
      <c r="K776" s="22">
        <f ca="1">ROUND(K775,0)</f>
        <v>0</v>
      </c>
      <c r="L776" s="22">
        <f t="shared" ref="L776:X776" ca="1" si="397">ROUND(K776+L775,0)</f>
        <v>0</v>
      </c>
      <c r="M776" s="22">
        <f t="shared" ca="1" si="397"/>
        <v>0</v>
      </c>
      <c r="N776" s="22">
        <f t="shared" ca="1" si="397"/>
        <v>0</v>
      </c>
      <c r="O776" s="22">
        <f t="shared" ca="1" si="397"/>
        <v>0</v>
      </c>
      <c r="P776" s="22">
        <f t="shared" ca="1" si="397"/>
        <v>0</v>
      </c>
      <c r="Q776" s="22">
        <f t="shared" ca="1" si="397"/>
        <v>0</v>
      </c>
      <c r="R776" s="22">
        <f t="shared" ca="1" si="397"/>
        <v>0</v>
      </c>
      <c r="S776" s="22">
        <f t="shared" ca="1" si="397"/>
        <v>0</v>
      </c>
      <c r="T776" s="22">
        <f t="shared" ca="1" si="397"/>
        <v>0</v>
      </c>
      <c r="U776" s="22">
        <f t="shared" ca="1" si="397"/>
        <v>0</v>
      </c>
      <c r="V776" s="22">
        <f t="shared" ca="1" si="397"/>
        <v>0</v>
      </c>
      <c r="W776" s="22">
        <f t="shared" ca="1" si="397"/>
        <v>0</v>
      </c>
      <c r="X776" s="22">
        <f t="shared" ca="1" si="397"/>
        <v>0</v>
      </c>
    </row>
    <row r="777" spans="1:24" hidden="1">
      <c r="A777" s="258"/>
      <c r="B777" s="21" t="s">
        <v>406</v>
      </c>
      <c r="C777" s="22"/>
      <c r="D777" s="21"/>
      <c r="E777" s="21"/>
      <c r="F777" s="21"/>
      <c r="G777" s="21"/>
      <c r="I777" s="21"/>
      <c r="J777" s="21"/>
      <c r="K777" s="76">
        <f t="shared" ref="K777:X777" ca="1" si="398">IF($C773=LataProjekcji,ROUND($C774-K776,0),ROUND(IF(K775=0,0,$C774-K776),0))</f>
        <v>0</v>
      </c>
      <c r="L777" s="76">
        <f t="shared" ca="1" si="398"/>
        <v>0</v>
      </c>
      <c r="M777" s="76">
        <f t="shared" ca="1" si="398"/>
        <v>0</v>
      </c>
      <c r="N777" s="76">
        <f t="shared" ca="1" si="398"/>
        <v>0</v>
      </c>
      <c r="O777" s="76">
        <f t="shared" ca="1" si="398"/>
        <v>0</v>
      </c>
      <c r="P777" s="76">
        <f t="shared" ca="1" si="398"/>
        <v>0</v>
      </c>
      <c r="Q777" s="76">
        <f t="shared" ca="1" si="398"/>
        <v>0</v>
      </c>
      <c r="R777" s="76">
        <f t="shared" ca="1" si="398"/>
        <v>0</v>
      </c>
      <c r="S777" s="76">
        <f t="shared" ca="1" si="398"/>
        <v>0</v>
      </c>
      <c r="T777" s="76">
        <f t="shared" ca="1" si="398"/>
        <v>0</v>
      </c>
      <c r="U777" s="76">
        <f t="shared" ca="1" si="398"/>
        <v>0</v>
      </c>
      <c r="V777" s="76">
        <f t="shared" ca="1" si="398"/>
        <v>0</v>
      </c>
      <c r="W777" s="76">
        <f t="shared" ca="1" si="398"/>
        <v>0</v>
      </c>
      <c r="X777" s="76">
        <f t="shared" ca="1" si="398"/>
        <v>0</v>
      </c>
    </row>
    <row r="778" spans="1:24" hidden="1">
      <c r="A778" s="258"/>
      <c r="B778" s="20"/>
      <c r="C778" s="21"/>
      <c r="D778" s="21"/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0" t="s">
        <v>391</v>
      </c>
      <c r="C779" s="21">
        <f>C772+1</f>
        <v>97</v>
      </c>
      <c r="D779" s="473">
        <f>D772+1</f>
        <v>231</v>
      </c>
      <c r="E779" s="21"/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414</v>
      </c>
      <c r="C780" s="164">
        <f ca="1">IFERROR(YEAR(OFFSET($D$28,C779,0)),0)</f>
        <v>0</v>
      </c>
      <c r="D780" s="164">
        <f ca="1">IFERROR(MONTH(OFFSET($D$28,C779,0)),0)</f>
        <v>0</v>
      </c>
      <c r="E780" s="21">
        <f ca="1">12-$D780</f>
        <v>12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406</v>
      </c>
      <c r="C781" s="244">
        <f ca="1">IF(OFFSET($F$28,C779,0)&lt;0,0,OFFSET($F$28,C779,0))</f>
        <v>0</v>
      </c>
      <c r="D781" s="22" t="str">
        <f ca="1">OFFSET($C$28,C779,0)</f>
        <v/>
      </c>
      <c r="E781" s="22">
        <f ca="1">IF(D781&gt;10,ROUND(($C782/12)*$E780,0),$C781)</f>
        <v>0</v>
      </c>
      <c r="F781" s="21"/>
      <c r="G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1:24" hidden="1">
      <c r="A782" s="258"/>
      <c r="B782" s="21" t="s">
        <v>415</v>
      </c>
      <c r="C782" s="244">
        <f ca="1">IF(ISBLANK(OFFSET($D$28,C779,0)),0,IF(OFFSET($C$28,C779,0)&gt;10,ROUND(C781*am_maszyny,0),IF(C781&lt;0,0,C781)))</f>
        <v>0</v>
      </c>
      <c r="D782" s="21"/>
      <c r="E782" s="21"/>
      <c r="F782" s="21"/>
      <c r="G782" s="21"/>
      <c r="I782" s="21"/>
      <c r="J782" s="473" cm="1">
        <f t="array" aca="1" ref="J782" ca="1">OFFSET('Środki trwałe'!$C$195,'Rozliczenie dotacji'!D779,,)</f>
        <v>0</v>
      </c>
      <c r="K782" s="74">
        <f ca="1">ROUND(IF($C780=LataProjekcji,$E781,IF($C780=LataProjekcji,$C782,0)),0)</f>
        <v>0</v>
      </c>
      <c r="L782" s="247">
        <f ca="1">ROUND(IF(OR(AND($C780=LataProjekcji,$E780&gt;0),AND($C780=LataProjekcji,$E780=0,$D781&lt;=10)),$E781,IF($C780&lt;LataProjekcji,IF((SUM($K782:K782)+$C782)&lt;$C781,$C782,$C781-SUM($K782:K782)),0)),0)</f>
        <v>0</v>
      </c>
      <c r="M782" s="247">
        <f ca="1">ROUND(IF(OR(AND($C780=LataProjekcji,$E780&gt;0),AND($C780=LataProjekcji,$E780=0,$D781&lt;=10)),$E781,IF($C780&lt;LataProjekcji,IF((SUM($K782:L782)+$C782)&lt;$C781,$C782,$C781-SUM($K782:L782)),0)),0)</f>
        <v>0</v>
      </c>
      <c r="N782" s="247">
        <f ca="1">ROUND(IF(OR(AND($C780=LataProjekcji,$E780&gt;0),AND($C780=LataProjekcji,$E780=0,$D781&lt;=10)),$E781,IF($C780&lt;LataProjekcji,IF((SUM($K782:M782)+$C782)&lt;$C781,$C782,$C781-SUM($K782:M782)),0)),0)</f>
        <v>0</v>
      </c>
      <c r="O782" s="247">
        <f ca="1">ROUND(IF(OR(AND($C780=LataProjekcji,$E780&gt;0),AND($C780=LataProjekcji,$E780=0,$D781&lt;=10)),$E781,IF($C780&lt;LataProjekcji,IF((SUM($K782:N782)+$C782)&lt;$C781,$C782,$C781-SUM($K782:N782)),0)),0)</f>
        <v>0</v>
      </c>
      <c r="P782" s="247">
        <f ca="1">ROUND(IF(OR(AND($C780=LataProjekcji,$E780&gt;0),AND($C780=LataProjekcji,$E780=0,$D781&lt;=10)),$E781,IF($C780&lt;LataProjekcji,IF((SUM($K782:O782)+$C782)&lt;$C781,$C782,$C781-SUM($K782:O782)),0)),0)</f>
        <v>0</v>
      </c>
      <c r="Q782" s="247">
        <f ca="1">ROUND(IF(OR(AND($C780=LataProjekcji,$E780&gt;0),AND($C780=LataProjekcji,$E780=0,$D781&lt;=10)),$E781,IF($C780&lt;LataProjekcji,IF((SUM($K782:P782)+$C782)&lt;$C781,$C782,$C781-SUM($K782:P782)),0)),0)</f>
        <v>0</v>
      </c>
      <c r="R782" s="247">
        <f ca="1">ROUND(IF(OR(AND($C780=LataProjekcji,$E780&gt;0),AND($C780=LataProjekcji,$E780=0,$D781&lt;=10)),$E781,IF($C780&lt;LataProjekcji,IF((SUM($K782:Q782)+$C782)&lt;$C781,$C782,$C781-SUM($K782:Q782)),0)),0)</f>
        <v>0</v>
      </c>
      <c r="S782" s="247">
        <f ca="1">ROUND(IF(OR(AND($C780=LataProjekcji,$E780&gt;0),AND($C780=LataProjekcji,$E780=0,$D781&lt;=10)),$E781,IF($C780&lt;LataProjekcji,IF((SUM($K782:R782)+$C782)&lt;$C781,$C782,$C781-SUM($K782:R782)),0)),0)</f>
        <v>0</v>
      </c>
      <c r="T782" s="247">
        <f ca="1">ROUND(IF(OR(AND($C780=LataProjekcji,$E780&gt;0),AND($C780=LataProjekcji,$E780=0,$D781&lt;=10)),$E781,IF($C780&lt;LataProjekcji,IF((SUM($K782:S782)+$C782)&lt;$C781,$C782,$C781-SUM($K782:S782)),0)),0)</f>
        <v>0</v>
      </c>
      <c r="U782" s="247">
        <f ca="1">ROUND(IF(OR(AND($C780=LataProjekcji,$E780&gt;0),AND($C780=LataProjekcji,$E780=0,$D781&lt;=10)),$E781,IF($C780&lt;LataProjekcji,IF((SUM($K782:T782)+$C782)&lt;$C781,$C782,$C781-SUM($K782:T782)),0)),0)</f>
        <v>0</v>
      </c>
      <c r="V782" s="247">
        <f ca="1">ROUND(IF(OR(AND($C780=LataProjekcji,$E780&gt;0),AND($C780=LataProjekcji,$E780=0,$D781&lt;=10)),$E781,IF($C780&lt;LataProjekcji,IF((SUM($K782:U782)+$C782)&lt;$C781,$C782,$C781-SUM($K782:U782)),0)),0)</f>
        <v>0</v>
      </c>
      <c r="W782" s="247">
        <f ca="1">ROUND(IF(OR(AND($C780=LataProjekcji,$E780&gt;0),AND($C780=LataProjekcji,$E780=0,$D781&lt;=10)),$E781,IF($C780&lt;LataProjekcji,IF((SUM($K782:V782)+$C782)&lt;$C781,$C782,$C781-SUM($K782:V782)),0)),0)</f>
        <v>0</v>
      </c>
      <c r="X782" s="247">
        <f ca="1">ROUND(IF(OR(AND($C780=LataProjekcji,$E780&gt;0),AND($C780=LataProjekcji,$E780=0,$D781&lt;=10)),$E781,IF($C780&lt;LataProjekcji,IF((SUM($K782:W782)+$C782)&lt;$C781,$C782,$C781-SUM($K782:W782)),0)),0)</f>
        <v>0</v>
      </c>
    </row>
    <row r="783" spans="1:24" hidden="1">
      <c r="A783" s="258"/>
      <c r="B783" s="21" t="s">
        <v>416</v>
      </c>
      <c r="C783" s="22"/>
      <c r="D783" s="21"/>
      <c r="E783" s="21"/>
      <c r="F783" s="21"/>
      <c r="G783" s="21"/>
      <c r="I783" s="21"/>
      <c r="J783" s="21"/>
      <c r="K783" s="22">
        <f ca="1">ROUND(K782,0)</f>
        <v>0</v>
      </c>
      <c r="L783" s="22">
        <f t="shared" ref="L783:X783" ca="1" si="399">ROUND(K783+L782,0)</f>
        <v>0</v>
      </c>
      <c r="M783" s="22">
        <f t="shared" ca="1" si="399"/>
        <v>0</v>
      </c>
      <c r="N783" s="22">
        <f t="shared" ca="1" si="399"/>
        <v>0</v>
      </c>
      <c r="O783" s="22">
        <f t="shared" ca="1" si="399"/>
        <v>0</v>
      </c>
      <c r="P783" s="22">
        <f t="shared" ca="1" si="399"/>
        <v>0</v>
      </c>
      <c r="Q783" s="22">
        <f t="shared" ca="1" si="399"/>
        <v>0</v>
      </c>
      <c r="R783" s="22">
        <f t="shared" ca="1" si="399"/>
        <v>0</v>
      </c>
      <c r="S783" s="22">
        <f t="shared" ca="1" si="399"/>
        <v>0</v>
      </c>
      <c r="T783" s="22">
        <f t="shared" ca="1" si="399"/>
        <v>0</v>
      </c>
      <c r="U783" s="22">
        <f t="shared" ca="1" si="399"/>
        <v>0</v>
      </c>
      <c r="V783" s="22">
        <f t="shared" ca="1" si="399"/>
        <v>0</v>
      </c>
      <c r="W783" s="22">
        <f t="shared" ca="1" si="399"/>
        <v>0</v>
      </c>
      <c r="X783" s="22">
        <f t="shared" ca="1" si="399"/>
        <v>0</v>
      </c>
    </row>
    <row r="784" spans="1:24" hidden="1">
      <c r="A784" s="258"/>
      <c r="B784" s="21" t="s">
        <v>406</v>
      </c>
      <c r="C784" s="22"/>
      <c r="D784" s="21"/>
      <c r="E784" s="21"/>
      <c r="F784" s="21"/>
      <c r="G784" s="21"/>
      <c r="I784" s="21"/>
      <c r="J784" s="21"/>
      <c r="K784" s="76">
        <f t="shared" ref="K784:X784" ca="1" si="400">IF($C780=LataProjekcji,ROUND($C781-K783,0),ROUND(IF(K782=0,0,$C781-K783),0))</f>
        <v>0</v>
      </c>
      <c r="L784" s="76">
        <f t="shared" ca="1" si="400"/>
        <v>0</v>
      </c>
      <c r="M784" s="76">
        <f t="shared" ca="1" si="400"/>
        <v>0</v>
      </c>
      <c r="N784" s="76">
        <f t="shared" ca="1" si="400"/>
        <v>0</v>
      </c>
      <c r="O784" s="76">
        <f t="shared" ca="1" si="400"/>
        <v>0</v>
      </c>
      <c r="P784" s="76">
        <f t="shared" ca="1" si="400"/>
        <v>0</v>
      </c>
      <c r="Q784" s="76">
        <f t="shared" ca="1" si="400"/>
        <v>0</v>
      </c>
      <c r="R784" s="76">
        <f t="shared" ca="1" si="400"/>
        <v>0</v>
      </c>
      <c r="S784" s="76">
        <f t="shared" ca="1" si="400"/>
        <v>0</v>
      </c>
      <c r="T784" s="76">
        <f t="shared" ca="1" si="400"/>
        <v>0</v>
      </c>
      <c r="U784" s="76">
        <f t="shared" ca="1" si="400"/>
        <v>0</v>
      </c>
      <c r="V784" s="76">
        <f t="shared" ca="1" si="400"/>
        <v>0</v>
      </c>
      <c r="W784" s="76">
        <f t="shared" ca="1" si="400"/>
        <v>0</v>
      </c>
      <c r="X784" s="76">
        <f t="shared" ca="1" si="400"/>
        <v>0</v>
      </c>
    </row>
    <row r="785" spans="1:24" hidden="1">
      <c r="A785" s="258"/>
      <c r="B785" s="21"/>
      <c r="C785" s="22"/>
      <c r="D785" s="21"/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0" t="s">
        <v>391</v>
      </c>
      <c r="C786" s="21">
        <f>C779+1</f>
        <v>98</v>
      </c>
      <c r="D786" s="473">
        <f>D779+1</f>
        <v>232</v>
      </c>
      <c r="E786" s="21"/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414</v>
      </c>
      <c r="C787" s="164">
        <f ca="1">IFERROR(YEAR(OFFSET($D$28,C786,0)),0)</f>
        <v>0</v>
      </c>
      <c r="D787" s="164">
        <f ca="1">IFERROR(MONTH(OFFSET($D$28,C786,0)),0)</f>
        <v>0</v>
      </c>
      <c r="E787" s="21">
        <f ca="1">12-$D787</f>
        <v>12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406</v>
      </c>
      <c r="C788" s="244">
        <f ca="1">IF(OFFSET($F$28,C786,0)&lt;0,0,OFFSET($F$28,C786,0))</f>
        <v>0</v>
      </c>
      <c r="D788" s="22" t="str">
        <f ca="1">OFFSET($C$28,C786,0)</f>
        <v/>
      </c>
      <c r="E788" s="22">
        <f ca="1">IF(D788&gt;10,ROUND(($C789/12)*$E787,0),$C788)</f>
        <v>0</v>
      </c>
      <c r="F788" s="21"/>
      <c r="G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1:24" hidden="1">
      <c r="A789" s="258"/>
      <c r="B789" s="21" t="s">
        <v>415</v>
      </c>
      <c r="C789" s="244">
        <f ca="1">IF(ISBLANK(OFFSET($D$28,C786,0)),0,IF(OFFSET($C$28,C786,0)&gt;10,ROUND(C788*am_maszyny,0),IF(C788&lt;0,0,C788)))</f>
        <v>0</v>
      </c>
      <c r="D789" s="21"/>
      <c r="E789" s="21"/>
      <c r="F789" s="21"/>
      <c r="G789" s="21"/>
      <c r="I789" s="21"/>
      <c r="J789" s="473" cm="1">
        <f t="array" aca="1" ref="J789" ca="1">OFFSET('Środki trwałe'!$C$195,'Rozliczenie dotacji'!D786,,)</f>
        <v>0</v>
      </c>
      <c r="K789" s="74">
        <f ca="1">ROUND(IF($C787=LataProjekcji,$E788,IF($C787=LataProjekcji,$C789,0)),0)</f>
        <v>0</v>
      </c>
      <c r="L789" s="247">
        <f ca="1">ROUND(IF(OR(AND($C787=LataProjekcji,$E787&gt;0),AND($C787=LataProjekcji,$E787=0,$D788&lt;=10)),$E788,IF($C787&lt;LataProjekcji,IF((SUM($K789:K789)+$C789)&lt;$C788,$C789,$C788-SUM($K789:K789)),0)),0)</f>
        <v>0</v>
      </c>
      <c r="M789" s="247">
        <f ca="1">ROUND(IF(OR(AND($C787=LataProjekcji,$E787&gt;0),AND($C787=LataProjekcji,$E787=0,$D788&lt;=10)),$E788,IF($C787&lt;LataProjekcji,IF((SUM($K789:L789)+$C789)&lt;$C788,$C789,$C788-SUM($K789:L789)),0)),0)</f>
        <v>0</v>
      </c>
      <c r="N789" s="247">
        <f ca="1">ROUND(IF(OR(AND($C787=LataProjekcji,$E787&gt;0),AND($C787=LataProjekcji,$E787=0,$D788&lt;=10)),$E788,IF($C787&lt;LataProjekcji,IF((SUM($K789:M789)+$C789)&lt;$C788,$C789,$C788-SUM($K789:M789)),0)),0)</f>
        <v>0</v>
      </c>
      <c r="O789" s="247">
        <f ca="1">ROUND(IF(OR(AND($C787=LataProjekcji,$E787&gt;0),AND($C787=LataProjekcji,$E787=0,$D788&lt;=10)),$E788,IF($C787&lt;LataProjekcji,IF((SUM($K789:N789)+$C789)&lt;$C788,$C789,$C788-SUM($K789:N789)),0)),0)</f>
        <v>0</v>
      </c>
      <c r="P789" s="247">
        <f ca="1">ROUND(IF(OR(AND($C787=LataProjekcji,$E787&gt;0),AND($C787=LataProjekcji,$E787=0,$D788&lt;=10)),$E788,IF($C787&lt;LataProjekcji,IF((SUM($K789:O789)+$C789)&lt;$C788,$C789,$C788-SUM($K789:O789)),0)),0)</f>
        <v>0</v>
      </c>
      <c r="Q789" s="247">
        <f ca="1">ROUND(IF(OR(AND($C787=LataProjekcji,$E787&gt;0),AND($C787=LataProjekcji,$E787=0,$D788&lt;=10)),$E788,IF($C787&lt;LataProjekcji,IF((SUM($K789:P789)+$C789)&lt;$C788,$C789,$C788-SUM($K789:P789)),0)),0)</f>
        <v>0</v>
      </c>
      <c r="R789" s="247">
        <f ca="1">ROUND(IF(OR(AND($C787=LataProjekcji,$E787&gt;0),AND($C787=LataProjekcji,$E787=0,$D788&lt;=10)),$E788,IF($C787&lt;LataProjekcji,IF((SUM($K789:Q789)+$C789)&lt;$C788,$C789,$C788-SUM($K789:Q789)),0)),0)</f>
        <v>0</v>
      </c>
      <c r="S789" s="247">
        <f ca="1">ROUND(IF(OR(AND($C787=LataProjekcji,$E787&gt;0),AND($C787=LataProjekcji,$E787=0,$D788&lt;=10)),$E788,IF($C787&lt;LataProjekcji,IF((SUM($K789:R789)+$C789)&lt;$C788,$C789,$C788-SUM($K789:R789)),0)),0)</f>
        <v>0</v>
      </c>
      <c r="T789" s="247">
        <f ca="1">ROUND(IF(OR(AND($C787=LataProjekcji,$E787&gt;0),AND($C787=LataProjekcji,$E787=0,$D788&lt;=10)),$E788,IF($C787&lt;LataProjekcji,IF((SUM($K789:S789)+$C789)&lt;$C788,$C789,$C788-SUM($K789:S789)),0)),0)</f>
        <v>0</v>
      </c>
      <c r="U789" s="247">
        <f ca="1">ROUND(IF(OR(AND($C787=LataProjekcji,$E787&gt;0),AND($C787=LataProjekcji,$E787=0,$D788&lt;=10)),$E788,IF($C787&lt;LataProjekcji,IF((SUM($K789:T789)+$C789)&lt;$C788,$C789,$C788-SUM($K789:T789)),0)),0)</f>
        <v>0</v>
      </c>
      <c r="V789" s="247">
        <f ca="1">ROUND(IF(OR(AND($C787=LataProjekcji,$E787&gt;0),AND($C787=LataProjekcji,$E787=0,$D788&lt;=10)),$E788,IF($C787&lt;LataProjekcji,IF((SUM($K789:U789)+$C789)&lt;$C788,$C789,$C788-SUM($K789:U789)),0)),0)</f>
        <v>0</v>
      </c>
      <c r="W789" s="247">
        <f ca="1">ROUND(IF(OR(AND($C787=LataProjekcji,$E787&gt;0),AND($C787=LataProjekcji,$E787=0,$D788&lt;=10)),$E788,IF($C787&lt;LataProjekcji,IF((SUM($K789:V789)+$C789)&lt;$C788,$C789,$C788-SUM($K789:V789)),0)),0)</f>
        <v>0</v>
      </c>
      <c r="X789" s="247">
        <f ca="1">ROUND(IF(OR(AND($C787=LataProjekcji,$E787&gt;0),AND($C787=LataProjekcji,$E787=0,$D788&lt;=10)),$E788,IF($C787&lt;LataProjekcji,IF((SUM($K789:W789)+$C789)&lt;$C788,$C789,$C788-SUM($K789:W789)),0)),0)</f>
        <v>0</v>
      </c>
    </row>
    <row r="790" spans="1:24" hidden="1">
      <c r="A790" s="258"/>
      <c r="B790" s="21" t="s">
        <v>416</v>
      </c>
      <c r="C790" s="22"/>
      <c r="D790" s="21"/>
      <c r="E790" s="21"/>
      <c r="F790" s="21"/>
      <c r="G790" s="21"/>
      <c r="I790" s="21"/>
      <c r="J790" s="21"/>
      <c r="K790" s="22">
        <f ca="1">ROUND(K789,0)</f>
        <v>0</v>
      </c>
      <c r="L790" s="22">
        <f t="shared" ref="L790:X790" ca="1" si="401">ROUND(K790+L789,0)</f>
        <v>0</v>
      </c>
      <c r="M790" s="22">
        <f t="shared" ca="1" si="401"/>
        <v>0</v>
      </c>
      <c r="N790" s="22">
        <f t="shared" ca="1" si="401"/>
        <v>0</v>
      </c>
      <c r="O790" s="22">
        <f t="shared" ca="1" si="401"/>
        <v>0</v>
      </c>
      <c r="P790" s="22">
        <f t="shared" ca="1" si="401"/>
        <v>0</v>
      </c>
      <c r="Q790" s="22">
        <f t="shared" ca="1" si="401"/>
        <v>0</v>
      </c>
      <c r="R790" s="22">
        <f t="shared" ca="1" si="401"/>
        <v>0</v>
      </c>
      <c r="S790" s="22">
        <f t="shared" ca="1" si="401"/>
        <v>0</v>
      </c>
      <c r="T790" s="22">
        <f t="shared" ca="1" si="401"/>
        <v>0</v>
      </c>
      <c r="U790" s="22">
        <f t="shared" ca="1" si="401"/>
        <v>0</v>
      </c>
      <c r="V790" s="22">
        <f t="shared" ca="1" si="401"/>
        <v>0</v>
      </c>
      <c r="W790" s="22">
        <f t="shared" ca="1" si="401"/>
        <v>0</v>
      </c>
      <c r="X790" s="22">
        <f t="shared" ca="1" si="401"/>
        <v>0</v>
      </c>
    </row>
    <row r="791" spans="1:24" hidden="1">
      <c r="A791" s="258"/>
      <c r="B791" s="21" t="s">
        <v>406</v>
      </c>
      <c r="C791" s="22"/>
      <c r="D791" s="21"/>
      <c r="E791" s="21"/>
      <c r="F791" s="21"/>
      <c r="G791" s="21"/>
      <c r="I791" s="21"/>
      <c r="J791" s="21"/>
      <c r="K791" s="76">
        <f t="shared" ref="K791:X791" ca="1" si="402">IF($C787=LataProjekcji,ROUND($C788-K790,0),ROUND(IF(K789=0,0,$C788-K790),0))</f>
        <v>0</v>
      </c>
      <c r="L791" s="76">
        <f t="shared" ca="1" si="402"/>
        <v>0</v>
      </c>
      <c r="M791" s="76">
        <f t="shared" ca="1" si="402"/>
        <v>0</v>
      </c>
      <c r="N791" s="76">
        <f t="shared" ca="1" si="402"/>
        <v>0</v>
      </c>
      <c r="O791" s="76">
        <f t="shared" ca="1" si="402"/>
        <v>0</v>
      </c>
      <c r="P791" s="76">
        <f t="shared" ca="1" si="402"/>
        <v>0</v>
      </c>
      <c r="Q791" s="76">
        <f t="shared" ca="1" si="402"/>
        <v>0</v>
      </c>
      <c r="R791" s="76">
        <f t="shared" ca="1" si="402"/>
        <v>0</v>
      </c>
      <c r="S791" s="76">
        <f t="shared" ca="1" si="402"/>
        <v>0</v>
      </c>
      <c r="T791" s="76">
        <f t="shared" ca="1" si="402"/>
        <v>0</v>
      </c>
      <c r="U791" s="76">
        <f t="shared" ca="1" si="402"/>
        <v>0</v>
      </c>
      <c r="V791" s="76">
        <f t="shared" ca="1" si="402"/>
        <v>0</v>
      </c>
      <c r="W791" s="76">
        <f t="shared" ca="1" si="402"/>
        <v>0</v>
      </c>
      <c r="X791" s="76">
        <f t="shared" ca="1" si="402"/>
        <v>0</v>
      </c>
    </row>
    <row r="792" spans="1:24" hidden="1">
      <c r="A792" s="258"/>
      <c r="B792" s="21"/>
      <c r="C792" s="22"/>
      <c r="D792" s="21"/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0" t="s">
        <v>391</v>
      </c>
      <c r="C793" s="21">
        <f>C786+1</f>
        <v>99</v>
      </c>
      <c r="D793" s="473">
        <f>D786+1</f>
        <v>233</v>
      </c>
      <c r="E793" s="21"/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414</v>
      </c>
      <c r="C794" s="164">
        <f ca="1">IFERROR(YEAR(OFFSET($D$28,C793,0)),0)</f>
        <v>0</v>
      </c>
      <c r="D794" s="164">
        <f ca="1">IFERROR(MONTH(OFFSET($D$28,C793,0)),0)</f>
        <v>0</v>
      </c>
      <c r="E794" s="21">
        <f ca="1">12-$D794</f>
        <v>12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406</v>
      </c>
      <c r="C795" s="244">
        <f ca="1">IF(OFFSET($F$28,C793,0)&lt;0,0,OFFSET($F$28,C793,0))</f>
        <v>0</v>
      </c>
      <c r="D795" s="22" t="str">
        <f ca="1">OFFSET($C$28,C793,0)</f>
        <v/>
      </c>
      <c r="E795" s="22">
        <f ca="1">IF(D795&gt;10,ROUND(($C796/12)*$E794,0),$C795)</f>
        <v>0</v>
      </c>
      <c r="F795" s="21"/>
      <c r="G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1:24" hidden="1">
      <c r="A796" s="258"/>
      <c r="B796" s="21" t="s">
        <v>415</v>
      </c>
      <c r="C796" s="244">
        <f ca="1">IF(ISBLANK(OFFSET($D$28,C793,0)),0,IF(OFFSET($C$28,C793,0)&gt;10,ROUND(C795*am_maszyny,0),IF(C795&lt;0,0,C795)))</f>
        <v>0</v>
      </c>
      <c r="D796" s="21"/>
      <c r="E796" s="21"/>
      <c r="F796" s="21"/>
      <c r="G796" s="21"/>
      <c r="I796" s="21"/>
      <c r="J796" s="473" cm="1">
        <f t="array" aca="1" ref="J796" ca="1">OFFSET('Środki trwałe'!$C$195,'Rozliczenie dotacji'!D793,,)</f>
        <v>0</v>
      </c>
      <c r="K796" s="74">
        <f ca="1">ROUND(IF($C794=LataProjekcji,$E795,IF($C794=LataProjekcji,$C796,0)),0)</f>
        <v>0</v>
      </c>
      <c r="L796" s="247">
        <f ca="1">ROUND(IF(OR(AND($C794=LataProjekcji,$E794&gt;0),AND($C794=LataProjekcji,$E794=0,$D795&lt;=10)),$E795,IF($C794&lt;LataProjekcji,IF((SUM($K796:K796)+$C796)&lt;$C795,$C796,$C795-SUM($K796:K796)),0)),0)</f>
        <v>0</v>
      </c>
      <c r="M796" s="247">
        <f ca="1">ROUND(IF(OR(AND($C794=LataProjekcji,$E794&gt;0),AND($C794=LataProjekcji,$E794=0,$D795&lt;=10)),$E795,IF($C794&lt;LataProjekcji,IF((SUM($K796:L796)+$C796)&lt;$C795,$C796,$C795-SUM($K796:L796)),0)),0)</f>
        <v>0</v>
      </c>
      <c r="N796" s="247">
        <f ca="1">ROUND(IF(OR(AND($C794=LataProjekcji,$E794&gt;0),AND($C794=LataProjekcji,$E794=0,$D795&lt;=10)),$E795,IF($C794&lt;LataProjekcji,IF((SUM($K796:M796)+$C796)&lt;$C795,$C796,$C795-SUM($K796:M796)),0)),0)</f>
        <v>0</v>
      </c>
      <c r="O796" s="247">
        <f ca="1">ROUND(IF(OR(AND($C794=LataProjekcji,$E794&gt;0),AND($C794=LataProjekcji,$E794=0,$D795&lt;=10)),$E795,IF($C794&lt;LataProjekcji,IF((SUM($K796:N796)+$C796)&lt;$C795,$C796,$C795-SUM($K796:N796)),0)),0)</f>
        <v>0</v>
      </c>
      <c r="P796" s="247">
        <f ca="1">ROUND(IF(OR(AND($C794=LataProjekcji,$E794&gt;0),AND($C794=LataProjekcji,$E794=0,$D795&lt;=10)),$E795,IF($C794&lt;LataProjekcji,IF((SUM($K796:O796)+$C796)&lt;$C795,$C796,$C795-SUM($K796:O796)),0)),0)</f>
        <v>0</v>
      </c>
      <c r="Q796" s="247">
        <f ca="1">ROUND(IF(OR(AND($C794=LataProjekcji,$E794&gt;0),AND($C794=LataProjekcji,$E794=0,$D795&lt;=10)),$E795,IF($C794&lt;LataProjekcji,IF((SUM($K796:P796)+$C796)&lt;$C795,$C796,$C795-SUM($K796:P796)),0)),0)</f>
        <v>0</v>
      </c>
      <c r="R796" s="247">
        <f ca="1">ROUND(IF(OR(AND($C794=LataProjekcji,$E794&gt;0),AND($C794=LataProjekcji,$E794=0,$D795&lt;=10)),$E795,IF($C794&lt;LataProjekcji,IF((SUM($K796:Q796)+$C796)&lt;$C795,$C796,$C795-SUM($K796:Q796)),0)),0)</f>
        <v>0</v>
      </c>
      <c r="S796" s="247">
        <f ca="1">ROUND(IF(OR(AND($C794=LataProjekcji,$E794&gt;0),AND($C794=LataProjekcji,$E794=0,$D795&lt;=10)),$E795,IF($C794&lt;LataProjekcji,IF((SUM($K796:R796)+$C796)&lt;$C795,$C796,$C795-SUM($K796:R796)),0)),0)</f>
        <v>0</v>
      </c>
      <c r="T796" s="247">
        <f ca="1">ROUND(IF(OR(AND($C794=LataProjekcji,$E794&gt;0),AND($C794=LataProjekcji,$E794=0,$D795&lt;=10)),$E795,IF($C794&lt;LataProjekcji,IF((SUM($K796:S796)+$C796)&lt;$C795,$C796,$C795-SUM($K796:S796)),0)),0)</f>
        <v>0</v>
      </c>
      <c r="U796" s="247">
        <f ca="1">ROUND(IF(OR(AND($C794=LataProjekcji,$E794&gt;0),AND($C794=LataProjekcji,$E794=0,$D795&lt;=10)),$E795,IF($C794&lt;LataProjekcji,IF((SUM($K796:T796)+$C796)&lt;$C795,$C796,$C795-SUM($K796:T796)),0)),0)</f>
        <v>0</v>
      </c>
      <c r="V796" s="247">
        <f ca="1">ROUND(IF(OR(AND($C794=LataProjekcji,$E794&gt;0),AND($C794=LataProjekcji,$E794=0,$D795&lt;=10)),$E795,IF($C794&lt;LataProjekcji,IF((SUM($K796:U796)+$C796)&lt;$C795,$C796,$C795-SUM($K796:U796)),0)),0)</f>
        <v>0</v>
      </c>
      <c r="W796" s="247">
        <f ca="1">ROUND(IF(OR(AND($C794=LataProjekcji,$E794&gt;0),AND($C794=LataProjekcji,$E794=0,$D795&lt;=10)),$E795,IF($C794&lt;LataProjekcji,IF((SUM($K796:V796)+$C796)&lt;$C795,$C796,$C795-SUM($K796:V796)),0)),0)</f>
        <v>0</v>
      </c>
      <c r="X796" s="247">
        <f ca="1">ROUND(IF(OR(AND($C794=LataProjekcji,$E794&gt;0),AND($C794=LataProjekcji,$E794=0,$D795&lt;=10)),$E795,IF($C794&lt;LataProjekcji,IF((SUM($K796:W796)+$C796)&lt;$C795,$C796,$C795-SUM($K796:W796)),0)),0)</f>
        <v>0</v>
      </c>
    </row>
    <row r="797" spans="1:24" hidden="1">
      <c r="A797" s="258"/>
      <c r="B797" s="21" t="s">
        <v>416</v>
      </c>
      <c r="C797" s="22"/>
      <c r="D797" s="21"/>
      <c r="E797" s="21"/>
      <c r="F797" s="21"/>
      <c r="G797" s="21"/>
      <c r="I797" s="21"/>
      <c r="J797" s="21"/>
      <c r="K797" s="22">
        <f ca="1">ROUND(K796,0)</f>
        <v>0</v>
      </c>
      <c r="L797" s="22">
        <f t="shared" ref="L797:X797" ca="1" si="403">ROUND(K797+L796,0)</f>
        <v>0</v>
      </c>
      <c r="M797" s="22">
        <f t="shared" ca="1" si="403"/>
        <v>0</v>
      </c>
      <c r="N797" s="22">
        <f t="shared" ca="1" si="403"/>
        <v>0</v>
      </c>
      <c r="O797" s="22">
        <f t="shared" ca="1" si="403"/>
        <v>0</v>
      </c>
      <c r="P797" s="22">
        <f t="shared" ca="1" si="403"/>
        <v>0</v>
      </c>
      <c r="Q797" s="22">
        <f t="shared" ca="1" si="403"/>
        <v>0</v>
      </c>
      <c r="R797" s="22">
        <f t="shared" ca="1" si="403"/>
        <v>0</v>
      </c>
      <c r="S797" s="22">
        <f t="shared" ca="1" si="403"/>
        <v>0</v>
      </c>
      <c r="T797" s="22">
        <f t="shared" ca="1" si="403"/>
        <v>0</v>
      </c>
      <c r="U797" s="22">
        <f t="shared" ca="1" si="403"/>
        <v>0</v>
      </c>
      <c r="V797" s="22">
        <f t="shared" ca="1" si="403"/>
        <v>0</v>
      </c>
      <c r="W797" s="22">
        <f t="shared" ca="1" si="403"/>
        <v>0</v>
      </c>
      <c r="X797" s="22">
        <f t="shared" ca="1" si="403"/>
        <v>0</v>
      </c>
    </row>
    <row r="798" spans="1:24" hidden="1">
      <c r="A798" s="258"/>
      <c r="B798" s="21" t="s">
        <v>406</v>
      </c>
      <c r="C798" s="22"/>
      <c r="D798" s="21"/>
      <c r="E798" s="21"/>
      <c r="F798" s="21"/>
      <c r="G798" s="21"/>
      <c r="I798" s="21"/>
      <c r="J798" s="21"/>
      <c r="K798" s="76">
        <f t="shared" ref="K798:X798" ca="1" si="404">IF($C794=LataProjekcji,ROUND($C795-K797,0),ROUND(IF(K796=0,0,$C795-K797),0))</f>
        <v>0</v>
      </c>
      <c r="L798" s="76">
        <f t="shared" ca="1" si="404"/>
        <v>0</v>
      </c>
      <c r="M798" s="76">
        <f t="shared" ca="1" si="404"/>
        <v>0</v>
      </c>
      <c r="N798" s="76">
        <f t="shared" ca="1" si="404"/>
        <v>0</v>
      </c>
      <c r="O798" s="76">
        <f t="shared" ca="1" si="404"/>
        <v>0</v>
      </c>
      <c r="P798" s="76">
        <f t="shared" ca="1" si="404"/>
        <v>0</v>
      </c>
      <c r="Q798" s="76">
        <f t="shared" ca="1" si="404"/>
        <v>0</v>
      </c>
      <c r="R798" s="76">
        <f t="shared" ca="1" si="404"/>
        <v>0</v>
      </c>
      <c r="S798" s="76">
        <f t="shared" ca="1" si="404"/>
        <v>0</v>
      </c>
      <c r="T798" s="76">
        <f t="shared" ca="1" si="404"/>
        <v>0</v>
      </c>
      <c r="U798" s="76">
        <f t="shared" ca="1" si="404"/>
        <v>0</v>
      </c>
      <c r="V798" s="76">
        <f t="shared" ca="1" si="404"/>
        <v>0</v>
      </c>
      <c r="W798" s="76">
        <f t="shared" ca="1" si="404"/>
        <v>0</v>
      </c>
      <c r="X798" s="76">
        <f t="shared" ca="1" si="404"/>
        <v>0</v>
      </c>
    </row>
    <row r="799" spans="1:24" hidden="1">
      <c r="A799" s="258"/>
      <c r="B799" s="20"/>
      <c r="C799" s="21"/>
      <c r="D799" s="21"/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0" t="s">
        <v>391</v>
      </c>
      <c r="C800" s="21">
        <f>C793+1</f>
        <v>100</v>
      </c>
      <c r="D800" s="473">
        <f>D793+1</f>
        <v>234</v>
      </c>
      <c r="E800" s="21"/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414</v>
      </c>
      <c r="C801" s="164">
        <f ca="1">IFERROR(YEAR(OFFSET($D$28,C800,0)),0)</f>
        <v>0</v>
      </c>
      <c r="D801" s="164">
        <f ca="1">IFERROR(MONTH(OFFSET($D$28,C800,0)),0)</f>
        <v>0</v>
      </c>
      <c r="E801" s="21">
        <f ca="1">12-$D801</f>
        <v>12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406</v>
      </c>
      <c r="C802" s="244">
        <f ca="1">IF(OFFSET($F$28,C800,0)&lt;0,0,OFFSET($F$28,C800,0))</f>
        <v>0</v>
      </c>
      <c r="D802" s="22" t="str">
        <f ca="1">OFFSET($C$28,C800,0)</f>
        <v/>
      </c>
      <c r="E802" s="22">
        <f ca="1">IF(D802&gt;10,ROUND(($C803/12)*$E801,0),$C802)</f>
        <v>0</v>
      </c>
      <c r="F802" s="21"/>
      <c r="G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1:24" hidden="1">
      <c r="A803" s="258"/>
      <c r="B803" s="21" t="s">
        <v>415</v>
      </c>
      <c r="C803" s="244">
        <f ca="1">IF(ISBLANK(OFFSET($D$28,C800,0)),0,IF(OFFSET($C$28,C800,0)&gt;10,ROUND(C802*am_maszyny,0),IF(C802&lt;0,0,C802)))</f>
        <v>0</v>
      </c>
      <c r="D803" s="21"/>
      <c r="E803" s="21"/>
      <c r="F803" s="21"/>
      <c r="G803" s="21"/>
      <c r="I803" s="21"/>
      <c r="J803" s="473" cm="1">
        <f t="array" aca="1" ref="J803" ca="1">OFFSET('Środki trwałe'!$C$195,'Rozliczenie dotacji'!D800,,)</f>
        <v>0</v>
      </c>
      <c r="K803" s="74">
        <f ca="1">ROUND(IF($C801=LataProjekcji,$E802,IF($C801=LataProjekcji,$C803,0)),0)</f>
        <v>0</v>
      </c>
      <c r="L803" s="247">
        <f ca="1">ROUND(IF(OR(AND($C801=LataProjekcji,$E801&gt;0),AND($C801=LataProjekcji,$E801=0,$D802&lt;=10)),$E802,IF($C801&lt;LataProjekcji,IF((SUM($K803:K803)+$C803)&lt;$C802,$C803,$C802-SUM($K803:K803)),0)),0)</f>
        <v>0</v>
      </c>
      <c r="M803" s="247">
        <f ca="1">ROUND(IF(OR(AND($C801=LataProjekcji,$E801&gt;0),AND($C801=LataProjekcji,$E801=0,$D802&lt;=10)),$E802,IF($C801&lt;LataProjekcji,IF((SUM($K803:L803)+$C803)&lt;$C802,$C803,$C802-SUM($K803:L803)),0)),0)</f>
        <v>0</v>
      </c>
      <c r="N803" s="247">
        <f ca="1">ROUND(IF(OR(AND($C801=LataProjekcji,$E801&gt;0),AND($C801=LataProjekcji,$E801=0,$D802&lt;=10)),$E802,IF($C801&lt;LataProjekcji,IF((SUM($K803:M803)+$C803)&lt;$C802,$C803,$C802-SUM($K803:M803)),0)),0)</f>
        <v>0</v>
      </c>
      <c r="O803" s="247">
        <f ca="1">ROUND(IF(OR(AND($C801=LataProjekcji,$E801&gt;0),AND($C801=LataProjekcji,$E801=0,$D802&lt;=10)),$E802,IF($C801&lt;LataProjekcji,IF((SUM($K803:N803)+$C803)&lt;$C802,$C803,$C802-SUM($K803:N803)),0)),0)</f>
        <v>0</v>
      </c>
      <c r="P803" s="247">
        <f ca="1">ROUND(IF(OR(AND($C801=LataProjekcji,$E801&gt;0),AND($C801=LataProjekcji,$E801=0,$D802&lt;=10)),$E802,IF($C801&lt;LataProjekcji,IF((SUM($K803:O803)+$C803)&lt;$C802,$C803,$C802-SUM($K803:O803)),0)),0)</f>
        <v>0</v>
      </c>
      <c r="Q803" s="247">
        <f ca="1">ROUND(IF(OR(AND($C801=LataProjekcji,$E801&gt;0),AND($C801=LataProjekcji,$E801=0,$D802&lt;=10)),$E802,IF($C801&lt;LataProjekcji,IF((SUM($K803:P803)+$C803)&lt;$C802,$C803,$C802-SUM($K803:P803)),0)),0)</f>
        <v>0</v>
      </c>
      <c r="R803" s="247">
        <f ca="1">ROUND(IF(OR(AND($C801=LataProjekcji,$E801&gt;0),AND($C801=LataProjekcji,$E801=0,$D802&lt;=10)),$E802,IF($C801&lt;LataProjekcji,IF((SUM($K803:Q803)+$C803)&lt;$C802,$C803,$C802-SUM($K803:Q803)),0)),0)</f>
        <v>0</v>
      </c>
      <c r="S803" s="247">
        <f ca="1">ROUND(IF(OR(AND($C801=LataProjekcji,$E801&gt;0),AND($C801=LataProjekcji,$E801=0,$D802&lt;=10)),$E802,IF($C801&lt;LataProjekcji,IF((SUM($K803:R803)+$C803)&lt;$C802,$C803,$C802-SUM($K803:R803)),0)),0)</f>
        <v>0</v>
      </c>
      <c r="T803" s="247">
        <f ca="1">ROUND(IF(OR(AND($C801=LataProjekcji,$E801&gt;0),AND($C801=LataProjekcji,$E801=0,$D802&lt;=10)),$E802,IF($C801&lt;LataProjekcji,IF((SUM($K803:S803)+$C803)&lt;$C802,$C803,$C802-SUM($K803:S803)),0)),0)</f>
        <v>0</v>
      </c>
      <c r="U803" s="247">
        <f ca="1">ROUND(IF(OR(AND($C801=LataProjekcji,$E801&gt;0),AND($C801=LataProjekcji,$E801=0,$D802&lt;=10)),$E802,IF($C801&lt;LataProjekcji,IF((SUM($K803:T803)+$C803)&lt;$C802,$C803,$C802-SUM($K803:T803)),0)),0)</f>
        <v>0</v>
      </c>
      <c r="V803" s="247">
        <f ca="1">ROUND(IF(OR(AND($C801=LataProjekcji,$E801&gt;0),AND($C801=LataProjekcji,$E801=0,$D802&lt;=10)),$E802,IF($C801&lt;LataProjekcji,IF((SUM($K803:U803)+$C803)&lt;$C802,$C803,$C802-SUM($K803:U803)),0)),0)</f>
        <v>0</v>
      </c>
      <c r="W803" s="247">
        <f ca="1">ROUND(IF(OR(AND($C801=LataProjekcji,$E801&gt;0),AND($C801=LataProjekcji,$E801=0,$D802&lt;=10)),$E802,IF($C801&lt;LataProjekcji,IF((SUM($K803:V803)+$C803)&lt;$C802,$C803,$C802-SUM($K803:V803)),0)),0)</f>
        <v>0</v>
      </c>
      <c r="X803" s="247">
        <f ca="1">ROUND(IF(OR(AND($C801=LataProjekcji,$E801&gt;0),AND($C801=LataProjekcji,$E801=0,$D802&lt;=10)),$E802,IF($C801&lt;LataProjekcji,IF((SUM($K803:W803)+$C803)&lt;$C802,$C803,$C802-SUM($K803:W803)),0)),0)</f>
        <v>0</v>
      </c>
    </row>
    <row r="804" spans="1:24" hidden="1">
      <c r="A804" s="258"/>
      <c r="B804" s="21" t="s">
        <v>416</v>
      </c>
      <c r="C804" s="22"/>
      <c r="D804" s="21"/>
      <c r="E804" s="21"/>
      <c r="F804" s="21"/>
      <c r="G804" s="21"/>
      <c r="I804" s="21"/>
      <c r="J804" s="21"/>
      <c r="K804" s="22">
        <f ca="1">ROUND(K803,0)</f>
        <v>0</v>
      </c>
      <c r="L804" s="22">
        <f t="shared" ref="L804:X804" ca="1" si="405">ROUND(K804+L803,0)</f>
        <v>0</v>
      </c>
      <c r="M804" s="22">
        <f t="shared" ca="1" si="405"/>
        <v>0</v>
      </c>
      <c r="N804" s="22">
        <f t="shared" ca="1" si="405"/>
        <v>0</v>
      </c>
      <c r="O804" s="22">
        <f t="shared" ca="1" si="405"/>
        <v>0</v>
      </c>
      <c r="P804" s="22">
        <f t="shared" ca="1" si="405"/>
        <v>0</v>
      </c>
      <c r="Q804" s="22">
        <f t="shared" ca="1" si="405"/>
        <v>0</v>
      </c>
      <c r="R804" s="22">
        <f t="shared" ca="1" si="405"/>
        <v>0</v>
      </c>
      <c r="S804" s="22">
        <f t="shared" ca="1" si="405"/>
        <v>0</v>
      </c>
      <c r="T804" s="22">
        <f t="shared" ca="1" si="405"/>
        <v>0</v>
      </c>
      <c r="U804" s="22">
        <f t="shared" ca="1" si="405"/>
        <v>0</v>
      </c>
      <c r="V804" s="22">
        <f t="shared" ca="1" si="405"/>
        <v>0</v>
      </c>
      <c r="W804" s="22">
        <f t="shared" ca="1" si="405"/>
        <v>0</v>
      </c>
      <c r="X804" s="22">
        <f t="shared" ca="1" si="405"/>
        <v>0</v>
      </c>
    </row>
    <row r="805" spans="1:24" hidden="1">
      <c r="A805" s="258"/>
      <c r="B805" s="21" t="s">
        <v>406</v>
      </c>
      <c r="C805" s="22"/>
      <c r="D805" s="21"/>
      <c r="E805" s="21"/>
      <c r="F805" s="21"/>
      <c r="G805" s="21"/>
      <c r="I805" s="21"/>
      <c r="J805" s="21"/>
      <c r="K805" s="76">
        <f t="shared" ref="K805:X805" ca="1" si="406">IF($C801=LataProjekcji,ROUND($C802-K804,0),ROUND(IF(K803=0,0,$C802-K804),0))</f>
        <v>0</v>
      </c>
      <c r="L805" s="76">
        <f t="shared" ca="1" si="406"/>
        <v>0</v>
      </c>
      <c r="M805" s="76">
        <f t="shared" ca="1" si="406"/>
        <v>0</v>
      </c>
      <c r="N805" s="76">
        <f t="shared" ca="1" si="406"/>
        <v>0</v>
      </c>
      <c r="O805" s="76">
        <f t="shared" ca="1" si="406"/>
        <v>0</v>
      </c>
      <c r="P805" s="76">
        <f t="shared" ca="1" si="406"/>
        <v>0</v>
      </c>
      <c r="Q805" s="76">
        <f t="shared" ca="1" si="406"/>
        <v>0</v>
      </c>
      <c r="R805" s="76">
        <f t="shared" ca="1" si="406"/>
        <v>0</v>
      </c>
      <c r="S805" s="76">
        <f t="shared" ca="1" si="406"/>
        <v>0</v>
      </c>
      <c r="T805" s="76">
        <f t="shared" ca="1" si="406"/>
        <v>0</v>
      </c>
      <c r="U805" s="76">
        <f t="shared" ca="1" si="406"/>
        <v>0</v>
      </c>
      <c r="V805" s="76">
        <f t="shared" ca="1" si="406"/>
        <v>0</v>
      </c>
      <c r="W805" s="76">
        <f t="shared" ca="1" si="406"/>
        <v>0</v>
      </c>
      <c r="X805" s="76">
        <f t="shared" ca="1" si="406"/>
        <v>0</v>
      </c>
    </row>
    <row r="806" spans="1:24" hidden="1">
      <c r="A806" s="258"/>
      <c r="B806" s="21"/>
      <c r="C806" s="22"/>
      <c r="D806" s="21"/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0" t="s">
        <v>391</v>
      </c>
      <c r="C807" s="21">
        <f>C800+1</f>
        <v>101</v>
      </c>
      <c r="D807" s="473">
        <f>D800+1</f>
        <v>235</v>
      </c>
      <c r="E807" s="21"/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414</v>
      </c>
      <c r="C808" s="164">
        <f ca="1">IFERROR(YEAR(OFFSET($D$28,C807,0)),0)</f>
        <v>0</v>
      </c>
      <c r="D808" s="164">
        <f ca="1">IFERROR(MONTH(OFFSET($D$28,C807,0)),0)</f>
        <v>0</v>
      </c>
      <c r="E808" s="21">
        <f ca="1">12-$D808</f>
        <v>12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406</v>
      </c>
      <c r="C809" s="244">
        <f ca="1">IF(OFFSET($F$28,C807,0)&lt;0,0,OFFSET($F$28,C807,0))</f>
        <v>0</v>
      </c>
      <c r="D809" s="22" t="str">
        <f ca="1">OFFSET($C$28,C807,0)</f>
        <v/>
      </c>
      <c r="E809" s="22">
        <f ca="1">IF(D809&gt;10,ROUND(($C810/12)*$E808,0),$C809)</f>
        <v>0</v>
      </c>
      <c r="F809" s="21"/>
      <c r="G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1:24" hidden="1">
      <c r="A810" s="258"/>
      <c r="B810" s="21" t="s">
        <v>415</v>
      </c>
      <c r="C810" s="244">
        <f ca="1">IF(ISBLANK(OFFSET($D$28,C807,0)),0,IF(OFFSET($C$28,C807,0)&gt;10,ROUND(C809*am_maszyny,0),IF(C809&lt;0,0,C809)))</f>
        <v>0</v>
      </c>
      <c r="D810" s="21"/>
      <c r="E810" s="21"/>
      <c r="F810" s="21"/>
      <c r="G810" s="21"/>
      <c r="I810" s="21"/>
      <c r="J810" s="473" cm="1">
        <f t="array" aca="1" ref="J810" ca="1">OFFSET('Środki trwałe'!$C$195,'Rozliczenie dotacji'!D807,,)</f>
        <v>0</v>
      </c>
      <c r="K810" s="74">
        <f ca="1">ROUND(IF($C808=LataProjekcji,$E809,IF($C808=LataProjekcji,$C810,0)),0)</f>
        <v>0</v>
      </c>
      <c r="L810" s="247">
        <f ca="1">ROUND(IF(OR(AND($C808=LataProjekcji,$E808&gt;0),AND($C808=LataProjekcji,$E808=0,$D809&lt;=10)),$E809,IF($C808&lt;LataProjekcji,IF((SUM($K810:K810)+$C810)&lt;$C809,$C810,$C809-SUM($K810:K810)),0)),0)</f>
        <v>0</v>
      </c>
      <c r="M810" s="247">
        <f ca="1">ROUND(IF(OR(AND($C808=LataProjekcji,$E808&gt;0),AND($C808=LataProjekcji,$E808=0,$D809&lt;=10)),$E809,IF($C808&lt;LataProjekcji,IF((SUM($K810:L810)+$C810)&lt;$C809,$C810,$C809-SUM($K810:L810)),0)),0)</f>
        <v>0</v>
      </c>
      <c r="N810" s="247">
        <f ca="1">ROUND(IF(OR(AND($C808=LataProjekcji,$E808&gt;0),AND($C808=LataProjekcji,$E808=0,$D809&lt;=10)),$E809,IF($C808&lt;LataProjekcji,IF((SUM($K810:M810)+$C810)&lt;$C809,$C810,$C809-SUM($K810:M810)),0)),0)</f>
        <v>0</v>
      </c>
      <c r="O810" s="247">
        <f ca="1">ROUND(IF(OR(AND($C808=LataProjekcji,$E808&gt;0),AND($C808=LataProjekcji,$E808=0,$D809&lt;=10)),$E809,IF($C808&lt;LataProjekcji,IF((SUM($K810:N810)+$C810)&lt;$C809,$C810,$C809-SUM($K810:N810)),0)),0)</f>
        <v>0</v>
      </c>
      <c r="P810" s="247">
        <f ca="1">ROUND(IF(OR(AND($C808=LataProjekcji,$E808&gt;0),AND($C808=LataProjekcji,$E808=0,$D809&lt;=10)),$E809,IF($C808&lt;LataProjekcji,IF((SUM($K810:O810)+$C810)&lt;$C809,$C810,$C809-SUM($K810:O810)),0)),0)</f>
        <v>0</v>
      </c>
      <c r="Q810" s="247">
        <f ca="1">ROUND(IF(OR(AND($C808=LataProjekcji,$E808&gt;0),AND($C808=LataProjekcji,$E808=0,$D809&lt;=10)),$E809,IF($C808&lt;LataProjekcji,IF((SUM($K810:P810)+$C810)&lt;$C809,$C810,$C809-SUM($K810:P810)),0)),0)</f>
        <v>0</v>
      </c>
      <c r="R810" s="247">
        <f ca="1">ROUND(IF(OR(AND($C808=LataProjekcji,$E808&gt;0),AND($C808=LataProjekcji,$E808=0,$D809&lt;=10)),$E809,IF($C808&lt;LataProjekcji,IF((SUM($K810:Q810)+$C810)&lt;$C809,$C810,$C809-SUM($K810:Q810)),0)),0)</f>
        <v>0</v>
      </c>
      <c r="S810" s="247">
        <f ca="1">ROUND(IF(OR(AND($C808=LataProjekcji,$E808&gt;0),AND($C808=LataProjekcji,$E808=0,$D809&lt;=10)),$E809,IF($C808&lt;LataProjekcji,IF((SUM($K810:R810)+$C810)&lt;$C809,$C810,$C809-SUM($K810:R810)),0)),0)</f>
        <v>0</v>
      </c>
      <c r="T810" s="247">
        <f ca="1">ROUND(IF(OR(AND($C808=LataProjekcji,$E808&gt;0),AND($C808=LataProjekcji,$E808=0,$D809&lt;=10)),$E809,IF($C808&lt;LataProjekcji,IF((SUM($K810:S810)+$C810)&lt;$C809,$C810,$C809-SUM($K810:S810)),0)),0)</f>
        <v>0</v>
      </c>
      <c r="U810" s="247">
        <f ca="1">ROUND(IF(OR(AND($C808=LataProjekcji,$E808&gt;0),AND($C808=LataProjekcji,$E808=0,$D809&lt;=10)),$E809,IF($C808&lt;LataProjekcji,IF((SUM($K810:T810)+$C810)&lt;$C809,$C810,$C809-SUM($K810:T810)),0)),0)</f>
        <v>0</v>
      </c>
      <c r="V810" s="247">
        <f ca="1">ROUND(IF(OR(AND($C808=LataProjekcji,$E808&gt;0),AND($C808=LataProjekcji,$E808=0,$D809&lt;=10)),$E809,IF($C808&lt;LataProjekcji,IF((SUM($K810:U810)+$C810)&lt;$C809,$C810,$C809-SUM($K810:U810)),0)),0)</f>
        <v>0</v>
      </c>
      <c r="W810" s="247">
        <f ca="1">ROUND(IF(OR(AND($C808=LataProjekcji,$E808&gt;0),AND($C808=LataProjekcji,$E808=0,$D809&lt;=10)),$E809,IF($C808&lt;LataProjekcji,IF((SUM($K810:V810)+$C810)&lt;$C809,$C810,$C809-SUM($K810:V810)),0)),0)</f>
        <v>0</v>
      </c>
      <c r="X810" s="247">
        <f ca="1">ROUND(IF(OR(AND($C808=LataProjekcji,$E808&gt;0),AND($C808=LataProjekcji,$E808=0,$D809&lt;=10)),$E809,IF($C808&lt;LataProjekcji,IF((SUM($K810:W810)+$C810)&lt;$C809,$C810,$C809-SUM($K810:W810)),0)),0)</f>
        <v>0</v>
      </c>
    </row>
    <row r="811" spans="1:24" hidden="1">
      <c r="A811" s="258"/>
      <c r="B811" s="21" t="s">
        <v>416</v>
      </c>
      <c r="C811" s="22"/>
      <c r="D811" s="21"/>
      <c r="E811" s="21"/>
      <c r="F811" s="21"/>
      <c r="G811" s="21"/>
      <c r="I811" s="21"/>
      <c r="J811" s="21"/>
      <c r="K811" s="22">
        <f ca="1">ROUND(K810,0)</f>
        <v>0</v>
      </c>
      <c r="L811" s="22">
        <f t="shared" ref="L811:X811" ca="1" si="407">ROUND(K811+L810,0)</f>
        <v>0</v>
      </c>
      <c r="M811" s="22">
        <f t="shared" ca="1" si="407"/>
        <v>0</v>
      </c>
      <c r="N811" s="22">
        <f t="shared" ca="1" si="407"/>
        <v>0</v>
      </c>
      <c r="O811" s="22">
        <f t="shared" ca="1" si="407"/>
        <v>0</v>
      </c>
      <c r="P811" s="22">
        <f t="shared" ca="1" si="407"/>
        <v>0</v>
      </c>
      <c r="Q811" s="22">
        <f t="shared" ca="1" si="407"/>
        <v>0</v>
      </c>
      <c r="R811" s="22">
        <f t="shared" ca="1" si="407"/>
        <v>0</v>
      </c>
      <c r="S811" s="22">
        <f t="shared" ca="1" si="407"/>
        <v>0</v>
      </c>
      <c r="T811" s="22">
        <f t="shared" ca="1" si="407"/>
        <v>0</v>
      </c>
      <c r="U811" s="22">
        <f t="shared" ca="1" si="407"/>
        <v>0</v>
      </c>
      <c r="V811" s="22">
        <f t="shared" ca="1" si="407"/>
        <v>0</v>
      </c>
      <c r="W811" s="22">
        <f t="shared" ca="1" si="407"/>
        <v>0</v>
      </c>
      <c r="X811" s="22">
        <f t="shared" ca="1" si="407"/>
        <v>0</v>
      </c>
    </row>
    <row r="812" spans="1:24" hidden="1">
      <c r="A812" s="258"/>
      <c r="B812" s="21" t="s">
        <v>406</v>
      </c>
      <c r="C812" s="22"/>
      <c r="D812" s="21"/>
      <c r="E812" s="21"/>
      <c r="F812" s="21"/>
      <c r="G812" s="21"/>
      <c r="I812" s="21"/>
      <c r="J812" s="21"/>
      <c r="K812" s="76">
        <f t="shared" ref="K812:X812" ca="1" si="408">IF($C808=LataProjekcji,ROUND($C809-K811,0),ROUND(IF(K810=0,0,$C809-K811),0))</f>
        <v>0</v>
      </c>
      <c r="L812" s="76">
        <f t="shared" ca="1" si="408"/>
        <v>0</v>
      </c>
      <c r="M812" s="76">
        <f t="shared" ca="1" si="408"/>
        <v>0</v>
      </c>
      <c r="N812" s="76">
        <f t="shared" ca="1" si="408"/>
        <v>0</v>
      </c>
      <c r="O812" s="76">
        <f t="shared" ca="1" si="408"/>
        <v>0</v>
      </c>
      <c r="P812" s="76">
        <f t="shared" ca="1" si="408"/>
        <v>0</v>
      </c>
      <c r="Q812" s="76">
        <f t="shared" ca="1" si="408"/>
        <v>0</v>
      </c>
      <c r="R812" s="76">
        <f t="shared" ca="1" si="408"/>
        <v>0</v>
      </c>
      <c r="S812" s="76">
        <f t="shared" ca="1" si="408"/>
        <v>0</v>
      </c>
      <c r="T812" s="76">
        <f t="shared" ca="1" si="408"/>
        <v>0</v>
      </c>
      <c r="U812" s="76">
        <f t="shared" ca="1" si="408"/>
        <v>0</v>
      </c>
      <c r="V812" s="76">
        <f t="shared" ca="1" si="408"/>
        <v>0</v>
      </c>
      <c r="W812" s="76">
        <f t="shared" ca="1" si="408"/>
        <v>0</v>
      </c>
      <c r="X812" s="76">
        <f t="shared" ca="1" si="408"/>
        <v>0</v>
      </c>
    </row>
    <row r="813" spans="1:24" hidden="1">
      <c r="A813" s="258"/>
      <c r="B813" s="21"/>
      <c r="C813" s="22"/>
      <c r="D813" s="21"/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0" t="s">
        <v>391</v>
      </c>
      <c r="C814" s="21">
        <f>C807+1</f>
        <v>102</v>
      </c>
      <c r="D814" s="473">
        <f>D807+1</f>
        <v>236</v>
      </c>
      <c r="E814" s="21"/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414</v>
      </c>
      <c r="C815" s="164">
        <f ca="1">IFERROR(YEAR(OFFSET($D$28,C814,0)),0)</f>
        <v>0</v>
      </c>
      <c r="D815" s="164">
        <f ca="1">IFERROR(MONTH(OFFSET($D$28,C814,0)),0)</f>
        <v>0</v>
      </c>
      <c r="E815" s="21">
        <f ca="1">12-$D815</f>
        <v>12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406</v>
      </c>
      <c r="C816" s="244">
        <f ca="1">IF(OFFSET($F$28,C814,0)&lt;0,0,OFFSET($F$28,C814,0))</f>
        <v>0</v>
      </c>
      <c r="D816" s="22" t="str">
        <f ca="1">OFFSET($C$28,C814,0)</f>
        <v/>
      </c>
      <c r="E816" s="22">
        <f ca="1">IF(D816&gt;10,ROUND(($C817/12)*$E815,0),$C816)</f>
        <v>0</v>
      </c>
      <c r="F816" s="21"/>
      <c r="G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1:24" hidden="1">
      <c r="A817" s="258"/>
      <c r="B817" s="21" t="s">
        <v>415</v>
      </c>
      <c r="C817" s="244">
        <f ca="1">IF(ISBLANK(OFFSET($D$28,C814,0)),0,IF(OFFSET($C$28,C814,0)&gt;10,ROUND(C816*am_maszyny,0),IF(C816&lt;0,0,C816)))</f>
        <v>0</v>
      </c>
      <c r="D817" s="21"/>
      <c r="E817" s="21"/>
      <c r="F817" s="21"/>
      <c r="G817" s="21"/>
      <c r="I817" s="21"/>
      <c r="J817" s="473" cm="1">
        <f t="array" aca="1" ref="J817" ca="1">OFFSET('Środki trwałe'!$C$195,'Rozliczenie dotacji'!D814,,)</f>
        <v>0</v>
      </c>
      <c r="K817" s="74">
        <f ca="1">ROUND(IF($C815=LataProjekcji,$E816,IF($C815=LataProjekcji,$C817,0)),0)</f>
        <v>0</v>
      </c>
      <c r="L817" s="247">
        <f ca="1">ROUND(IF(OR(AND($C815=LataProjekcji,$E815&gt;0),AND($C815=LataProjekcji,$E815=0,$D816&lt;=10)),$E816,IF($C815&lt;LataProjekcji,IF((SUM($K817:K817)+$C817)&lt;$C816,$C817,$C816-SUM($K817:K817)),0)),0)</f>
        <v>0</v>
      </c>
      <c r="M817" s="247">
        <f ca="1">ROUND(IF(OR(AND($C815=LataProjekcji,$E815&gt;0),AND($C815=LataProjekcji,$E815=0,$D816&lt;=10)),$E816,IF($C815&lt;LataProjekcji,IF((SUM($K817:L817)+$C817)&lt;$C816,$C817,$C816-SUM($K817:L817)),0)),0)</f>
        <v>0</v>
      </c>
      <c r="N817" s="247">
        <f ca="1">ROUND(IF(OR(AND($C815=LataProjekcji,$E815&gt;0),AND($C815=LataProjekcji,$E815=0,$D816&lt;=10)),$E816,IF($C815&lt;LataProjekcji,IF((SUM($K817:M817)+$C817)&lt;$C816,$C817,$C816-SUM($K817:M817)),0)),0)</f>
        <v>0</v>
      </c>
      <c r="O817" s="247">
        <f ca="1">ROUND(IF(OR(AND($C815=LataProjekcji,$E815&gt;0),AND($C815=LataProjekcji,$E815=0,$D816&lt;=10)),$E816,IF($C815&lt;LataProjekcji,IF((SUM($K817:N817)+$C817)&lt;$C816,$C817,$C816-SUM($K817:N817)),0)),0)</f>
        <v>0</v>
      </c>
      <c r="P817" s="247">
        <f ca="1">ROUND(IF(OR(AND($C815=LataProjekcji,$E815&gt;0),AND($C815=LataProjekcji,$E815=0,$D816&lt;=10)),$E816,IF($C815&lt;LataProjekcji,IF((SUM($K817:O817)+$C817)&lt;$C816,$C817,$C816-SUM($K817:O817)),0)),0)</f>
        <v>0</v>
      </c>
      <c r="Q817" s="247">
        <f ca="1">ROUND(IF(OR(AND($C815=LataProjekcji,$E815&gt;0),AND($C815=LataProjekcji,$E815=0,$D816&lt;=10)),$E816,IF($C815&lt;LataProjekcji,IF((SUM($K817:P817)+$C817)&lt;$C816,$C817,$C816-SUM($K817:P817)),0)),0)</f>
        <v>0</v>
      </c>
      <c r="R817" s="247">
        <f ca="1">ROUND(IF(OR(AND($C815=LataProjekcji,$E815&gt;0),AND($C815=LataProjekcji,$E815=0,$D816&lt;=10)),$E816,IF($C815&lt;LataProjekcji,IF((SUM($K817:Q817)+$C817)&lt;$C816,$C817,$C816-SUM($K817:Q817)),0)),0)</f>
        <v>0</v>
      </c>
      <c r="S817" s="247">
        <f ca="1">ROUND(IF(OR(AND($C815=LataProjekcji,$E815&gt;0),AND($C815=LataProjekcji,$E815=0,$D816&lt;=10)),$E816,IF($C815&lt;LataProjekcji,IF((SUM($K817:R817)+$C817)&lt;$C816,$C817,$C816-SUM($K817:R817)),0)),0)</f>
        <v>0</v>
      </c>
      <c r="T817" s="247">
        <f ca="1">ROUND(IF(OR(AND($C815=LataProjekcji,$E815&gt;0),AND($C815=LataProjekcji,$E815=0,$D816&lt;=10)),$E816,IF($C815&lt;LataProjekcji,IF((SUM($K817:S817)+$C817)&lt;$C816,$C817,$C816-SUM($K817:S817)),0)),0)</f>
        <v>0</v>
      </c>
      <c r="U817" s="247">
        <f ca="1">ROUND(IF(OR(AND($C815=LataProjekcji,$E815&gt;0),AND($C815=LataProjekcji,$E815=0,$D816&lt;=10)),$E816,IF($C815&lt;LataProjekcji,IF((SUM($K817:T817)+$C817)&lt;$C816,$C817,$C816-SUM($K817:T817)),0)),0)</f>
        <v>0</v>
      </c>
      <c r="V817" s="247">
        <f ca="1">ROUND(IF(OR(AND($C815=LataProjekcji,$E815&gt;0),AND($C815=LataProjekcji,$E815=0,$D816&lt;=10)),$E816,IF($C815&lt;LataProjekcji,IF((SUM($K817:U817)+$C817)&lt;$C816,$C817,$C816-SUM($K817:U817)),0)),0)</f>
        <v>0</v>
      </c>
      <c r="W817" s="247">
        <f ca="1">ROUND(IF(OR(AND($C815=LataProjekcji,$E815&gt;0),AND($C815=LataProjekcji,$E815=0,$D816&lt;=10)),$E816,IF($C815&lt;LataProjekcji,IF((SUM($K817:V817)+$C817)&lt;$C816,$C817,$C816-SUM($K817:V817)),0)),0)</f>
        <v>0</v>
      </c>
      <c r="X817" s="247">
        <f ca="1">ROUND(IF(OR(AND($C815=LataProjekcji,$E815&gt;0),AND($C815=LataProjekcji,$E815=0,$D816&lt;=10)),$E816,IF($C815&lt;LataProjekcji,IF((SUM($K817:W817)+$C817)&lt;$C816,$C817,$C816-SUM($K817:W817)),0)),0)</f>
        <v>0</v>
      </c>
    </row>
    <row r="818" spans="1:24" hidden="1">
      <c r="A818" s="258"/>
      <c r="B818" s="21" t="s">
        <v>416</v>
      </c>
      <c r="C818" s="22"/>
      <c r="D818" s="21"/>
      <c r="E818" s="21"/>
      <c r="F818" s="21"/>
      <c r="G818" s="21"/>
      <c r="I818" s="21"/>
      <c r="J818" s="21"/>
      <c r="K818" s="22">
        <f ca="1">ROUND(K817,0)</f>
        <v>0</v>
      </c>
      <c r="L818" s="22">
        <f t="shared" ref="L818:X818" ca="1" si="409">ROUND(K818+L817,0)</f>
        <v>0</v>
      </c>
      <c r="M818" s="22">
        <f t="shared" ca="1" si="409"/>
        <v>0</v>
      </c>
      <c r="N818" s="22">
        <f t="shared" ca="1" si="409"/>
        <v>0</v>
      </c>
      <c r="O818" s="22">
        <f t="shared" ca="1" si="409"/>
        <v>0</v>
      </c>
      <c r="P818" s="22">
        <f t="shared" ca="1" si="409"/>
        <v>0</v>
      </c>
      <c r="Q818" s="22">
        <f t="shared" ca="1" si="409"/>
        <v>0</v>
      </c>
      <c r="R818" s="22">
        <f t="shared" ca="1" si="409"/>
        <v>0</v>
      </c>
      <c r="S818" s="22">
        <f t="shared" ca="1" si="409"/>
        <v>0</v>
      </c>
      <c r="T818" s="22">
        <f t="shared" ca="1" si="409"/>
        <v>0</v>
      </c>
      <c r="U818" s="22">
        <f t="shared" ca="1" si="409"/>
        <v>0</v>
      </c>
      <c r="V818" s="22">
        <f t="shared" ca="1" si="409"/>
        <v>0</v>
      </c>
      <c r="W818" s="22">
        <f t="shared" ca="1" si="409"/>
        <v>0</v>
      </c>
      <c r="X818" s="22">
        <f t="shared" ca="1" si="409"/>
        <v>0</v>
      </c>
    </row>
    <row r="819" spans="1:24" hidden="1">
      <c r="A819" s="258"/>
      <c r="B819" s="21" t="s">
        <v>406</v>
      </c>
      <c r="C819" s="22"/>
      <c r="D819" s="21"/>
      <c r="E819" s="21"/>
      <c r="F819" s="21"/>
      <c r="G819" s="21"/>
      <c r="I819" s="21"/>
      <c r="J819" s="21"/>
      <c r="K819" s="76">
        <f t="shared" ref="K819:X819" ca="1" si="410">IF($C815=LataProjekcji,ROUND($C816-K818,0),ROUND(IF(K817=0,0,$C816-K818),0))</f>
        <v>0</v>
      </c>
      <c r="L819" s="76">
        <f t="shared" ca="1" si="410"/>
        <v>0</v>
      </c>
      <c r="M819" s="76">
        <f t="shared" ca="1" si="410"/>
        <v>0</v>
      </c>
      <c r="N819" s="76">
        <f t="shared" ca="1" si="410"/>
        <v>0</v>
      </c>
      <c r="O819" s="76">
        <f t="shared" ca="1" si="410"/>
        <v>0</v>
      </c>
      <c r="P819" s="76">
        <f t="shared" ca="1" si="410"/>
        <v>0</v>
      </c>
      <c r="Q819" s="76">
        <f t="shared" ca="1" si="410"/>
        <v>0</v>
      </c>
      <c r="R819" s="76">
        <f t="shared" ca="1" si="410"/>
        <v>0</v>
      </c>
      <c r="S819" s="76">
        <f t="shared" ca="1" si="410"/>
        <v>0</v>
      </c>
      <c r="T819" s="76">
        <f t="shared" ca="1" si="410"/>
        <v>0</v>
      </c>
      <c r="U819" s="76">
        <f t="shared" ca="1" si="410"/>
        <v>0</v>
      </c>
      <c r="V819" s="76">
        <f t="shared" ca="1" si="410"/>
        <v>0</v>
      </c>
      <c r="W819" s="76">
        <f t="shared" ca="1" si="410"/>
        <v>0</v>
      </c>
      <c r="X819" s="76">
        <f t="shared" ca="1" si="410"/>
        <v>0</v>
      </c>
    </row>
    <row r="820" spans="1:24" hidden="1">
      <c r="A820" s="258"/>
      <c r="B820" s="20"/>
      <c r="C820" s="21"/>
      <c r="D820" s="21"/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0" t="s">
        <v>391</v>
      </c>
      <c r="C821" s="21">
        <f>C814+1</f>
        <v>103</v>
      </c>
      <c r="D821" s="473">
        <f>D814+1</f>
        <v>237</v>
      </c>
      <c r="E821" s="21"/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414</v>
      </c>
      <c r="C822" s="164">
        <f ca="1">IFERROR(YEAR(OFFSET($D$28,C821,0)),0)</f>
        <v>0</v>
      </c>
      <c r="D822" s="164">
        <f ca="1">IFERROR(MONTH(OFFSET($D$28,C821,0)),0)</f>
        <v>0</v>
      </c>
      <c r="E822" s="21">
        <f ca="1">12-$D822</f>
        <v>12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406</v>
      </c>
      <c r="C823" s="244">
        <f ca="1">IF(OFFSET($F$28,C821,0)&lt;0,0,OFFSET($F$28,C821,0))</f>
        <v>0</v>
      </c>
      <c r="D823" s="22" t="str">
        <f ca="1">OFFSET($C$28,C821,0)</f>
        <v/>
      </c>
      <c r="E823" s="22">
        <f ca="1">IF(D823&gt;10,ROUND(($C824/12)*$E822,0),$C823)</f>
        <v>0</v>
      </c>
      <c r="F823" s="21"/>
      <c r="G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1:24" hidden="1">
      <c r="A824" s="258"/>
      <c r="B824" s="21" t="s">
        <v>415</v>
      </c>
      <c r="C824" s="244">
        <f ca="1">IF(ISBLANK(OFFSET($D$28,C821,0)),0,IF(OFFSET($C$28,C821,0)&gt;10,ROUND(C823*am_maszyny,0),IF(C823&lt;0,0,C823)))</f>
        <v>0</v>
      </c>
      <c r="D824" s="21"/>
      <c r="E824" s="21"/>
      <c r="F824" s="21"/>
      <c r="G824" s="21"/>
      <c r="I824" s="21"/>
      <c r="J824" s="473" cm="1">
        <f t="array" aca="1" ref="J824" ca="1">OFFSET('Środki trwałe'!$C$195,'Rozliczenie dotacji'!D821,,)</f>
        <v>0</v>
      </c>
      <c r="K824" s="74">
        <f ca="1">ROUND(IF($C822=LataProjekcji,$E823,IF($C822=LataProjekcji,$C824,0)),0)</f>
        <v>0</v>
      </c>
      <c r="L824" s="247">
        <f ca="1">ROUND(IF(OR(AND($C822=LataProjekcji,$E822&gt;0),AND($C822=LataProjekcji,$E822=0,$D823&lt;=10)),$E823,IF($C822&lt;LataProjekcji,IF((SUM($K824:K824)+$C824)&lt;$C823,$C824,$C823-SUM($K824:K824)),0)),0)</f>
        <v>0</v>
      </c>
      <c r="M824" s="247">
        <f ca="1">ROUND(IF(OR(AND($C822=LataProjekcji,$E822&gt;0),AND($C822=LataProjekcji,$E822=0,$D823&lt;=10)),$E823,IF($C822&lt;LataProjekcji,IF((SUM($K824:L824)+$C824)&lt;$C823,$C824,$C823-SUM($K824:L824)),0)),0)</f>
        <v>0</v>
      </c>
      <c r="N824" s="247">
        <f ca="1">ROUND(IF(OR(AND($C822=LataProjekcji,$E822&gt;0),AND($C822=LataProjekcji,$E822=0,$D823&lt;=10)),$E823,IF($C822&lt;LataProjekcji,IF((SUM($K824:M824)+$C824)&lt;$C823,$C824,$C823-SUM($K824:M824)),0)),0)</f>
        <v>0</v>
      </c>
      <c r="O824" s="247">
        <f ca="1">ROUND(IF(OR(AND($C822=LataProjekcji,$E822&gt;0),AND($C822=LataProjekcji,$E822=0,$D823&lt;=10)),$E823,IF($C822&lt;LataProjekcji,IF((SUM($K824:N824)+$C824)&lt;$C823,$C824,$C823-SUM($K824:N824)),0)),0)</f>
        <v>0</v>
      </c>
      <c r="P824" s="247">
        <f ca="1">ROUND(IF(OR(AND($C822=LataProjekcji,$E822&gt;0),AND($C822=LataProjekcji,$E822=0,$D823&lt;=10)),$E823,IF($C822&lt;LataProjekcji,IF((SUM($K824:O824)+$C824)&lt;$C823,$C824,$C823-SUM($K824:O824)),0)),0)</f>
        <v>0</v>
      </c>
      <c r="Q824" s="247">
        <f ca="1">ROUND(IF(OR(AND($C822=LataProjekcji,$E822&gt;0),AND($C822=LataProjekcji,$E822=0,$D823&lt;=10)),$E823,IF($C822&lt;LataProjekcji,IF((SUM($K824:P824)+$C824)&lt;$C823,$C824,$C823-SUM($K824:P824)),0)),0)</f>
        <v>0</v>
      </c>
      <c r="R824" s="247">
        <f ca="1">ROUND(IF(OR(AND($C822=LataProjekcji,$E822&gt;0),AND($C822=LataProjekcji,$E822=0,$D823&lt;=10)),$E823,IF($C822&lt;LataProjekcji,IF((SUM($K824:Q824)+$C824)&lt;$C823,$C824,$C823-SUM($K824:Q824)),0)),0)</f>
        <v>0</v>
      </c>
      <c r="S824" s="247">
        <f ca="1">ROUND(IF(OR(AND($C822=LataProjekcji,$E822&gt;0),AND($C822=LataProjekcji,$E822=0,$D823&lt;=10)),$E823,IF($C822&lt;LataProjekcji,IF((SUM($K824:R824)+$C824)&lt;$C823,$C824,$C823-SUM($K824:R824)),0)),0)</f>
        <v>0</v>
      </c>
      <c r="T824" s="247">
        <f ca="1">ROUND(IF(OR(AND($C822=LataProjekcji,$E822&gt;0),AND($C822=LataProjekcji,$E822=0,$D823&lt;=10)),$E823,IF($C822&lt;LataProjekcji,IF((SUM($K824:S824)+$C824)&lt;$C823,$C824,$C823-SUM($K824:S824)),0)),0)</f>
        <v>0</v>
      </c>
      <c r="U824" s="247">
        <f ca="1">ROUND(IF(OR(AND($C822=LataProjekcji,$E822&gt;0),AND($C822=LataProjekcji,$E822=0,$D823&lt;=10)),$E823,IF($C822&lt;LataProjekcji,IF((SUM($K824:T824)+$C824)&lt;$C823,$C824,$C823-SUM($K824:T824)),0)),0)</f>
        <v>0</v>
      </c>
      <c r="V824" s="247">
        <f ca="1">ROUND(IF(OR(AND($C822=LataProjekcji,$E822&gt;0),AND($C822=LataProjekcji,$E822=0,$D823&lt;=10)),$E823,IF($C822&lt;LataProjekcji,IF((SUM($K824:U824)+$C824)&lt;$C823,$C824,$C823-SUM($K824:U824)),0)),0)</f>
        <v>0</v>
      </c>
      <c r="W824" s="247">
        <f ca="1">ROUND(IF(OR(AND($C822=LataProjekcji,$E822&gt;0),AND($C822=LataProjekcji,$E822=0,$D823&lt;=10)),$E823,IF($C822&lt;LataProjekcji,IF((SUM($K824:V824)+$C824)&lt;$C823,$C824,$C823-SUM($K824:V824)),0)),0)</f>
        <v>0</v>
      </c>
      <c r="X824" s="247">
        <f ca="1">ROUND(IF(OR(AND($C822=LataProjekcji,$E822&gt;0),AND($C822=LataProjekcji,$E822=0,$D823&lt;=10)),$E823,IF($C822&lt;LataProjekcji,IF((SUM($K824:W824)+$C824)&lt;$C823,$C824,$C823-SUM($K824:W824)),0)),0)</f>
        <v>0</v>
      </c>
    </row>
    <row r="825" spans="1:24" hidden="1">
      <c r="A825" s="258"/>
      <c r="B825" s="21" t="s">
        <v>416</v>
      </c>
      <c r="C825" s="22"/>
      <c r="D825" s="21"/>
      <c r="E825" s="21"/>
      <c r="F825" s="21"/>
      <c r="G825" s="21"/>
      <c r="I825" s="21"/>
      <c r="J825" s="21"/>
      <c r="K825" s="22">
        <f ca="1">ROUND(K824,0)</f>
        <v>0</v>
      </c>
      <c r="L825" s="22">
        <f t="shared" ref="L825:X825" ca="1" si="411">ROUND(K825+L824,0)</f>
        <v>0</v>
      </c>
      <c r="M825" s="22">
        <f t="shared" ca="1" si="411"/>
        <v>0</v>
      </c>
      <c r="N825" s="22">
        <f t="shared" ca="1" si="411"/>
        <v>0</v>
      </c>
      <c r="O825" s="22">
        <f t="shared" ca="1" si="411"/>
        <v>0</v>
      </c>
      <c r="P825" s="22">
        <f t="shared" ca="1" si="411"/>
        <v>0</v>
      </c>
      <c r="Q825" s="22">
        <f t="shared" ca="1" si="411"/>
        <v>0</v>
      </c>
      <c r="R825" s="22">
        <f t="shared" ca="1" si="411"/>
        <v>0</v>
      </c>
      <c r="S825" s="22">
        <f t="shared" ca="1" si="411"/>
        <v>0</v>
      </c>
      <c r="T825" s="22">
        <f t="shared" ca="1" si="411"/>
        <v>0</v>
      </c>
      <c r="U825" s="22">
        <f t="shared" ca="1" si="411"/>
        <v>0</v>
      </c>
      <c r="V825" s="22">
        <f t="shared" ca="1" si="411"/>
        <v>0</v>
      </c>
      <c r="W825" s="22">
        <f t="shared" ca="1" si="411"/>
        <v>0</v>
      </c>
      <c r="X825" s="22">
        <f t="shared" ca="1" si="411"/>
        <v>0</v>
      </c>
    </row>
    <row r="826" spans="1:24" hidden="1">
      <c r="A826" s="258"/>
      <c r="B826" s="21" t="s">
        <v>406</v>
      </c>
      <c r="C826" s="22"/>
      <c r="D826" s="21"/>
      <c r="E826" s="21"/>
      <c r="F826" s="21"/>
      <c r="G826" s="21"/>
      <c r="I826" s="21"/>
      <c r="J826" s="21"/>
      <c r="K826" s="76">
        <f t="shared" ref="K826:X826" ca="1" si="412">IF($C822=LataProjekcji,ROUND($C823-K825,0),ROUND(IF(K824=0,0,$C823-K825),0))</f>
        <v>0</v>
      </c>
      <c r="L826" s="76">
        <f t="shared" ca="1" si="412"/>
        <v>0</v>
      </c>
      <c r="M826" s="76">
        <f t="shared" ca="1" si="412"/>
        <v>0</v>
      </c>
      <c r="N826" s="76">
        <f t="shared" ca="1" si="412"/>
        <v>0</v>
      </c>
      <c r="O826" s="76">
        <f t="shared" ca="1" si="412"/>
        <v>0</v>
      </c>
      <c r="P826" s="76">
        <f t="shared" ca="1" si="412"/>
        <v>0</v>
      </c>
      <c r="Q826" s="76">
        <f t="shared" ca="1" si="412"/>
        <v>0</v>
      </c>
      <c r="R826" s="76">
        <f t="shared" ca="1" si="412"/>
        <v>0</v>
      </c>
      <c r="S826" s="76">
        <f t="shared" ca="1" si="412"/>
        <v>0</v>
      </c>
      <c r="T826" s="76">
        <f t="shared" ca="1" si="412"/>
        <v>0</v>
      </c>
      <c r="U826" s="76">
        <f t="shared" ca="1" si="412"/>
        <v>0</v>
      </c>
      <c r="V826" s="76">
        <f t="shared" ca="1" si="412"/>
        <v>0</v>
      </c>
      <c r="W826" s="76">
        <f t="shared" ca="1" si="412"/>
        <v>0</v>
      </c>
      <c r="X826" s="76">
        <f t="shared" ca="1" si="412"/>
        <v>0</v>
      </c>
    </row>
    <row r="827" spans="1:24" hidden="1">
      <c r="A827" s="258"/>
      <c r="B827" s="21"/>
      <c r="C827" s="22"/>
      <c r="D827" s="21"/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0" t="s">
        <v>391</v>
      </c>
      <c r="C828" s="21">
        <f>C821+1</f>
        <v>104</v>
      </c>
      <c r="D828" s="473">
        <f>D821+1</f>
        <v>238</v>
      </c>
      <c r="E828" s="21"/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414</v>
      </c>
      <c r="C829" s="164">
        <f ca="1">IFERROR(YEAR(OFFSET($D$28,C828,0)),0)</f>
        <v>0</v>
      </c>
      <c r="D829" s="164">
        <f ca="1">IFERROR(MONTH(OFFSET($D$28,C828,0)),0)</f>
        <v>0</v>
      </c>
      <c r="E829" s="21">
        <f ca="1">12-$D829</f>
        <v>12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406</v>
      </c>
      <c r="C830" s="244">
        <f ca="1">IF(OFFSET($F$28,C828,0)&lt;0,0,OFFSET($F$28,C828,0))</f>
        <v>0</v>
      </c>
      <c r="D830" s="22" t="str">
        <f ca="1">OFFSET($C$28,C828,0)</f>
        <v/>
      </c>
      <c r="E830" s="22">
        <f ca="1">IF(D830&gt;10,ROUND(($C831/12)*$E829,0),$C830)</f>
        <v>0</v>
      </c>
      <c r="F830" s="21"/>
      <c r="G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1:24" hidden="1">
      <c r="A831" s="258"/>
      <c r="B831" s="21" t="s">
        <v>415</v>
      </c>
      <c r="C831" s="244">
        <f ca="1">IF(ISBLANK(OFFSET($D$28,C828,0)),0,IF(OFFSET($C$28,C828,0)&gt;10,ROUND(C830*am_maszyny,0),IF(C830&lt;0,0,C830)))</f>
        <v>0</v>
      </c>
      <c r="D831" s="21"/>
      <c r="E831" s="21"/>
      <c r="F831" s="21"/>
      <c r="G831" s="21"/>
      <c r="I831" s="21"/>
      <c r="J831" s="473" cm="1">
        <f t="array" aca="1" ref="J831" ca="1">OFFSET('Środki trwałe'!$C$195,'Rozliczenie dotacji'!D828,,)</f>
        <v>0</v>
      </c>
      <c r="K831" s="74">
        <f ca="1">ROUND(IF($C829=LataProjekcji,$E830,IF($C829=LataProjekcji,$C831,0)),0)</f>
        <v>0</v>
      </c>
      <c r="L831" s="247">
        <f ca="1">ROUND(IF(OR(AND($C829=LataProjekcji,$E829&gt;0),AND($C829=LataProjekcji,$E829=0,$D830&lt;=10)),$E830,IF($C829&lt;LataProjekcji,IF((SUM($K831:K831)+$C831)&lt;$C830,$C831,$C830-SUM($K831:K831)),0)),0)</f>
        <v>0</v>
      </c>
      <c r="M831" s="247">
        <f ca="1">ROUND(IF(OR(AND($C829=LataProjekcji,$E829&gt;0),AND($C829=LataProjekcji,$E829=0,$D830&lt;=10)),$E830,IF($C829&lt;LataProjekcji,IF((SUM($K831:L831)+$C831)&lt;$C830,$C831,$C830-SUM($K831:L831)),0)),0)</f>
        <v>0</v>
      </c>
      <c r="N831" s="247">
        <f ca="1">ROUND(IF(OR(AND($C829=LataProjekcji,$E829&gt;0),AND($C829=LataProjekcji,$E829=0,$D830&lt;=10)),$E830,IF($C829&lt;LataProjekcji,IF((SUM($K831:M831)+$C831)&lt;$C830,$C831,$C830-SUM($K831:M831)),0)),0)</f>
        <v>0</v>
      </c>
      <c r="O831" s="247">
        <f ca="1">ROUND(IF(OR(AND($C829=LataProjekcji,$E829&gt;0),AND($C829=LataProjekcji,$E829=0,$D830&lt;=10)),$E830,IF($C829&lt;LataProjekcji,IF((SUM($K831:N831)+$C831)&lt;$C830,$C831,$C830-SUM($K831:N831)),0)),0)</f>
        <v>0</v>
      </c>
      <c r="P831" s="247">
        <f ca="1">ROUND(IF(OR(AND($C829=LataProjekcji,$E829&gt;0),AND($C829=LataProjekcji,$E829=0,$D830&lt;=10)),$E830,IF($C829&lt;LataProjekcji,IF((SUM($K831:O831)+$C831)&lt;$C830,$C831,$C830-SUM($K831:O831)),0)),0)</f>
        <v>0</v>
      </c>
      <c r="Q831" s="247">
        <f ca="1">ROUND(IF(OR(AND($C829=LataProjekcji,$E829&gt;0),AND($C829=LataProjekcji,$E829=0,$D830&lt;=10)),$E830,IF($C829&lt;LataProjekcji,IF((SUM($K831:P831)+$C831)&lt;$C830,$C831,$C830-SUM($K831:P831)),0)),0)</f>
        <v>0</v>
      </c>
      <c r="R831" s="247">
        <f ca="1">ROUND(IF(OR(AND($C829=LataProjekcji,$E829&gt;0),AND($C829=LataProjekcji,$E829=0,$D830&lt;=10)),$E830,IF($C829&lt;LataProjekcji,IF((SUM($K831:Q831)+$C831)&lt;$C830,$C831,$C830-SUM($K831:Q831)),0)),0)</f>
        <v>0</v>
      </c>
      <c r="S831" s="247">
        <f ca="1">ROUND(IF(OR(AND($C829=LataProjekcji,$E829&gt;0),AND($C829=LataProjekcji,$E829=0,$D830&lt;=10)),$E830,IF($C829&lt;LataProjekcji,IF((SUM($K831:R831)+$C831)&lt;$C830,$C831,$C830-SUM($K831:R831)),0)),0)</f>
        <v>0</v>
      </c>
      <c r="T831" s="247">
        <f ca="1">ROUND(IF(OR(AND($C829=LataProjekcji,$E829&gt;0),AND($C829=LataProjekcji,$E829=0,$D830&lt;=10)),$E830,IF($C829&lt;LataProjekcji,IF((SUM($K831:S831)+$C831)&lt;$C830,$C831,$C830-SUM($K831:S831)),0)),0)</f>
        <v>0</v>
      </c>
      <c r="U831" s="247">
        <f ca="1">ROUND(IF(OR(AND($C829=LataProjekcji,$E829&gt;0),AND($C829=LataProjekcji,$E829=0,$D830&lt;=10)),$E830,IF($C829&lt;LataProjekcji,IF((SUM($K831:T831)+$C831)&lt;$C830,$C831,$C830-SUM($K831:T831)),0)),0)</f>
        <v>0</v>
      </c>
      <c r="V831" s="247">
        <f ca="1">ROUND(IF(OR(AND($C829=LataProjekcji,$E829&gt;0),AND($C829=LataProjekcji,$E829=0,$D830&lt;=10)),$E830,IF($C829&lt;LataProjekcji,IF((SUM($K831:U831)+$C831)&lt;$C830,$C831,$C830-SUM($K831:U831)),0)),0)</f>
        <v>0</v>
      </c>
      <c r="W831" s="247">
        <f ca="1">ROUND(IF(OR(AND($C829=LataProjekcji,$E829&gt;0),AND($C829=LataProjekcji,$E829=0,$D830&lt;=10)),$E830,IF($C829&lt;LataProjekcji,IF((SUM($K831:V831)+$C831)&lt;$C830,$C831,$C830-SUM($K831:V831)),0)),0)</f>
        <v>0</v>
      </c>
      <c r="X831" s="247">
        <f ca="1">ROUND(IF(OR(AND($C829=LataProjekcji,$E829&gt;0),AND($C829=LataProjekcji,$E829=0,$D830&lt;=10)),$E830,IF($C829&lt;LataProjekcji,IF((SUM($K831:W831)+$C831)&lt;$C830,$C831,$C830-SUM($K831:W831)),0)),0)</f>
        <v>0</v>
      </c>
    </row>
    <row r="832" spans="1:24" hidden="1">
      <c r="A832" s="258"/>
      <c r="B832" s="21" t="s">
        <v>416</v>
      </c>
      <c r="C832" s="22"/>
      <c r="D832" s="21"/>
      <c r="E832" s="21"/>
      <c r="F832" s="21"/>
      <c r="G832" s="21"/>
      <c r="I832" s="21"/>
      <c r="J832" s="21"/>
      <c r="K832" s="22">
        <f ca="1">ROUND(K831,0)</f>
        <v>0</v>
      </c>
      <c r="L832" s="22">
        <f t="shared" ref="L832:X832" ca="1" si="413">ROUND(K832+L831,0)</f>
        <v>0</v>
      </c>
      <c r="M832" s="22">
        <f t="shared" ca="1" si="413"/>
        <v>0</v>
      </c>
      <c r="N832" s="22">
        <f t="shared" ca="1" si="413"/>
        <v>0</v>
      </c>
      <c r="O832" s="22">
        <f t="shared" ca="1" si="413"/>
        <v>0</v>
      </c>
      <c r="P832" s="22">
        <f t="shared" ca="1" si="413"/>
        <v>0</v>
      </c>
      <c r="Q832" s="22">
        <f t="shared" ca="1" si="413"/>
        <v>0</v>
      </c>
      <c r="R832" s="22">
        <f t="shared" ca="1" si="413"/>
        <v>0</v>
      </c>
      <c r="S832" s="22">
        <f t="shared" ca="1" si="413"/>
        <v>0</v>
      </c>
      <c r="T832" s="22">
        <f t="shared" ca="1" si="413"/>
        <v>0</v>
      </c>
      <c r="U832" s="22">
        <f t="shared" ca="1" si="413"/>
        <v>0</v>
      </c>
      <c r="V832" s="22">
        <f t="shared" ca="1" si="413"/>
        <v>0</v>
      </c>
      <c r="W832" s="22">
        <f t="shared" ca="1" si="413"/>
        <v>0</v>
      </c>
      <c r="X832" s="22">
        <f t="shared" ca="1" si="413"/>
        <v>0</v>
      </c>
    </row>
    <row r="833" spans="1:24" hidden="1">
      <c r="A833" s="258"/>
      <c r="B833" s="21" t="s">
        <v>406</v>
      </c>
      <c r="C833" s="22"/>
      <c r="D833" s="21"/>
      <c r="E833" s="21"/>
      <c r="F833" s="21"/>
      <c r="G833" s="21"/>
      <c r="I833" s="21"/>
      <c r="J833" s="21"/>
      <c r="K833" s="76">
        <f t="shared" ref="K833:X833" ca="1" si="414">IF($C829=LataProjekcji,ROUND($C830-K832,0),ROUND(IF(K831=0,0,$C830-K832),0))</f>
        <v>0</v>
      </c>
      <c r="L833" s="76">
        <f t="shared" ca="1" si="414"/>
        <v>0</v>
      </c>
      <c r="M833" s="76">
        <f t="shared" ca="1" si="414"/>
        <v>0</v>
      </c>
      <c r="N833" s="76">
        <f t="shared" ca="1" si="414"/>
        <v>0</v>
      </c>
      <c r="O833" s="76">
        <f t="shared" ca="1" si="414"/>
        <v>0</v>
      </c>
      <c r="P833" s="76">
        <f t="shared" ca="1" si="414"/>
        <v>0</v>
      </c>
      <c r="Q833" s="76">
        <f t="shared" ca="1" si="414"/>
        <v>0</v>
      </c>
      <c r="R833" s="76">
        <f t="shared" ca="1" si="414"/>
        <v>0</v>
      </c>
      <c r="S833" s="76">
        <f t="shared" ca="1" si="414"/>
        <v>0</v>
      </c>
      <c r="T833" s="76">
        <f t="shared" ca="1" si="414"/>
        <v>0</v>
      </c>
      <c r="U833" s="76">
        <f t="shared" ca="1" si="414"/>
        <v>0</v>
      </c>
      <c r="V833" s="76">
        <f t="shared" ca="1" si="414"/>
        <v>0</v>
      </c>
      <c r="W833" s="76">
        <f t="shared" ca="1" si="414"/>
        <v>0</v>
      </c>
      <c r="X833" s="76">
        <f t="shared" ca="1" si="414"/>
        <v>0</v>
      </c>
    </row>
    <row r="834" spans="1:24" hidden="1">
      <c r="A834" s="258"/>
      <c r="B834" s="21"/>
      <c r="C834" s="22"/>
      <c r="D834" s="21"/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0" t="s">
        <v>391</v>
      </c>
      <c r="C835" s="21">
        <f>C828+1</f>
        <v>105</v>
      </c>
      <c r="D835" s="473">
        <f>D828+1</f>
        <v>239</v>
      </c>
      <c r="E835" s="21"/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414</v>
      </c>
      <c r="C836" s="164">
        <f ca="1">IFERROR(YEAR(OFFSET($D$28,C835,0)),0)</f>
        <v>0</v>
      </c>
      <c r="D836" s="164">
        <f ca="1">IFERROR(MONTH(OFFSET($D$28,C835,0)),0)</f>
        <v>0</v>
      </c>
      <c r="E836" s="21">
        <f ca="1">12-$D836</f>
        <v>12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406</v>
      </c>
      <c r="C837" s="244">
        <f ca="1">IF(OFFSET($F$28,C835,0)&lt;0,0,OFFSET($F$28,C835,0))</f>
        <v>0</v>
      </c>
      <c r="D837" s="22" t="str">
        <f ca="1">OFFSET($C$28,C835,0)</f>
        <v/>
      </c>
      <c r="E837" s="22">
        <f ca="1">IF(D837&gt;10,ROUND(($C838/12)*$E836,0),$C837)</f>
        <v>0</v>
      </c>
      <c r="F837" s="21"/>
      <c r="G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1:24" hidden="1">
      <c r="A838" s="258"/>
      <c r="B838" s="21" t="s">
        <v>415</v>
      </c>
      <c r="C838" s="244">
        <f ca="1">IF(ISBLANK(OFFSET($D$28,C835,0)),0,IF(OFFSET($C$28,C835,0)&gt;10,ROUND(C837*am_maszyny,0),IF(C837&lt;0,0,C837)))</f>
        <v>0</v>
      </c>
      <c r="D838" s="21"/>
      <c r="E838" s="21"/>
      <c r="F838" s="21"/>
      <c r="G838" s="21"/>
      <c r="I838" s="21"/>
      <c r="J838" s="473" cm="1">
        <f t="array" aca="1" ref="J838" ca="1">OFFSET('Środki trwałe'!$C$195,'Rozliczenie dotacji'!D835,,)</f>
        <v>0</v>
      </c>
      <c r="K838" s="74">
        <f ca="1">ROUND(IF($C836=LataProjekcji,$E837,IF($C836=LataProjekcji,$C838,0)),0)</f>
        <v>0</v>
      </c>
      <c r="L838" s="247">
        <f ca="1">ROUND(IF(OR(AND($C836=LataProjekcji,$E836&gt;0),AND($C836=LataProjekcji,$E836=0,$D837&lt;=10)),$E837,IF($C836&lt;LataProjekcji,IF((SUM($K838:K838)+$C838)&lt;$C837,$C838,$C837-SUM($K838:K838)),0)),0)</f>
        <v>0</v>
      </c>
      <c r="M838" s="247">
        <f ca="1">ROUND(IF(OR(AND($C836=LataProjekcji,$E836&gt;0),AND($C836=LataProjekcji,$E836=0,$D837&lt;=10)),$E837,IF($C836&lt;LataProjekcji,IF((SUM($K838:L838)+$C838)&lt;$C837,$C838,$C837-SUM($K838:L838)),0)),0)</f>
        <v>0</v>
      </c>
      <c r="N838" s="247">
        <f ca="1">ROUND(IF(OR(AND($C836=LataProjekcji,$E836&gt;0),AND($C836=LataProjekcji,$E836=0,$D837&lt;=10)),$E837,IF($C836&lt;LataProjekcji,IF((SUM($K838:M838)+$C838)&lt;$C837,$C838,$C837-SUM($K838:M838)),0)),0)</f>
        <v>0</v>
      </c>
      <c r="O838" s="247">
        <f ca="1">ROUND(IF(OR(AND($C836=LataProjekcji,$E836&gt;0),AND($C836=LataProjekcji,$E836=0,$D837&lt;=10)),$E837,IF($C836&lt;LataProjekcji,IF((SUM($K838:N838)+$C838)&lt;$C837,$C838,$C837-SUM($K838:N838)),0)),0)</f>
        <v>0</v>
      </c>
      <c r="P838" s="247">
        <f ca="1">ROUND(IF(OR(AND($C836=LataProjekcji,$E836&gt;0),AND($C836=LataProjekcji,$E836=0,$D837&lt;=10)),$E837,IF($C836&lt;LataProjekcji,IF((SUM($K838:O838)+$C838)&lt;$C837,$C838,$C837-SUM($K838:O838)),0)),0)</f>
        <v>0</v>
      </c>
      <c r="Q838" s="247">
        <f ca="1">ROUND(IF(OR(AND($C836=LataProjekcji,$E836&gt;0),AND($C836=LataProjekcji,$E836=0,$D837&lt;=10)),$E837,IF($C836&lt;LataProjekcji,IF((SUM($K838:P838)+$C838)&lt;$C837,$C838,$C837-SUM($K838:P838)),0)),0)</f>
        <v>0</v>
      </c>
      <c r="R838" s="247">
        <f ca="1">ROUND(IF(OR(AND($C836=LataProjekcji,$E836&gt;0),AND($C836=LataProjekcji,$E836=0,$D837&lt;=10)),$E837,IF($C836&lt;LataProjekcji,IF((SUM($K838:Q838)+$C838)&lt;$C837,$C838,$C837-SUM($K838:Q838)),0)),0)</f>
        <v>0</v>
      </c>
      <c r="S838" s="247">
        <f ca="1">ROUND(IF(OR(AND($C836=LataProjekcji,$E836&gt;0),AND($C836=LataProjekcji,$E836=0,$D837&lt;=10)),$E837,IF($C836&lt;LataProjekcji,IF((SUM($K838:R838)+$C838)&lt;$C837,$C838,$C837-SUM($K838:R838)),0)),0)</f>
        <v>0</v>
      </c>
      <c r="T838" s="247">
        <f ca="1">ROUND(IF(OR(AND($C836=LataProjekcji,$E836&gt;0),AND($C836=LataProjekcji,$E836=0,$D837&lt;=10)),$E837,IF($C836&lt;LataProjekcji,IF((SUM($K838:S838)+$C838)&lt;$C837,$C838,$C837-SUM($K838:S838)),0)),0)</f>
        <v>0</v>
      </c>
      <c r="U838" s="247">
        <f ca="1">ROUND(IF(OR(AND($C836=LataProjekcji,$E836&gt;0),AND($C836=LataProjekcji,$E836=0,$D837&lt;=10)),$E837,IF($C836&lt;LataProjekcji,IF((SUM($K838:T838)+$C838)&lt;$C837,$C838,$C837-SUM($K838:T838)),0)),0)</f>
        <v>0</v>
      </c>
      <c r="V838" s="247">
        <f ca="1">ROUND(IF(OR(AND($C836=LataProjekcji,$E836&gt;0),AND($C836=LataProjekcji,$E836=0,$D837&lt;=10)),$E837,IF($C836&lt;LataProjekcji,IF((SUM($K838:U838)+$C838)&lt;$C837,$C838,$C837-SUM($K838:U838)),0)),0)</f>
        <v>0</v>
      </c>
      <c r="W838" s="247">
        <f ca="1">ROUND(IF(OR(AND($C836=LataProjekcji,$E836&gt;0),AND($C836=LataProjekcji,$E836=0,$D837&lt;=10)),$E837,IF($C836&lt;LataProjekcji,IF((SUM($K838:V838)+$C838)&lt;$C837,$C838,$C837-SUM($K838:V838)),0)),0)</f>
        <v>0</v>
      </c>
      <c r="X838" s="247">
        <f ca="1">ROUND(IF(OR(AND($C836=LataProjekcji,$E836&gt;0),AND($C836=LataProjekcji,$E836=0,$D837&lt;=10)),$E837,IF($C836&lt;LataProjekcji,IF((SUM($K838:W838)+$C838)&lt;$C837,$C838,$C837-SUM($K838:W838)),0)),0)</f>
        <v>0</v>
      </c>
    </row>
    <row r="839" spans="1:24" hidden="1">
      <c r="A839" s="258"/>
      <c r="B839" s="21" t="s">
        <v>416</v>
      </c>
      <c r="C839" s="22"/>
      <c r="D839" s="21"/>
      <c r="E839" s="21"/>
      <c r="F839" s="21"/>
      <c r="G839" s="21"/>
      <c r="I839" s="21"/>
      <c r="J839" s="21"/>
      <c r="K839" s="22">
        <f ca="1">ROUND(K838,0)</f>
        <v>0</v>
      </c>
      <c r="L839" s="22">
        <f t="shared" ref="L839:X839" ca="1" si="415">ROUND(K839+L838,0)</f>
        <v>0</v>
      </c>
      <c r="M839" s="22">
        <f t="shared" ca="1" si="415"/>
        <v>0</v>
      </c>
      <c r="N839" s="22">
        <f t="shared" ca="1" si="415"/>
        <v>0</v>
      </c>
      <c r="O839" s="22">
        <f t="shared" ca="1" si="415"/>
        <v>0</v>
      </c>
      <c r="P839" s="22">
        <f t="shared" ca="1" si="415"/>
        <v>0</v>
      </c>
      <c r="Q839" s="22">
        <f t="shared" ca="1" si="415"/>
        <v>0</v>
      </c>
      <c r="R839" s="22">
        <f t="shared" ca="1" si="415"/>
        <v>0</v>
      </c>
      <c r="S839" s="22">
        <f t="shared" ca="1" si="415"/>
        <v>0</v>
      </c>
      <c r="T839" s="22">
        <f t="shared" ca="1" si="415"/>
        <v>0</v>
      </c>
      <c r="U839" s="22">
        <f t="shared" ca="1" si="415"/>
        <v>0</v>
      </c>
      <c r="V839" s="22">
        <f t="shared" ca="1" si="415"/>
        <v>0</v>
      </c>
      <c r="W839" s="22">
        <f t="shared" ca="1" si="415"/>
        <v>0</v>
      </c>
      <c r="X839" s="22">
        <f t="shared" ca="1" si="415"/>
        <v>0</v>
      </c>
    </row>
    <row r="840" spans="1:24" hidden="1">
      <c r="A840" s="258"/>
      <c r="B840" s="21" t="s">
        <v>406</v>
      </c>
      <c r="C840" s="22"/>
      <c r="D840" s="21"/>
      <c r="E840" s="21"/>
      <c r="F840" s="21"/>
      <c r="G840" s="21"/>
      <c r="I840" s="21"/>
      <c r="J840" s="21"/>
      <c r="K840" s="76">
        <f t="shared" ref="K840:X840" ca="1" si="416">IF($C836=LataProjekcji,ROUND($C837-K839,0),ROUND(IF(K838=0,0,$C837-K839),0))</f>
        <v>0</v>
      </c>
      <c r="L840" s="76">
        <f t="shared" ca="1" si="416"/>
        <v>0</v>
      </c>
      <c r="M840" s="76">
        <f t="shared" ca="1" si="416"/>
        <v>0</v>
      </c>
      <c r="N840" s="76">
        <f t="shared" ca="1" si="416"/>
        <v>0</v>
      </c>
      <c r="O840" s="76">
        <f t="shared" ca="1" si="416"/>
        <v>0</v>
      </c>
      <c r="P840" s="76">
        <f t="shared" ca="1" si="416"/>
        <v>0</v>
      </c>
      <c r="Q840" s="76">
        <f t="shared" ca="1" si="416"/>
        <v>0</v>
      </c>
      <c r="R840" s="76">
        <f t="shared" ca="1" si="416"/>
        <v>0</v>
      </c>
      <c r="S840" s="76">
        <f t="shared" ca="1" si="416"/>
        <v>0</v>
      </c>
      <c r="T840" s="76">
        <f t="shared" ca="1" si="416"/>
        <v>0</v>
      </c>
      <c r="U840" s="76">
        <f t="shared" ca="1" si="416"/>
        <v>0</v>
      </c>
      <c r="V840" s="76">
        <f t="shared" ca="1" si="416"/>
        <v>0</v>
      </c>
      <c r="W840" s="76">
        <f t="shared" ca="1" si="416"/>
        <v>0</v>
      </c>
      <c r="X840" s="76">
        <f t="shared" ca="1" si="416"/>
        <v>0</v>
      </c>
    </row>
    <row r="841" spans="1:24" hidden="1">
      <c r="A841" s="258"/>
      <c r="B841" s="20"/>
      <c r="C841" s="21"/>
      <c r="D841" s="21"/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0" t="s">
        <v>391</v>
      </c>
      <c r="C842" s="21">
        <f>C835+1</f>
        <v>106</v>
      </c>
      <c r="D842" s="473">
        <f>D835+1</f>
        <v>240</v>
      </c>
      <c r="E842" s="21"/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414</v>
      </c>
      <c r="C843" s="164">
        <f ca="1">IFERROR(YEAR(OFFSET($D$28,C842,0)),0)</f>
        <v>0</v>
      </c>
      <c r="D843" s="164">
        <f ca="1">IFERROR(MONTH(OFFSET($D$28,C842,0)),0)</f>
        <v>0</v>
      </c>
      <c r="E843" s="21">
        <f ca="1">12-$D843</f>
        <v>12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406</v>
      </c>
      <c r="C844" s="244">
        <f ca="1">IF(OFFSET($F$28,C842,0)&lt;0,0,OFFSET($F$28,C842,0))</f>
        <v>0</v>
      </c>
      <c r="D844" s="22" t="str">
        <f ca="1">OFFSET($C$28,C842,0)</f>
        <v/>
      </c>
      <c r="E844" s="22">
        <f ca="1">IF(D844&gt;10,ROUND(($C845/12)*$E843,0),$C844)</f>
        <v>0</v>
      </c>
      <c r="F844" s="21"/>
      <c r="G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</row>
    <row r="845" spans="1:24" hidden="1">
      <c r="A845" s="258"/>
      <c r="B845" s="21" t="s">
        <v>415</v>
      </c>
      <c r="C845" s="244">
        <f ca="1">IF(ISBLANK(OFFSET($D$28,C842,0)),0,IF(OFFSET($C$28,C842,0)&gt;10,ROUND(C844*am_maszyny,0),IF(C844&lt;0,0,C844)))</f>
        <v>0</v>
      </c>
      <c r="D845" s="21"/>
      <c r="E845" s="21"/>
      <c r="F845" s="21"/>
      <c r="G845" s="21"/>
      <c r="I845" s="21"/>
      <c r="J845" s="473" cm="1">
        <f t="array" aca="1" ref="J845" ca="1">OFFSET('Środki trwałe'!$C$195,'Rozliczenie dotacji'!D842,,)</f>
        <v>0</v>
      </c>
      <c r="K845" s="74">
        <f ca="1">ROUND(IF($C843=LataProjekcji,$E844,IF($C843=LataProjekcji,$C845,0)),0)</f>
        <v>0</v>
      </c>
      <c r="L845" s="247">
        <f ca="1">ROUND(IF(OR(AND($C843=LataProjekcji,$E843&gt;0),AND($C843=LataProjekcji,$E843=0,$D844&lt;=10)),$E844,IF($C843&lt;LataProjekcji,IF((SUM($K845:K845)+$C845)&lt;$C844,$C845,$C844-SUM($K845:K845)),0)),0)</f>
        <v>0</v>
      </c>
      <c r="M845" s="247">
        <f ca="1">ROUND(IF(OR(AND($C843=LataProjekcji,$E843&gt;0),AND($C843=LataProjekcji,$E843=0,$D844&lt;=10)),$E844,IF($C843&lt;LataProjekcji,IF((SUM($K845:L845)+$C845)&lt;$C844,$C845,$C844-SUM($K845:L845)),0)),0)</f>
        <v>0</v>
      </c>
      <c r="N845" s="247">
        <f ca="1">ROUND(IF(OR(AND($C843=LataProjekcji,$E843&gt;0),AND($C843=LataProjekcji,$E843=0,$D844&lt;=10)),$E844,IF($C843&lt;LataProjekcji,IF((SUM($K845:M845)+$C845)&lt;$C844,$C845,$C844-SUM($K845:M845)),0)),0)</f>
        <v>0</v>
      </c>
      <c r="O845" s="247">
        <f ca="1">ROUND(IF(OR(AND($C843=LataProjekcji,$E843&gt;0),AND($C843=LataProjekcji,$E843=0,$D844&lt;=10)),$E844,IF($C843&lt;LataProjekcji,IF((SUM($K845:N845)+$C845)&lt;$C844,$C845,$C844-SUM($K845:N845)),0)),0)</f>
        <v>0</v>
      </c>
      <c r="P845" s="247">
        <f ca="1">ROUND(IF(OR(AND($C843=LataProjekcji,$E843&gt;0),AND($C843=LataProjekcji,$E843=0,$D844&lt;=10)),$E844,IF($C843&lt;LataProjekcji,IF((SUM($K845:O845)+$C845)&lt;$C844,$C845,$C844-SUM($K845:O845)),0)),0)</f>
        <v>0</v>
      </c>
      <c r="Q845" s="247">
        <f ca="1">ROUND(IF(OR(AND($C843=LataProjekcji,$E843&gt;0),AND($C843=LataProjekcji,$E843=0,$D844&lt;=10)),$E844,IF($C843&lt;LataProjekcji,IF((SUM($K845:P845)+$C845)&lt;$C844,$C845,$C844-SUM($K845:P845)),0)),0)</f>
        <v>0</v>
      </c>
      <c r="R845" s="247">
        <f ca="1">ROUND(IF(OR(AND($C843=LataProjekcji,$E843&gt;0),AND($C843=LataProjekcji,$E843=0,$D844&lt;=10)),$E844,IF($C843&lt;LataProjekcji,IF((SUM($K845:Q845)+$C845)&lt;$C844,$C845,$C844-SUM($K845:Q845)),0)),0)</f>
        <v>0</v>
      </c>
      <c r="S845" s="247">
        <f ca="1">ROUND(IF(OR(AND($C843=LataProjekcji,$E843&gt;0),AND($C843=LataProjekcji,$E843=0,$D844&lt;=10)),$E844,IF($C843&lt;LataProjekcji,IF((SUM($K845:R845)+$C845)&lt;$C844,$C845,$C844-SUM($K845:R845)),0)),0)</f>
        <v>0</v>
      </c>
      <c r="T845" s="247">
        <f ca="1">ROUND(IF(OR(AND($C843=LataProjekcji,$E843&gt;0),AND($C843=LataProjekcji,$E843=0,$D844&lt;=10)),$E844,IF($C843&lt;LataProjekcji,IF((SUM($K845:S845)+$C845)&lt;$C844,$C845,$C844-SUM($K845:S845)),0)),0)</f>
        <v>0</v>
      </c>
      <c r="U845" s="247">
        <f ca="1">ROUND(IF(OR(AND($C843=LataProjekcji,$E843&gt;0),AND($C843=LataProjekcji,$E843=0,$D844&lt;=10)),$E844,IF($C843&lt;LataProjekcji,IF((SUM($K845:T845)+$C845)&lt;$C844,$C845,$C844-SUM($K845:T845)),0)),0)</f>
        <v>0</v>
      </c>
      <c r="V845" s="247">
        <f ca="1">ROUND(IF(OR(AND($C843=LataProjekcji,$E843&gt;0),AND($C843=LataProjekcji,$E843=0,$D844&lt;=10)),$E844,IF($C843&lt;LataProjekcji,IF((SUM($K845:U845)+$C845)&lt;$C844,$C845,$C844-SUM($K845:U845)),0)),0)</f>
        <v>0</v>
      </c>
      <c r="W845" s="247">
        <f ca="1">ROUND(IF(OR(AND($C843=LataProjekcji,$E843&gt;0),AND($C843=LataProjekcji,$E843=0,$D844&lt;=10)),$E844,IF($C843&lt;LataProjekcji,IF((SUM($K845:V845)+$C845)&lt;$C844,$C845,$C844-SUM($K845:V845)),0)),0)</f>
        <v>0</v>
      </c>
      <c r="X845" s="247">
        <f ca="1">ROUND(IF(OR(AND($C843=LataProjekcji,$E843&gt;0),AND($C843=LataProjekcji,$E843=0,$D844&lt;=10)),$E844,IF($C843&lt;LataProjekcji,IF((SUM($K845:W845)+$C845)&lt;$C844,$C845,$C844-SUM($K845:W845)),0)),0)</f>
        <v>0</v>
      </c>
    </row>
    <row r="846" spans="1:24" hidden="1">
      <c r="A846" s="258"/>
      <c r="B846" s="21" t="s">
        <v>416</v>
      </c>
      <c r="C846" s="22"/>
      <c r="D846" s="21"/>
      <c r="E846" s="21"/>
      <c r="F846" s="21"/>
      <c r="G846" s="21"/>
      <c r="I846" s="21"/>
      <c r="J846" s="21"/>
      <c r="K846" s="22">
        <f ca="1">ROUND(K845,0)</f>
        <v>0</v>
      </c>
      <c r="L846" s="22">
        <f t="shared" ref="L846:X846" ca="1" si="417">ROUND(K846+L845,0)</f>
        <v>0</v>
      </c>
      <c r="M846" s="22">
        <f t="shared" ca="1" si="417"/>
        <v>0</v>
      </c>
      <c r="N846" s="22">
        <f t="shared" ca="1" si="417"/>
        <v>0</v>
      </c>
      <c r="O846" s="22">
        <f t="shared" ca="1" si="417"/>
        <v>0</v>
      </c>
      <c r="P846" s="22">
        <f t="shared" ca="1" si="417"/>
        <v>0</v>
      </c>
      <c r="Q846" s="22">
        <f t="shared" ca="1" si="417"/>
        <v>0</v>
      </c>
      <c r="R846" s="22">
        <f t="shared" ca="1" si="417"/>
        <v>0</v>
      </c>
      <c r="S846" s="22">
        <f t="shared" ca="1" si="417"/>
        <v>0</v>
      </c>
      <c r="T846" s="22">
        <f t="shared" ca="1" si="417"/>
        <v>0</v>
      </c>
      <c r="U846" s="22">
        <f t="shared" ca="1" si="417"/>
        <v>0</v>
      </c>
      <c r="V846" s="22">
        <f t="shared" ca="1" si="417"/>
        <v>0</v>
      </c>
      <c r="W846" s="22">
        <f t="shared" ca="1" si="417"/>
        <v>0</v>
      </c>
      <c r="X846" s="22">
        <f t="shared" ca="1" si="417"/>
        <v>0</v>
      </c>
    </row>
    <row r="847" spans="1:24" hidden="1">
      <c r="A847" s="258"/>
      <c r="B847" s="21" t="s">
        <v>406</v>
      </c>
      <c r="C847" s="22"/>
      <c r="D847" s="21"/>
      <c r="E847" s="21"/>
      <c r="F847" s="21"/>
      <c r="G847" s="21"/>
      <c r="I847" s="21"/>
      <c r="J847" s="21"/>
      <c r="K847" s="76">
        <f t="shared" ref="K847:X847" ca="1" si="418">IF($C843=LataProjekcji,ROUND($C844-K846,0),ROUND(IF(K845=0,0,$C844-K846),0))</f>
        <v>0</v>
      </c>
      <c r="L847" s="76">
        <f t="shared" ca="1" si="418"/>
        <v>0</v>
      </c>
      <c r="M847" s="76">
        <f t="shared" ca="1" si="418"/>
        <v>0</v>
      </c>
      <c r="N847" s="76">
        <f t="shared" ca="1" si="418"/>
        <v>0</v>
      </c>
      <c r="O847" s="76">
        <f t="shared" ca="1" si="418"/>
        <v>0</v>
      </c>
      <c r="P847" s="76">
        <f t="shared" ca="1" si="418"/>
        <v>0</v>
      </c>
      <c r="Q847" s="76">
        <f t="shared" ca="1" si="418"/>
        <v>0</v>
      </c>
      <c r="R847" s="76">
        <f t="shared" ca="1" si="418"/>
        <v>0</v>
      </c>
      <c r="S847" s="76">
        <f t="shared" ca="1" si="418"/>
        <v>0</v>
      </c>
      <c r="T847" s="76">
        <f t="shared" ca="1" si="418"/>
        <v>0</v>
      </c>
      <c r="U847" s="76">
        <f t="shared" ca="1" si="418"/>
        <v>0</v>
      </c>
      <c r="V847" s="76">
        <f t="shared" ca="1" si="418"/>
        <v>0</v>
      </c>
      <c r="W847" s="76">
        <f t="shared" ca="1" si="418"/>
        <v>0</v>
      </c>
      <c r="X847" s="76">
        <f t="shared" ca="1" si="418"/>
        <v>0</v>
      </c>
    </row>
    <row r="848" spans="1:24" hidden="1">
      <c r="A848" s="258"/>
      <c r="B848" s="21"/>
      <c r="C848" s="22"/>
      <c r="D848" s="21"/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0" t="s">
        <v>391</v>
      </c>
      <c r="C849" s="21">
        <f>C842+1</f>
        <v>107</v>
      </c>
      <c r="D849" s="473">
        <f>D842+1</f>
        <v>241</v>
      </c>
      <c r="E849" s="21"/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414</v>
      </c>
      <c r="C850" s="164">
        <f ca="1">IFERROR(YEAR(OFFSET($D$28,C849,0)),0)</f>
        <v>0</v>
      </c>
      <c r="D850" s="164">
        <f ca="1">IFERROR(MONTH(OFFSET($D$28,C849,0)),0)</f>
        <v>0</v>
      </c>
      <c r="E850" s="21">
        <f ca="1">12-$D850</f>
        <v>12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406</v>
      </c>
      <c r="C851" s="244">
        <f ca="1">IF(OFFSET($F$28,C849,0)&lt;0,0,OFFSET($F$28,C849,0))</f>
        <v>0</v>
      </c>
      <c r="D851" s="22" t="str">
        <f ca="1">OFFSET($C$28,C849,0)</f>
        <v/>
      </c>
      <c r="E851" s="22">
        <f ca="1">IF(D851&gt;10,ROUND(($C852/12)*$E850,0),$C851)</f>
        <v>0</v>
      </c>
      <c r="F851" s="21"/>
      <c r="G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</row>
    <row r="852" spans="1:24" hidden="1">
      <c r="A852" s="258"/>
      <c r="B852" s="21" t="s">
        <v>415</v>
      </c>
      <c r="C852" s="244">
        <f ca="1">IF(ISBLANK(OFFSET($D$28,C849,0)),0,IF(OFFSET($C$28,C849,0)&gt;10,ROUND(C851*am_maszyny,0),IF(C851&lt;0,0,C851)))</f>
        <v>0</v>
      </c>
      <c r="D852" s="21"/>
      <c r="E852" s="21"/>
      <c r="F852" s="21"/>
      <c r="G852" s="21"/>
      <c r="I852" s="21"/>
      <c r="J852" s="473" cm="1">
        <f t="array" aca="1" ref="J852" ca="1">OFFSET('Środki trwałe'!$C$195,'Rozliczenie dotacji'!D849,,)</f>
        <v>0</v>
      </c>
      <c r="K852" s="74">
        <f ca="1">ROUND(IF($C850=LataProjekcji,$E851,IF($C850=LataProjekcji,$C852,0)),0)</f>
        <v>0</v>
      </c>
      <c r="L852" s="247">
        <f ca="1">ROUND(IF(OR(AND($C850=LataProjekcji,$E850&gt;0),AND($C850=LataProjekcji,$E850=0,$D851&lt;=10)),$E851,IF($C850&lt;LataProjekcji,IF((SUM($K852:K852)+$C852)&lt;$C851,$C852,$C851-SUM($K852:K852)),0)),0)</f>
        <v>0</v>
      </c>
      <c r="M852" s="247">
        <f ca="1">ROUND(IF(OR(AND($C850=LataProjekcji,$E850&gt;0),AND($C850=LataProjekcji,$E850=0,$D851&lt;=10)),$E851,IF($C850&lt;LataProjekcji,IF((SUM($K852:L852)+$C852)&lt;$C851,$C852,$C851-SUM($K852:L852)),0)),0)</f>
        <v>0</v>
      </c>
      <c r="N852" s="247">
        <f ca="1">ROUND(IF(OR(AND($C850=LataProjekcji,$E850&gt;0),AND($C850=LataProjekcji,$E850=0,$D851&lt;=10)),$E851,IF($C850&lt;LataProjekcji,IF((SUM($K852:M852)+$C852)&lt;$C851,$C852,$C851-SUM($K852:M852)),0)),0)</f>
        <v>0</v>
      </c>
      <c r="O852" s="247">
        <f ca="1">ROUND(IF(OR(AND($C850=LataProjekcji,$E850&gt;0),AND($C850=LataProjekcji,$E850=0,$D851&lt;=10)),$E851,IF($C850&lt;LataProjekcji,IF((SUM($K852:N852)+$C852)&lt;$C851,$C852,$C851-SUM($K852:N852)),0)),0)</f>
        <v>0</v>
      </c>
      <c r="P852" s="247">
        <f ca="1">ROUND(IF(OR(AND($C850=LataProjekcji,$E850&gt;0),AND($C850=LataProjekcji,$E850=0,$D851&lt;=10)),$E851,IF($C850&lt;LataProjekcji,IF((SUM($K852:O852)+$C852)&lt;$C851,$C852,$C851-SUM($K852:O852)),0)),0)</f>
        <v>0</v>
      </c>
      <c r="Q852" s="247">
        <f ca="1">ROUND(IF(OR(AND($C850=LataProjekcji,$E850&gt;0),AND($C850=LataProjekcji,$E850=0,$D851&lt;=10)),$E851,IF($C850&lt;LataProjekcji,IF((SUM($K852:P852)+$C852)&lt;$C851,$C852,$C851-SUM($K852:P852)),0)),0)</f>
        <v>0</v>
      </c>
      <c r="R852" s="247">
        <f ca="1">ROUND(IF(OR(AND($C850=LataProjekcji,$E850&gt;0),AND($C850=LataProjekcji,$E850=0,$D851&lt;=10)),$E851,IF($C850&lt;LataProjekcji,IF((SUM($K852:Q852)+$C852)&lt;$C851,$C852,$C851-SUM($K852:Q852)),0)),0)</f>
        <v>0</v>
      </c>
      <c r="S852" s="247">
        <f ca="1">ROUND(IF(OR(AND($C850=LataProjekcji,$E850&gt;0),AND($C850=LataProjekcji,$E850=0,$D851&lt;=10)),$E851,IF($C850&lt;LataProjekcji,IF((SUM($K852:R852)+$C852)&lt;$C851,$C852,$C851-SUM($K852:R852)),0)),0)</f>
        <v>0</v>
      </c>
      <c r="T852" s="247">
        <f ca="1">ROUND(IF(OR(AND($C850=LataProjekcji,$E850&gt;0),AND($C850=LataProjekcji,$E850=0,$D851&lt;=10)),$E851,IF($C850&lt;LataProjekcji,IF((SUM($K852:S852)+$C852)&lt;$C851,$C852,$C851-SUM($K852:S852)),0)),0)</f>
        <v>0</v>
      </c>
      <c r="U852" s="247">
        <f ca="1">ROUND(IF(OR(AND($C850=LataProjekcji,$E850&gt;0),AND($C850=LataProjekcji,$E850=0,$D851&lt;=10)),$E851,IF($C850&lt;LataProjekcji,IF((SUM($K852:T852)+$C852)&lt;$C851,$C852,$C851-SUM($K852:T852)),0)),0)</f>
        <v>0</v>
      </c>
      <c r="V852" s="247">
        <f ca="1">ROUND(IF(OR(AND($C850=LataProjekcji,$E850&gt;0),AND($C850=LataProjekcji,$E850=0,$D851&lt;=10)),$E851,IF($C850&lt;LataProjekcji,IF((SUM($K852:U852)+$C852)&lt;$C851,$C852,$C851-SUM($K852:U852)),0)),0)</f>
        <v>0</v>
      </c>
      <c r="W852" s="247">
        <f ca="1">ROUND(IF(OR(AND($C850=LataProjekcji,$E850&gt;0),AND($C850=LataProjekcji,$E850=0,$D851&lt;=10)),$E851,IF($C850&lt;LataProjekcji,IF((SUM($K852:V852)+$C852)&lt;$C851,$C852,$C851-SUM($K852:V852)),0)),0)</f>
        <v>0</v>
      </c>
      <c r="X852" s="247">
        <f ca="1">ROUND(IF(OR(AND($C850=LataProjekcji,$E850&gt;0),AND($C850=LataProjekcji,$E850=0,$D851&lt;=10)),$E851,IF($C850&lt;LataProjekcji,IF((SUM($K852:W852)+$C852)&lt;$C851,$C852,$C851-SUM($K852:W852)),0)),0)</f>
        <v>0</v>
      </c>
    </row>
    <row r="853" spans="1:24" hidden="1">
      <c r="A853" s="258"/>
      <c r="B853" s="21" t="s">
        <v>416</v>
      </c>
      <c r="C853" s="22"/>
      <c r="D853" s="21"/>
      <c r="E853" s="21"/>
      <c r="F853" s="21"/>
      <c r="G853" s="21"/>
      <c r="I853" s="21"/>
      <c r="J853" s="21"/>
      <c r="K853" s="22">
        <f ca="1">ROUND(K852,0)</f>
        <v>0</v>
      </c>
      <c r="L853" s="22">
        <f t="shared" ref="L853:X853" ca="1" si="419">ROUND(K853+L852,0)</f>
        <v>0</v>
      </c>
      <c r="M853" s="22">
        <f t="shared" ca="1" si="419"/>
        <v>0</v>
      </c>
      <c r="N853" s="22">
        <f t="shared" ca="1" si="419"/>
        <v>0</v>
      </c>
      <c r="O853" s="22">
        <f t="shared" ca="1" si="419"/>
        <v>0</v>
      </c>
      <c r="P853" s="22">
        <f t="shared" ca="1" si="419"/>
        <v>0</v>
      </c>
      <c r="Q853" s="22">
        <f t="shared" ca="1" si="419"/>
        <v>0</v>
      </c>
      <c r="R853" s="22">
        <f t="shared" ca="1" si="419"/>
        <v>0</v>
      </c>
      <c r="S853" s="22">
        <f t="shared" ca="1" si="419"/>
        <v>0</v>
      </c>
      <c r="T853" s="22">
        <f t="shared" ca="1" si="419"/>
        <v>0</v>
      </c>
      <c r="U853" s="22">
        <f t="shared" ca="1" si="419"/>
        <v>0</v>
      </c>
      <c r="V853" s="22">
        <f t="shared" ca="1" si="419"/>
        <v>0</v>
      </c>
      <c r="W853" s="22">
        <f t="shared" ca="1" si="419"/>
        <v>0</v>
      </c>
      <c r="X853" s="22">
        <f t="shared" ca="1" si="419"/>
        <v>0</v>
      </c>
    </row>
    <row r="854" spans="1:24" hidden="1">
      <c r="A854" s="258"/>
      <c r="B854" s="21" t="s">
        <v>406</v>
      </c>
      <c r="C854" s="22"/>
      <c r="D854" s="21"/>
      <c r="E854" s="21"/>
      <c r="F854" s="21"/>
      <c r="G854" s="21"/>
      <c r="I854" s="21"/>
      <c r="J854" s="21"/>
      <c r="K854" s="76">
        <f t="shared" ref="K854:X854" ca="1" si="420">IF($C850=LataProjekcji,ROUND($C851-K853,0),ROUND(IF(K852=0,0,$C851-K853),0))</f>
        <v>0</v>
      </c>
      <c r="L854" s="76">
        <f t="shared" ca="1" si="420"/>
        <v>0</v>
      </c>
      <c r="M854" s="76">
        <f t="shared" ca="1" si="420"/>
        <v>0</v>
      </c>
      <c r="N854" s="76">
        <f t="shared" ca="1" si="420"/>
        <v>0</v>
      </c>
      <c r="O854" s="76">
        <f t="shared" ca="1" si="420"/>
        <v>0</v>
      </c>
      <c r="P854" s="76">
        <f t="shared" ca="1" si="420"/>
        <v>0</v>
      </c>
      <c r="Q854" s="76">
        <f t="shared" ca="1" si="420"/>
        <v>0</v>
      </c>
      <c r="R854" s="76">
        <f t="shared" ca="1" si="420"/>
        <v>0</v>
      </c>
      <c r="S854" s="76">
        <f t="shared" ca="1" si="420"/>
        <v>0</v>
      </c>
      <c r="T854" s="76">
        <f t="shared" ca="1" si="420"/>
        <v>0</v>
      </c>
      <c r="U854" s="76">
        <f t="shared" ca="1" si="420"/>
        <v>0</v>
      </c>
      <c r="V854" s="76">
        <f t="shared" ca="1" si="420"/>
        <v>0</v>
      </c>
      <c r="W854" s="76">
        <f t="shared" ca="1" si="420"/>
        <v>0</v>
      </c>
      <c r="X854" s="76">
        <f t="shared" ca="1" si="420"/>
        <v>0</v>
      </c>
    </row>
    <row r="855" spans="1:24" hidden="1">
      <c r="A855" s="258"/>
      <c r="B855" s="21"/>
      <c r="C855" s="22"/>
      <c r="D855" s="21"/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0" t="s">
        <v>391</v>
      </c>
      <c r="C856" s="21">
        <f>C849+1</f>
        <v>108</v>
      </c>
      <c r="D856" s="473">
        <f>D849+1</f>
        <v>242</v>
      </c>
      <c r="E856" s="21"/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414</v>
      </c>
      <c r="C857" s="164">
        <f ca="1">IFERROR(YEAR(OFFSET($D$28,C856,0)),0)</f>
        <v>0</v>
      </c>
      <c r="D857" s="164">
        <f ca="1">IFERROR(MONTH(OFFSET($D$28,C856,0)),0)</f>
        <v>0</v>
      </c>
      <c r="E857" s="21">
        <f ca="1">12-$D857</f>
        <v>12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406</v>
      </c>
      <c r="C858" s="244">
        <f ca="1">IF(OFFSET($F$28,C856,0)&lt;0,0,OFFSET($F$28,C856,0))</f>
        <v>0</v>
      </c>
      <c r="D858" s="22" t="str">
        <f ca="1">OFFSET($C$28,C856,0)</f>
        <v/>
      </c>
      <c r="E858" s="22">
        <f ca="1">IF(D858&gt;10,ROUND(($C859/12)*$E857,0),$C858)</f>
        <v>0</v>
      </c>
      <c r="F858" s="21"/>
      <c r="G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</row>
    <row r="859" spans="1:24" hidden="1">
      <c r="A859" s="258"/>
      <c r="B859" s="21" t="s">
        <v>415</v>
      </c>
      <c r="C859" s="244">
        <f ca="1">IF(ISBLANK(OFFSET($D$28,C856,0)),0,IF(OFFSET($C$28,C856,0)&gt;10,ROUND(C858*am_maszyny,0),IF(C858&lt;0,0,C858)))</f>
        <v>0</v>
      </c>
      <c r="D859" s="21"/>
      <c r="E859" s="21"/>
      <c r="F859" s="21"/>
      <c r="G859" s="21"/>
      <c r="I859" s="21"/>
      <c r="J859" s="473" cm="1">
        <f t="array" aca="1" ref="J859" ca="1">OFFSET('Środki trwałe'!$C$195,'Rozliczenie dotacji'!D856,,)</f>
        <v>0</v>
      </c>
      <c r="K859" s="74">
        <f ca="1">ROUND(IF($C857=LataProjekcji,$E858,IF($C857=LataProjekcji,$C859,0)),0)</f>
        <v>0</v>
      </c>
      <c r="L859" s="247">
        <f ca="1">ROUND(IF(OR(AND($C857=LataProjekcji,$E857&gt;0),AND($C857=LataProjekcji,$E857=0,$D858&lt;=10)),$E858,IF($C857&lt;LataProjekcji,IF((SUM($K859:K859)+$C859)&lt;$C858,$C859,$C858-SUM($K859:K859)),0)),0)</f>
        <v>0</v>
      </c>
      <c r="M859" s="247">
        <f ca="1">ROUND(IF(OR(AND($C857=LataProjekcji,$E857&gt;0),AND($C857=LataProjekcji,$E857=0,$D858&lt;=10)),$E858,IF($C857&lt;LataProjekcji,IF((SUM($K859:L859)+$C859)&lt;$C858,$C859,$C858-SUM($K859:L859)),0)),0)</f>
        <v>0</v>
      </c>
      <c r="N859" s="247">
        <f ca="1">ROUND(IF(OR(AND($C857=LataProjekcji,$E857&gt;0),AND($C857=LataProjekcji,$E857=0,$D858&lt;=10)),$E858,IF($C857&lt;LataProjekcji,IF((SUM($K859:M859)+$C859)&lt;$C858,$C859,$C858-SUM($K859:M859)),0)),0)</f>
        <v>0</v>
      </c>
      <c r="O859" s="247">
        <f ca="1">ROUND(IF(OR(AND($C857=LataProjekcji,$E857&gt;0),AND($C857=LataProjekcji,$E857=0,$D858&lt;=10)),$E858,IF($C857&lt;LataProjekcji,IF((SUM($K859:N859)+$C859)&lt;$C858,$C859,$C858-SUM($K859:N859)),0)),0)</f>
        <v>0</v>
      </c>
      <c r="P859" s="247">
        <f ca="1">ROUND(IF(OR(AND($C857=LataProjekcji,$E857&gt;0),AND($C857=LataProjekcji,$E857=0,$D858&lt;=10)),$E858,IF($C857&lt;LataProjekcji,IF((SUM($K859:O859)+$C859)&lt;$C858,$C859,$C858-SUM($K859:O859)),0)),0)</f>
        <v>0</v>
      </c>
      <c r="Q859" s="247">
        <f ca="1">ROUND(IF(OR(AND($C857=LataProjekcji,$E857&gt;0),AND($C857=LataProjekcji,$E857=0,$D858&lt;=10)),$E858,IF($C857&lt;LataProjekcji,IF((SUM($K859:P859)+$C859)&lt;$C858,$C859,$C858-SUM($K859:P859)),0)),0)</f>
        <v>0</v>
      </c>
      <c r="R859" s="247">
        <f ca="1">ROUND(IF(OR(AND($C857=LataProjekcji,$E857&gt;0),AND($C857=LataProjekcji,$E857=0,$D858&lt;=10)),$E858,IF($C857&lt;LataProjekcji,IF((SUM($K859:Q859)+$C859)&lt;$C858,$C859,$C858-SUM($K859:Q859)),0)),0)</f>
        <v>0</v>
      </c>
      <c r="S859" s="247">
        <f ca="1">ROUND(IF(OR(AND($C857=LataProjekcji,$E857&gt;0),AND($C857=LataProjekcji,$E857=0,$D858&lt;=10)),$E858,IF($C857&lt;LataProjekcji,IF((SUM($K859:R859)+$C859)&lt;$C858,$C859,$C858-SUM($K859:R859)),0)),0)</f>
        <v>0</v>
      </c>
      <c r="T859" s="247">
        <f ca="1">ROUND(IF(OR(AND($C857=LataProjekcji,$E857&gt;0),AND($C857=LataProjekcji,$E857=0,$D858&lt;=10)),$E858,IF($C857&lt;LataProjekcji,IF((SUM($K859:S859)+$C859)&lt;$C858,$C859,$C858-SUM($K859:S859)),0)),0)</f>
        <v>0</v>
      </c>
      <c r="U859" s="247">
        <f ca="1">ROUND(IF(OR(AND($C857=LataProjekcji,$E857&gt;0),AND($C857=LataProjekcji,$E857=0,$D858&lt;=10)),$E858,IF($C857&lt;LataProjekcji,IF((SUM($K859:T859)+$C859)&lt;$C858,$C859,$C858-SUM($K859:T859)),0)),0)</f>
        <v>0</v>
      </c>
      <c r="V859" s="247">
        <f ca="1">ROUND(IF(OR(AND($C857=LataProjekcji,$E857&gt;0),AND($C857=LataProjekcji,$E857=0,$D858&lt;=10)),$E858,IF($C857&lt;LataProjekcji,IF((SUM($K859:U859)+$C859)&lt;$C858,$C859,$C858-SUM($K859:U859)),0)),0)</f>
        <v>0</v>
      </c>
      <c r="W859" s="247">
        <f ca="1">ROUND(IF(OR(AND($C857=LataProjekcji,$E857&gt;0),AND($C857=LataProjekcji,$E857=0,$D858&lt;=10)),$E858,IF($C857&lt;LataProjekcji,IF((SUM($K859:V859)+$C859)&lt;$C858,$C859,$C858-SUM($K859:V859)),0)),0)</f>
        <v>0</v>
      </c>
      <c r="X859" s="247">
        <f ca="1">ROUND(IF(OR(AND($C857=LataProjekcji,$E857&gt;0),AND($C857=LataProjekcji,$E857=0,$D858&lt;=10)),$E858,IF($C857&lt;LataProjekcji,IF((SUM($K859:W859)+$C859)&lt;$C858,$C859,$C858-SUM($K859:W859)),0)),0)</f>
        <v>0</v>
      </c>
    </row>
    <row r="860" spans="1:24" hidden="1">
      <c r="A860" s="258"/>
      <c r="B860" s="21" t="s">
        <v>416</v>
      </c>
      <c r="C860" s="22"/>
      <c r="D860" s="21"/>
      <c r="E860" s="21"/>
      <c r="F860" s="21"/>
      <c r="G860" s="21"/>
      <c r="I860" s="21"/>
      <c r="J860" s="21"/>
      <c r="K860" s="22">
        <f ca="1">ROUND(K859,0)</f>
        <v>0</v>
      </c>
      <c r="L860" s="22">
        <f t="shared" ref="L860:X860" ca="1" si="421">ROUND(K860+L859,0)</f>
        <v>0</v>
      </c>
      <c r="M860" s="22">
        <f t="shared" ca="1" si="421"/>
        <v>0</v>
      </c>
      <c r="N860" s="22">
        <f t="shared" ca="1" si="421"/>
        <v>0</v>
      </c>
      <c r="O860" s="22">
        <f t="shared" ca="1" si="421"/>
        <v>0</v>
      </c>
      <c r="P860" s="22">
        <f t="shared" ca="1" si="421"/>
        <v>0</v>
      </c>
      <c r="Q860" s="22">
        <f t="shared" ca="1" si="421"/>
        <v>0</v>
      </c>
      <c r="R860" s="22">
        <f t="shared" ca="1" si="421"/>
        <v>0</v>
      </c>
      <c r="S860" s="22">
        <f t="shared" ca="1" si="421"/>
        <v>0</v>
      </c>
      <c r="T860" s="22">
        <f t="shared" ca="1" si="421"/>
        <v>0</v>
      </c>
      <c r="U860" s="22">
        <f t="shared" ca="1" si="421"/>
        <v>0</v>
      </c>
      <c r="V860" s="22">
        <f t="shared" ca="1" si="421"/>
        <v>0</v>
      </c>
      <c r="W860" s="22">
        <f t="shared" ca="1" si="421"/>
        <v>0</v>
      </c>
      <c r="X860" s="22">
        <f t="shared" ca="1" si="421"/>
        <v>0</v>
      </c>
    </row>
    <row r="861" spans="1:24" hidden="1">
      <c r="A861" s="258"/>
      <c r="B861" s="21" t="s">
        <v>406</v>
      </c>
      <c r="C861" s="22"/>
      <c r="D861" s="21"/>
      <c r="E861" s="21"/>
      <c r="F861" s="21"/>
      <c r="G861" s="21"/>
      <c r="I861" s="21"/>
      <c r="J861" s="21"/>
      <c r="K861" s="76">
        <f t="shared" ref="K861:X861" ca="1" si="422">IF($C857=LataProjekcji,ROUND($C858-K860,0),ROUND(IF(K859=0,0,$C858-K860),0))</f>
        <v>0</v>
      </c>
      <c r="L861" s="76">
        <f t="shared" ca="1" si="422"/>
        <v>0</v>
      </c>
      <c r="M861" s="76">
        <f t="shared" ca="1" si="422"/>
        <v>0</v>
      </c>
      <c r="N861" s="76">
        <f t="shared" ca="1" si="422"/>
        <v>0</v>
      </c>
      <c r="O861" s="76">
        <f t="shared" ca="1" si="422"/>
        <v>0</v>
      </c>
      <c r="P861" s="76">
        <f t="shared" ca="1" si="422"/>
        <v>0</v>
      </c>
      <c r="Q861" s="76">
        <f t="shared" ca="1" si="422"/>
        <v>0</v>
      </c>
      <c r="R861" s="76">
        <f t="shared" ca="1" si="422"/>
        <v>0</v>
      </c>
      <c r="S861" s="76">
        <f t="shared" ca="1" si="422"/>
        <v>0</v>
      </c>
      <c r="T861" s="76">
        <f t="shared" ca="1" si="422"/>
        <v>0</v>
      </c>
      <c r="U861" s="76">
        <f t="shared" ca="1" si="422"/>
        <v>0</v>
      </c>
      <c r="V861" s="76">
        <f t="shared" ca="1" si="422"/>
        <v>0</v>
      </c>
      <c r="W861" s="76">
        <f t="shared" ca="1" si="422"/>
        <v>0</v>
      </c>
      <c r="X861" s="76">
        <f t="shared" ca="1" si="422"/>
        <v>0</v>
      </c>
    </row>
    <row r="862" spans="1:24" hidden="1">
      <c r="A862" s="258"/>
      <c r="B862" s="20"/>
      <c r="C862" s="21"/>
      <c r="D862" s="21"/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0" t="s">
        <v>391</v>
      </c>
      <c r="C863" s="21">
        <f>C856+1</f>
        <v>109</v>
      </c>
      <c r="D863" s="473">
        <f>D856+1</f>
        <v>243</v>
      </c>
      <c r="E863" s="21"/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414</v>
      </c>
      <c r="C864" s="164">
        <f ca="1">IFERROR(YEAR(OFFSET($D$28,C863,0)),0)</f>
        <v>0</v>
      </c>
      <c r="D864" s="164">
        <f ca="1">IFERROR(MONTH(OFFSET($D$28,C863,0)),0)</f>
        <v>0</v>
      </c>
      <c r="E864" s="21">
        <f ca="1">12-$D864</f>
        <v>12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406</v>
      </c>
      <c r="C865" s="244">
        <f ca="1">IF(OFFSET($F$28,C863,0)&lt;0,0,OFFSET($F$28,C863,0))</f>
        <v>0</v>
      </c>
      <c r="D865" s="22" t="str">
        <f ca="1">OFFSET($C$28,C863,0)</f>
        <v/>
      </c>
      <c r="E865" s="22">
        <f ca="1">IF(D865&gt;10,ROUND(($C866/12)*$E864,0),$C865)</f>
        <v>0</v>
      </c>
      <c r="F865" s="21"/>
      <c r="G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</row>
    <row r="866" spans="1:24" hidden="1">
      <c r="A866" s="258"/>
      <c r="B866" s="21" t="s">
        <v>415</v>
      </c>
      <c r="C866" s="244">
        <f ca="1">IF(ISBLANK(OFFSET($D$28,C863,0)),0,IF(OFFSET($C$28,C863,0)&gt;10,ROUND(C865*am_maszyny,0),IF(C865&lt;0,0,C865)))</f>
        <v>0</v>
      </c>
      <c r="D866" s="21"/>
      <c r="E866" s="21"/>
      <c r="F866" s="21"/>
      <c r="G866" s="21"/>
      <c r="I866" s="21"/>
      <c r="J866" s="473" cm="1">
        <f t="array" aca="1" ref="J866" ca="1">OFFSET('Środki trwałe'!$C$195,'Rozliczenie dotacji'!D863,,)</f>
        <v>0</v>
      </c>
      <c r="K866" s="74">
        <f ca="1">ROUND(IF($C864=LataProjekcji,$E865,IF($C864=LataProjekcji,$C866,0)),0)</f>
        <v>0</v>
      </c>
      <c r="L866" s="247">
        <f ca="1">ROUND(IF(OR(AND($C864=LataProjekcji,$E864&gt;0),AND($C864=LataProjekcji,$E864=0,$D865&lt;=10)),$E865,IF($C864&lt;LataProjekcji,IF((SUM($K866:K866)+$C866)&lt;$C865,$C866,$C865-SUM($K866:K866)),0)),0)</f>
        <v>0</v>
      </c>
      <c r="M866" s="247">
        <f ca="1">ROUND(IF(OR(AND($C864=LataProjekcji,$E864&gt;0),AND($C864=LataProjekcji,$E864=0,$D865&lt;=10)),$E865,IF($C864&lt;LataProjekcji,IF((SUM($K866:L866)+$C866)&lt;$C865,$C866,$C865-SUM($K866:L866)),0)),0)</f>
        <v>0</v>
      </c>
      <c r="N866" s="247">
        <f ca="1">ROUND(IF(OR(AND($C864=LataProjekcji,$E864&gt;0),AND($C864=LataProjekcji,$E864=0,$D865&lt;=10)),$E865,IF($C864&lt;LataProjekcji,IF((SUM($K866:M866)+$C866)&lt;$C865,$C866,$C865-SUM($K866:M866)),0)),0)</f>
        <v>0</v>
      </c>
      <c r="O866" s="247">
        <f ca="1">ROUND(IF(OR(AND($C864=LataProjekcji,$E864&gt;0),AND($C864=LataProjekcji,$E864=0,$D865&lt;=10)),$E865,IF($C864&lt;LataProjekcji,IF((SUM($K866:N866)+$C866)&lt;$C865,$C866,$C865-SUM($K866:N866)),0)),0)</f>
        <v>0</v>
      </c>
      <c r="P866" s="247">
        <f ca="1">ROUND(IF(OR(AND($C864=LataProjekcji,$E864&gt;0),AND($C864=LataProjekcji,$E864=0,$D865&lt;=10)),$E865,IF($C864&lt;LataProjekcji,IF((SUM($K866:O866)+$C866)&lt;$C865,$C866,$C865-SUM($K866:O866)),0)),0)</f>
        <v>0</v>
      </c>
      <c r="Q866" s="247">
        <f ca="1">ROUND(IF(OR(AND($C864=LataProjekcji,$E864&gt;0),AND($C864=LataProjekcji,$E864=0,$D865&lt;=10)),$E865,IF($C864&lt;LataProjekcji,IF((SUM($K866:P866)+$C866)&lt;$C865,$C866,$C865-SUM($K866:P866)),0)),0)</f>
        <v>0</v>
      </c>
      <c r="R866" s="247">
        <f ca="1">ROUND(IF(OR(AND($C864=LataProjekcji,$E864&gt;0),AND($C864=LataProjekcji,$E864=0,$D865&lt;=10)),$E865,IF($C864&lt;LataProjekcji,IF((SUM($K866:Q866)+$C866)&lt;$C865,$C866,$C865-SUM($K866:Q866)),0)),0)</f>
        <v>0</v>
      </c>
      <c r="S866" s="247">
        <f ca="1">ROUND(IF(OR(AND($C864=LataProjekcji,$E864&gt;0),AND($C864=LataProjekcji,$E864=0,$D865&lt;=10)),$E865,IF($C864&lt;LataProjekcji,IF((SUM($K866:R866)+$C866)&lt;$C865,$C866,$C865-SUM($K866:R866)),0)),0)</f>
        <v>0</v>
      </c>
      <c r="T866" s="247">
        <f ca="1">ROUND(IF(OR(AND($C864=LataProjekcji,$E864&gt;0),AND($C864=LataProjekcji,$E864=0,$D865&lt;=10)),$E865,IF($C864&lt;LataProjekcji,IF((SUM($K866:S866)+$C866)&lt;$C865,$C866,$C865-SUM($K866:S866)),0)),0)</f>
        <v>0</v>
      </c>
      <c r="U866" s="247">
        <f ca="1">ROUND(IF(OR(AND($C864=LataProjekcji,$E864&gt;0),AND($C864=LataProjekcji,$E864=0,$D865&lt;=10)),$E865,IF($C864&lt;LataProjekcji,IF((SUM($K866:T866)+$C866)&lt;$C865,$C866,$C865-SUM($K866:T866)),0)),0)</f>
        <v>0</v>
      </c>
      <c r="V866" s="247">
        <f ca="1">ROUND(IF(OR(AND($C864=LataProjekcji,$E864&gt;0),AND($C864=LataProjekcji,$E864=0,$D865&lt;=10)),$E865,IF($C864&lt;LataProjekcji,IF((SUM($K866:U866)+$C866)&lt;$C865,$C866,$C865-SUM($K866:U866)),0)),0)</f>
        <v>0</v>
      </c>
      <c r="W866" s="247">
        <f ca="1">ROUND(IF(OR(AND($C864=LataProjekcji,$E864&gt;0),AND($C864=LataProjekcji,$E864=0,$D865&lt;=10)),$E865,IF($C864&lt;LataProjekcji,IF((SUM($K866:V866)+$C866)&lt;$C865,$C866,$C865-SUM($K866:V866)),0)),0)</f>
        <v>0</v>
      </c>
      <c r="X866" s="247">
        <f ca="1">ROUND(IF(OR(AND($C864=LataProjekcji,$E864&gt;0),AND($C864=LataProjekcji,$E864=0,$D865&lt;=10)),$E865,IF($C864&lt;LataProjekcji,IF((SUM($K866:W866)+$C866)&lt;$C865,$C866,$C865-SUM($K866:W866)),0)),0)</f>
        <v>0</v>
      </c>
    </row>
    <row r="867" spans="1:24" hidden="1">
      <c r="A867" s="258"/>
      <c r="B867" s="21" t="s">
        <v>416</v>
      </c>
      <c r="C867" s="22"/>
      <c r="D867" s="21"/>
      <c r="E867" s="21"/>
      <c r="F867" s="21"/>
      <c r="G867" s="21"/>
      <c r="I867" s="21"/>
      <c r="J867" s="21"/>
      <c r="K867" s="22">
        <f ca="1">ROUND(K866,0)</f>
        <v>0</v>
      </c>
      <c r="L867" s="22">
        <f t="shared" ref="L867:X867" ca="1" si="423">ROUND(K867+L866,0)</f>
        <v>0</v>
      </c>
      <c r="M867" s="22">
        <f t="shared" ca="1" si="423"/>
        <v>0</v>
      </c>
      <c r="N867" s="22">
        <f t="shared" ca="1" si="423"/>
        <v>0</v>
      </c>
      <c r="O867" s="22">
        <f t="shared" ca="1" si="423"/>
        <v>0</v>
      </c>
      <c r="P867" s="22">
        <f t="shared" ca="1" si="423"/>
        <v>0</v>
      </c>
      <c r="Q867" s="22">
        <f t="shared" ca="1" si="423"/>
        <v>0</v>
      </c>
      <c r="R867" s="22">
        <f t="shared" ca="1" si="423"/>
        <v>0</v>
      </c>
      <c r="S867" s="22">
        <f t="shared" ca="1" si="423"/>
        <v>0</v>
      </c>
      <c r="T867" s="22">
        <f t="shared" ca="1" si="423"/>
        <v>0</v>
      </c>
      <c r="U867" s="22">
        <f t="shared" ca="1" si="423"/>
        <v>0</v>
      </c>
      <c r="V867" s="22">
        <f t="shared" ca="1" si="423"/>
        <v>0</v>
      </c>
      <c r="W867" s="22">
        <f t="shared" ca="1" si="423"/>
        <v>0</v>
      </c>
      <c r="X867" s="22">
        <f t="shared" ca="1" si="423"/>
        <v>0</v>
      </c>
    </row>
    <row r="868" spans="1:24" hidden="1">
      <c r="A868" s="258"/>
      <c r="B868" s="21" t="s">
        <v>406</v>
      </c>
      <c r="C868" s="22"/>
      <c r="D868" s="21"/>
      <c r="E868" s="21"/>
      <c r="F868" s="21"/>
      <c r="G868" s="21"/>
      <c r="I868" s="21"/>
      <c r="J868" s="21"/>
      <c r="K868" s="76">
        <f t="shared" ref="K868:X868" ca="1" si="424">IF($C864=LataProjekcji,ROUND($C865-K867,0),ROUND(IF(K866=0,0,$C865-K867),0))</f>
        <v>0</v>
      </c>
      <c r="L868" s="76">
        <f t="shared" ca="1" si="424"/>
        <v>0</v>
      </c>
      <c r="M868" s="76">
        <f t="shared" ca="1" si="424"/>
        <v>0</v>
      </c>
      <c r="N868" s="76">
        <f t="shared" ca="1" si="424"/>
        <v>0</v>
      </c>
      <c r="O868" s="76">
        <f t="shared" ca="1" si="424"/>
        <v>0</v>
      </c>
      <c r="P868" s="76">
        <f t="shared" ca="1" si="424"/>
        <v>0</v>
      </c>
      <c r="Q868" s="76">
        <f t="shared" ca="1" si="424"/>
        <v>0</v>
      </c>
      <c r="R868" s="76">
        <f t="shared" ca="1" si="424"/>
        <v>0</v>
      </c>
      <c r="S868" s="76">
        <f t="shared" ca="1" si="424"/>
        <v>0</v>
      </c>
      <c r="T868" s="76">
        <f t="shared" ca="1" si="424"/>
        <v>0</v>
      </c>
      <c r="U868" s="76">
        <f t="shared" ca="1" si="424"/>
        <v>0</v>
      </c>
      <c r="V868" s="76">
        <f t="shared" ca="1" si="424"/>
        <v>0</v>
      </c>
      <c r="W868" s="76">
        <f t="shared" ca="1" si="424"/>
        <v>0</v>
      </c>
      <c r="X868" s="76">
        <f t="shared" ca="1" si="424"/>
        <v>0</v>
      </c>
    </row>
    <row r="869" spans="1:24" hidden="1">
      <c r="A869" s="258"/>
      <c r="B869" s="21"/>
      <c r="C869" s="22"/>
      <c r="D869" s="21"/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0" t="s">
        <v>391</v>
      </c>
      <c r="C870" s="21">
        <f>C863+1</f>
        <v>110</v>
      </c>
      <c r="D870" s="473">
        <f>D863+1</f>
        <v>244</v>
      </c>
      <c r="E870" s="21"/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414</v>
      </c>
      <c r="C871" s="164">
        <f ca="1">IFERROR(YEAR(OFFSET($D$28,C870,0)),0)</f>
        <v>0</v>
      </c>
      <c r="D871" s="164">
        <f ca="1">IFERROR(MONTH(OFFSET($D$28,C870,0)),0)</f>
        <v>0</v>
      </c>
      <c r="E871" s="21">
        <f ca="1">12-$D871</f>
        <v>12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406</v>
      </c>
      <c r="C872" s="244">
        <f ca="1">IF(OFFSET($F$28,C870,0)&lt;0,0,OFFSET($F$28,C870,0))</f>
        <v>0</v>
      </c>
      <c r="D872" s="22" t="str">
        <f ca="1">OFFSET($C$28,C870,0)</f>
        <v/>
      </c>
      <c r="E872" s="22">
        <f ca="1">IF(D872&gt;10,ROUND(($C873/12)*$E871,0),$C872)</f>
        <v>0</v>
      </c>
      <c r="F872" s="21"/>
      <c r="G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258"/>
      <c r="B873" s="21" t="s">
        <v>415</v>
      </c>
      <c r="C873" s="244">
        <f ca="1">IF(ISBLANK(OFFSET($D$28,C870,0)),0,IF(OFFSET($C$28,C870,0)&gt;10,ROUND(C872*am_maszyny,0),IF(C872&lt;0,0,C872)))</f>
        <v>0</v>
      </c>
      <c r="D873" s="21"/>
      <c r="E873" s="21"/>
      <c r="F873" s="21"/>
      <c r="G873" s="21"/>
      <c r="I873" s="21"/>
      <c r="J873" s="473" cm="1">
        <f t="array" aca="1" ref="J873" ca="1">OFFSET('Środki trwałe'!$C$195,'Rozliczenie dotacji'!D870,,)</f>
        <v>0</v>
      </c>
      <c r="K873" s="74">
        <f ca="1">ROUND(IF($C871=LataProjekcji,$E872,IF($C871=LataProjekcji,$C873,0)),0)</f>
        <v>0</v>
      </c>
      <c r="L873" s="247">
        <f ca="1">ROUND(IF(OR(AND($C871=LataProjekcji,$E871&gt;0),AND($C871=LataProjekcji,$E871=0,$D872&lt;=10)),$E872,IF($C871&lt;LataProjekcji,IF((SUM($K873:K873)+$C873)&lt;$C872,$C873,$C872-SUM($K873:K873)),0)),0)</f>
        <v>0</v>
      </c>
      <c r="M873" s="247">
        <f ca="1">ROUND(IF(OR(AND($C871=LataProjekcji,$E871&gt;0),AND($C871=LataProjekcji,$E871=0,$D872&lt;=10)),$E872,IF($C871&lt;LataProjekcji,IF((SUM($K873:L873)+$C873)&lt;$C872,$C873,$C872-SUM($K873:L873)),0)),0)</f>
        <v>0</v>
      </c>
      <c r="N873" s="247">
        <f ca="1">ROUND(IF(OR(AND($C871=LataProjekcji,$E871&gt;0),AND($C871=LataProjekcji,$E871=0,$D872&lt;=10)),$E872,IF($C871&lt;LataProjekcji,IF((SUM($K873:M873)+$C873)&lt;$C872,$C873,$C872-SUM($K873:M873)),0)),0)</f>
        <v>0</v>
      </c>
      <c r="O873" s="247">
        <f ca="1">ROUND(IF(OR(AND($C871=LataProjekcji,$E871&gt;0),AND($C871=LataProjekcji,$E871=0,$D872&lt;=10)),$E872,IF($C871&lt;LataProjekcji,IF((SUM($K873:N873)+$C873)&lt;$C872,$C873,$C872-SUM($K873:N873)),0)),0)</f>
        <v>0</v>
      </c>
      <c r="P873" s="247">
        <f ca="1">ROUND(IF(OR(AND($C871=LataProjekcji,$E871&gt;0),AND($C871=LataProjekcji,$E871=0,$D872&lt;=10)),$E872,IF($C871&lt;LataProjekcji,IF((SUM($K873:O873)+$C873)&lt;$C872,$C873,$C872-SUM($K873:O873)),0)),0)</f>
        <v>0</v>
      </c>
      <c r="Q873" s="247">
        <f ca="1">ROUND(IF(OR(AND($C871=LataProjekcji,$E871&gt;0),AND($C871=LataProjekcji,$E871=0,$D872&lt;=10)),$E872,IF($C871&lt;LataProjekcji,IF((SUM($K873:P873)+$C873)&lt;$C872,$C873,$C872-SUM($K873:P873)),0)),0)</f>
        <v>0</v>
      </c>
      <c r="R873" s="247">
        <f ca="1">ROUND(IF(OR(AND($C871=LataProjekcji,$E871&gt;0),AND($C871=LataProjekcji,$E871=0,$D872&lt;=10)),$E872,IF($C871&lt;LataProjekcji,IF((SUM($K873:Q873)+$C873)&lt;$C872,$C873,$C872-SUM($K873:Q873)),0)),0)</f>
        <v>0</v>
      </c>
      <c r="S873" s="247">
        <f ca="1">ROUND(IF(OR(AND($C871=LataProjekcji,$E871&gt;0),AND($C871=LataProjekcji,$E871=0,$D872&lt;=10)),$E872,IF($C871&lt;LataProjekcji,IF((SUM($K873:R873)+$C873)&lt;$C872,$C873,$C872-SUM($K873:R873)),0)),0)</f>
        <v>0</v>
      </c>
      <c r="T873" s="247">
        <f ca="1">ROUND(IF(OR(AND($C871=LataProjekcji,$E871&gt;0),AND($C871=LataProjekcji,$E871=0,$D872&lt;=10)),$E872,IF($C871&lt;LataProjekcji,IF((SUM($K873:S873)+$C873)&lt;$C872,$C873,$C872-SUM($K873:S873)),0)),0)</f>
        <v>0</v>
      </c>
      <c r="U873" s="247">
        <f ca="1">ROUND(IF(OR(AND($C871=LataProjekcji,$E871&gt;0),AND($C871=LataProjekcji,$E871=0,$D872&lt;=10)),$E872,IF($C871&lt;LataProjekcji,IF((SUM($K873:T873)+$C873)&lt;$C872,$C873,$C872-SUM($K873:T873)),0)),0)</f>
        <v>0</v>
      </c>
      <c r="V873" s="247">
        <f ca="1">ROUND(IF(OR(AND($C871=LataProjekcji,$E871&gt;0),AND($C871=LataProjekcji,$E871=0,$D872&lt;=10)),$E872,IF($C871&lt;LataProjekcji,IF((SUM($K873:U873)+$C873)&lt;$C872,$C873,$C872-SUM($K873:U873)),0)),0)</f>
        <v>0</v>
      </c>
      <c r="W873" s="247">
        <f ca="1">ROUND(IF(OR(AND($C871=LataProjekcji,$E871&gt;0),AND($C871=LataProjekcji,$E871=0,$D872&lt;=10)),$E872,IF($C871&lt;LataProjekcji,IF((SUM($K873:V873)+$C873)&lt;$C872,$C873,$C872-SUM($K873:V873)),0)),0)</f>
        <v>0</v>
      </c>
      <c r="X873" s="247">
        <f ca="1">ROUND(IF(OR(AND($C871=LataProjekcji,$E871&gt;0),AND($C871=LataProjekcji,$E871=0,$D872&lt;=10)),$E872,IF($C871&lt;LataProjekcji,IF((SUM($K873:W873)+$C873)&lt;$C872,$C873,$C872-SUM($K873:W873)),0)),0)</f>
        <v>0</v>
      </c>
    </row>
    <row r="874" spans="1:24" hidden="1">
      <c r="A874" s="258"/>
      <c r="B874" s="21" t="s">
        <v>416</v>
      </c>
      <c r="C874" s="22"/>
      <c r="D874" s="21"/>
      <c r="E874" s="21"/>
      <c r="F874" s="21"/>
      <c r="G874" s="21"/>
      <c r="I874" s="21"/>
      <c r="J874" s="21"/>
      <c r="K874" s="22">
        <f ca="1">ROUND(K873,0)</f>
        <v>0</v>
      </c>
      <c r="L874" s="22">
        <f t="shared" ref="L874:X874" ca="1" si="425">ROUND(K874+L873,0)</f>
        <v>0</v>
      </c>
      <c r="M874" s="22">
        <f t="shared" ca="1" si="425"/>
        <v>0</v>
      </c>
      <c r="N874" s="22">
        <f t="shared" ca="1" si="425"/>
        <v>0</v>
      </c>
      <c r="O874" s="22">
        <f t="shared" ca="1" si="425"/>
        <v>0</v>
      </c>
      <c r="P874" s="22">
        <f t="shared" ca="1" si="425"/>
        <v>0</v>
      </c>
      <c r="Q874" s="22">
        <f t="shared" ca="1" si="425"/>
        <v>0</v>
      </c>
      <c r="R874" s="22">
        <f t="shared" ca="1" si="425"/>
        <v>0</v>
      </c>
      <c r="S874" s="22">
        <f t="shared" ca="1" si="425"/>
        <v>0</v>
      </c>
      <c r="T874" s="22">
        <f t="shared" ca="1" si="425"/>
        <v>0</v>
      </c>
      <c r="U874" s="22">
        <f t="shared" ca="1" si="425"/>
        <v>0</v>
      </c>
      <c r="V874" s="22">
        <f t="shared" ca="1" si="425"/>
        <v>0</v>
      </c>
      <c r="W874" s="22">
        <f t="shared" ca="1" si="425"/>
        <v>0</v>
      </c>
      <c r="X874" s="22">
        <f t="shared" ca="1" si="425"/>
        <v>0</v>
      </c>
    </row>
    <row r="875" spans="1:24" hidden="1">
      <c r="A875" s="258"/>
      <c r="B875" s="21" t="s">
        <v>406</v>
      </c>
      <c r="C875" s="22"/>
      <c r="D875" s="21"/>
      <c r="E875" s="21"/>
      <c r="F875" s="21"/>
      <c r="G875" s="21"/>
      <c r="I875" s="21"/>
      <c r="J875" s="21"/>
      <c r="K875" s="76">
        <f t="shared" ref="K875:X875" ca="1" si="426">IF($C871=LataProjekcji,ROUND($C872-K874,0),ROUND(IF(K873=0,0,$C872-K874),0))</f>
        <v>0</v>
      </c>
      <c r="L875" s="76">
        <f t="shared" ca="1" si="426"/>
        <v>0</v>
      </c>
      <c r="M875" s="76">
        <f t="shared" ca="1" si="426"/>
        <v>0</v>
      </c>
      <c r="N875" s="76">
        <f t="shared" ca="1" si="426"/>
        <v>0</v>
      </c>
      <c r="O875" s="76">
        <f t="shared" ca="1" si="426"/>
        <v>0</v>
      </c>
      <c r="P875" s="76">
        <f t="shared" ca="1" si="426"/>
        <v>0</v>
      </c>
      <c r="Q875" s="76">
        <f t="shared" ca="1" si="426"/>
        <v>0</v>
      </c>
      <c r="R875" s="76">
        <f t="shared" ca="1" si="426"/>
        <v>0</v>
      </c>
      <c r="S875" s="76">
        <f t="shared" ca="1" si="426"/>
        <v>0</v>
      </c>
      <c r="T875" s="76">
        <f t="shared" ca="1" si="426"/>
        <v>0</v>
      </c>
      <c r="U875" s="76">
        <f t="shared" ca="1" si="426"/>
        <v>0</v>
      </c>
      <c r="V875" s="76">
        <f t="shared" ca="1" si="426"/>
        <v>0</v>
      </c>
      <c r="W875" s="76">
        <f t="shared" ca="1" si="426"/>
        <v>0</v>
      </c>
      <c r="X875" s="76">
        <f t="shared" ca="1" si="426"/>
        <v>0</v>
      </c>
    </row>
    <row r="876" spans="1:24" hidden="1">
      <c r="A876" s="258"/>
      <c r="B876" s="21"/>
      <c r="C876" s="22"/>
      <c r="D876" s="21"/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0" t="s">
        <v>391</v>
      </c>
      <c r="C877" s="21">
        <f>C870+1</f>
        <v>111</v>
      </c>
      <c r="D877" s="473">
        <f>D870+1</f>
        <v>245</v>
      </c>
      <c r="E877" s="21"/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414</v>
      </c>
      <c r="C878" s="164">
        <f ca="1">IFERROR(YEAR(OFFSET($D$28,C877,0)),0)</f>
        <v>0</v>
      </c>
      <c r="D878" s="164">
        <f ca="1">IFERROR(MONTH(OFFSET($D$28,C877,0)),0)</f>
        <v>0</v>
      </c>
      <c r="E878" s="21">
        <f ca="1">12-$D878</f>
        <v>12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406</v>
      </c>
      <c r="C879" s="244">
        <f ca="1">IF(OFFSET($F$28,C877,0)&lt;0,0,OFFSET($F$28,C877,0))</f>
        <v>0</v>
      </c>
      <c r="D879" s="22" t="str">
        <f ca="1">OFFSET($C$28,C877,0)</f>
        <v/>
      </c>
      <c r="E879" s="22">
        <f ca="1">IF(D879&gt;10,ROUND(($C880/12)*$E878,0),$C879)</f>
        <v>0</v>
      </c>
      <c r="F879" s="21"/>
      <c r="G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258"/>
      <c r="B880" s="21" t="s">
        <v>415</v>
      </c>
      <c r="C880" s="244">
        <f ca="1">IF(ISBLANK(OFFSET($D$28,C877,0)),0,IF(OFFSET($C$28,C877,0)&gt;10,ROUND(C879*am_maszyny,0),IF(C879&lt;0,0,C879)))</f>
        <v>0</v>
      </c>
      <c r="D880" s="21"/>
      <c r="E880" s="21"/>
      <c r="F880" s="21"/>
      <c r="G880" s="21"/>
      <c r="I880" s="21"/>
      <c r="J880" s="473" cm="1">
        <f t="array" aca="1" ref="J880" ca="1">OFFSET('Środki trwałe'!$C$195,'Rozliczenie dotacji'!D877,,)</f>
        <v>0</v>
      </c>
      <c r="K880" s="74">
        <f ca="1">ROUND(IF($C878=LataProjekcji,$E879,IF($C878=LataProjekcji,$C880,0)),0)</f>
        <v>0</v>
      </c>
      <c r="L880" s="247">
        <f ca="1">ROUND(IF(OR(AND($C878=LataProjekcji,$E878&gt;0),AND($C878=LataProjekcji,$E878=0,$D879&lt;=10)),$E879,IF($C878&lt;LataProjekcji,IF((SUM($K880:K880)+$C880)&lt;$C879,$C880,$C879-SUM($K880:K880)),0)),0)</f>
        <v>0</v>
      </c>
      <c r="M880" s="247">
        <f ca="1">ROUND(IF(OR(AND($C878=LataProjekcji,$E878&gt;0),AND($C878=LataProjekcji,$E878=0,$D879&lt;=10)),$E879,IF($C878&lt;LataProjekcji,IF((SUM($K880:L880)+$C880)&lt;$C879,$C880,$C879-SUM($K880:L880)),0)),0)</f>
        <v>0</v>
      </c>
      <c r="N880" s="247">
        <f ca="1">ROUND(IF(OR(AND($C878=LataProjekcji,$E878&gt;0),AND($C878=LataProjekcji,$E878=0,$D879&lt;=10)),$E879,IF($C878&lt;LataProjekcji,IF((SUM($K880:M880)+$C880)&lt;$C879,$C880,$C879-SUM($K880:M880)),0)),0)</f>
        <v>0</v>
      </c>
      <c r="O880" s="247">
        <f ca="1">ROUND(IF(OR(AND($C878=LataProjekcji,$E878&gt;0),AND($C878=LataProjekcji,$E878=0,$D879&lt;=10)),$E879,IF($C878&lt;LataProjekcji,IF((SUM($K880:N880)+$C880)&lt;$C879,$C880,$C879-SUM($K880:N880)),0)),0)</f>
        <v>0</v>
      </c>
      <c r="P880" s="247">
        <f ca="1">ROUND(IF(OR(AND($C878=LataProjekcji,$E878&gt;0),AND($C878=LataProjekcji,$E878=0,$D879&lt;=10)),$E879,IF($C878&lt;LataProjekcji,IF((SUM($K880:O880)+$C880)&lt;$C879,$C880,$C879-SUM($K880:O880)),0)),0)</f>
        <v>0</v>
      </c>
      <c r="Q880" s="247">
        <f ca="1">ROUND(IF(OR(AND($C878=LataProjekcji,$E878&gt;0),AND($C878=LataProjekcji,$E878=0,$D879&lt;=10)),$E879,IF($C878&lt;LataProjekcji,IF((SUM($K880:P880)+$C880)&lt;$C879,$C880,$C879-SUM($K880:P880)),0)),0)</f>
        <v>0</v>
      </c>
      <c r="R880" s="247">
        <f ca="1">ROUND(IF(OR(AND($C878=LataProjekcji,$E878&gt;0),AND($C878=LataProjekcji,$E878=0,$D879&lt;=10)),$E879,IF($C878&lt;LataProjekcji,IF((SUM($K880:Q880)+$C880)&lt;$C879,$C880,$C879-SUM($K880:Q880)),0)),0)</f>
        <v>0</v>
      </c>
      <c r="S880" s="247">
        <f ca="1">ROUND(IF(OR(AND($C878=LataProjekcji,$E878&gt;0),AND($C878=LataProjekcji,$E878=0,$D879&lt;=10)),$E879,IF($C878&lt;LataProjekcji,IF((SUM($K880:R880)+$C880)&lt;$C879,$C880,$C879-SUM($K880:R880)),0)),0)</f>
        <v>0</v>
      </c>
      <c r="T880" s="247">
        <f ca="1">ROUND(IF(OR(AND($C878=LataProjekcji,$E878&gt;0),AND($C878=LataProjekcji,$E878=0,$D879&lt;=10)),$E879,IF($C878&lt;LataProjekcji,IF((SUM($K880:S880)+$C880)&lt;$C879,$C880,$C879-SUM($K880:S880)),0)),0)</f>
        <v>0</v>
      </c>
      <c r="U880" s="247">
        <f ca="1">ROUND(IF(OR(AND($C878=LataProjekcji,$E878&gt;0),AND($C878=LataProjekcji,$E878=0,$D879&lt;=10)),$E879,IF($C878&lt;LataProjekcji,IF((SUM($K880:T880)+$C880)&lt;$C879,$C880,$C879-SUM($K880:T880)),0)),0)</f>
        <v>0</v>
      </c>
      <c r="V880" s="247">
        <f ca="1">ROUND(IF(OR(AND($C878=LataProjekcji,$E878&gt;0),AND($C878=LataProjekcji,$E878=0,$D879&lt;=10)),$E879,IF($C878&lt;LataProjekcji,IF((SUM($K880:U880)+$C880)&lt;$C879,$C880,$C879-SUM($K880:U880)),0)),0)</f>
        <v>0</v>
      </c>
      <c r="W880" s="247">
        <f ca="1">ROUND(IF(OR(AND($C878=LataProjekcji,$E878&gt;0),AND($C878=LataProjekcji,$E878=0,$D879&lt;=10)),$E879,IF($C878&lt;LataProjekcji,IF((SUM($K880:V880)+$C880)&lt;$C879,$C880,$C879-SUM($K880:V880)),0)),0)</f>
        <v>0</v>
      </c>
      <c r="X880" s="247">
        <f ca="1">ROUND(IF(OR(AND($C878=LataProjekcji,$E878&gt;0),AND($C878=LataProjekcji,$E878=0,$D879&lt;=10)),$E879,IF($C878&lt;LataProjekcji,IF((SUM($K880:W880)+$C880)&lt;$C879,$C880,$C879-SUM($K880:W880)),0)),0)</f>
        <v>0</v>
      </c>
    </row>
    <row r="881" spans="1:24" hidden="1">
      <c r="A881" s="258"/>
      <c r="B881" s="21" t="s">
        <v>416</v>
      </c>
      <c r="C881" s="22"/>
      <c r="D881" s="21"/>
      <c r="E881" s="21"/>
      <c r="F881" s="21"/>
      <c r="G881" s="21"/>
      <c r="I881" s="21"/>
      <c r="J881" s="21"/>
      <c r="K881" s="22">
        <f ca="1">ROUND(K880,0)</f>
        <v>0</v>
      </c>
      <c r="L881" s="22">
        <f t="shared" ref="L881:X881" ca="1" si="427">ROUND(K881+L880,0)</f>
        <v>0</v>
      </c>
      <c r="M881" s="22">
        <f t="shared" ca="1" si="427"/>
        <v>0</v>
      </c>
      <c r="N881" s="22">
        <f t="shared" ca="1" si="427"/>
        <v>0</v>
      </c>
      <c r="O881" s="22">
        <f t="shared" ca="1" si="427"/>
        <v>0</v>
      </c>
      <c r="P881" s="22">
        <f t="shared" ca="1" si="427"/>
        <v>0</v>
      </c>
      <c r="Q881" s="22">
        <f t="shared" ca="1" si="427"/>
        <v>0</v>
      </c>
      <c r="R881" s="22">
        <f t="shared" ca="1" si="427"/>
        <v>0</v>
      </c>
      <c r="S881" s="22">
        <f t="shared" ca="1" si="427"/>
        <v>0</v>
      </c>
      <c r="T881" s="22">
        <f t="shared" ca="1" si="427"/>
        <v>0</v>
      </c>
      <c r="U881" s="22">
        <f t="shared" ca="1" si="427"/>
        <v>0</v>
      </c>
      <c r="V881" s="22">
        <f t="shared" ca="1" si="427"/>
        <v>0</v>
      </c>
      <c r="W881" s="22">
        <f t="shared" ca="1" si="427"/>
        <v>0</v>
      </c>
      <c r="X881" s="22">
        <f t="shared" ca="1" si="427"/>
        <v>0</v>
      </c>
    </row>
    <row r="882" spans="1:24" hidden="1">
      <c r="A882" s="258"/>
      <c r="B882" s="21" t="s">
        <v>406</v>
      </c>
      <c r="C882" s="22"/>
      <c r="D882" s="21"/>
      <c r="E882" s="21"/>
      <c r="F882" s="21"/>
      <c r="G882" s="21"/>
      <c r="I882" s="21"/>
      <c r="J882" s="21"/>
      <c r="K882" s="76">
        <f t="shared" ref="K882:X882" ca="1" si="428">IF($C878=LataProjekcji,ROUND($C879-K881,0),ROUND(IF(K880=0,0,$C879-K881),0))</f>
        <v>0</v>
      </c>
      <c r="L882" s="76">
        <f t="shared" ca="1" si="428"/>
        <v>0</v>
      </c>
      <c r="M882" s="76">
        <f t="shared" ca="1" si="428"/>
        <v>0</v>
      </c>
      <c r="N882" s="76">
        <f t="shared" ca="1" si="428"/>
        <v>0</v>
      </c>
      <c r="O882" s="76">
        <f t="shared" ca="1" si="428"/>
        <v>0</v>
      </c>
      <c r="P882" s="76">
        <f t="shared" ca="1" si="428"/>
        <v>0</v>
      </c>
      <c r="Q882" s="76">
        <f t="shared" ca="1" si="428"/>
        <v>0</v>
      </c>
      <c r="R882" s="76">
        <f t="shared" ca="1" si="428"/>
        <v>0</v>
      </c>
      <c r="S882" s="76">
        <f t="shared" ca="1" si="428"/>
        <v>0</v>
      </c>
      <c r="T882" s="76">
        <f t="shared" ca="1" si="428"/>
        <v>0</v>
      </c>
      <c r="U882" s="76">
        <f t="shared" ca="1" si="428"/>
        <v>0</v>
      </c>
      <c r="V882" s="76">
        <f t="shared" ca="1" si="428"/>
        <v>0</v>
      </c>
      <c r="W882" s="76">
        <f t="shared" ca="1" si="428"/>
        <v>0</v>
      </c>
      <c r="X882" s="76">
        <f t="shared" ca="1" si="428"/>
        <v>0</v>
      </c>
    </row>
    <row r="883" spans="1:24" hidden="1">
      <c r="A883" s="258"/>
      <c r="B883" s="20"/>
      <c r="C883" s="21"/>
      <c r="D883" s="21"/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0" t="s">
        <v>391</v>
      </c>
      <c r="C884" s="21">
        <f>C877+1</f>
        <v>112</v>
      </c>
      <c r="D884" s="473">
        <f>D877+1</f>
        <v>246</v>
      </c>
      <c r="E884" s="21"/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414</v>
      </c>
      <c r="C885" s="164">
        <f ca="1">IFERROR(YEAR(OFFSET($D$28,C884,0)),0)</f>
        <v>0</v>
      </c>
      <c r="D885" s="164">
        <f ca="1">IFERROR(MONTH(OFFSET($D$28,C884,0)),0)</f>
        <v>0</v>
      </c>
      <c r="E885" s="21">
        <f ca="1">12-$D885</f>
        <v>12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406</v>
      </c>
      <c r="C886" s="244">
        <f ca="1">IF(OFFSET($F$28,C884,0)&lt;0,0,OFFSET($F$28,C884,0))</f>
        <v>0</v>
      </c>
      <c r="D886" s="22" t="str">
        <f ca="1">OFFSET($C$28,C884,0)</f>
        <v/>
      </c>
      <c r="E886" s="22">
        <f ca="1">IF(D886&gt;10,ROUND(($C887/12)*$E885,0),$C886)</f>
        <v>0</v>
      </c>
      <c r="F886" s="21"/>
      <c r="G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</row>
    <row r="887" spans="1:24" hidden="1">
      <c r="A887" s="258"/>
      <c r="B887" s="21" t="s">
        <v>415</v>
      </c>
      <c r="C887" s="244">
        <f ca="1">IF(ISBLANK(OFFSET($D$28,C884,0)),0,IF(OFFSET($C$28,C884,0)&gt;10,ROUND(C886*am_maszyny,0),IF(C886&lt;0,0,C886)))</f>
        <v>0</v>
      </c>
      <c r="D887" s="21"/>
      <c r="E887" s="21"/>
      <c r="F887" s="21"/>
      <c r="G887" s="21"/>
      <c r="I887" s="21"/>
      <c r="J887" s="473" cm="1">
        <f t="array" aca="1" ref="J887" ca="1">OFFSET('Środki trwałe'!$C$195,'Rozliczenie dotacji'!D884,,)</f>
        <v>0</v>
      </c>
      <c r="K887" s="74">
        <f ca="1">ROUND(IF($C885=LataProjekcji,$E886,IF($C885=LataProjekcji,$C887,0)),0)</f>
        <v>0</v>
      </c>
      <c r="L887" s="247">
        <f ca="1">ROUND(IF(OR(AND($C885=LataProjekcji,$E885&gt;0),AND($C885=LataProjekcji,$E885=0,$D886&lt;=10)),$E886,IF($C885&lt;LataProjekcji,IF((SUM($K887:K887)+$C887)&lt;$C886,$C887,$C886-SUM($K887:K887)),0)),0)</f>
        <v>0</v>
      </c>
      <c r="M887" s="247">
        <f ca="1">ROUND(IF(OR(AND($C885=LataProjekcji,$E885&gt;0),AND($C885=LataProjekcji,$E885=0,$D886&lt;=10)),$E886,IF($C885&lt;LataProjekcji,IF((SUM($K887:L887)+$C887)&lt;$C886,$C887,$C886-SUM($K887:L887)),0)),0)</f>
        <v>0</v>
      </c>
      <c r="N887" s="247">
        <f ca="1">ROUND(IF(OR(AND($C885=LataProjekcji,$E885&gt;0),AND($C885=LataProjekcji,$E885=0,$D886&lt;=10)),$E886,IF($C885&lt;LataProjekcji,IF((SUM($K887:M887)+$C887)&lt;$C886,$C887,$C886-SUM($K887:M887)),0)),0)</f>
        <v>0</v>
      </c>
      <c r="O887" s="247">
        <f ca="1">ROUND(IF(OR(AND($C885=LataProjekcji,$E885&gt;0),AND($C885=LataProjekcji,$E885=0,$D886&lt;=10)),$E886,IF($C885&lt;LataProjekcji,IF((SUM($K887:N887)+$C887)&lt;$C886,$C887,$C886-SUM($K887:N887)),0)),0)</f>
        <v>0</v>
      </c>
      <c r="P887" s="247">
        <f ca="1">ROUND(IF(OR(AND($C885=LataProjekcji,$E885&gt;0),AND($C885=LataProjekcji,$E885=0,$D886&lt;=10)),$E886,IF($C885&lt;LataProjekcji,IF((SUM($K887:O887)+$C887)&lt;$C886,$C887,$C886-SUM($K887:O887)),0)),0)</f>
        <v>0</v>
      </c>
      <c r="Q887" s="247">
        <f ca="1">ROUND(IF(OR(AND($C885=LataProjekcji,$E885&gt;0),AND($C885=LataProjekcji,$E885=0,$D886&lt;=10)),$E886,IF($C885&lt;LataProjekcji,IF((SUM($K887:P887)+$C887)&lt;$C886,$C887,$C886-SUM($K887:P887)),0)),0)</f>
        <v>0</v>
      </c>
      <c r="R887" s="247">
        <f ca="1">ROUND(IF(OR(AND($C885=LataProjekcji,$E885&gt;0),AND($C885=LataProjekcji,$E885=0,$D886&lt;=10)),$E886,IF($C885&lt;LataProjekcji,IF((SUM($K887:Q887)+$C887)&lt;$C886,$C887,$C886-SUM($K887:Q887)),0)),0)</f>
        <v>0</v>
      </c>
      <c r="S887" s="247">
        <f ca="1">ROUND(IF(OR(AND($C885=LataProjekcji,$E885&gt;0),AND($C885=LataProjekcji,$E885=0,$D886&lt;=10)),$E886,IF($C885&lt;LataProjekcji,IF((SUM($K887:R887)+$C887)&lt;$C886,$C887,$C886-SUM($K887:R887)),0)),0)</f>
        <v>0</v>
      </c>
      <c r="T887" s="247">
        <f ca="1">ROUND(IF(OR(AND($C885=LataProjekcji,$E885&gt;0),AND($C885=LataProjekcji,$E885=0,$D886&lt;=10)),$E886,IF($C885&lt;LataProjekcji,IF((SUM($K887:S887)+$C887)&lt;$C886,$C887,$C886-SUM($K887:S887)),0)),0)</f>
        <v>0</v>
      </c>
      <c r="U887" s="247">
        <f ca="1">ROUND(IF(OR(AND($C885=LataProjekcji,$E885&gt;0),AND($C885=LataProjekcji,$E885=0,$D886&lt;=10)),$E886,IF($C885&lt;LataProjekcji,IF((SUM($K887:T887)+$C887)&lt;$C886,$C887,$C886-SUM($K887:T887)),0)),0)</f>
        <v>0</v>
      </c>
      <c r="V887" s="247">
        <f ca="1">ROUND(IF(OR(AND($C885=LataProjekcji,$E885&gt;0),AND($C885=LataProjekcji,$E885=0,$D886&lt;=10)),$E886,IF($C885&lt;LataProjekcji,IF((SUM($K887:U887)+$C887)&lt;$C886,$C887,$C886-SUM($K887:U887)),0)),0)</f>
        <v>0</v>
      </c>
      <c r="W887" s="247">
        <f ca="1">ROUND(IF(OR(AND($C885=LataProjekcji,$E885&gt;0),AND($C885=LataProjekcji,$E885=0,$D886&lt;=10)),$E886,IF($C885&lt;LataProjekcji,IF((SUM($K887:V887)+$C887)&lt;$C886,$C887,$C886-SUM($K887:V887)),0)),0)</f>
        <v>0</v>
      </c>
      <c r="X887" s="247">
        <f ca="1">ROUND(IF(OR(AND($C885=LataProjekcji,$E885&gt;0),AND($C885=LataProjekcji,$E885=0,$D886&lt;=10)),$E886,IF($C885&lt;LataProjekcji,IF((SUM($K887:W887)+$C887)&lt;$C886,$C887,$C886-SUM($K887:W887)),0)),0)</f>
        <v>0</v>
      </c>
    </row>
    <row r="888" spans="1:24" hidden="1">
      <c r="A888" s="258"/>
      <c r="B888" s="21" t="s">
        <v>416</v>
      </c>
      <c r="C888" s="22"/>
      <c r="D888" s="21"/>
      <c r="E888" s="21"/>
      <c r="F888" s="21"/>
      <c r="G888" s="21"/>
      <c r="I888" s="21"/>
      <c r="J888" s="21"/>
      <c r="K888" s="22">
        <f ca="1">ROUND(K887,0)</f>
        <v>0</v>
      </c>
      <c r="L888" s="22">
        <f t="shared" ref="L888:X888" ca="1" si="429">ROUND(K888+L887,0)</f>
        <v>0</v>
      </c>
      <c r="M888" s="22">
        <f t="shared" ca="1" si="429"/>
        <v>0</v>
      </c>
      <c r="N888" s="22">
        <f t="shared" ca="1" si="429"/>
        <v>0</v>
      </c>
      <c r="O888" s="22">
        <f t="shared" ca="1" si="429"/>
        <v>0</v>
      </c>
      <c r="P888" s="22">
        <f t="shared" ca="1" si="429"/>
        <v>0</v>
      </c>
      <c r="Q888" s="22">
        <f t="shared" ca="1" si="429"/>
        <v>0</v>
      </c>
      <c r="R888" s="22">
        <f t="shared" ca="1" si="429"/>
        <v>0</v>
      </c>
      <c r="S888" s="22">
        <f t="shared" ca="1" si="429"/>
        <v>0</v>
      </c>
      <c r="T888" s="22">
        <f t="shared" ca="1" si="429"/>
        <v>0</v>
      </c>
      <c r="U888" s="22">
        <f t="shared" ca="1" si="429"/>
        <v>0</v>
      </c>
      <c r="V888" s="22">
        <f t="shared" ca="1" si="429"/>
        <v>0</v>
      </c>
      <c r="W888" s="22">
        <f t="shared" ca="1" si="429"/>
        <v>0</v>
      </c>
      <c r="X888" s="22">
        <f t="shared" ca="1" si="429"/>
        <v>0</v>
      </c>
    </row>
    <row r="889" spans="1:24" hidden="1">
      <c r="A889" s="258"/>
      <c r="B889" s="21" t="s">
        <v>406</v>
      </c>
      <c r="C889" s="22"/>
      <c r="D889" s="21"/>
      <c r="E889" s="21"/>
      <c r="F889" s="21"/>
      <c r="G889" s="21"/>
      <c r="I889" s="21"/>
      <c r="J889" s="21"/>
      <c r="K889" s="76">
        <f t="shared" ref="K889:X889" ca="1" si="430">IF($C885=LataProjekcji,ROUND($C886-K888,0),ROUND(IF(K887=0,0,$C886-K888),0))</f>
        <v>0</v>
      </c>
      <c r="L889" s="76">
        <f t="shared" ca="1" si="430"/>
        <v>0</v>
      </c>
      <c r="M889" s="76">
        <f t="shared" ca="1" si="430"/>
        <v>0</v>
      </c>
      <c r="N889" s="76">
        <f t="shared" ca="1" si="430"/>
        <v>0</v>
      </c>
      <c r="O889" s="76">
        <f t="shared" ca="1" si="430"/>
        <v>0</v>
      </c>
      <c r="P889" s="76">
        <f t="shared" ca="1" si="430"/>
        <v>0</v>
      </c>
      <c r="Q889" s="76">
        <f t="shared" ca="1" si="430"/>
        <v>0</v>
      </c>
      <c r="R889" s="76">
        <f t="shared" ca="1" si="430"/>
        <v>0</v>
      </c>
      <c r="S889" s="76">
        <f t="shared" ca="1" si="430"/>
        <v>0</v>
      </c>
      <c r="T889" s="76">
        <f t="shared" ca="1" si="430"/>
        <v>0</v>
      </c>
      <c r="U889" s="76">
        <f t="shared" ca="1" si="430"/>
        <v>0</v>
      </c>
      <c r="V889" s="76">
        <f t="shared" ca="1" si="430"/>
        <v>0</v>
      </c>
      <c r="W889" s="76">
        <f t="shared" ca="1" si="430"/>
        <v>0</v>
      </c>
      <c r="X889" s="76">
        <f t="shared" ca="1" si="430"/>
        <v>0</v>
      </c>
    </row>
    <row r="890" spans="1:24" hidden="1">
      <c r="A890" s="258"/>
      <c r="B890" s="21"/>
      <c r="C890" s="22"/>
      <c r="D890" s="21"/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0" t="s">
        <v>391</v>
      </c>
      <c r="C891" s="21">
        <f>C884+1</f>
        <v>113</v>
      </c>
      <c r="D891" s="473">
        <f>D884+1</f>
        <v>247</v>
      </c>
      <c r="E891" s="21"/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414</v>
      </c>
      <c r="C892" s="164">
        <f ca="1">IFERROR(YEAR(OFFSET($D$28,C891,0)),0)</f>
        <v>0</v>
      </c>
      <c r="D892" s="164">
        <f ca="1">IFERROR(MONTH(OFFSET($D$28,C891,0)),0)</f>
        <v>0</v>
      </c>
      <c r="E892" s="21">
        <f ca="1">12-$D892</f>
        <v>12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406</v>
      </c>
      <c r="C893" s="244">
        <f ca="1">IF(OFFSET($F$28,C891,0)&lt;0,0,OFFSET($F$28,C891,0))</f>
        <v>0</v>
      </c>
      <c r="D893" s="22" t="str">
        <f ca="1">OFFSET($C$28,C891,0)</f>
        <v/>
      </c>
      <c r="E893" s="22">
        <f ca="1">IF(D893&gt;10,ROUND(($C894/12)*$E892,0),$C893)</f>
        <v>0</v>
      </c>
      <c r="F893" s="21"/>
      <c r="G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</row>
    <row r="894" spans="1:24" hidden="1">
      <c r="A894" s="258"/>
      <c r="B894" s="21" t="s">
        <v>415</v>
      </c>
      <c r="C894" s="244">
        <f ca="1">IF(ISBLANK(OFFSET($D$28,C891,0)),0,IF(OFFSET($C$28,C891,0)&gt;10,ROUND(C893*am_maszyny,0),IF(C893&lt;0,0,C893)))</f>
        <v>0</v>
      </c>
      <c r="D894" s="21"/>
      <c r="E894" s="21"/>
      <c r="F894" s="21"/>
      <c r="G894" s="21"/>
      <c r="I894" s="21"/>
      <c r="J894" s="473" cm="1">
        <f t="array" aca="1" ref="J894" ca="1">OFFSET('Środki trwałe'!$C$195,'Rozliczenie dotacji'!D891,,)</f>
        <v>0</v>
      </c>
      <c r="K894" s="74">
        <f ca="1">ROUND(IF($C892=LataProjekcji,$E893,IF($C892=LataProjekcji,$C894,0)),0)</f>
        <v>0</v>
      </c>
      <c r="L894" s="247">
        <f ca="1">ROUND(IF(OR(AND($C892=LataProjekcji,$E892&gt;0),AND($C892=LataProjekcji,$E892=0,$D893&lt;=10)),$E893,IF($C892&lt;LataProjekcji,IF((SUM($K894:K894)+$C894)&lt;$C893,$C894,$C893-SUM($K894:K894)),0)),0)</f>
        <v>0</v>
      </c>
      <c r="M894" s="247">
        <f ca="1">ROUND(IF(OR(AND($C892=LataProjekcji,$E892&gt;0),AND($C892=LataProjekcji,$E892=0,$D893&lt;=10)),$E893,IF($C892&lt;LataProjekcji,IF((SUM($K894:L894)+$C894)&lt;$C893,$C894,$C893-SUM($K894:L894)),0)),0)</f>
        <v>0</v>
      </c>
      <c r="N894" s="247">
        <f ca="1">ROUND(IF(OR(AND($C892=LataProjekcji,$E892&gt;0),AND($C892=LataProjekcji,$E892=0,$D893&lt;=10)),$E893,IF($C892&lt;LataProjekcji,IF((SUM($K894:M894)+$C894)&lt;$C893,$C894,$C893-SUM($K894:M894)),0)),0)</f>
        <v>0</v>
      </c>
      <c r="O894" s="247">
        <f ca="1">ROUND(IF(OR(AND($C892=LataProjekcji,$E892&gt;0),AND($C892=LataProjekcji,$E892=0,$D893&lt;=10)),$E893,IF($C892&lt;LataProjekcji,IF((SUM($K894:N894)+$C894)&lt;$C893,$C894,$C893-SUM($K894:N894)),0)),0)</f>
        <v>0</v>
      </c>
      <c r="P894" s="247">
        <f ca="1">ROUND(IF(OR(AND($C892=LataProjekcji,$E892&gt;0),AND($C892=LataProjekcji,$E892=0,$D893&lt;=10)),$E893,IF($C892&lt;LataProjekcji,IF((SUM($K894:O894)+$C894)&lt;$C893,$C894,$C893-SUM($K894:O894)),0)),0)</f>
        <v>0</v>
      </c>
      <c r="Q894" s="247">
        <f ca="1">ROUND(IF(OR(AND($C892=LataProjekcji,$E892&gt;0),AND($C892=LataProjekcji,$E892=0,$D893&lt;=10)),$E893,IF($C892&lt;LataProjekcji,IF((SUM($K894:P894)+$C894)&lt;$C893,$C894,$C893-SUM($K894:P894)),0)),0)</f>
        <v>0</v>
      </c>
      <c r="R894" s="247">
        <f ca="1">ROUND(IF(OR(AND($C892=LataProjekcji,$E892&gt;0),AND($C892=LataProjekcji,$E892=0,$D893&lt;=10)),$E893,IF($C892&lt;LataProjekcji,IF((SUM($K894:Q894)+$C894)&lt;$C893,$C894,$C893-SUM($K894:Q894)),0)),0)</f>
        <v>0</v>
      </c>
      <c r="S894" s="247">
        <f ca="1">ROUND(IF(OR(AND($C892=LataProjekcji,$E892&gt;0),AND($C892=LataProjekcji,$E892=0,$D893&lt;=10)),$E893,IF($C892&lt;LataProjekcji,IF((SUM($K894:R894)+$C894)&lt;$C893,$C894,$C893-SUM($K894:R894)),0)),0)</f>
        <v>0</v>
      </c>
      <c r="T894" s="247">
        <f ca="1">ROUND(IF(OR(AND($C892=LataProjekcji,$E892&gt;0),AND($C892=LataProjekcji,$E892=0,$D893&lt;=10)),$E893,IF($C892&lt;LataProjekcji,IF((SUM($K894:S894)+$C894)&lt;$C893,$C894,$C893-SUM($K894:S894)),0)),0)</f>
        <v>0</v>
      </c>
      <c r="U894" s="247">
        <f ca="1">ROUND(IF(OR(AND($C892=LataProjekcji,$E892&gt;0),AND($C892=LataProjekcji,$E892=0,$D893&lt;=10)),$E893,IF($C892&lt;LataProjekcji,IF((SUM($K894:T894)+$C894)&lt;$C893,$C894,$C893-SUM($K894:T894)),0)),0)</f>
        <v>0</v>
      </c>
      <c r="V894" s="247">
        <f ca="1">ROUND(IF(OR(AND($C892=LataProjekcji,$E892&gt;0),AND($C892=LataProjekcji,$E892=0,$D893&lt;=10)),$E893,IF($C892&lt;LataProjekcji,IF((SUM($K894:U894)+$C894)&lt;$C893,$C894,$C893-SUM($K894:U894)),0)),0)</f>
        <v>0</v>
      </c>
      <c r="W894" s="247">
        <f ca="1">ROUND(IF(OR(AND($C892=LataProjekcji,$E892&gt;0),AND($C892=LataProjekcji,$E892=0,$D893&lt;=10)),$E893,IF($C892&lt;LataProjekcji,IF((SUM($K894:V894)+$C894)&lt;$C893,$C894,$C893-SUM($K894:V894)),0)),0)</f>
        <v>0</v>
      </c>
      <c r="X894" s="247">
        <f ca="1">ROUND(IF(OR(AND($C892=LataProjekcji,$E892&gt;0),AND($C892=LataProjekcji,$E892=0,$D893&lt;=10)),$E893,IF($C892&lt;LataProjekcji,IF((SUM($K894:W894)+$C894)&lt;$C893,$C894,$C893-SUM($K894:W894)),0)),0)</f>
        <v>0</v>
      </c>
    </row>
    <row r="895" spans="1:24" hidden="1">
      <c r="A895" s="258"/>
      <c r="B895" s="21" t="s">
        <v>416</v>
      </c>
      <c r="C895" s="22"/>
      <c r="D895" s="21"/>
      <c r="E895" s="21"/>
      <c r="F895" s="21"/>
      <c r="G895" s="21"/>
      <c r="I895" s="21"/>
      <c r="J895" s="21"/>
      <c r="K895" s="22">
        <f ca="1">ROUND(K894,0)</f>
        <v>0</v>
      </c>
      <c r="L895" s="22">
        <f t="shared" ref="L895:X895" ca="1" si="431">ROUND(K895+L894,0)</f>
        <v>0</v>
      </c>
      <c r="M895" s="22">
        <f t="shared" ca="1" si="431"/>
        <v>0</v>
      </c>
      <c r="N895" s="22">
        <f t="shared" ca="1" si="431"/>
        <v>0</v>
      </c>
      <c r="O895" s="22">
        <f t="shared" ca="1" si="431"/>
        <v>0</v>
      </c>
      <c r="P895" s="22">
        <f t="shared" ca="1" si="431"/>
        <v>0</v>
      </c>
      <c r="Q895" s="22">
        <f t="shared" ca="1" si="431"/>
        <v>0</v>
      </c>
      <c r="R895" s="22">
        <f t="shared" ca="1" si="431"/>
        <v>0</v>
      </c>
      <c r="S895" s="22">
        <f t="shared" ca="1" si="431"/>
        <v>0</v>
      </c>
      <c r="T895" s="22">
        <f t="shared" ca="1" si="431"/>
        <v>0</v>
      </c>
      <c r="U895" s="22">
        <f t="shared" ca="1" si="431"/>
        <v>0</v>
      </c>
      <c r="V895" s="22">
        <f t="shared" ca="1" si="431"/>
        <v>0</v>
      </c>
      <c r="W895" s="22">
        <f t="shared" ca="1" si="431"/>
        <v>0</v>
      </c>
      <c r="X895" s="22">
        <f t="shared" ca="1" si="431"/>
        <v>0</v>
      </c>
    </row>
    <row r="896" spans="1:24" hidden="1">
      <c r="A896" s="258"/>
      <c r="B896" s="21" t="s">
        <v>406</v>
      </c>
      <c r="C896" s="22"/>
      <c r="D896" s="21"/>
      <c r="E896" s="21"/>
      <c r="F896" s="21"/>
      <c r="G896" s="21"/>
      <c r="I896" s="21"/>
      <c r="J896" s="21"/>
      <c r="K896" s="76">
        <f t="shared" ref="K896:X896" ca="1" si="432">IF($C892=LataProjekcji,ROUND($C893-K895,0),ROUND(IF(K894=0,0,$C893-K895),0))</f>
        <v>0</v>
      </c>
      <c r="L896" s="76">
        <f t="shared" ca="1" si="432"/>
        <v>0</v>
      </c>
      <c r="M896" s="76">
        <f t="shared" ca="1" si="432"/>
        <v>0</v>
      </c>
      <c r="N896" s="76">
        <f t="shared" ca="1" si="432"/>
        <v>0</v>
      </c>
      <c r="O896" s="76">
        <f t="shared" ca="1" si="432"/>
        <v>0</v>
      </c>
      <c r="P896" s="76">
        <f t="shared" ca="1" si="432"/>
        <v>0</v>
      </c>
      <c r="Q896" s="76">
        <f t="shared" ca="1" si="432"/>
        <v>0</v>
      </c>
      <c r="R896" s="76">
        <f t="shared" ca="1" si="432"/>
        <v>0</v>
      </c>
      <c r="S896" s="76">
        <f t="shared" ca="1" si="432"/>
        <v>0</v>
      </c>
      <c r="T896" s="76">
        <f t="shared" ca="1" si="432"/>
        <v>0</v>
      </c>
      <c r="U896" s="76">
        <f t="shared" ca="1" si="432"/>
        <v>0</v>
      </c>
      <c r="V896" s="76">
        <f t="shared" ca="1" si="432"/>
        <v>0</v>
      </c>
      <c r="W896" s="76">
        <f t="shared" ca="1" si="432"/>
        <v>0</v>
      </c>
      <c r="X896" s="76">
        <f t="shared" ca="1" si="432"/>
        <v>0</v>
      </c>
    </row>
    <row r="897" spans="1:24" hidden="1">
      <c r="A897" s="258"/>
      <c r="B897" s="21"/>
      <c r="C897" s="22"/>
      <c r="D897" s="21"/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0" t="s">
        <v>391</v>
      </c>
      <c r="C898" s="21">
        <f>C891+1</f>
        <v>114</v>
      </c>
      <c r="D898" s="473">
        <f>D891+1</f>
        <v>248</v>
      </c>
      <c r="E898" s="21"/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414</v>
      </c>
      <c r="C899" s="164">
        <f ca="1">IFERROR(YEAR(OFFSET($D$28,C898,0)),0)</f>
        <v>0</v>
      </c>
      <c r="D899" s="164">
        <f ca="1">IFERROR(MONTH(OFFSET($D$28,C898,0)),0)</f>
        <v>0</v>
      </c>
      <c r="E899" s="21">
        <f ca="1">12-$D899</f>
        <v>12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406</v>
      </c>
      <c r="C900" s="244">
        <f ca="1">IF(OFFSET($F$28,C898,0)&lt;0,0,OFFSET($F$28,C898,0))</f>
        <v>0</v>
      </c>
      <c r="D900" s="22" t="str">
        <f ca="1">OFFSET($C$28,C898,0)</f>
        <v/>
      </c>
      <c r="E900" s="22">
        <f ca="1">IF(D900&gt;10,ROUND(($C901/12)*$E899,0),$C900)</f>
        <v>0</v>
      </c>
      <c r="F900" s="21"/>
      <c r="G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</row>
    <row r="901" spans="1:24" hidden="1">
      <c r="A901" s="258"/>
      <c r="B901" s="21" t="s">
        <v>415</v>
      </c>
      <c r="C901" s="244">
        <f ca="1">IF(ISBLANK(OFFSET($D$28,C898,0)),0,IF(OFFSET($C$28,C898,0)&gt;10,ROUND(C900*am_maszyny,0),IF(C900&lt;0,0,C900)))</f>
        <v>0</v>
      </c>
      <c r="D901" s="21"/>
      <c r="E901" s="21"/>
      <c r="F901" s="21"/>
      <c r="G901" s="21"/>
      <c r="I901" s="21"/>
      <c r="J901" s="473" cm="1">
        <f t="array" aca="1" ref="J901" ca="1">OFFSET('Środki trwałe'!$C$195,'Rozliczenie dotacji'!D898,,)</f>
        <v>0</v>
      </c>
      <c r="K901" s="74">
        <f ca="1">ROUND(IF($C899=LataProjekcji,$E900,IF($C899=LataProjekcji,$C901,0)),0)</f>
        <v>0</v>
      </c>
      <c r="L901" s="247">
        <f ca="1">ROUND(IF(OR(AND($C899=LataProjekcji,$E899&gt;0),AND($C899=LataProjekcji,$E899=0,$D900&lt;=10)),$E900,IF($C899&lt;LataProjekcji,IF((SUM($K901:K901)+$C901)&lt;$C900,$C901,$C900-SUM($K901:K901)),0)),0)</f>
        <v>0</v>
      </c>
      <c r="M901" s="247">
        <f ca="1">ROUND(IF(OR(AND($C899=LataProjekcji,$E899&gt;0),AND($C899=LataProjekcji,$E899=0,$D900&lt;=10)),$E900,IF($C899&lt;LataProjekcji,IF((SUM($K901:L901)+$C901)&lt;$C900,$C901,$C900-SUM($K901:L901)),0)),0)</f>
        <v>0</v>
      </c>
      <c r="N901" s="247">
        <f ca="1">ROUND(IF(OR(AND($C899=LataProjekcji,$E899&gt;0),AND($C899=LataProjekcji,$E899=0,$D900&lt;=10)),$E900,IF($C899&lt;LataProjekcji,IF((SUM($K901:M901)+$C901)&lt;$C900,$C901,$C900-SUM($K901:M901)),0)),0)</f>
        <v>0</v>
      </c>
      <c r="O901" s="247">
        <f ca="1">ROUND(IF(OR(AND($C899=LataProjekcji,$E899&gt;0),AND($C899=LataProjekcji,$E899=0,$D900&lt;=10)),$E900,IF($C899&lt;LataProjekcji,IF((SUM($K901:N901)+$C901)&lt;$C900,$C901,$C900-SUM($K901:N901)),0)),0)</f>
        <v>0</v>
      </c>
      <c r="P901" s="247">
        <f ca="1">ROUND(IF(OR(AND($C899=LataProjekcji,$E899&gt;0),AND($C899=LataProjekcji,$E899=0,$D900&lt;=10)),$E900,IF($C899&lt;LataProjekcji,IF((SUM($K901:O901)+$C901)&lt;$C900,$C901,$C900-SUM($K901:O901)),0)),0)</f>
        <v>0</v>
      </c>
      <c r="Q901" s="247">
        <f ca="1">ROUND(IF(OR(AND($C899=LataProjekcji,$E899&gt;0),AND($C899=LataProjekcji,$E899=0,$D900&lt;=10)),$E900,IF($C899&lt;LataProjekcji,IF((SUM($K901:P901)+$C901)&lt;$C900,$C901,$C900-SUM($K901:P901)),0)),0)</f>
        <v>0</v>
      </c>
      <c r="R901" s="247">
        <f ca="1">ROUND(IF(OR(AND($C899=LataProjekcji,$E899&gt;0),AND($C899=LataProjekcji,$E899=0,$D900&lt;=10)),$E900,IF($C899&lt;LataProjekcji,IF((SUM($K901:Q901)+$C901)&lt;$C900,$C901,$C900-SUM($K901:Q901)),0)),0)</f>
        <v>0</v>
      </c>
      <c r="S901" s="247">
        <f ca="1">ROUND(IF(OR(AND($C899=LataProjekcji,$E899&gt;0),AND($C899=LataProjekcji,$E899=0,$D900&lt;=10)),$E900,IF($C899&lt;LataProjekcji,IF((SUM($K901:R901)+$C901)&lt;$C900,$C901,$C900-SUM($K901:R901)),0)),0)</f>
        <v>0</v>
      </c>
      <c r="T901" s="247">
        <f ca="1">ROUND(IF(OR(AND($C899=LataProjekcji,$E899&gt;0),AND($C899=LataProjekcji,$E899=0,$D900&lt;=10)),$E900,IF($C899&lt;LataProjekcji,IF((SUM($K901:S901)+$C901)&lt;$C900,$C901,$C900-SUM($K901:S901)),0)),0)</f>
        <v>0</v>
      </c>
      <c r="U901" s="247">
        <f ca="1">ROUND(IF(OR(AND($C899=LataProjekcji,$E899&gt;0),AND($C899=LataProjekcji,$E899=0,$D900&lt;=10)),$E900,IF($C899&lt;LataProjekcji,IF((SUM($K901:T901)+$C901)&lt;$C900,$C901,$C900-SUM($K901:T901)),0)),0)</f>
        <v>0</v>
      </c>
      <c r="V901" s="247">
        <f ca="1">ROUND(IF(OR(AND($C899=LataProjekcji,$E899&gt;0),AND($C899=LataProjekcji,$E899=0,$D900&lt;=10)),$E900,IF($C899&lt;LataProjekcji,IF((SUM($K901:U901)+$C901)&lt;$C900,$C901,$C900-SUM($K901:U901)),0)),0)</f>
        <v>0</v>
      </c>
      <c r="W901" s="247">
        <f ca="1">ROUND(IF(OR(AND($C899=LataProjekcji,$E899&gt;0),AND($C899=LataProjekcji,$E899=0,$D900&lt;=10)),$E900,IF($C899&lt;LataProjekcji,IF((SUM($K901:V901)+$C901)&lt;$C900,$C901,$C900-SUM($K901:V901)),0)),0)</f>
        <v>0</v>
      </c>
      <c r="X901" s="247">
        <f ca="1">ROUND(IF(OR(AND($C899=LataProjekcji,$E899&gt;0),AND($C899=LataProjekcji,$E899=0,$D900&lt;=10)),$E900,IF($C899&lt;LataProjekcji,IF((SUM($K901:W901)+$C901)&lt;$C900,$C901,$C900-SUM($K901:W901)),0)),0)</f>
        <v>0</v>
      </c>
    </row>
    <row r="902" spans="1:24" hidden="1">
      <c r="A902" s="258"/>
      <c r="B902" s="21" t="s">
        <v>416</v>
      </c>
      <c r="C902" s="22"/>
      <c r="D902" s="21"/>
      <c r="E902" s="21"/>
      <c r="F902" s="21"/>
      <c r="G902" s="21"/>
      <c r="I902" s="21"/>
      <c r="J902" s="21"/>
      <c r="K902" s="22">
        <f ca="1">ROUND(K901,0)</f>
        <v>0</v>
      </c>
      <c r="L902" s="22">
        <f t="shared" ref="L902:X902" ca="1" si="433">ROUND(K902+L901,0)</f>
        <v>0</v>
      </c>
      <c r="M902" s="22">
        <f t="shared" ca="1" si="433"/>
        <v>0</v>
      </c>
      <c r="N902" s="22">
        <f t="shared" ca="1" si="433"/>
        <v>0</v>
      </c>
      <c r="O902" s="22">
        <f t="shared" ca="1" si="433"/>
        <v>0</v>
      </c>
      <c r="P902" s="22">
        <f t="shared" ca="1" si="433"/>
        <v>0</v>
      </c>
      <c r="Q902" s="22">
        <f t="shared" ca="1" si="433"/>
        <v>0</v>
      </c>
      <c r="R902" s="22">
        <f t="shared" ca="1" si="433"/>
        <v>0</v>
      </c>
      <c r="S902" s="22">
        <f t="shared" ca="1" si="433"/>
        <v>0</v>
      </c>
      <c r="T902" s="22">
        <f t="shared" ca="1" si="433"/>
        <v>0</v>
      </c>
      <c r="U902" s="22">
        <f t="shared" ca="1" si="433"/>
        <v>0</v>
      </c>
      <c r="V902" s="22">
        <f t="shared" ca="1" si="433"/>
        <v>0</v>
      </c>
      <c r="W902" s="22">
        <f t="shared" ca="1" si="433"/>
        <v>0</v>
      </c>
      <c r="X902" s="22">
        <f t="shared" ca="1" si="433"/>
        <v>0</v>
      </c>
    </row>
    <row r="903" spans="1:24" hidden="1">
      <c r="A903" s="258"/>
      <c r="B903" s="21" t="s">
        <v>406</v>
      </c>
      <c r="C903" s="22"/>
      <c r="D903" s="21"/>
      <c r="E903" s="21"/>
      <c r="F903" s="21"/>
      <c r="G903" s="21"/>
      <c r="I903" s="21"/>
      <c r="J903" s="21"/>
      <c r="K903" s="76">
        <f t="shared" ref="K903:X903" ca="1" si="434">IF($C899=LataProjekcji,ROUND($C900-K902,0),ROUND(IF(K901=0,0,$C900-K902),0))</f>
        <v>0</v>
      </c>
      <c r="L903" s="76">
        <f t="shared" ca="1" si="434"/>
        <v>0</v>
      </c>
      <c r="M903" s="76">
        <f t="shared" ca="1" si="434"/>
        <v>0</v>
      </c>
      <c r="N903" s="76">
        <f t="shared" ca="1" si="434"/>
        <v>0</v>
      </c>
      <c r="O903" s="76">
        <f t="shared" ca="1" si="434"/>
        <v>0</v>
      </c>
      <c r="P903" s="76">
        <f t="shared" ca="1" si="434"/>
        <v>0</v>
      </c>
      <c r="Q903" s="76">
        <f t="shared" ca="1" si="434"/>
        <v>0</v>
      </c>
      <c r="R903" s="76">
        <f t="shared" ca="1" si="434"/>
        <v>0</v>
      </c>
      <c r="S903" s="76">
        <f t="shared" ca="1" si="434"/>
        <v>0</v>
      </c>
      <c r="T903" s="76">
        <f t="shared" ca="1" si="434"/>
        <v>0</v>
      </c>
      <c r="U903" s="76">
        <f t="shared" ca="1" si="434"/>
        <v>0</v>
      </c>
      <c r="V903" s="76">
        <f t="shared" ca="1" si="434"/>
        <v>0</v>
      </c>
      <c r="W903" s="76">
        <f t="shared" ca="1" si="434"/>
        <v>0</v>
      </c>
      <c r="X903" s="76">
        <f t="shared" ca="1" si="434"/>
        <v>0</v>
      </c>
    </row>
    <row r="904" spans="1:24" hidden="1">
      <c r="A904" s="258"/>
      <c r="B904" s="20"/>
      <c r="C904" s="21"/>
      <c r="D904" s="21"/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0" t="s">
        <v>391</v>
      </c>
      <c r="C905" s="21">
        <f>C898+1</f>
        <v>115</v>
      </c>
      <c r="D905" s="473">
        <f>D898+1</f>
        <v>249</v>
      </c>
      <c r="E905" s="21"/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414</v>
      </c>
      <c r="C906" s="164">
        <f ca="1">IFERROR(YEAR(OFFSET($D$28,C905,0)),0)</f>
        <v>0</v>
      </c>
      <c r="D906" s="164">
        <f ca="1">IFERROR(MONTH(OFFSET($D$28,C905,0)),0)</f>
        <v>0</v>
      </c>
      <c r="E906" s="21">
        <f ca="1">12-$D906</f>
        <v>12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406</v>
      </c>
      <c r="C907" s="244">
        <f ca="1">IF(OFFSET($F$28,C905,0)&lt;0,0,OFFSET($F$28,C905,0))</f>
        <v>0</v>
      </c>
      <c r="D907" s="22" t="str">
        <f ca="1">OFFSET($C$28,C905,0)</f>
        <v/>
      </c>
      <c r="E907" s="22">
        <f ca="1">IF(D907&gt;10,ROUND(($C908/12)*$E906,0),$C907)</f>
        <v>0</v>
      </c>
      <c r="F907" s="21"/>
      <c r="G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258"/>
      <c r="B908" s="21" t="s">
        <v>415</v>
      </c>
      <c r="C908" s="244">
        <f ca="1">IF(ISBLANK(OFFSET($D$28,C905,0)),0,IF(OFFSET($C$28,C905,0)&gt;10,ROUND(C907*am_maszyny,0),IF(C907&lt;0,0,C907)))</f>
        <v>0</v>
      </c>
      <c r="D908" s="21"/>
      <c r="E908" s="21"/>
      <c r="F908" s="21"/>
      <c r="G908" s="21"/>
      <c r="I908" s="21"/>
      <c r="J908" s="473" cm="1">
        <f t="array" aca="1" ref="J908" ca="1">OFFSET('Środki trwałe'!$C$195,'Rozliczenie dotacji'!D905,,)</f>
        <v>0</v>
      </c>
      <c r="K908" s="74">
        <f ca="1">ROUND(IF($C906=LataProjekcji,$E907,IF($C906=LataProjekcji,$C908,0)),0)</f>
        <v>0</v>
      </c>
      <c r="L908" s="247">
        <f ca="1">ROUND(IF(OR(AND($C906=LataProjekcji,$E906&gt;0),AND($C906=LataProjekcji,$E906=0,$D907&lt;=10)),$E907,IF($C906&lt;LataProjekcji,IF((SUM($K908:K908)+$C908)&lt;$C907,$C908,$C907-SUM($K908:K908)),0)),0)</f>
        <v>0</v>
      </c>
      <c r="M908" s="247">
        <f ca="1">ROUND(IF(OR(AND($C906=LataProjekcji,$E906&gt;0),AND($C906=LataProjekcji,$E906=0,$D907&lt;=10)),$E907,IF($C906&lt;LataProjekcji,IF((SUM($K908:L908)+$C908)&lt;$C907,$C908,$C907-SUM($K908:L908)),0)),0)</f>
        <v>0</v>
      </c>
      <c r="N908" s="247">
        <f ca="1">ROUND(IF(OR(AND($C906=LataProjekcji,$E906&gt;0),AND($C906=LataProjekcji,$E906=0,$D907&lt;=10)),$E907,IF($C906&lt;LataProjekcji,IF((SUM($K908:M908)+$C908)&lt;$C907,$C908,$C907-SUM($K908:M908)),0)),0)</f>
        <v>0</v>
      </c>
      <c r="O908" s="247">
        <f ca="1">ROUND(IF(OR(AND($C906=LataProjekcji,$E906&gt;0),AND($C906=LataProjekcji,$E906=0,$D907&lt;=10)),$E907,IF($C906&lt;LataProjekcji,IF((SUM($K908:N908)+$C908)&lt;$C907,$C908,$C907-SUM($K908:N908)),0)),0)</f>
        <v>0</v>
      </c>
      <c r="P908" s="247">
        <f ca="1">ROUND(IF(OR(AND($C906=LataProjekcji,$E906&gt;0),AND($C906=LataProjekcji,$E906=0,$D907&lt;=10)),$E907,IF($C906&lt;LataProjekcji,IF((SUM($K908:O908)+$C908)&lt;$C907,$C908,$C907-SUM($K908:O908)),0)),0)</f>
        <v>0</v>
      </c>
      <c r="Q908" s="247">
        <f ca="1">ROUND(IF(OR(AND($C906=LataProjekcji,$E906&gt;0),AND($C906=LataProjekcji,$E906=0,$D907&lt;=10)),$E907,IF($C906&lt;LataProjekcji,IF((SUM($K908:P908)+$C908)&lt;$C907,$C908,$C907-SUM($K908:P908)),0)),0)</f>
        <v>0</v>
      </c>
      <c r="R908" s="247">
        <f ca="1">ROUND(IF(OR(AND($C906=LataProjekcji,$E906&gt;0),AND($C906=LataProjekcji,$E906=0,$D907&lt;=10)),$E907,IF($C906&lt;LataProjekcji,IF((SUM($K908:Q908)+$C908)&lt;$C907,$C908,$C907-SUM($K908:Q908)),0)),0)</f>
        <v>0</v>
      </c>
      <c r="S908" s="247">
        <f ca="1">ROUND(IF(OR(AND($C906=LataProjekcji,$E906&gt;0),AND($C906=LataProjekcji,$E906=0,$D907&lt;=10)),$E907,IF($C906&lt;LataProjekcji,IF((SUM($K908:R908)+$C908)&lt;$C907,$C908,$C907-SUM($K908:R908)),0)),0)</f>
        <v>0</v>
      </c>
      <c r="T908" s="247">
        <f ca="1">ROUND(IF(OR(AND($C906=LataProjekcji,$E906&gt;0),AND($C906=LataProjekcji,$E906=0,$D907&lt;=10)),$E907,IF($C906&lt;LataProjekcji,IF((SUM($K908:S908)+$C908)&lt;$C907,$C908,$C907-SUM($K908:S908)),0)),0)</f>
        <v>0</v>
      </c>
      <c r="U908" s="247">
        <f ca="1">ROUND(IF(OR(AND($C906=LataProjekcji,$E906&gt;0),AND($C906=LataProjekcji,$E906=0,$D907&lt;=10)),$E907,IF($C906&lt;LataProjekcji,IF((SUM($K908:T908)+$C908)&lt;$C907,$C908,$C907-SUM($K908:T908)),0)),0)</f>
        <v>0</v>
      </c>
      <c r="V908" s="247">
        <f ca="1">ROUND(IF(OR(AND($C906=LataProjekcji,$E906&gt;0),AND($C906=LataProjekcji,$E906=0,$D907&lt;=10)),$E907,IF($C906&lt;LataProjekcji,IF((SUM($K908:U908)+$C908)&lt;$C907,$C908,$C907-SUM($K908:U908)),0)),0)</f>
        <v>0</v>
      </c>
      <c r="W908" s="247">
        <f ca="1">ROUND(IF(OR(AND($C906=LataProjekcji,$E906&gt;0),AND($C906=LataProjekcji,$E906=0,$D907&lt;=10)),$E907,IF($C906&lt;LataProjekcji,IF((SUM($K908:V908)+$C908)&lt;$C907,$C908,$C907-SUM($K908:V908)),0)),0)</f>
        <v>0</v>
      </c>
      <c r="X908" s="247">
        <f ca="1">ROUND(IF(OR(AND($C906=LataProjekcji,$E906&gt;0),AND($C906=LataProjekcji,$E906=0,$D907&lt;=10)),$E907,IF($C906&lt;LataProjekcji,IF((SUM($K908:W908)+$C908)&lt;$C907,$C908,$C907-SUM($K908:W908)),0)),0)</f>
        <v>0</v>
      </c>
    </row>
    <row r="909" spans="1:24" hidden="1">
      <c r="A909" s="258"/>
      <c r="B909" s="21" t="s">
        <v>416</v>
      </c>
      <c r="C909" s="22"/>
      <c r="D909" s="21"/>
      <c r="E909" s="21"/>
      <c r="F909" s="21"/>
      <c r="G909" s="21"/>
      <c r="I909" s="21"/>
      <c r="J909" s="21"/>
      <c r="K909" s="22">
        <f ca="1">ROUND(K908,0)</f>
        <v>0</v>
      </c>
      <c r="L909" s="22">
        <f t="shared" ref="L909:X909" ca="1" si="435">ROUND(K909+L908,0)</f>
        <v>0</v>
      </c>
      <c r="M909" s="22">
        <f t="shared" ca="1" si="435"/>
        <v>0</v>
      </c>
      <c r="N909" s="22">
        <f t="shared" ca="1" si="435"/>
        <v>0</v>
      </c>
      <c r="O909" s="22">
        <f t="shared" ca="1" si="435"/>
        <v>0</v>
      </c>
      <c r="P909" s="22">
        <f t="shared" ca="1" si="435"/>
        <v>0</v>
      </c>
      <c r="Q909" s="22">
        <f t="shared" ca="1" si="435"/>
        <v>0</v>
      </c>
      <c r="R909" s="22">
        <f t="shared" ca="1" si="435"/>
        <v>0</v>
      </c>
      <c r="S909" s="22">
        <f t="shared" ca="1" si="435"/>
        <v>0</v>
      </c>
      <c r="T909" s="22">
        <f t="shared" ca="1" si="435"/>
        <v>0</v>
      </c>
      <c r="U909" s="22">
        <f t="shared" ca="1" si="435"/>
        <v>0</v>
      </c>
      <c r="V909" s="22">
        <f t="shared" ca="1" si="435"/>
        <v>0</v>
      </c>
      <c r="W909" s="22">
        <f t="shared" ca="1" si="435"/>
        <v>0</v>
      </c>
      <c r="X909" s="22">
        <f t="shared" ca="1" si="435"/>
        <v>0</v>
      </c>
    </row>
    <row r="910" spans="1:24" hidden="1">
      <c r="A910" s="258"/>
      <c r="B910" s="21" t="s">
        <v>406</v>
      </c>
      <c r="C910" s="22"/>
      <c r="D910" s="21"/>
      <c r="E910" s="21"/>
      <c r="F910" s="21"/>
      <c r="G910" s="21"/>
      <c r="I910" s="21"/>
      <c r="J910" s="21"/>
      <c r="K910" s="76">
        <f t="shared" ref="K910:X910" ca="1" si="436">IF($C906=LataProjekcji,ROUND($C907-K909,0),ROUND(IF(K908=0,0,$C907-K909),0))</f>
        <v>0</v>
      </c>
      <c r="L910" s="76">
        <f t="shared" ca="1" si="436"/>
        <v>0</v>
      </c>
      <c r="M910" s="76">
        <f t="shared" ca="1" si="436"/>
        <v>0</v>
      </c>
      <c r="N910" s="76">
        <f t="shared" ca="1" si="436"/>
        <v>0</v>
      </c>
      <c r="O910" s="76">
        <f t="shared" ca="1" si="436"/>
        <v>0</v>
      </c>
      <c r="P910" s="76">
        <f t="shared" ca="1" si="436"/>
        <v>0</v>
      </c>
      <c r="Q910" s="76">
        <f t="shared" ca="1" si="436"/>
        <v>0</v>
      </c>
      <c r="R910" s="76">
        <f t="shared" ca="1" si="436"/>
        <v>0</v>
      </c>
      <c r="S910" s="76">
        <f t="shared" ca="1" si="436"/>
        <v>0</v>
      </c>
      <c r="T910" s="76">
        <f t="shared" ca="1" si="436"/>
        <v>0</v>
      </c>
      <c r="U910" s="76">
        <f t="shared" ca="1" si="436"/>
        <v>0</v>
      </c>
      <c r="V910" s="76">
        <f t="shared" ca="1" si="436"/>
        <v>0</v>
      </c>
      <c r="W910" s="76">
        <f t="shared" ca="1" si="436"/>
        <v>0</v>
      </c>
      <c r="X910" s="76">
        <f t="shared" ca="1" si="436"/>
        <v>0</v>
      </c>
    </row>
    <row r="911" spans="1:24" hidden="1">
      <c r="A911" s="258"/>
      <c r="B911" s="21"/>
      <c r="C911" s="22"/>
      <c r="D911" s="21"/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0" t="s">
        <v>391</v>
      </c>
      <c r="C912" s="21">
        <f>C905+1</f>
        <v>116</v>
      </c>
      <c r="D912" s="473">
        <f>D905+1</f>
        <v>250</v>
      </c>
      <c r="E912" s="21"/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414</v>
      </c>
      <c r="C913" s="164">
        <f ca="1">IFERROR(YEAR(OFFSET($D$28,C912,0)),0)</f>
        <v>0</v>
      </c>
      <c r="D913" s="164">
        <f ca="1">IFERROR(MONTH(OFFSET($D$28,C912,0)),0)</f>
        <v>0</v>
      </c>
      <c r="E913" s="21">
        <f ca="1">12-$D913</f>
        <v>12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406</v>
      </c>
      <c r="C914" s="244">
        <f ca="1">IF(OFFSET($F$28,C912,0)&lt;0,0,OFFSET($F$28,C912,0))</f>
        <v>0</v>
      </c>
      <c r="D914" s="22" t="str">
        <f ca="1">OFFSET($C$28,C912,0)</f>
        <v/>
      </c>
      <c r="E914" s="22">
        <f ca="1">IF(D914&gt;10,ROUND(($C915/12)*$E913,0),$C914)</f>
        <v>0</v>
      </c>
      <c r="F914" s="21"/>
      <c r="G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258"/>
      <c r="B915" s="21" t="s">
        <v>415</v>
      </c>
      <c r="C915" s="244">
        <f ca="1">IF(ISBLANK(OFFSET($D$28,C912,0)),0,IF(OFFSET($C$28,C912,0)&gt;10,ROUND(C914*am_maszyny,0),IF(C914&lt;0,0,C914)))</f>
        <v>0</v>
      </c>
      <c r="D915" s="21"/>
      <c r="E915" s="21"/>
      <c r="F915" s="21"/>
      <c r="G915" s="21"/>
      <c r="I915" s="21"/>
      <c r="J915" s="473" cm="1">
        <f t="array" aca="1" ref="J915" ca="1">OFFSET('Środki trwałe'!$C$195,'Rozliczenie dotacji'!D912,,)</f>
        <v>0</v>
      </c>
      <c r="K915" s="74">
        <f ca="1">ROUND(IF($C913=LataProjekcji,$E914,IF($C913=LataProjekcji,$C915,0)),0)</f>
        <v>0</v>
      </c>
      <c r="L915" s="247">
        <f ca="1">ROUND(IF(OR(AND($C913=LataProjekcji,$E913&gt;0),AND($C913=LataProjekcji,$E913=0,$D914&lt;=10)),$E914,IF($C913&lt;LataProjekcji,IF((SUM($K915:K915)+$C915)&lt;$C914,$C915,$C914-SUM($K915:K915)),0)),0)</f>
        <v>0</v>
      </c>
      <c r="M915" s="247">
        <f ca="1">ROUND(IF(OR(AND($C913=LataProjekcji,$E913&gt;0),AND($C913=LataProjekcji,$E913=0,$D914&lt;=10)),$E914,IF($C913&lt;LataProjekcji,IF((SUM($K915:L915)+$C915)&lt;$C914,$C915,$C914-SUM($K915:L915)),0)),0)</f>
        <v>0</v>
      </c>
      <c r="N915" s="247">
        <f ca="1">ROUND(IF(OR(AND($C913=LataProjekcji,$E913&gt;0),AND($C913=LataProjekcji,$E913=0,$D914&lt;=10)),$E914,IF($C913&lt;LataProjekcji,IF((SUM($K915:M915)+$C915)&lt;$C914,$C915,$C914-SUM($K915:M915)),0)),0)</f>
        <v>0</v>
      </c>
      <c r="O915" s="247">
        <f ca="1">ROUND(IF(OR(AND($C913=LataProjekcji,$E913&gt;0),AND($C913=LataProjekcji,$E913=0,$D914&lt;=10)),$E914,IF($C913&lt;LataProjekcji,IF((SUM($K915:N915)+$C915)&lt;$C914,$C915,$C914-SUM($K915:N915)),0)),0)</f>
        <v>0</v>
      </c>
      <c r="P915" s="247">
        <f ca="1">ROUND(IF(OR(AND($C913=LataProjekcji,$E913&gt;0),AND($C913=LataProjekcji,$E913=0,$D914&lt;=10)),$E914,IF($C913&lt;LataProjekcji,IF((SUM($K915:O915)+$C915)&lt;$C914,$C915,$C914-SUM($K915:O915)),0)),0)</f>
        <v>0</v>
      </c>
      <c r="Q915" s="247">
        <f ca="1">ROUND(IF(OR(AND($C913=LataProjekcji,$E913&gt;0),AND($C913=LataProjekcji,$E913=0,$D914&lt;=10)),$E914,IF($C913&lt;LataProjekcji,IF((SUM($K915:P915)+$C915)&lt;$C914,$C915,$C914-SUM($K915:P915)),0)),0)</f>
        <v>0</v>
      </c>
      <c r="R915" s="247">
        <f ca="1">ROUND(IF(OR(AND($C913=LataProjekcji,$E913&gt;0),AND($C913=LataProjekcji,$E913=0,$D914&lt;=10)),$E914,IF($C913&lt;LataProjekcji,IF((SUM($K915:Q915)+$C915)&lt;$C914,$C915,$C914-SUM($K915:Q915)),0)),0)</f>
        <v>0</v>
      </c>
      <c r="S915" s="247">
        <f ca="1">ROUND(IF(OR(AND($C913=LataProjekcji,$E913&gt;0),AND($C913=LataProjekcji,$E913=0,$D914&lt;=10)),$E914,IF($C913&lt;LataProjekcji,IF((SUM($K915:R915)+$C915)&lt;$C914,$C915,$C914-SUM($K915:R915)),0)),0)</f>
        <v>0</v>
      </c>
      <c r="T915" s="247">
        <f ca="1">ROUND(IF(OR(AND($C913=LataProjekcji,$E913&gt;0),AND($C913=LataProjekcji,$E913=0,$D914&lt;=10)),$E914,IF($C913&lt;LataProjekcji,IF((SUM($K915:S915)+$C915)&lt;$C914,$C915,$C914-SUM($K915:S915)),0)),0)</f>
        <v>0</v>
      </c>
      <c r="U915" s="247">
        <f ca="1">ROUND(IF(OR(AND($C913=LataProjekcji,$E913&gt;0),AND($C913=LataProjekcji,$E913=0,$D914&lt;=10)),$E914,IF($C913&lt;LataProjekcji,IF((SUM($K915:T915)+$C915)&lt;$C914,$C915,$C914-SUM($K915:T915)),0)),0)</f>
        <v>0</v>
      </c>
      <c r="V915" s="247">
        <f ca="1">ROUND(IF(OR(AND($C913=LataProjekcji,$E913&gt;0),AND($C913=LataProjekcji,$E913=0,$D914&lt;=10)),$E914,IF($C913&lt;LataProjekcji,IF((SUM($K915:U915)+$C915)&lt;$C914,$C915,$C914-SUM($K915:U915)),0)),0)</f>
        <v>0</v>
      </c>
      <c r="W915" s="247">
        <f ca="1">ROUND(IF(OR(AND($C913=LataProjekcji,$E913&gt;0),AND($C913=LataProjekcji,$E913=0,$D914&lt;=10)),$E914,IF($C913&lt;LataProjekcji,IF((SUM($K915:V915)+$C915)&lt;$C914,$C915,$C914-SUM($K915:V915)),0)),0)</f>
        <v>0</v>
      </c>
      <c r="X915" s="247">
        <f ca="1">ROUND(IF(OR(AND($C913=LataProjekcji,$E913&gt;0),AND($C913=LataProjekcji,$E913=0,$D914&lt;=10)),$E914,IF($C913&lt;LataProjekcji,IF((SUM($K915:W915)+$C915)&lt;$C914,$C915,$C914-SUM($K915:W915)),0)),0)</f>
        <v>0</v>
      </c>
    </row>
    <row r="916" spans="1:24" hidden="1">
      <c r="A916" s="258"/>
      <c r="B916" s="21" t="s">
        <v>416</v>
      </c>
      <c r="C916" s="22"/>
      <c r="D916" s="21"/>
      <c r="E916" s="21"/>
      <c r="F916" s="21"/>
      <c r="G916" s="21"/>
      <c r="I916" s="21"/>
      <c r="J916" s="21"/>
      <c r="K916" s="22">
        <f ca="1">ROUND(K915,0)</f>
        <v>0</v>
      </c>
      <c r="L916" s="22">
        <f t="shared" ref="L916:X916" ca="1" si="437">ROUND(K916+L915,0)</f>
        <v>0</v>
      </c>
      <c r="M916" s="22">
        <f t="shared" ca="1" si="437"/>
        <v>0</v>
      </c>
      <c r="N916" s="22">
        <f t="shared" ca="1" si="437"/>
        <v>0</v>
      </c>
      <c r="O916" s="22">
        <f t="shared" ca="1" si="437"/>
        <v>0</v>
      </c>
      <c r="P916" s="22">
        <f t="shared" ca="1" si="437"/>
        <v>0</v>
      </c>
      <c r="Q916" s="22">
        <f t="shared" ca="1" si="437"/>
        <v>0</v>
      </c>
      <c r="R916" s="22">
        <f t="shared" ca="1" si="437"/>
        <v>0</v>
      </c>
      <c r="S916" s="22">
        <f t="shared" ca="1" si="437"/>
        <v>0</v>
      </c>
      <c r="T916" s="22">
        <f t="shared" ca="1" si="437"/>
        <v>0</v>
      </c>
      <c r="U916" s="22">
        <f t="shared" ca="1" si="437"/>
        <v>0</v>
      </c>
      <c r="V916" s="22">
        <f t="shared" ca="1" si="437"/>
        <v>0</v>
      </c>
      <c r="W916" s="22">
        <f t="shared" ca="1" si="437"/>
        <v>0</v>
      </c>
      <c r="X916" s="22">
        <f t="shared" ca="1" si="437"/>
        <v>0</v>
      </c>
    </row>
    <row r="917" spans="1:24" hidden="1">
      <c r="A917" s="258"/>
      <c r="B917" s="21" t="s">
        <v>406</v>
      </c>
      <c r="C917" s="22"/>
      <c r="D917" s="21"/>
      <c r="E917" s="21"/>
      <c r="F917" s="21"/>
      <c r="G917" s="21"/>
      <c r="I917" s="21"/>
      <c r="J917" s="21"/>
      <c r="K917" s="76">
        <f t="shared" ref="K917:X917" ca="1" si="438">IF($C913=LataProjekcji,ROUND($C914-K916,0),ROUND(IF(K915=0,0,$C914-K916),0))</f>
        <v>0</v>
      </c>
      <c r="L917" s="76">
        <f t="shared" ca="1" si="438"/>
        <v>0</v>
      </c>
      <c r="M917" s="76">
        <f t="shared" ca="1" si="438"/>
        <v>0</v>
      </c>
      <c r="N917" s="76">
        <f t="shared" ca="1" si="438"/>
        <v>0</v>
      </c>
      <c r="O917" s="76">
        <f t="shared" ca="1" si="438"/>
        <v>0</v>
      </c>
      <c r="P917" s="76">
        <f t="shared" ca="1" si="438"/>
        <v>0</v>
      </c>
      <c r="Q917" s="76">
        <f t="shared" ca="1" si="438"/>
        <v>0</v>
      </c>
      <c r="R917" s="76">
        <f t="shared" ca="1" si="438"/>
        <v>0</v>
      </c>
      <c r="S917" s="76">
        <f t="shared" ca="1" si="438"/>
        <v>0</v>
      </c>
      <c r="T917" s="76">
        <f t="shared" ca="1" si="438"/>
        <v>0</v>
      </c>
      <c r="U917" s="76">
        <f t="shared" ca="1" si="438"/>
        <v>0</v>
      </c>
      <c r="V917" s="76">
        <f t="shared" ca="1" si="438"/>
        <v>0</v>
      </c>
      <c r="W917" s="76">
        <f t="shared" ca="1" si="438"/>
        <v>0</v>
      </c>
      <c r="X917" s="76">
        <f t="shared" ca="1" si="438"/>
        <v>0</v>
      </c>
    </row>
    <row r="918" spans="1:24" hidden="1">
      <c r="A918" s="258"/>
      <c r="B918" s="21"/>
      <c r="C918" s="22"/>
      <c r="D918" s="21"/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0" t="s">
        <v>391</v>
      </c>
      <c r="C919" s="21">
        <f>C912+1</f>
        <v>117</v>
      </c>
      <c r="D919" s="473">
        <f>D912+1</f>
        <v>251</v>
      </c>
      <c r="E919" s="21"/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414</v>
      </c>
      <c r="C920" s="164">
        <f ca="1">IFERROR(YEAR(OFFSET($D$28,C919,0)),0)</f>
        <v>0</v>
      </c>
      <c r="D920" s="164">
        <f ca="1">IFERROR(MONTH(OFFSET($D$28,C919,0)),0)</f>
        <v>0</v>
      </c>
      <c r="E920" s="21">
        <f ca="1">12-$D920</f>
        <v>12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406</v>
      </c>
      <c r="C921" s="244">
        <f ca="1">IF(OFFSET($F$28,C919,0)&lt;0,0,OFFSET($F$28,C919,0))</f>
        <v>0</v>
      </c>
      <c r="D921" s="22" t="str">
        <f ca="1">OFFSET($C$28,C919,0)</f>
        <v/>
      </c>
      <c r="E921" s="22">
        <f ca="1">IF(D921&gt;10,ROUND(($C922/12)*$E920,0),$C921)</f>
        <v>0</v>
      </c>
      <c r="F921" s="21"/>
      <c r="G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258"/>
      <c r="B922" s="21" t="s">
        <v>415</v>
      </c>
      <c r="C922" s="244">
        <f ca="1">IF(ISBLANK(OFFSET($D$28,C919,0)),0,IF(OFFSET($C$28,C919,0)&gt;10,ROUND(C921*am_maszyny,0),IF(C921&lt;0,0,C921)))</f>
        <v>0</v>
      </c>
      <c r="D922" s="21"/>
      <c r="E922" s="21"/>
      <c r="F922" s="21"/>
      <c r="G922" s="21"/>
      <c r="I922" s="21"/>
      <c r="J922" s="473" cm="1">
        <f t="array" aca="1" ref="J922" ca="1">OFFSET('Środki trwałe'!$C$195,'Rozliczenie dotacji'!D919,,)</f>
        <v>0</v>
      </c>
      <c r="K922" s="74">
        <f ca="1">ROUND(IF($C920=LataProjekcji,$E921,IF($C920=LataProjekcji,$C922,0)),0)</f>
        <v>0</v>
      </c>
      <c r="L922" s="247">
        <f ca="1">ROUND(IF(OR(AND($C920=LataProjekcji,$E920&gt;0),AND($C920=LataProjekcji,$E920=0,$D921&lt;=10)),$E921,IF($C920&lt;LataProjekcji,IF((SUM($K922:K922)+$C922)&lt;$C921,$C922,$C921-SUM($K922:K922)),0)),0)</f>
        <v>0</v>
      </c>
      <c r="M922" s="247">
        <f ca="1">ROUND(IF(OR(AND($C920=LataProjekcji,$E920&gt;0),AND($C920=LataProjekcji,$E920=0,$D921&lt;=10)),$E921,IF($C920&lt;LataProjekcji,IF((SUM($K922:L922)+$C922)&lt;$C921,$C922,$C921-SUM($K922:L922)),0)),0)</f>
        <v>0</v>
      </c>
      <c r="N922" s="247">
        <f ca="1">ROUND(IF(OR(AND($C920=LataProjekcji,$E920&gt;0),AND($C920=LataProjekcji,$E920=0,$D921&lt;=10)),$E921,IF($C920&lt;LataProjekcji,IF((SUM($K922:M922)+$C922)&lt;$C921,$C922,$C921-SUM($K922:M922)),0)),0)</f>
        <v>0</v>
      </c>
      <c r="O922" s="247">
        <f ca="1">ROUND(IF(OR(AND($C920=LataProjekcji,$E920&gt;0),AND($C920=LataProjekcji,$E920=0,$D921&lt;=10)),$E921,IF($C920&lt;LataProjekcji,IF((SUM($K922:N922)+$C922)&lt;$C921,$C922,$C921-SUM($K922:N922)),0)),0)</f>
        <v>0</v>
      </c>
      <c r="P922" s="247">
        <f ca="1">ROUND(IF(OR(AND($C920=LataProjekcji,$E920&gt;0),AND($C920=LataProjekcji,$E920=0,$D921&lt;=10)),$E921,IF($C920&lt;LataProjekcji,IF((SUM($K922:O922)+$C922)&lt;$C921,$C922,$C921-SUM($K922:O922)),0)),0)</f>
        <v>0</v>
      </c>
      <c r="Q922" s="247">
        <f ca="1">ROUND(IF(OR(AND($C920=LataProjekcji,$E920&gt;0),AND($C920=LataProjekcji,$E920=0,$D921&lt;=10)),$E921,IF($C920&lt;LataProjekcji,IF((SUM($K922:P922)+$C922)&lt;$C921,$C922,$C921-SUM($K922:P922)),0)),0)</f>
        <v>0</v>
      </c>
      <c r="R922" s="247">
        <f ca="1">ROUND(IF(OR(AND($C920=LataProjekcji,$E920&gt;0),AND($C920=LataProjekcji,$E920=0,$D921&lt;=10)),$E921,IF($C920&lt;LataProjekcji,IF((SUM($K922:Q922)+$C922)&lt;$C921,$C922,$C921-SUM($K922:Q922)),0)),0)</f>
        <v>0</v>
      </c>
      <c r="S922" s="247">
        <f ca="1">ROUND(IF(OR(AND($C920=LataProjekcji,$E920&gt;0),AND($C920=LataProjekcji,$E920=0,$D921&lt;=10)),$E921,IF($C920&lt;LataProjekcji,IF((SUM($K922:R922)+$C922)&lt;$C921,$C922,$C921-SUM($K922:R922)),0)),0)</f>
        <v>0</v>
      </c>
      <c r="T922" s="247">
        <f ca="1">ROUND(IF(OR(AND($C920=LataProjekcji,$E920&gt;0),AND($C920=LataProjekcji,$E920=0,$D921&lt;=10)),$E921,IF($C920&lt;LataProjekcji,IF((SUM($K922:S922)+$C922)&lt;$C921,$C922,$C921-SUM($K922:S922)),0)),0)</f>
        <v>0</v>
      </c>
      <c r="U922" s="247">
        <f ca="1">ROUND(IF(OR(AND($C920=LataProjekcji,$E920&gt;0),AND($C920=LataProjekcji,$E920=0,$D921&lt;=10)),$E921,IF($C920&lt;LataProjekcji,IF((SUM($K922:T922)+$C922)&lt;$C921,$C922,$C921-SUM($K922:T922)),0)),0)</f>
        <v>0</v>
      </c>
      <c r="V922" s="247">
        <f ca="1">ROUND(IF(OR(AND($C920=LataProjekcji,$E920&gt;0),AND($C920=LataProjekcji,$E920=0,$D921&lt;=10)),$E921,IF($C920&lt;LataProjekcji,IF((SUM($K922:U922)+$C922)&lt;$C921,$C922,$C921-SUM($K922:U922)),0)),0)</f>
        <v>0</v>
      </c>
      <c r="W922" s="247">
        <f ca="1">ROUND(IF(OR(AND($C920=LataProjekcji,$E920&gt;0),AND($C920=LataProjekcji,$E920=0,$D921&lt;=10)),$E921,IF($C920&lt;LataProjekcji,IF((SUM($K922:V922)+$C922)&lt;$C921,$C922,$C921-SUM($K922:V922)),0)),0)</f>
        <v>0</v>
      </c>
      <c r="X922" s="247">
        <f ca="1">ROUND(IF(OR(AND($C920=LataProjekcji,$E920&gt;0),AND($C920=LataProjekcji,$E920=0,$D921&lt;=10)),$E921,IF($C920&lt;LataProjekcji,IF((SUM($K922:W922)+$C922)&lt;$C921,$C922,$C921-SUM($K922:W922)),0)),0)</f>
        <v>0</v>
      </c>
    </row>
    <row r="923" spans="1:24" hidden="1">
      <c r="A923" s="258"/>
      <c r="B923" s="21" t="s">
        <v>416</v>
      </c>
      <c r="C923" s="22"/>
      <c r="D923" s="21"/>
      <c r="E923" s="21"/>
      <c r="F923" s="21"/>
      <c r="G923" s="21"/>
      <c r="I923" s="21"/>
      <c r="J923" s="21"/>
      <c r="K923" s="22">
        <f ca="1">ROUND(K922,0)</f>
        <v>0</v>
      </c>
      <c r="L923" s="22">
        <f t="shared" ref="L923:X923" ca="1" si="439">ROUND(K923+L922,0)</f>
        <v>0</v>
      </c>
      <c r="M923" s="22">
        <f t="shared" ca="1" si="439"/>
        <v>0</v>
      </c>
      <c r="N923" s="22">
        <f t="shared" ca="1" si="439"/>
        <v>0</v>
      </c>
      <c r="O923" s="22">
        <f t="shared" ca="1" si="439"/>
        <v>0</v>
      </c>
      <c r="P923" s="22">
        <f t="shared" ca="1" si="439"/>
        <v>0</v>
      </c>
      <c r="Q923" s="22">
        <f t="shared" ca="1" si="439"/>
        <v>0</v>
      </c>
      <c r="R923" s="22">
        <f t="shared" ca="1" si="439"/>
        <v>0</v>
      </c>
      <c r="S923" s="22">
        <f t="shared" ca="1" si="439"/>
        <v>0</v>
      </c>
      <c r="T923" s="22">
        <f t="shared" ca="1" si="439"/>
        <v>0</v>
      </c>
      <c r="U923" s="22">
        <f t="shared" ca="1" si="439"/>
        <v>0</v>
      </c>
      <c r="V923" s="22">
        <f t="shared" ca="1" si="439"/>
        <v>0</v>
      </c>
      <c r="W923" s="22">
        <f t="shared" ca="1" si="439"/>
        <v>0</v>
      </c>
      <c r="X923" s="22">
        <f t="shared" ca="1" si="439"/>
        <v>0</v>
      </c>
    </row>
    <row r="924" spans="1:24" hidden="1">
      <c r="A924" s="258"/>
      <c r="B924" s="21" t="s">
        <v>406</v>
      </c>
      <c r="C924" s="22"/>
      <c r="D924" s="21"/>
      <c r="E924" s="21"/>
      <c r="F924" s="21"/>
      <c r="G924" s="21"/>
      <c r="I924" s="21"/>
      <c r="J924" s="21"/>
      <c r="K924" s="76">
        <f t="shared" ref="K924:X924" ca="1" si="440">IF($C920=LataProjekcji,ROUND($C921-K923,0),ROUND(IF(K922=0,0,$C921-K923),0))</f>
        <v>0</v>
      </c>
      <c r="L924" s="76">
        <f t="shared" ca="1" si="440"/>
        <v>0</v>
      </c>
      <c r="M924" s="76">
        <f t="shared" ca="1" si="440"/>
        <v>0</v>
      </c>
      <c r="N924" s="76">
        <f t="shared" ca="1" si="440"/>
        <v>0</v>
      </c>
      <c r="O924" s="76">
        <f t="shared" ca="1" si="440"/>
        <v>0</v>
      </c>
      <c r="P924" s="76">
        <f t="shared" ca="1" si="440"/>
        <v>0</v>
      </c>
      <c r="Q924" s="76">
        <f t="shared" ca="1" si="440"/>
        <v>0</v>
      </c>
      <c r="R924" s="76">
        <f t="shared" ca="1" si="440"/>
        <v>0</v>
      </c>
      <c r="S924" s="76">
        <f t="shared" ca="1" si="440"/>
        <v>0</v>
      </c>
      <c r="T924" s="76">
        <f t="shared" ca="1" si="440"/>
        <v>0</v>
      </c>
      <c r="U924" s="76">
        <f t="shared" ca="1" si="440"/>
        <v>0</v>
      </c>
      <c r="V924" s="76">
        <f t="shared" ca="1" si="440"/>
        <v>0</v>
      </c>
      <c r="W924" s="76">
        <f t="shared" ca="1" si="440"/>
        <v>0</v>
      </c>
      <c r="X924" s="76">
        <f t="shared" ca="1" si="440"/>
        <v>0</v>
      </c>
    </row>
    <row r="925" spans="1:24" hidden="1">
      <c r="A925" s="258"/>
      <c r="B925" s="20"/>
      <c r="C925" s="21"/>
      <c r="D925" s="21"/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0" t="s">
        <v>391</v>
      </c>
      <c r="C926" s="21">
        <f>C919+1</f>
        <v>118</v>
      </c>
      <c r="D926" s="473">
        <f>D919+1</f>
        <v>252</v>
      </c>
      <c r="E926" s="21"/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414</v>
      </c>
      <c r="C927" s="164">
        <f ca="1">IFERROR(YEAR(OFFSET($D$28,C926,0)),0)</f>
        <v>0</v>
      </c>
      <c r="D927" s="164">
        <f ca="1">IFERROR(MONTH(OFFSET($D$28,C926,0)),0)</f>
        <v>0</v>
      </c>
      <c r="E927" s="21">
        <f ca="1">12-$D927</f>
        <v>12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406</v>
      </c>
      <c r="C928" s="244">
        <f ca="1">IF(OFFSET($F$28,C926,0)&lt;0,0,OFFSET($F$28,C926,0))</f>
        <v>0</v>
      </c>
      <c r="D928" s="22" t="str">
        <f ca="1">OFFSET($C$28,C926,0)</f>
        <v/>
      </c>
      <c r="E928" s="22">
        <f ca="1">IF(D928&gt;10,ROUND(($C929/12)*$E927,0),$C928)</f>
        <v>0</v>
      </c>
      <c r="F928" s="21"/>
      <c r="G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</row>
    <row r="929" spans="1:24" hidden="1">
      <c r="A929" s="258"/>
      <c r="B929" s="21" t="s">
        <v>415</v>
      </c>
      <c r="C929" s="244">
        <f ca="1">IF(ISBLANK(OFFSET($D$28,C926,0)),0,IF(OFFSET($C$28,C926,0)&gt;10,ROUND(C928*am_maszyny,0),IF(C928&lt;0,0,C928)))</f>
        <v>0</v>
      </c>
      <c r="D929" s="21"/>
      <c r="E929" s="21"/>
      <c r="F929" s="21"/>
      <c r="G929" s="21"/>
      <c r="I929" s="21"/>
      <c r="J929" s="473" cm="1">
        <f t="array" aca="1" ref="J929" ca="1">OFFSET('Środki trwałe'!$C$195,'Rozliczenie dotacji'!D926,,)</f>
        <v>0</v>
      </c>
      <c r="K929" s="74">
        <f ca="1">ROUND(IF($C927=LataProjekcji,$E928,IF($C927=LataProjekcji,$C929,0)),0)</f>
        <v>0</v>
      </c>
      <c r="L929" s="247">
        <f ca="1">ROUND(IF(OR(AND($C927=LataProjekcji,$E927&gt;0),AND($C927=LataProjekcji,$E927=0,$D928&lt;=10)),$E928,IF($C927&lt;LataProjekcji,IF((SUM($K929:K929)+$C929)&lt;$C928,$C929,$C928-SUM($K929:K929)),0)),0)</f>
        <v>0</v>
      </c>
      <c r="M929" s="247">
        <f ca="1">ROUND(IF(OR(AND($C927=LataProjekcji,$E927&gt;0),AND($C927=LataProjekcji,$E927=0,$D928&lt;=10)),$E928,IF($C927&lt;LataProjekcji,IF((SUM($K929:L929)+$C929)&lt;$C928,$C929,$C928-SUM($K929:L929)),0)),0)</f>
        <v>0</v>
      </c>
      <c r="N929" s="247">
        <f ca="1">ROUND(IF(OR(AND($C927=LataProjekcji,$E927&gt;0),AND($C927=LataProjekcji,$E927=0,$D928&lt;=10)),$E928,IF($C927&lt;LataProjekcji,IF((SUM($K929:M929)+$C929)&lt;$C928,$C929,$C928-SUM($K929:M929)),0)),0)</f>
        <v>0</v>
      </c>
      <c r="O929" s="247">
        <f ca="1">ROUND(IF(OR(AND($C927=LataProjekcji,$E927&gt;0),AND($C927=LataProjekcji,$E927=0,$D928&lt;=10)),$E928,IF($C927&lt;LataProjekcji,IF((SUM($K929:N929)+$C929)&lt;$C928,$C929,$C928-SUM($K929:N929)),0)),0)</f>
        <v>0</v>
      </c>
      <c r="P929" s="247">
        <f ca="1">ROUND(IF(OR(AND($C927=LataProjekcji,$E927&gt;0),AND($C927=LataProjekcji,$E927=0,$D928&lt;=10)),$E928,IF($C927&lt;LataProjekcji,IF((SUM($K929:O929)+$C929)&lt;$C928,$C929,$C928-SUM($K929:O929)),0)),0)</f>
        <v>0</v>
      </c>
      <c r="Q929" s="247">
        <f ca="1">ROUND(IF(OR(AND($C927=LataProjekcji,$E927&gt;0),AND($C927=LataProjekcji,$E927=0,$D928&lt;=10)),$E928,IF($C927&lt;LataProjekcji,IF((SUM($K929:P929)+$C929)&lt;$C928,$C929,$C928-SUM($K929:P929)),0)),0)</f>
        <v>0</v>
      </c>
      <c r="R929" s="247">
        <f ca="1">ROUND(IF(OR(AND($C927=LataProjekcji,$E927&gt;0),AND($C927=LataProjekcji,$E927=0,$D928&lt;=10)),$E928,IF($C927&lt;LataProjekcji,IF((SUM($K929:Q929)+$C929)&lt;$C928,$C929,$C928-SUM($K929:Q929)),0)),0)</f>
        <v>0</v>
      </c>
      <c r="S929" s="247">
        <f ca="1">ROUND(IF(OR(AND($C927=LataProjekcji,$E927&gt;0),AND($C927=LataProjekcji,$E927=0,$D928&lt;=10)),$E928,IF($C927&lt;LataProjekcji,IF((SUM($K929:R929)+$C929)&lt;$C928,$C929,$C928-SUM($K929:R929)),0)),0)</f>
        <v>0</v>
      </c>
      <c r="T929" s="247">
        <f ca="1">ROUND(IF(OR(AND($C927=LataProjekcji,$E927&gt;0),AND($C927=LataProjekcji,$E927=0,$D928&lt;=10)),$E928,IF($C927&lt;LataProjekcji,IF((SUM($K929:S929)+$C929)&lt;$C928,$C929,$C928-SUM($K929:S929)),0)),0)</f>
        <v>0</v>
      </c>
      <c r="U929" s="247">
        <f ca="1">ROUND(IF(OR(AND($C927=LataProjekcji,$E927&gt;0),AND($C927=LataProjekcji,$E927=0,$D928&lt;=10)),$E928,IF($C927&lt;LataProjekcji,IF((SUM($K929:T929)+$C929)&lt;$C928,$C929,$C928-SUM($K929:T929)),0)),0)</f>
        <v>0</v>
      </c>
      <c r="V929" s="247">
        <f ca="1">ROUND(IF(OR(AND($C927=LataProjekcji,$E927&gt;0),AND($C927=LataProjekcji,$E927=0,$D928&lt;=10)),$E928,IF($C927&lt;LataProjekcji,IF((SUM($K929:U929)+$C929)&lt;$C928,$C929,$C928-SUM($K929:U929)),0)),0)</f>
        <v>0</v>
      </c>
      <c r="W929" s="247">
        <f ca="1">ROUND(IF(OR(AND($C927=LataProjekcji,$E927&gt;0),AND($C927=LataProjekcji,$E927=0,$D928&lt;=10)),$E928,IF($C927&lt;LataProjekcji,IF((SUM($K929:V929)+$C929)&lt;$C928,$C929,$C928-SUM($K929:V929)),0)),0)</f>
        <v>0</v>
      </c>
      <c r="X929" s="247">
        <f ca="1">ROUND(IF(OR(AND($C927=LataProjekcji,$E927&gt;0),AND($C927=LataProjekcji,$E927=0,$D928&lt;=10)),$E928,IF($C927&lt;LataProjekcji,IF((SUM($K929:W929)+$C929)&lt;$C928,$C929,$C928-SUM($K929:W929)),0)),0)</f>
        <v>0</v>
      </c>
    </row>
    <row r="930" spans="1:24" hidden="1">
      <c r="A930" s="258"/>
      <c r="B930" s="21" t="s">
        <v>416</v>
      </c>
      <c r="C930" s="22"/>
      <c r="D930" s="21"/>
      <c r="E930" s="21"/>
      <c r="F930" s="21"/>
      <c r="G930" s="21"/>
      <c r="I930" s="21"/>
      <c r="J930" s="21"/>
      <c r="K930" s="22">
        <f ca="1">ROUND(K929,0)</f>
        <v>0</v>
      </c>
      <c r="L930" s="22">
        <f t="shared" ref="L930:X930" ca="1" si="441">ROUND(K930+L929,0)</f>
        <v>0</v>
      </c>
      <c r="M930" s="22">
        <f t="shared" ca="1" si="441"/>
        <v>0</v>
      </c>
      <c r="N930" s="22">
        <f t="shared" ca="1" si="441"/>
        <v>0</v>
      </c>
      <c r="O930" s="22">
        <f t="shared" ca="1" si="441"/>
        <v>0</v>
      </c>
      <c r="P930" s="22">
        <f t="shared" ca="1" si="441"/>
        <v>0</v>
      </c>
      <c r="Q930" s="22">
        <f t="shared" ca="1" si="441"/>
        <v>0</v>
      </c>
      <c r="R930" s="22">
        <f t="shared" ca="1" si="441"/>
        <v>0</v>
      </c>
      <c r="S930" s="22">
        <f t="shared" ca="1" si="441"/>
        <v>0</v>
      </c>
      <c r="T930" s="22">
        <f t="shared" ca="1" si="441"/>
        <v>0</v>
      </c>
      <c r="U930" s="22">
        <f t="shared" ca="1" si="441"/>
        <v>0</v>
      </c>
      <c r="V930" s="22">
        <f t="shared" ca="1" si="441"/>
        <v>0</v>
      </c>
      <c r="W930" s="22">
        <f t="shared" ca="1" si="441"/>
        <v>0</v>
      </c>
      <c r="X930" s="22">
        <f t="shared" ca="1" si="441"/>
        <v>0</v>
      </c>
    </row>
    <row r="931" spans="1:24" hidden="1">
      <c r="A931" s="258"/>
      <c r="B931" s="21" t="s">
        <v>406</v>
      </c>
      <c r="C931" s="22"/>
      <c r="D931" s="21"/>
      <c r="E931" s="21"/>
      <c r="F931" s="21"/>
      <c r="G931" s="21"/>
      <c r="I931" s="21"/>
      <c r="J931" s="21"/>
      <c r="K931" s="76">
        <f t="shared" ref="K931:X931" ca="1" si="442">IF($C927=LataProjekcji,ROUND($C928-K930,0),ROUND(IF(K929=0,0,$C928-K930),0))</f>
        <v>0</v>
      </c>
      <c r="L931" s="76">
        <f t="shared" ca="1" si="442"/>
        <v>0</v>
      </c>
      <c r="M931" s="76">
        <f t="shared" ca="1" si="442"/>
        <v>0</v>
      </c>
      <c r="N931" s="76">
        <f t="shared" ca="1" si="442"/>
        <v>0</v>
      </c>
      <c r="O931" s="76">
        <f t="shared" ca="1" si="442"/>
        <v>0</v>
      </c>
      <c r="P931" s="76">
        <f t="shared" ca="1" si="442"/>
        <v>0</v>
      </c>
      <c r="Q931" s="76">
        <f t="shared" ca="1" si="442"/>
        <v>0</v>
      </c>
      <c r="R931" s="76">
        <f t="shared" ca="1" si="442"/>
        <v>0</v>
      </c>
      <c r="S931" s="76">
        <f t="shared" ca="1" si="442"/>
        <v>0</v>
      </c>
      <c r="T931" s="76">
        <f t="shared" ca="1" si="442"/>
        <v>0</v>
      </c>
      <c r="U931" s="76">
        <f t="shared" ca="1" si="442"/>
        <v>0</v>
      </c>
      <c r="V931" s="76">
        <f t="shared" ca="1" si="442"/>
        <v>0</v>
      </c>
      <c r="W931" s="76">
        <f t="shared" ca="1" si="442"/>
        <v>0</v>
      </c>
      <c r="X931" s="76">
        <f t="shared" ca="1" si="442"/>
        <v>0</v>
      </c>
    </row>
    <row r="932" spans="1:24" hidden="1">
      <c r="A932" s="258"/>
      <c r="B932" s="21"/>
      <c r="C932" s="22"/>
      <c r="D932" s="21"/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0" t="s">
        <v>391</v>
      </c>
      <c r="C933" s="21">
        <f>C926+1</f>
        <v>119</v>
      </c>
      <c r="D933" s="473">
        <f>D926+1</f>
        <v>253</v>
      </c>
      <c r="E933" s="21"/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414</v>
      </c>
      <c r="C934" s="164">
        <f ca="1">IFERROR(YEAR(OFFSET($D$28,C933,0)),0)</f>
        <v>0</v>
      </c>
      <c r="D934" s="164">
        <f ca="1">IFERROR(MONTH(OFFSET($D$28,C933,0)),0)</f>
        <v>0</v>
      </c>
      <c r="E934" s="21">
        <f ca="1">12-$D934</f>
        <v>12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406</v>
      </c>
      <c r="C935" s="244">
        <f ca="1">IF(OFFSET($F$28,C933,0)&lt;0,0,OFFSET($F$28,C933,0))</f>
        <v>0</v>
      </c>
      <c r="D935" s="22" t="str">
        <f ca="1">OFFSET($C$28,C933,0)</f>
        <v/>
      </c>
      <c r="E935" s="22">
        <f ca="1">IF(D935&gt;10,ROUND(($C936/12)*$E934,0),$C935)</f>
        <v>0</v>
      </c>
      <c r="F935" s="21"/>
      <c r="G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</row>
    <row r="936" spans="1:24" hidden="1">
      <c r="A936" s="258"/>
      <c r="B936" s="21" t="s">
        <v>415</v>
      </c>
      <c r="C936" s="244">
        <f ca="1">IF(ISBLANK(OFFSET($D$28,C933,0)),0,IF(OFFSET($C$28,C933,0)&gt;10,ROUND(C935*am_maszyny,0),IF(C935&lt;0,0,C935)))</f>
        <v>0</v>
      </c>
      <c r="D936" s="21"/>
      <c r="E936" s="21"/>
      <c r="F936" s="21"/>
      <c r="G936" s="21"/>
      <c r="I936" s="21"/>
      <c r="J936" s="473" cm="1">
        <f t="array" aca="1" ref="J936" ca="1">OFFSET('Środki trwałe'!$C$195,'Rozliczenie dotacji'!D933,,)</f>
        <v>0</v>
      </c>
      <c r="K936" s="74">
        <f ca="1">ROUND(IF($C934=LataProjekcji,$E935,IF($C934=LataProjekcji,$C936,0)),0)</f>
        <v>0</v>
      </c>
      <c r="L936" s="247">
        <f ca="1">ROUND(IF(OR(AND($C934=LataProjekcji,$E934&gt;0),AND($C934=LataProjekcji,$E934=0,$D935&lt;=10)),$E935,IF($C934&lt;LataProjekcji,IF((SUM($K936:K936)+$C936)&lt;$C935,$C936,$C935-SUM($K936:K936)),0)),0)</f>
        <v>0</v>
      </c>
      <c r="M936" s="247">
        <f ca="1">ROUND(IF(OR(AND($C934=LataProjekcji,$E934&gt;0),AND($C934=LataProjekcji,$E934=0,$D935&lt;=10)),$E935,IF($C934&lt;LataProjekcji,IF((SUM($K936:L936)+$C936)&lt;$C935,$C936,$C935-SUM($K936:L936)),0)),0)</f>
        <v>0</v>
      </c>
      <c r="N936" s="247">
        <f ca="1">ROUND(IF(OR(AND($C934=LataProjekcji,$E934&gt;0),AND($C934=LataProjekcji,$E934=0,$D935&lt;=10)),$E935,IF($C934&lt;LataProjekcji,IF((SUM($K936:M936)+$C936)&lt;$C935,$C936,$C935-SUM($K936:M936)),0)),0)</f>
        <v>0</v>
      </c>
      <c r="O936" s="247">
        <f ca="1">ROUND(IF(OR(AND($C934=LataProjekcji,$E934&gt;0),AND($C934=LataProjekcji,$E934=0,$D935&lt;=10)),$E935,IF($C934&lt;LataProjekcji,IF((SUM($K936:N936)+$C936)&lt;$C935,$C936,$C935-SUM($K936:N936)),0)),0)</f>
        <v>0</v>
      </c>
      <c r="P936" s="247">
        <f ca="1">ROUND(IF(OR(AND($C934=LataProjekcji,$E934&gt;0),AND($C934=LataProjekcji,$E934=0,$D935&lt;=10)),$E935,IF($C934&lt;LataProjekcji,IF((SUM($K936:O936)+$C936)&lt;$C935,$C936,$C935-SUM($K936:O936)),0)),0)</f>
        <v>0</v>
      </c>
      <c r="Q936" s="247">
        <f ca="1">ROUND(IF(OR(AND($C934=LataProjekcji,$E934&gt;0),AND($C934=LataProjekcji,$E934=0,$D935&lt;=10)),$E935,IF($C934&lt;LataProjekcji,IF((SUM($K936:P936)+$C936)&lt;$C935,$C936,$C935-SUM($K936:P936)),0)),0)</f>
        <v>0</v>
      </c>
      <c r="R936" s="247">
        <f ca="1">ROUND(IF(OR(AND($C934=LataProjekcji,$E934&gt;0),AND($C934=LataProjekcji,$E934=0,$D935&lt;=10)),$E935,IF($C934&lt;LataProjekcji,IF((SUM($K936:Q936)+$C936)&lt;$C935,$C936,$C935-SUM($K936:Q936)),0)),0)</f>
        <v>0</v>
      </c>
      <c r="S936" s="247">
        <f ca="1">ROUND(IF(OR(AND($C934=LataProjekcji,$E934&gt;0),AND($C934=LataProjekcji,$E934=0,$D935&lt;=10)),$E935,IF($C934&lt;LataProjekcji,IF((SUM($K936:R936)+$C936)&lt;$C935,$C936,$C935-SUM($K936:R936)),0)),0)</f>
        <v>0</v>
      </c>
      <c r="T936" s="247">
        <f ca="1">ROUND(IF(OR(AND($C934=LataProjekcji,$E934&gt;0),AND($C934=LataProjekcji,$E934=0,$D935&lt;=10)),$E935,IF($C934&lt;LataProjekcji,IF((SUM($K936:S936)+$C936)&lt;$C935,$C936,$C935-SUM($K936:S936)),0)),0)</f>
        <v>0</v>
      </c>
      <c r="U936" s="247">
        <f ca="1">ROUND(IF(OR(AND($C934=LataProjekcji,$E934&gt;0),AND($C934=LataProjekcji,$E934=0,$D935&lt;=10)),$E935,IF($C934&lt;LataProjekcji,IF((SUM($K936:T936)+$C936)&lt;$C935,$C936,$C935-SUM($K936:T936)),0)),0)</f>
        <v>0</v>
      </c>
      <c r="V936" s="247">
        <f ca="1">ROUND(IF(OR(AND($C934=LataProjekcji,$E934&gt;0),AND($C934=LataProjekcji,$E934=0,$D935&lt;=10)),$E935,IF($C934&lt;LataProjekcji,IF((SUM($K936:U936)+$C936)&lt;$C935,$C936,$C935-SUM($K936:U936)),0)),0)</f>
        <v>0</v>
      </c>
      <c r="W936" s="247">
        <f ca="1">ROUND(IF(OR(AND($C934=LataProjekcji,$E934&gt;0),AND($C934=LataProjekcji,$E934=0,$D935&lt;=10)),$E935,IF($C934&lt;LataProjekcji,IF((SUM($K936:V936)+$C936)&lt;$C935,$C936,$C935-SUM($K936:V936)),0)),0)</f>
        <v>0</v>
      </c>
      <c r="X936" s="247">
        <f ca="1">ROUND(IF(OR(AND($C934=LataProjekcji,$E934&gt;0),AND($C934=LataProjekcji,$E934=0,$D935&lt;=10)),$E935,IF($C934&lt;LataProjekcji,IF((SUM($K936:W936)+$C936)&lt;$C935,$C936,$C935-SUM($K936:W936)),0)),0)</f>
        <v>0</v>
      </c>
    </row>
    <row r="937" spans="1:24" hidden="1">
      <c r="A937" s="258"/>
      <c r="B937" s="21" t="s">
        <v>416</v>
      </c>
      <c r="C937" s="22"/>
      <c r="D937" s="21"/>
      <c r="E937" s="21"/>
      <c r="F937" s="21"/>
      <c r="G937" s="21"/>
      <c r="I937" s="21"/>
      <c r="J937" s="21"/>
      <c r="K937" s="22">
        <f ca="1">ROUND(K936,0)</f>
        <v>0</v>
      </c>
      <c r="L937" s="22">
        <f t="shared" ref="L937:X937" ca="1" si="443">ROUND(K937+L936,0)</f>
        <v>0</v>
      </c>
      <c r="M937" s="22">
        <f t="shared" ca="1" si="443"/>
        <v>0</v>
      </c>
      <c r="N937" s="22">
        <f t="shared" ca="1" si="443"/>
        <v>0</v>
      </c>
      <c r="O937" s="22">
        <f t="shared" ca="1" si="443"/>
        <v>0</v>
      </c>
      <c r="P937" s="22">
        <f t="shared" ca="1" si="443"/>
        <v>0</v>
      </c>
      <c r="Q937" s="22">
        <f t="shared" ca="1" si="443"/>
        <v>0</v>
      </c>
      <c r="R937" s="22">
        <f t="shared" ca="1" si="443"/>
        <v>0</v>
      </c>
      <c r="S937" s="22">
        <f t="shared" ca="1" si="443"/>
        <v>0</v>
      </c>
      <c r="T937" s="22">
        <f t="shared" ca="1" si="443"/>
        <v>0</v>
      </c>
      <c r="U937" s="22">
        <f t="shared" ca="1" si="443"/>
        <v>0</v>
      </c>
      <c r="V937" s="22">
        <f t="shared" ca="1" si="443"/>
        <v>0</v>
      </c>
      <c r="W937" s="22">
        <f t="shared" ca="1" si="443"/>
        <v>0</v>
      </c>
      <c r="X937" s="22">
        <f t="shared" ca="1" si="443"/>
        <v>0</v>
      </c>
    </row>
    <row r="938" spans="1:24" hidden="1">
      <c r="A938" s="258"/>
      <c r="B938" s="21" t="s">
        <v>406</v>
      </c>
      <c r="C938" s="22"/>
      <c r="D938" s="21"/>
      <c r="E938" s="21"/>
      <c r="F938" s="21"/>
      <c r="G938" s="21"/>
      <c r="I938" s="21"/>
      <c r="J938" s="21"/>
      <c r="K938" s="76">
        <f t="shared" ref="K938:X938" ca="1" si="444">IF($C934=LataProjekcji,ROUND($C935-K937,0),ROUND(IF(K936=0,0,$C935-K937),0))</f>
        <v>0</v>
      </c>
      <c r="L938" s="76">
        <f t="shared" ca="1" si="444"/>
        <v>0</v>
      </c>
      <c r="M938" s="76">
        <f t="shared" ca="1" si="444"/>
        <v>0</v>
      </c>
      <c r="N938" s="76">
        <f t="shared" ca="1" si="444"/>
        <v>0</v>
      </c>
      <c r="O938" s="76">
        <f t="shared" ca="1" si="444"/>
        <v>0</v>
      </c>
      <c r="P938" s="76">
        <f t="shared" ca="1" si="444"/>
        <v>0</v>
      </c>
      <c r="Q938" s="76">
        <f t="shared" ca="1" si="444"/>
        <v>0</v>
      </c>
      <c r="R938" s="76">
        <f t="shared" ca="1" si="444"/>
        <v>0</v>
      </c>
      <c r="S938" s="76">
        <f t="shared" ca="1" si="444"/>
        <v>0</v>
      </c>
      <c r="T938" s="76">
        <f t="shared" ca="1" si="444"/>
        <v>0</v>
      </c>
      <c r="U938" s="76">
        <f t="shared" ca="1" si="444"/>
        <v>0</v>
      </c>
      <c r="V938" s="76">
        <f t="shared" ca="1" si="444"/>
        <v>0</v>
      </c>
      <c r="W938" s="76">
        <f t="shared" ca="1" si="444"/>
        <v>0</v>
      </c>
      <c r="X938" s="76">
        <f t="shared" ca="1" si="444"/>
        <v>0</v>
      </c>
    </row>
    <row r="939" spans="1:24" hidden="1">
      <c r="A939" s="258"/>
      <c r="B939" s="21"/>
      <c r="C939" s="22"/>
      <c r="D939" s="21"/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0" t="s">
        <v>391</v>
      </c>
      <c r="C940" s="21">
        <f>C933+1</f>
        <v>120</v>
      </c>
      <c r="D940" s="473">
        <f>D933+1</f>
        <v>254</v>
      </c>
      <c r="E940" s="21"/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414</v>
      </c>
      <c r="C941" s="164">
        <f ca="1">IFERROR(YEAR(OFFSET($D$28,C940,0)),0)</f>
        <v>0</v>
      </c>
      <c r="D941" s="164">
        <f ca="1">IFERROR(MONTH(OFFSET($D$28,C940,0)),0)</f>
        <v>0</v>
      </c>
      <c r="E941" s="21">
        <f ca="1">12-$D941</f>
        <v>12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406</v>
      </c>
      <c r="C942" s="244">
        <f ca="1">IF(OFFSET($F$28,C940,0)&lt;0,0,OFFSET($F$28,C940,0))</f>
        <v>0</v>
      </c>
      <c r="D942" s="22" t="str">
        <f ca="1">OFFSET($C$28,C940,0)</f>
        <v/>
      </c>
      <c r="E942" s="22">
        <f ca="1">IF(D942&gt;10,ROUND(($C943/12)*$E941,0),$C942)</f>
        <v>0</v>
      </c>
      <c r="F942" s="21"/>
      <c r="G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</row>
    <row r="943" spans="1:24" hidden="1">
      <c r="A943" s="258"/>
      <c r="B943" s="21" t="s">
        <v>415</v>
      </c>
      <c r="C943" s="244">
        <f ca="1">IF(ISBLANK(OFFSET($D$28,C940,0)),0,IF(OFFSET($C$28,C940,0)&gt;10,ROUND(C942*am_maszyny,0),IF(C942&lt;0,0,C942)))</f>
        <v>0</v>
      </c>
      <c r="D943" s="21"/>
      <c r="E943" s="21"/>
      <c r="F943" s="21"/>
      <c r="G943" s="21"/>
      <c r="I943" s="21"/>
      <c r="J943" s="473" cm="1">
        <f t="array" aca="1" ref="J943" ca="1">OFFSET('Środki trwałe'!$C$195,'Rozliczenie dotacji'!D940,,)</f>
        <v>0</v>
      </c>
      <c r="K943" s="74">
        <f ca="1">ROUND(IF($C941=LataProjekcji,$E942,IF($C941=LataProjekcji,$C943,0)),0)</f>
        <v>0</v>
      </c>
      <c r="L943" s="247">
        <f ca="1">ROUND(IF(OR(AND($C941=LataProjekcji,$E941&gt;0),AND($C941=LataProjekcji,$E941=0,$D942&lt;=10)),$E942,IF($C941&lt;LataProjekcji,IF((SUM($K943:K943)+$C943)&lt;$C942,$C943,$C942-SUM($K943:K943)),0)),0)</f>
        <v>0</v>
      </c>
      <c r="M943" s="247">
        <f ca="1">ROUND(IF(OR(AND($C941=LataProjekcji,$E941&gt;0),AND($C941=LataProjekcji,$E941=0,$D942&lt;=10)),$E942,IF($C941&lt;LataProjekcji,IF((SUM($K943:L943)+$C943)&lt;$C942,$C943,$C942-SUM($K943:L943)),0)),0)</f>
        <v>0</v>
      </c>
      <c r="N943" s="247">
        <f ca="1">ROUND(IF(OR(AND($C941=LataProjekcji,$E941&gt;0),AND($C941=LataProjekcji,$E941=0,$D942&lt;=10)),$E942,IF($C941&lt;LataProjekcji,IF((SUM($K943:M943)+$C943)&lt;$C942,$C943,$C942-SUM($K943:M943)),0)),0)</f>
        <v>0</v>
      </c>
      <c r="O943" s="247">
        <f ca="1">ROUND(IF(OR(AND($C941=LataProjekcji,$E941&gt;0),AND($C941=LataProjekcji,$E941=0,$D942&lt;=10)),$E942,IF($C941&lt;LataProjekcji,IF((SUM($K943:N943)+$C943)&lt;$C942,$C943,$C942-SUM($K943:N943)),0)),0)</f>
        <v>0</v>
      </c>
      <c r="P943" s="247">
        <f ca="1">ROUND(IF(OR(AND($C941=LataProjekcji,$E941&gt;0),AND($C941=LataProjekcji,$E941=0,$D942&lt;=10)),$E942,IF($C941&lt;LataProjekcji,IF((SUM($K943:O943)+$C943)&lt;$C942,$C943,$C942-SUM($K943:O943)),0)),0)</f>
        <v>0</v>
      </c>
      <c r="Q943" s="247">
        <f ca="1">ROUND(IF(OR(AND($C941=LataProjekcji,$E941&gt;0),AND($C941=LataProjekcji,$E941=0,$D942&lt;=10)),$E942,IF($C941&lt;LataProjekcji,IF((SUM($K943:P943)+$C943)&lt;$C942,$C943,$C942-SUM($K943:P943)),0)),0)</f>
        <v>0</v>
      </c>
      <c r="R943" s="247">
        <f ca="1">ROUND(IF(OR(AND($C941=LataProjekcji,$E941&gt;0),AND($C941=LataProjekcji,$E941=0,$D942&lt;=10)),$E942,IF($C941&lt;LataProjekcji,IF((SUM($K943:Q943)+$C943)&lt;$C942,$C943,$C942-SUM($K943:Q943)),0)),0)</f>
        <v>0</v>
      </c>
      <c r="S943" s="247">
        <f ca="1">ROUND(IF(OR(AND($C941=LataProjekcji,$E941&gt;0),AND($C941=LataProjekcji,$E941=0,$D942&lt;=10)),$E942,IF($C941&lt;LataProjekcji,IF((SUM($K943:R943)+$C943)&lt;$C942,$C943,$C942-SUM($K943:R943)),0)),0)</f>
        <v>0</v>
      </c>
      <c r="T943" s="247">
        <f ca="1">ROUND(IF(OR(AND($C941=LataProjekcji,$E941&gt;0),AND($C941=LataProjekcji,$E941=0,$D942&lt;=10)),$E942,IF($C941&lt;LataProjekcji,IF((SUM($K943:S943)+$C943)&lt;$C942,$C943,$C942-SUM($K943:S943)),0)),0)</f>
        <v>0</v>
      </c>
      <c r="U943" s="247">
        <f ca="1">ROUND(IF(OR(AND($C941=LataProjekcji,$E941&gt;0),AND($C941=LataProjekcji,$E941=0,$D942&lt;=10)),$E942,IF($C941&lt;LataProjekcji,IF((SUM($K943:T943)+$C943)&lt;$C942,$C943,$C942-SUM($K943:T943)),0)),0)</f>
        <v>0</v>
      </c>
      <c r="V943" s="247">
        <f ca="1">ROUND(IF(OR(AND($C941=LataProjekcji,$E941&gt;0),AND($C941=LataProjekcji,$E941=0,$D942&lt;=10)),$E942,IF($C941&lt;LataProjekcji,IF((SUM($K943:U943)+$C943)&lt;$C942,$C943,$C942-SUM($K943:U943)),0)),0)</f>
        <v>0</v>
      </c>
      <c r="W943" s="247">
        <f ca="1">ROUND(IF(OR(AND($C941=LataProjekcji,$E941&gt;0),AND($C941=LataProjekcji,$E941=0,$D942&lt;=10)),$E942,IF($C941&lt;LataProjekcji,IF((SUM($K943:V943)+$C943)&lt;$C942,$C943,$C942-SUM($K943:V943)),0)),0)</f>
        <v>0</v>
      </c>
      <c r="X943" s="247">
        <f ca="1">ROUND(IF(OR(AND($C941=LataProjekcji,$E941&gt;0),AND($C941=LataProjekcji,$E941=0,$D942&lt;=10)),$E942,IF($C941&lt;LataProjekcji,IF((SUM($K943:W943)+$C943)&lt;$C942,$C943,$C942-SUM($K943:W943)),0)),0)</f>
        <v>0</v>
      </c>
    </row>
    <row r="944" spans="1:24" hidden="1">
      <c r="A944" s="258"/>
      <c r="B944" s="21" t="s">
        <v>416</v>
      </c>
      <c r="C944" s="22"/>
      <c r="D944" s="21"/>
      <c r="E944" s="21"/>
      <c r="F944" s="21"/>
      <c r="G944" s="21"/>
      <c r="I944" s="21"/>
      <c r="J944" s="21"/>
      <c r="K944" s="22">
        <f ca="1">ROUND(K943,0)</f>
        <v>0</v>
      </c>
      <c r="L944" s="22">
        <f t="shared" ref="L944:X944" ca="1" si="445">ROUND(K944+L943,0)</f>
        <v>0</v>
      </c>
      <c r="M944" s="22">
        <f t="shared" ca="1" si="445"/>
        <v>0</v>
      </c>
      <c r="N944" s="22">
        <f t="shared" ca="1" si="445"/>
        <v>0</v>
      </c>
      <c r="O944" s="22">
        <f t="shared" ca="1" si="445"/>
        <v>0</v>
      </c>
      <c r="P944" s="22">
        <f t="shared" ca="1" si="445"/>
        <v>0</v>
      </c>
      <c r="Q944" s="22">
        <f t="shared" ca="1" si="445"/>
        <v>0</v>
      </c>
      <c r="R944" s="22">
        <f t="shared" ca="1" si="445"/>
        <v>0</v>
      </c>
      <c r="S944" s="22">
        <f t="shared" ca="1" si="445"/>
        <v>0</v>
      </c>
      <c r="T944" s="22">
        <f t="shared" ca="1" si="445"/>
        <v>0</v>
      </c>
      <c r="U944" s="22">
        <f t="shared" ca="1" si="445"/>
        <v>0</v>
      </c>
      <c r="V944" s="22">
        <f t="shared" ca="1" si="445"/>
        <v>0</v>
      </c>
      <c r="W944" s="22">
        <f t="shared" ca="1" si="445"/>
        <v>0</v>
      </c>
      <c r="X944" s="22">
        <f t="shared" ca="1" si="445"/>
        <v>0</v>
      </c>
    </row>
    <row r="945" spans="1:24" hidden="1">
      <c r="A945" s="258"/>
      <c r="B945" s="21" t="s">
        <v>406</v>
      </c>
      <c r="C945" s="22"/>
      <c r="D945" s="21"/>
      <c r="E945" s="21"/>
      <c r="F945" s="21"/>
      <c r="G945" s="21"/>
      <c r="I945" s="21"/>
      <c r="J945" s="21"/>
      <c r="K945" s="76">
        <f t="shared" ref="K945:X945" ca="1" si="446">IF($C941=LataProjekcji,ROUND($C942-K944,0),ROUND(IF(K943=0,0,$C942-K944),0))</f>
        <v>0</v>
      </c>
      <c r="L945" s="76">
        <f t="shared" ca="1" si="446"/>
        <v>0</v>
      </c>
      <c r="M945" s="76">
        <f t="shared" ca="1" si="446"/>
        <v>0</v>
      </c>
      <c r="N945" s="76">
        <f t="shared" ca="1" si="446"/>
        <v>0</v>
      </c>
      <c r="O945" s="76">
        <f t="shared" ca="1" si="446"/>
        <v>0</v>
      </c>
      <c r="P945" s="76">
        <f t="shared" ca="1" si="446"/>
        <v>0</v>
      </c>
      <c r="Q945" s="76">
        <f t="shared" ca="1" si="446"/>
        <v>0</v>
      </c>
      <c r="R945" s="76">
        <f t="shared" ca="1" si="446"/>
        <v>0</v>
      </c>
      <c r="S945" s="76">
        <f t="shared" ca="1" si="446"/>
        <v>0</v>
      </c>
      <c r="T945" s="76">
        <f t="shared" ca="1" si="446"/>
        <v>0</v>
      </c>
      <c r="U945" s="76">
        <f t="shared" ca="1" si="446"/>
        <v>0</v>
      </c>
      <c r="V945" s="76">
        <f t="shared" ca="1" si="446"/>
        <v>0</v>
      </c>
      <c r="W945" s="76">
        <f t="shared" ca="1" si="446"/>
        <v>0</v>
      </c>
      <c r="X945" s="76">
        <f t="shared" ca="1" si="446"/>
        <v>0</v>
      </c>
    </row>
    <row r="946" spans="1:24" hidden="1">
      <c r="A946" s="258"/>
      <c r="B946" s="20"/>
      <c r="C946" s="21"/>
      <c r="D946" s="21"/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0" t="s">
        <v>391</v>
      </c>
      <c r="C947" s="21">
        <f>C940+1</f>
        <v>121</v>
      </c>
      <c r="D947" s="473">
        <f>D940+1</f>
        <v>255</v>
      </c>
      <c r="E947" s="21"/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414</v>
      </c>
      <c r="C948" s="164">
        <f ca="1">IFERROR(YEAR(OFFSET($D$28,C947,0)),0)</f>
        <v>0</v>
      </c>
      <c r="D948" s="164">
        <f ca="1">IFERROR(MONTH(OFFSET($D$28,C947,0)),0)</f>
        <v>0</v>
      </c>
      <c r="E948" s="21">
        <f ca="1">12-$D948</f>
        <v>12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406</v>
      </c>
      <c r="C949" s="244">
        <f ca="1">IF(OFFSET($F$28,C947,0)&lt;0,0,OFFSET($F$28,C947,0))</f>
        <v>0</v>
      </c>
      <c r="D949" s="22" t="str">
        <f ca="1">OFFSET($C$28,C947,0)</f>
        <v/>
      </c>
      <c r="E949" s="22">
        <f ca="1">IF(D949&gt;10,ROUND(($C950/12)*$E948,0),$C949)</f>
        <v>0</v>
      </c>
      <c r="F949" s="21"/>
      <c r="G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258"/>
      <c r="B950" s="21" t="s">
        <v>415</v>
      </c>
      <c r="C950" s="244">
        <f ca="1">IF(ISBLANK(OFFSET($D$28,C947,0)),0,IF(OFFSET($C$28,C947,0)&gt;10,ROUND(C949*am_maszyny,0),IF(C949&lt;0,0,C949)))</f>
        <v>0</v>
      </c>
      <c r="D950" s="21"/>
      <c r="E950" s="21"/>
      <c r="F950" s="21"/>
      <c r="G950" s="21"/>
      <c r="I950" s="21"/>
      <c r="J950" s="473" cm="1">
        <f t="array" aca="1" ref="J950" ca="1">OFFSET('Środki trwałe'!$C$195,'Rozliczenie dotacji'!D947,,)</f>
        <v>0</v>
      </c>
      <c r="K950" s="74">
        <f ca="1">ROUND(IF($C948=LataProjekcji,$E949,IF($C948=LataProjekcji,$C950,0)),0)</f>
        <v>0</v>
      </c>
      <c r="L950" s="247">
        <f ca="1">ROUND(IF(OR(AND($C948=LataProjekcji,$E948&gt;0),AND($C948=LataProjekcji,$E948=0,$D949&lt;=10)),$E949,IF($C948&lt;LataProjekcji,IF((SUM($K950:K950)+$C950)&lt;$C949,$C950,$C949-SUM($K950:K950)),0)),0)</f>
        <v>0</v>
      </c>
      <c r="M950" s="247">
        <f ca="1">ROUND(IF(OR(AND($C948=LataProjekcji,$E948&gt;0),AND($C948=LataProjekcji,$E948=0,$D949&lt;=10)),$E949,IF($C948&lt;LataProjekcji,IF((SUM($K950:L950)+$C950)&lt;$C949,$C950,$C949-SUM($K950:L950)),0)),0)</f>
        <v>0</v>
      </c>
      <c r="N950" s="247">
        <f ca="1">ROUND(IF(OR(AND($C948=LataProjekcji,$E948&gt;0),AND($C948=LataProjekcji,$E948=0,$D949&lt;=10)),$E949,IF($C948&lt;LataProjekcji,IF((SUM($K950:M950)+$C950)&lt;$C949,$C950,$C949-SUM($K950:M950)),0)),0)</f>
        <v>0</v>
      </c>
      <c r="O950" s="247">
        <f ca="1">ROUND(IF(OR(AND($C948=LataProjekcji,$E948&gt;0),AND($C948=LataProjekcji,$E948=0,$D949&lt;=10)),$E949,IF($C948&lt;LataProjekcji,IF((SUM($K950:N950)+$C950)&lt;$C949,$C950,$C949-SUM($K950:N950)),0)),0)</f>
        <v>0</v>
      </c>
      <c r="P950" s="247">
        <f ca="1">ROUND(IF(OR(AND($C948=LataProjekcji,$E948&gt;0),AND($C948=LataProjekcji,$E948=0,$D949&lt;=10)),$E949,IF($C948&lt;LataProjekcji,IF((SUM($K950:O950)+$C950)&lt;$C949,$C950,$C949-SUM($K950:O950)),0)),0)</f>
        <v>0</v>
      </c>
      <c r="Q950" s="247">
        <f ca="1">ROUND(IF(OR(AND($C948=LataProjekcji,$E948&gt;0),AND($C948=LataProjekcji,$E948=0,$D949&lt;=10)),$E949,IF($C948&lt;LataProjekcji,IF((SUM($K950:P950)+$C950)&lt;$C949,$C950,$C949-SUM($K950:P950)),0)),0)</f>
        <v>0</v>
      </c>
      <c r="R950" s="247">
        <f ca="1">ROUND(IF(OR(AND($C948=LataProjekcji,$E948&gt;0),AND($C948=LataProjekcji,$E948=0,$D949&lt;=10)),$E949,IF($C948&lt;LataProjekcji,IF((SUM($K950:Q950)+$C950)&lt;$C949,$C950,$C949-SUM($K950:Q950)),0)),0)</f>
        <v>0</v>
      </c>
      <c r="S950" s="247">
        <f ca="1">ROUND(IF(OR(AND($C948=LataProjekcji,$E948&gt;0),AND($C948=LataProjekcji,$E948=0,$D949&lt;=10)),$E949,IF($C948&lt;LataProjekcji,IF((SUM($K950:R950)+$C950)&lt;$C949,$C950,$C949-SUM($K950:R950)),0)),0)</f>
        <v>0</v>
      </c>
      <c r="T950" s="247">
        <f ca="1">ROUND(IF(OR(AND($C948=LataProjekcji,$E948&gt;0),AND($C948=LataProjekcji,$E948=0,$D949&lt;=10)),$E949,IF($C948&lt;LataProjekcji,IF((SUM($K950:S950)+$C950)&lt;$C949,$C950,$C949-SUM($K950:S950)),0)),0)</f>
        <v>0</v>
      </c>
      <c r="U950" s="247">
        <f ca="1">ROUND(IF(OR(AND($C948=LataProjekcji,$E948&gt;0),AND($C948=LataProjekcji,$E948=0,$D949&lt;=10)),$E949,IF($C948&lt;LataProjekcji,IF((SUM($K950:T950)+$C950)&lt;$C949,$C950,$C949-SUM($K950:T950)),0)),0)</f>
        <v>0</v>
      </c>
      <c r="V950" s="247">
        <f ca="1">ROUND(IF(OR(AND($C948=LataProjekcji,$E948&gt;0),AND($C948=LataProjekcji,$E948=0,$D949&lt;=10)),$E949,IF($C948&lt;LataProjekcji,IF((SUM($K950:U950)+$C950)&lt;$C949,$C950,$C949-SUM($K950:U950)),0)),0)</f>
        <v>0</v>
      </c>
      <c r="W950" s="247">
        <f ca="1">ROUND(IF(OR(AND($C948=LataProjekcji,$E948&gt;0),AND($C948=LataProjekcji,$E948=0,$D949&lt;=10)),$E949,IF($C948&lt;LataProjekcji,IF((SUM($K950:V950)+$C950)&lt;$C949,$C950,$C949-SUM($K950:V950)),0)),0)</f>
        <v>0</v>
      </c>
      <c r="X950" s="247">
        <f ca="1">ROUND(IF(OR(AND($C948=LataProjekcji,$E948&gt;0),AND($C948=LataProjekcji,$E948=0,$D949&lt;=10)),$E949,IF($C948&lt;LataProjekcji,IF((SUM($K950:W950)+$C950)&lt;$C949,$C950,$C949-SUM($K950:W950)),0)),0)</f>
        <v>0</v>
      </c>
    </row>
    <row r="951" spans="1:24" hidden="1">
      <c r="A951" s="258"/>
      <c r="B951" s="21" t="s">
        <v>416</v>
      </c>
      <c r="C951" s="22"/>
      <c r="D951" s="21"/>
      <c r="E951" s="21"/>
      <c r="F951" s="21"/>
      <c r="G951" s="21"/>
      <c r="I951" s="21"/>
      <c r="J951" s="21"/>
      <c r="K951" s="22">
        <f ca="1">ROUND(K950,0)</f>
        <v>0</v>
      </c>
      <c r="L951" s="22">
        <f t="shared" ref="L951:X951" ca="1" si="447">ROUND(K951+L950,0)</f>
        <v>0</v>
      </c>
      <c r="M951" s="22">
        <f t="shared" ca="1" si="447"/>
        <v>0</v>
      </c>
      <c r="N951" s="22">
        <f t="shared" ca="1" si="447"/>
        <v>0</v>
      </c>
      <c r="O951" s="22">
        <f t="shared" ca="1" si="447"/>
        <v>0</v>
      </c>
      <c r="P951" s="22">
        <f t="shared" ca="1" si="447"/>
        <v>0</v>
      </c>
      <c r="Q951" s="22">
        <f t="shared" ca="1" si="447"/>
        <v>0</v>
      </c>
      <c r="R951" s="22">
        <f t="shared" ca="1" si="447"/>
        <v>0</v>
      </c>
      <c r="S951" s="22">
        <f t="shared" ca="1" si="447"/>
        <v>0</v>
      </c>
      <c r="T951" s="22">
        <f t="shared" ca="1" si="447"/>
        <v>0</v>
      </c>
      <c r="U951" s="22">
        <f t="shared" ca="1" si="447"/>
        <v>0</v>
      </c>
      <c r="V951" s="22">
        <f t="shared" ca="1" si="447"/>
        <v>0</v>
      </c>
      <c r="W951" s="22">
        <f t="shared" ca="1" si="447"/>
        <v>0</v>
      </c>
      <c r="X951" s="22">
        <f t="shared" ca="1" si="447"/>
        <v>0</v>
      </c>
    </row>
    <row r="952" spans="1:24" hidden="1">
      <c r="A952" s="258"/>
      <c r="B952" s="21" t="s">
        <v>406</v>
      </c>
      <c r="C952" s="22"/>
      <c r="D952" s="21"/>
      <c r="E952" s="21"/>
      <c r="F952" s="21"/>
      <c r="G952" s="21"/>
      <c r="I952" s="21"/>
      <c r="J952" s="21"/>
      <c r="K952" s="76">
        <f t="shared" ref="K952:X952" ca="1" si="448">IF($C948=LataProjekcji,ROUND($C949-K951,0),ROUND(IF(K950=0,0,$C949-K951),0))</f>
        <v>0</v>
      </c>
      <c r="L952" s="76">
        <f t="shared" ca="1" si="448"/>
        <v>0</v>
      </c>
      <c r="M952" s="76">
        <f t="shared" ca="1" si="448"/>
        <v>0</v>
      </c>
      <c r="N952" s="76">
        <f t="shared" ca="1" si="448"/>
        <v>0</v>
      </c>
      <c r="O952" s="76">
        <f t="shared" ca="1" si="448"/>
        <v>0</v>
      </c>
      <c r="P952" s="76">
        <f t="shared" ca="1" si="448"/>
        <v>0</v>
      </c>
      <c r="Q952" s="76">
        <f t="shared" ca="1" si="448"/>
        <v>0</v>
      </c>
      <c r="R952" s="76">
        <f t="shared" ca="1" si="448"/>
        <v>0</v>
      </c>
      <c r="S952" s="76">
        <f t="shared" ca="1" si="448"/>
        <v>0</v>
      </c>
      <c r="T952" s="76">
        <f t="shared" ca="1" si="448"/>
        <v>0</v>
      </c>
      <c r="U952" s="76">
        <f t="shared" ca="1" si="448"/>
        <v>0</v>
      </c>
      <c r="V952" s="76">
        <f t="shared" ca="1" si="448"/>
        <v>0</v>
      </c>
      <c r="W952" s="76">
        <f t="shared" ca="1" si="448"/>
        <v>0</v>
      </c>
      <c r="X952" s="76">
        <f t="shared" ca="1" si="448"/>
        <v>0</v>
      </c>
    </row>
    <row r="953" spans="1:24" hidden="1">
      <c r="A953" s="258"/>
      <c r="B953" s="21"/>
      <c r="C953" s="22"/>
      <c r="D953" s="21"/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0" t="s">
        <v>391</v>
      </c>
      <c r="C954" s="21">
        <f>C947+1</f>
        <v>122</v>
      </c>
      <c r="D954" s="473">
        <f>D947+1</f>
        <v>256</v>
      </c>
      <c r="E954" s="21"/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414</v>
      </c>
      <c r="C955" s="164">
        <f ca="1">IFERROR(YEAR(OFFSET($D$28,C954,0)),0)</f>
        <v>0</v>
      </c>
      <c r="D955" s="164">
        <f ca="1">IFERROR(MONTH(OFFSET($D$28,C954,0)),0)</f>
        <v>0</v>
      </c>
      <c r="E955" s="21">
        <f ca="1">12-$D955</f>
        <v>12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406</v>
      </c>
      <c r="C956" s="244">
        <f ca="1">IF(OFFSET($F$28,C954,0)&lt;0,0,OFFSET($F$28,C954,0))</f>
        <v>0</v>
      </c>
      <c r="D956" s="22" t="str">
        <f ca="1">OFFSET($C$28,C954,0)</f>
        <v/>
      </c>
      <c r="E956" s="22">
        <f ca="1">IF(D956&gt;10,ROUND(($C957/12)*$E955,0),$C956)</f>
        <v>0</v>
      </c>
      <c r="F956" s="21"/>
      <c r="G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258"/>
      <c r="B957" s="21" t="s">
        <v>415</v>
      </c>
      <c r="C957" s="244">
        <f ca="1">IF(ISBLANK(OFFSET($D$28,C954,0)),0,IF(OFFSET($C$28,C954,0)&gt;10,ROUND(C956*am_maszyny,0),IF(C956&lt;0,0,C956)))</f>
        <v>0</v>
      </c>
      <c r="D957" s="21"/>
      <c r="E957" s="21"/>
      <c r="F957" s="21"/>
      <c r="G957" s="21"/>
      <c r="I957" s="21"/>
      <c r="J957" s="473" cm="1">
        <f t="array" aca="1" ref="J957" ca="1">OFFSET('Środki trwałe'!$C$195,'Rozliczenie dotacji'!D954,,)</f>
        <v>0</v>
      </c>
      <c r="K957" s="74">
        <f ca="1">ROUND(IF($C955=LataProjekcji,$E956,IF($C955=LataProjekcji,$C957,0)),0)</f>
        <v>0</v>
      </c>
      <c r="L957" s="247">
        <f ca="1">ROUND(IF(OR(AND($C955=LataProjekcji,$E955&gt;0),AND($C955=LataProjekcji,$E955=0,$D956&lt;=10)),$E956,IF($C955&lt;LataProjekcji,IF((SUM($K957:K957)+$C957)&lt;$C956,$C957,$C956-SUM($K957:K957)),0)),0)</f>
        <v>0</v>
      </c>
      <c r="M957" s="247">
        <f ca="1">ROUND(IF(OR(AND($C955=LataProjekcji,$E955&gt;0),AND($C955=LataProjekcji,$E955=0,$D956&lt;=10)),$E956,IF($C955&lt;LataProjekcji,IF((SUM($K957:L957)+$C957)&lt;$C956,$C957,$C956-SUM($K957:L957)),0)),0)</f>
        <v>0</v>
      </c>
      <c r="N957" s="247">
        <f ca="1">ROUND(IF(OR(AND($C955=LataProjekcji,$E955&gt;0),AND($C955=LataProjekcji,$E955=0,$D956&lt;=10)),$E956,IF($C955&lt;LataProjekcji,IF((SUM($K957:M957)+$C957)&lt;$C956,$C957,$C956-SUM($K957:M957)),0)),0)</f>
        <v>0</v>
      </c>
      <c r="O957" s="247">
        <f ca="1">ROUND(IF(OR(AND($C955=LataProjekcji,$E955&gt;0),AND($C955=LataProjekcji,$E955=0,$D956&lt;=10)),$E956,IF($C955&lt;LataProjekcji,IF((SUM($K957:N957)+$C957)&lt;$C956,$C957,$C956-SUM($K957:N957)),0)),0)</f>
        <v>0</v>
      </c>
      <c r="P957" s="247">
        <f ca="1">ROUND(IF(OR(AND($C955=LataProjekcji,$E955&gt;0),AND($C955=LataProjekcji,$E955=0,$D956&lt;=10)),$E956,IF($C955&lt;LataProjekcji,IF((SUM($K957:O957)+$C957)&lt;$C956,$C957,$C956-SUM($K957:O957)),0)),0)</f>
        <v>0</v>
      </c>
      <c r="Q957" s="247">
        <f ca="1">ROUND(IF(OR(AND($C955=LataProjekcji,$E955&gt;0),AND($C955=LataProjekcji,$E955=0,$D956&lt;=10)),$E956,IF($C955&lt;LataProjekcji,IF((SUM($K957:P957)+$C957)&lt;$C956,$C957,$C956-SUM($K957:P957)),0)),0)</f>
        <v>0</v>
      </c>
      <c r="R957" s="247">
        <f ca="1">ROUND(IF(OR(AND($C955=LataProjekcji,$E955&gt;0),AND($C955=LataProjekcji,$E955=0,$D956&lt;=10)),$E956,IF($C955&lt;LataProjekcji,IF((SUM($K957:Q957)+$C957)&lt;$C956,$C957,$C956-SUM($K957:Q957)),0)),0)</f>
        <v>0</v>
      </c>
      <c r="S957" s="247">
        <f ca="1">ROUND(IF(OR(AND($C955=LataProjekcji,$E955&gt;0),AND($C955=LataProjekcji,$E955=0,$D956&lt;=10)),$E956,IF($C955&lt;LataProjekcji,IF((SUM($K957:R957)+$C957)&lt;$C956,$C957,$C956-SUM($K957:R957)),0)),0)</f>
        <v>0</v>
      </c>
      <c r="T957" s="247">
        <f ca="1">ROUND(IF(OR(AND($C955=LataProjekcji,$E955&gt;0),AND($C955=LataProjekcji,$E955=0,$D956&lt;=10)),$E956,IF($C955&lt;LataProjekcji,IF((SUM($K957:S957)+$C957)&lt;$C956,$C957,$C956-SUM($K957:S957)),0)),0)</f>
        <v>0</v>
      </c>
      <c r="U957" s="247">
        <f ca="1">ROUND(IF(OR(AND($C955=LataProjekcji,$E955&gt;0),AND($C955=LataProjekcji,$E955=0,$D956&lt;=10)),$E956,IF($C955&lt;LataProjekcji,IF((SUM($K957:T957)+$C957)&lt;$C956,$C957,$C956-SUM($K957:T957)),0)),0)</f>
        <v>0</v>
      </c>
      <c r="V957" s="247">
        <f ca="1">ROUND(IF(OR(AND($C955=LataProjekcji,$E955&gt;0),AND($C955=LataProjekcji,$E955=0,$D956&lt;=10)),$E956,IF($C955&lt;LataProjekcji,IF((SUM($K957:U957)+$C957)&lt;$C956,$C957,$C956-SUM($K957:U957)),0)),0)</f>
        <v>0</v>
      </c>
      <c r="W957" s="247">
        <f ca="1">ROUND(IF(OR(AND($C955=LataProjekcji,$E955&gt;0),AND($C955=LataProjekcji,$E955=0,$D956&lt;=10)),$E956,IF($C955&lt;LataProjekcji,IF((SUM($K957:V957)+$C957)&lt;$C956,$C957,$C956-SUM($K957:V957)),0)),0)</f>
        <v>0</v>
      </c>
      <c r="X957" s="247">
        <f ca="1">ROUND(IF(OR(AND($C955=LataProjekcji,$E955&gt;0),AND($C955=LataProjekcji,$E955=0,$D956&lt;=10)),$E956,IF($C955&lt;LataProjekcji,IF((SUM($K957:W957)+$C957)&lt;$C956,$C957,$C956-SUM($K957:W957)),0)),0)</f>
        <v>0</v>
      </c>
    </row>
    <row r="958" spans="1:24" hidden="1">
      <c r="A958" s="258"/>
      <c r="B958" s="21" t="s">
        <v>416</v>
      </c>
      <c r="C958" s="22"/>
      <c r="D958" s="21"/>
      <c r="E958" s="21"/>
      <c r="F958" s="21"/>
      <c r="G958" s="21"/>
      <c r="I958" s="21"/>
      <c r="J958" s="21"/>
      <c r="K958" s="22">
        <f ca="1">ROUND(K957,0)</f>
        <v>0</v>
      </c>
      <c r="L958" s="22">
        <f t="shared" ref="L958:X958" ca="1" si="449">ROUND(K958+L957,0)</f>
        <v>0</v>
      </c>
      <c r="M958" s="22">
        <f t="shared" ca="1" si="449"/>
        <v>0</v>
      </c>
      <c r="N958" s="22">
        <f t="shared" ca="1" si="449"/>
        <v>0</v>
      </c>
      <c r="O958" s="22">
        <f t="shared" ca="1" si="449"/>
        <v>0</v>
      </c>
      <c r="P958" s="22">
        <f t="shared" ca="1" si="449"/>
        <v>0</v>
      </c>
      <c r="Q958" s="22">
        <f t="shared" ca="1" si="449"/>
        <v>0</v>
      </c>
      <c r="R958" s="22">
        <f t="shared" ca="1" si="449"/>
        <v>0</v>
      </c>
      <c r="S958" s="22">
        <f t="shared" ca="1" si="449"/>
        <v>0</v>
      </c>
      <c r="T958" s="22">
        <f t="shared" ca="1" si="449"/>
        <v>0</v>
      </c>
      <c r="U958" s="22">
        <f t="shared" ca="1" si="449"/>
        <v>0</v>
      </c>
      <c r="V958" s="22">
        <f t="shared" ca="1" si="449"/>
        <v>0</v>
      </c>
      <c r="W958" s="22">
        <f t="shared" ca="1" si="449"/>
        <v>0</v>
      </c>
      <c r="X958" s="22">
        <f t="shared" ca="1" si="449"/>
        <v>0</v>
      </c>
    </row>
    <row r="959" spans="1:24" hidden="1">
      <c r="A959" s="258"/>
      <c r="B959" s="21" t="s">
        <v>406</v>
      </c>
      <c r="C959" s="22"/>
      <c r="D959" s="21"/>
      <c r="E959" s="21"/>
      <c r="F959" s="21"/>
      <c r="G959" s="21"/>
      <c r="I959" s="21"/>
      <c r="J959" s="21"/>
      <c r="K959" s="76">
        <f t="shared" ref="K959:X959" ca="1" si="450">IF($C955=LataProjekcji,ROUND($C956-K958,0),ROUND(IF(K957=0,0,$C956-K958),0))</f>
        <v>0</v>
      </c>
      <c r="L959" s="76">
        <f t="shared" ca="1" si="450"/>
        <v>0</v>
      </c>
      <c r="M959" s="76">
        <f t="shared" ca="1" si="450"/>
        <v>0</v>
      </c>
      <c r="N959" s="76">
        <f t="shared" ca="1" si="450"/>
        <v>0</v>
      </c>
      <c r="O959" s="76">
        <f t="shared" ca="1" si="450"/>
        <v>0</v>
      </c>
      <c r="P959" s="76">
        <f t="shared" ca="1" si="450"/>
        <v>0</v>
      </c>
      <c r="Q959" s="76">
        <f t="shared" ca="1" si="450"/>
        <v>0</v>
      </c>
      <c r="R959" s="76">
        <f t="shared" ca="1" si="450"/>
        <v>0</v>
      </c>
      <c r="S959" s="76">
        <f t="shared" ca="1" si="450"/>
        <v>0</v>
      </c>
      <c r="T959" s="76">
        <f t="shared" ca="1" si="450"/>
        <v>0</v>
      </c>
      <c r="U959" s="76">
        <f t="shared" ca="1" si="450"/>
        <v>0</v>
      </c>
      <c r="V959" s="76">
        <f t="shared" ca="1" si="450"/>
        <v>0</v>
      </c>
      <c r="W959" s="76">
        <f t="shared" ca="1" si="450"/>
        <v>0</v>
      </c>
      <c r="X959" s="76">
        <f t="shared" ca="1" si="450"/>
        <v>0</v>
      </c>
    </row>
    <row r="960" spans="1:24" hidden="1">
      <c r="A960" s="258"/>
      <c r="B960" s="21"/>
      <c r="C960" s="22"/>
      <c r="D960" s="21"/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0" t="s">
        <v>391</v>
      </c>
      <c r="C961" s="21">
        <f>C954+1</f>
        <v>123</v>
      </c>
      <c r="D961" s="473">
        <f>D954+1</f>
        <v>257</v>
      </c>
      <c r="E961" s="21"/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414</v>
      </c>
      <c r="C962" s="164">
        <f ca="1">IFERROR(YEAR(OFFSET($D$28,C961,0)),0)</f>
        <v>0</v>
      </c>
      <c r="D962" s="164">
        <f ca="1">IFERROR(MONTH(OFFSET($D$28,C961,0)),0)</f>
        <v>0</v>
      </c>
      <c r="E962" s="21">
        <f ca="1">12-$D962</f>
        <v>12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406</v>
      </c>
      <c r="C963" s="244">
        <f ca="1">IF(OFFSET($F$28,C961,0)&lt;0,0,OFFSET($F$28,C961,0))</f>
        <v>0</v>
      </c>
      <c r="D963" s="22" t="str">
        <f ca="1">OFFSET($C$28,C961,0)</f>
        <v/>
      </c>
      <c r="E963" s="22">
        <f ca="1">IF(D963&gt;10,ROUND(($C964/12)*$E962,0),$C963)</f>
        <v>0</v>
      </c>
      <c r="F963" s="21"/>
      <c r="G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258"/>
      <c r="B964" s="21" t="s">
        <v>415</v>
      </c>
      <c r="C964" s="244">
        <f ca="1">IF(ISBLANK(OFFSET($D$28,C961,0)),0,IF(OFFSET($C$28,C961,0)&gt;10,ROUND(C963*am_maszyny,0),IF(C963&lt;0,0,C963)))</f>
        <v>0</v>
      </c>
      <c r="D964" s="21"/>
      <c r="E964" s="21"/>
      <c r="F964" s="21"/>
      <c r="G964" s="21"/>
      <c r="I964" s="21"/>
      <c r="J964" s="473" cm="1">
        <f t="array" aca="1" ref="J964" ca="1">OFFSET('Środki trwałe'!$C$195,'Rozliczenie dotacji'!D961,,)</f>
        <v>0</v>
      </c>
      <c r="K964" s="74">
        <f ca="1">ROUND(IF($C962=LataProjekcji,$E963,IF($C962=LataProjekcji,$C964,0)),0)</f>
        <v>0</v>
      </c>
      <c r="L964" s="247">
        <f ca="1">ROUND(IF(OR(AND($C962=LataProjekcji,$E962&gt;0),AND($C962=LataProjekcji,$E962=0,$D963&lt;=10)),$E963,IF($C962&lt;LataProjekcji,IF((SUM($K964:K964)+$C964)&lt;$C963,$C964,$C963-SUM($K964:K964)),0)),0)</f>
        <v>0</v>
      </c>
      <c r="M964" s="247">
        <f ca="1">ROUND(IF(OR(AND($C962=LataProjekcji,$E962&gt;0),AND($C962=LataProjekcji,$E962=0,$D963&lt;=10)),$E963,IF($C962&lt;LataProjekcji,IF((SUM($K964:L964)+$C964)&lt;$C963,$C964,$C963-SUM($K964:L964)),0)),0)</f>
        <v>0</v>
      </c>
      <c r="N964" s="247">
        <f ca="1">ROUND(IF(OR(AND($C962=LataProjekcji,$E962&gt;0),AND($C962=LataProjekcji,$E962=0,$D963&lt;=10)),$E963,IF($C962&lt;LataProjekcji,IF((SUM($K964:M964)+$C964)&lt;$C963,$C964,$C963-SUM($K964:M964)),0)),0)</f>
        <v>0</v>
      </c>
      <c r="O964" s="247">
        <f ca="1">ROUND(IF(OR(AND($C962=LataProjekcji,$E962&gt;0),AND($C962=LataProjekcji,$E962=0,$D963&lt;=10)),$E963,IF($C962&lt;LataProjekcji,IF((SUM($K964:N964)+$C964)&lt;$C963,$C964,$C963-SUM($K964:N964)),0)),0)</f>
        <v>0</v>
      </c>
      <c r="P964" s="247">
        <f ca="1">ROUND(IF(OR(AND($C962=LataProjekcji,$E962&gt;0),AND($C962=LataProjekcji,$E962=0,$D963&lt;=10)),$E963,IF($C962&lt;LataProjekcji,IF((SUM($K964:O964)+$C964)&lt;$C963,$C964,$C963-SUM($K964:O964)),0)),0)</f>
        <v>0</v>
      </c>
      <c r="Q964" s="247">
        <f ca="1">ROUND(IF(OR(AND($C962=LataProjekcji,$E962&gt;0),AND($C962=LataProjekcji,$E962=0,$D963&lt;=10)),$E963,IF($C962&lt;LataProjekcji,IF((SUM($K964:P964)+$C964)&lt;$C963,$C964,$C963-SUM($K964:P964)),0)),0)</f>
        <v>0</v>
      </c>
      <c r="R964" s="247">
        <f ca="1">ROUND(IF(OR(AND($C962=LataProjekcji,$E962&gt;0),AND($C962=LataProjekcji,$E962=0,$D963&lt;=10)),$E963,IF($C962&lt;LataProjekcji,IF((SUM($K964:Q964)+$C964)&lt;$C963,$C964,$C963-SUM($K964:Q964)),0)),0)</f>
        <v>0</v>
      </c>
      <c r="S964" s="247">
        <f ca="1">ROUND(IF(OR(AND($C962=LataProjekcji,$E962&gt;0),AND($C962=LataProjekcji,$E962=0,$D963&lt;=10)),$E963,IF($C962&lt;LataProjekcji,IF((SUM($K964:R964)+$C964)&lt;$C963,$C964,$C963-SUM($K964:R964)),0)),0)</f>
        <v>0</v>
      </c>
      <c r="T964" s="247">
        <f ca="1">ROUND(IF(OR(AND($C962=LataProjekcji,$E962&gt;0),AND($C962=LataProjekcji,$E962=0,$D963&lt;=10)),$E963,IF($C962&lt;LataProjekcji,IF((SUM($K964:S964)+$C964)&lt;$C963,$C964,$C963-SUM($K964:S964)),0)),0)</f>
        <v>0</v>
      </c>
      <c r="U964" s="247">
        <f ca="1">ROUND(IF(OR(AND($C962=LataProjekcji,$E962&gt;0),AND($C962=LataProjekcji,$E962=0,$D963&lt;=10)),$E963,IF($C962&lt;LataProjekcji,IF((SUM($K964:T964)+$C964)&lt;$C963,$C964,$C963-SUM($K964:T964)),0)),0)</f>
        <v>0</v>
      </c>
      <c r="V964" s="247">
        <f ca="1">ROUND(IF(OR(AND($C962=LataProjekcji,$E962&gt;0),AND($C962=LataProjekcji,$E962=0,$D963&lt;=10)),$E963,IF($C962&lt;LataProjekcji,IF((SUM($K964:U964)+$C964)&lt;$C963,$C964,$C963-SUM($K964:U964)),0)),0)</f>
        <v>0</v>
      </c>
      <c r="W964" s="247">
        <f ca="1">ROUND(IF(OR(AND($C962=LataProjekcji,$E962&gt;0),AND($C962=LataProjekcji,$E962=0,$D963&lt;=10)),$E963,IF($C962&lt;LataProjekcji,IF((SUM($K964:V964)+$C964)&lt;$C963,$C964,$C963-SUM($K964:V964)),0)),0)</f>
        <v>0</v>
      </c>
      <c r="X964" s="247">
        <f ca="1">ROUND(IF(OR(AND($C962=LataProjekcji,$E962&gt;0),AND($C962=LataProjekcji,$E962=0,$D963&lt;=10)),$E963,IF($C962&lt;LataProjekcji,IF((SUM($K964:W964)+$C964)&lt;$C963,$C964,$C963-SUM($K964:W964)),0)),0)</f>
        <v>0</v>
      </c>
    </row>
    <row r="965" spans="1:24" hidden="1">
      <c r="A965" s="258"/>
      <c r="B965" s="21" t="s">
        <v>416</v>
      </c>
      <c r="C965" s="22"/>
      <c r="D965" s="21"/>
      <c r="E965" s="21"/>
      <c r="F965" s="21"/>
      <c r="G965" s="21"/>
      <c r="I965" s="21"/>
      <c r="J965" s="21"/>
      <c r="K965" s="22">
        <f ca="1">ROUND(K964,0)</f>
        <v>0</v>
      </c>
      <c r="L965" s="22">
        <f t="shared" ref="L965:X965" ca="1" si="451">ROUND(K965+L964,0)</f>
        <v>0</v>
      </c>
      <c r="M965" s="22">
        <f t="shared" ca="1" si="451"/>
        <v>0</v>
      </c>
      <c r="N965" s="22">
        <f t="shared" ca="1" si="451"/>
        <v>0</v>
      </c>
      <c r="O965" s="22">
        <f t="shared" ca="1" si="451"/>
        <v>0</v>
      </c>
      <c r="P965" s="22">
        <f t="shared" ca="1" si="451"/>
        <v>0</v>
      </c>
      <c r="Q965" s="22">
        <f t="shared" ca="1" si="451"/>
        <v>0</v>
      </c>
      <c r="R965" s="22">
        <f t="shared" ca="1" si="451"/>
        <v>0</v>
      </c>
      <c r="S965" s="22">
        <f t="shared" ca="1" si="451"/>
        <v>0</v>
      </c>
      <c r="T965" s="22">
        <f t="shared" ca="1" si="451"/>
        <v>0</v>
      </c>
      <c r="U965" s="22">
        <f t="shared" ca="1" si="451"/>
        <v>0</v>
      </c>
      <c r="V965" s="22">
        <f t="shared" ca="1" si="451"/>
        <v>0</v>
      </c>
      <c r="W965" s="22">
        <f t="shared" ca="1" si="451"/>
        <v>0</v>
      </c>
      <c r="X965" s="22">
        <f t="shared" ca="1" si="451"/>
        <v>0</v>
      </c>
    </row>
    <row r="966" spans="1:24" hidden="1">
      <c r="A966" s="258"/>
      <c r="B966" s="21" t="s">
        <v>406</v>
      </c>
      <c r="C966" s="22"/>
      <c r="D966" s="21"/>
      <c r="E966" s="21"/>
      <c r="F966" s="21"/>
      <c r="G966" s="21"/>
      <c r="I966" s="21"/>
      <c r="J966" s="21"/>
      <c r="K966" s="76">
        <f t="shared" ref="K966:X966" ca="1" si="452">IF($C962=LataProjekcji,ROUND($C963-K965,0),ROUND(IF(K964=0,0,$C963-K965),0))</f>
        <v>0</v>
      </c>
      <c r="L966" s="76">
        <f t="shared" ca="1" si="452"/>
        <v>0</v>
      </c>
      <c r="M966" s="76">
        <f t="shared" ca="1" si="452"/>
        <v>0</v>
      </c>
      <c r="N966" s="76">
        <f t="shared" ca="1" si="452"/>
        <v>0</v>
      </c>
      <c r="O966" s="76">
        <f t="shared" ca="1" si="452"/>
        <v>0</v>
      </c>
      <c r="P966" s="76">
        <f t="shared" ca="1" si="452"/>
        <v>0</v>
      </c>
      <c r="Q966" s="76">
        <f t="shared" ca="1" si="452"/>
        <v>0</v>
      </c>
      <c r="R966" s="76">
        <f t="shared" ca="1" si="452"/>
        <v>0</v>
      </c>
      <c r="S966" s="76">
        <f t="shared" ca="1" si="452"/>
        <v>0</v>
      </c>
      <c r="T966" s="76">
        <f t="shared" ca="1" si="452"/>
        <v>0</v>
      </c>
      <c r="U966" s="76">
        <f t="shared" ca="1" si="452"/>
        <v>0</v>
      </c>
      <c r="V966" s="76">
        <f t="shared" ca="1" si="452"/>
        <v>0</v>
      </c>
      <c r="W966" s="76">
        <f t="shared" ca="1" si="452"/>
        <v>0</v>
      </c>
      <c r="X966" s="76">
        <f t="shared" ca="1" si="452"/>
        <v>0</v>
      </c>
    </row>
    <row r="967" spans="1:24" hidden="1">
      <c r="A967" s="258"/>
      <c r="B967" s="20"/>
      <c r="C967" s="21"/>
      <c r="D967" s="21"/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0" t="s">
        <v>391</v>
      </c>
      <c r="C968" s="21">
        <f>C961+1</f>
        <v>124</v>
      </c>
      <c r="D968" s="473">
        <f>D961+1</f>
        <v>258</v>
      </c>
      <c r="E968" s="21"/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414</v>
      </c>
      <c r="C969" s="164">
        <f ca="1">IFERROR(YEAR(OFFSET($D$28,C968,0)),0)</f>
        <v>0</v>
      </c>
      <c r="D969" s="164">
        <f ca="1">IFERROR(MONTH(OFFSET($D$28,C968,0)),0)</f>
        <v>0</v>
      </c>
      <c r="E969" s="21">
        <f ca="1">12-$D969</f>
        <v>12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406</v>
      </c>
      <c r="C970" s="244">
        <f ca="1">IF(OFFSET($F$28,C968,0)&lt;0,0,OFFSET($F$28,C968,0))</f>
        <v>0</v>
      </c>
      <c r="D970" s="22" t="str">
        <f ca="1">OFFSET($C$28,C968,0)</f>
        <v/>
      </c>
      <c r="E970" s="22">
        <f ca="1">IF(D970&gt;10,ROUND(($C971/12)*$E969,0),$C970)</f>
        <v>0</v>
      </c>
      <c r="F970" s="21"/>
      <c r="G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</row>
    <row r="971" spans="1:24" hidden="1">
      <c r="A971" s="258"/>
      <c r="B971" s="21" t="s">
        <v>415</v>
      </c>
      <c r="C971" s="244">
        <f ca="1">IF(ISBLANK(OFFSET($D$28,C968,0)),0,IF(OFFSET($C$28,C968,0)&gt;10,ROUND(C970*am_maszyny,0),IF(C970&lt;0,0,C970)))</f>
        <v>0</v>
      </c>
      <c r="D971" s="21"/>
      <c r="E971" s="21"/>
      <c r="F971" s="21"/>
      <c r="G971" s="21"/>
      <c r="I971" s="21"/>
      <c r="J971" s="473" cm="1">
        <f t="array" aca="1" ref="J971" ca="1">OFFSET('Środki trwałe'!$C$195,'Rozliczenie dotacji'!D968,,)</f>
        <v>0</v>
      </c>
      <c r="K971" s="74">
        <f ca="1">ROUND(IF($C969=LataProjekcji,$E970,IF($C969=LataProjekcji,$C971,0)),0)</f>
        <v>0</v>
      </c>
      <c r="L971" s="247">
        <f ca="1">ROUND(IF(OR(AND($C969=LataProjekcji,$E969&gt;0),AND($C969=LataProjekcji,$E969=0,$D970&lt;=10)),$E970,IF($C969&lt;LataProjekcji,IF((SUM($K971:K971)+$C971)&lt;$C970,$C971,$C970-SUM($K971:K971)),0)),0)</f>
        <v>0</v>
      </c>
      <c r="M971" s="247">
        <f ca="1">ROUND(IF(OR(AND($C969=LataProjekcji,$E969&gt;0),AND($C969=LataProjekcji,$E969=0,$D970&lt;=10)),$E970,IF($C969&lt;LataProjekcji,IF((SUM($K971:L971)+$C971)&lt;$C970,$C971,$C970-SUM($K971:L971)),0)),0)</f>
        <v>0</v>
      </c>
      <c r="N971" s="247">
        <f ca="1">ROUND(IF(OR(AND($C969=LataProjekcji,$E969&gt;0),AND($C969=LataProjekcji,$E969=0,$D970&lt;=10)),$E970,IF($C969&lt;LataProjekcji,IF((SUM($K971:M971)+$C971)&lt;$C970,$C971,$C970-SUM($K971:M971)),0)),0)</f>
        <v>0</v>
      </c>
      <c r="O971" s="247">
        <f ca="1">ROUND(IF(OR(AND($C969=LataProjekcji,$E969&gt;0),AND($C969=LataProjekcji,$E969=0,$D970&lt;=10)),$E970,IF($C969&lt;LataProjekcji,IF((SUM($K971:N971)+$C971)&lt;$C970,$C971,$C970-SUM($K971:N971)),0)),0)</f>
        <v>0</v>
      </c>
      <c r="P971" s="247">
        <f ca="1">ROUND(IF(OR(AND($C969=LataProjekcji,$E969&gt;0),AND($C969=LataProjekcji,$E969=0,$D970&lt;=10)),$E970,IF($C969&lt;LataProjekcji,IF((SUM($K971:O971)+$C971)&lt;$C970,$C971,$C970-SUM($K971:O971)),0)),0)</f>
        <v>0</v>
      </c>
      <c r="Q971" s="247">
        <f ca="1">ROUND(IF(OR(AND($C969=LataProjekcji,$E969&gt;0),AND($C969=LataProjekcji,$E969=0,$D970&lt;=10)),$E970,IF($C969&lt;LataProjekcji,IF((SUM($K971:P971)+$C971)&lt;$C970,$C971,$C970-SUM($K971:P971)),0)),0)</f>
        <v>0</v>
      </c>
      <c r="R971" s="247">
        <f ca="1">ROUND(IF(OR(AND($C969=LataProjekcji,$E969&gt;0),AND($C969=LataProjekcji,$E969=0,$D970&lt;=10)),$E970,IF($C969&lt;LataProjekcji,IF((SUM($K971:Q971)+$C971)&lt;$C970,$C971,$C970-SUM($K971:Q971)),0)),0)</f>
        <v>0</v>
      </c>
      <c r="S971" s="247">
        <f ca="1">ROUND(IF(OR(AND($C969=LataProjekcji,$E969&gt;0),AND($C969=LataProjekcji,$E969=0,$D970&lt;=10)),$E970,IF($C969&lt;LataProjekcji,IF((SUM($K971:R971)+$C971)&lt;$C970,$C971,$C970-SUM($K971:R971)),0)),0)</f>
        <v>0</v>
      </c>
      <c r="T971" s="247">
        <f ca="1">ROUND(IF(OR(AND($C969=LataProjekcji,$E969&gt;0),AND($C969=LataProjekcji,$E969=0,$D970&lt;=10)),$E970,IF($C969&lt;LataProjekcji,IF((SUM($K971:S971)+$C971)&lt;$C970,$C971,$C970-SUM($K971:S971)),0)),0)</f>
        <v>0</v>
      </c>
      <c r="U971" s="247">
        <f ca="1">ROUND(IF(OR(AND($C969=LataProjekcji,$E969&gt;0),AND($C969=LataProjekcji,$E969=0,$D970&lt;=10)),$E970,IF($C969&lt;LataProjekcji,IF((SUM($K971:T971)+$C971)&lt;$C970,$C971,$C970-SUM($K971:T971)),0)),0)</f>
        <v>0</v>
      </c>
      <c r="V971" s="247">
        <f ca="1">ROUND(IF(OR(AND($C969=LataProjekcji,$E969&gt;0),AND($C969=LataProjekcji,$E969=0,$D970&lt;=10)),$E970,IF($C969&lt;LataProjekcji,IF((SUM($K971:U971)+$C971)&lt;$C970,$C971,$C970-SUM($K971:U971)),0)),0)</f>
        <v>0</v>
      </c>
      <c r="W971" s="247">
        <f ca="1">ROUND(IF(OR(AND($C969=LataProjekcji,$E969&gt;0),AND($C969=LataProjekcji,$E969=0,$D970&lt;=10)),$E970,IF($C969&lt;LataProjekcji,IF((SUM($K971:V971)+$C971)&lt;$C970,$C971,$C970-SUM($K971:V971)),0)),0)</f>
        <v>0</v>
      </c>
      <c r="X971" s="247">
        <f ca="1">ROUND(IF(OR(AND($C969=LataProjekcji,$E969&gt;0),AND($C969=LataProjekcji,$E969=0,$D970&lt;=10)),$E970,IF($C969&lt;LataProjekcji,IF((SUM($K971:W971)+$C971)&lt;$C970,$C971,$C970-SUM($K971:W971)),0)),0)</f>
        <v>0</v>
      </c>
    </row>
    <row r="972" spans="1:24" hidden="1">
      <c r="A972" s="258"/>
      <c r="B972" s="21" t="s">
        <v>416</v>
      </c>
      <c r="C972" s="22"/>
      <c r="D972" s="21"/>
      <c r="E972" s="21"/>
      <c r="F972" s="21"/>
      <c r="G972" s="21"/>
      <c r="I972" s="21"/>
      <c r="J972" s="21"/>
      <c r="K972" s="22">
        <f ca="1">ROUND(K971,0)</f>
        <v>0</v>
      </c>
      <c r="L972" s="22">
        <f t="shared" ref="L972:X972" ca="1" si="453">ROUND(K972+L971,0)</f>
        <v>0</v>
      </c>
      <c r="M972" s="22">
        <f t="shared" ca="1" si="453"/>
        <v>0</v>
      </c>
      <c r="N972" s="22">
        <f t="shared" ca="1" si="453"/>
        <v>0</v>
      </c>
      <c r="O972" s="22">
        <f t="shared" ca="1" si="453"/>
        <v>0</v>
      </c>
      <c r="P972" s="22">
        <f t="shared" ca="1" si="453"/>
        <v>0</v>
      </c>
      <c r="Q972" s="22">
        <f t="shared" ca="1" si="453"/>
        <v>0</v>
      </c>
      <c r="R972" s="22">
        <f t="shared" ca="1" si="453"/>
        <v>0</v>
      </c>
      <c r="S972" s="22">
        <f t="shared" ca="1" si="453"/>
        <v>0</v>
      </c>
      <c r="T972" s="22">
        <f t="shared" ca="1" si="453"/>
        <v>0</v>
      </c>
      <c r="U972" s="22">
        <f t="shared" ca="1" si="453"/>
        <v>0</v>
      </c>
      <c r="V972" s="22">
        <f t="shared" ca="1" si="453"/>
        <v>0</v>
      </c>
      <c r="W972" s="22">
        <f t="shared" ca="1" si="453"/>
        <v>0</v>
      </c>
      <c r="X972" s="22">
        <f t="shared" ca="1" si="453"/>
        <v>0</v>
      </c>
    </row>
    <row r="973" spans="1:24" hidden="1">
      <c r="A973" s="258"/>
      <c r="B973" s="21" t="s">
        <v>406</v>
      </c>
      <c r="C973" s="22"/>
      <c r="D973" s="21"/>
      <c r="E973" s="21"/>
      <c r="F973" s="21"/>
      <c r="G973" s="21"/>
      <c r="I973" s="21"/>
      <c r="J973" s="21"/>
      <c r="K973" s="76">
        <f t="shared" ref="K973:X973" ca="1" si="454">IF($C969=LataProjekcji,ROUND($C970-K972,0),ROUND(IF(K971=0,0,$C970-K972),0))</f>
        <v>0</v>
      </c>
      <c r="L973" s="76">
        <f t="shared" ca="1" si="454"/>
        <v>0</v>
      </c>
      <c r="M973" s="76">
        <f t="shared" ca="1" si="454"/>
        <v>0</v>
      </c>
      <c r="N973" s="76">
        <f t="shared" ca="1" si="454"/>
        <v>0</v>
      </c>
      <c r="O973" s="76">
        <f t="shared" ca="1" si="454"/>
        <v>0</v>
      </c>
      <c r="P973" s="76">
        <f t="shared" ca="1" si="454"/>
        <v>0</v>
      </c>
      <c r="Q973" s="76">
        <f t="shared" ca="1" si="454"/>
        <v>0</v>
      </c>
      <c r="R973" s="76">
        <f t="shared" ca="1" si="454"/>
        <v>0</v>
      </c>
      <c r="S973" s="76">
        <f t="shared" ca="1" si="454"/>
        <v>0</v>
      </c>
      <c r="T973" s="76">
        <f t="shared" ca="1" si="454"/>
        <v>0</v>
      </c>
      <c r="U973" s="76">
        <f t="shared" ca="1" si="454"/>
        <v>0</v>
      </c>
      <c r="V973" s="76">
        <f t="shared" ca="1" si="454"/>
        <v>0</v>
      </c>
      <c r="W973" s="76">
        <f t="shared" ca="1" si="454"/>
        <v>0</v>
      </c>
      <c r="X973" s="76">
        <f t="shared" ca="1" si="454"/>
        <v>0</v>
      </c>
    </row>
    <row r="974" spans="1:24" hidden="1">
      <c r="A974" s="258"/>
      <c r="B974" s="21"/>
      <c r="C974" s="22"/>
      <c r="D974" s="21"/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0" t="s">
        <v>391</v>
      </c>
      <c r="C975" s="21">
        <f>C968+1</f>
        <v>125</v>
      </c>
      <c r="D975" s="473">
        <f>D968+1</f>
        <v>259</v>
      </c>
      <c r="E975" s="21"/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414</v>
      </c>
      <c r="C976" s="164">
        <f ca="1">IFERROR(YEAR(OFFSET($D$28,C975,0)),0)</f>
        <v>0</v>
      </c>
      <c r="D976" s="164">
        <f ca="1">IFERROR(MONTH(OFFSET($D$28,C975,0)),0)</f>
        <v>0</v>
      </c>
      <c r="E976" s="21">
        <f ca="1">12-$D976</f>
        <v>12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406</v>
      </c>
      <c r="C977" s="244">
        <f ca="1">IF(OFFSET($F$28,C975,0)&lt;0,0,OFFSET($F$28,C975,0))</f>
        <v>0</v>
      </c>
      <c r="D977" s="22" t="str">
        <f ca="1">OFFSET($C$28,C975,0)</f>
        <v/>
      </c>
      <c r="E977" s="22">
        <f ca="1">IF(D977&gt;10,ROUND(($C978/12)*$E976,0),$C977)</f>
        <v>0</v>
      </c>
      <c r="F977" s="21"/>
      <c r="G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</row>
    <row r="978" spans="1:24" hidden="1">
      <c r="A978" s="258"/>
      <c r="B978" s="21" t="s">
        <v>415</v>
      </c>
      <c r="C978" s="244">
        <f ca="1">IF(ISBLANK(OFFSET($D$28,C975,0)),0,IF(OFFSET($C$28,C975,0)&gt;10,ROUND(C977*am_maszyny,0),IF(C977&lt;0,0,C977)))</f>
        <v>0</v>
      </c>
      <c r="D978" s="21"/>
      <c r="E978" s="21"/>
      <c r="F978" s="21"/>
      <c r="G978" s="21"/>
      <c r="I978" s="21"/>
      <c r="J978" s="473" cm="1">
        <f t="array" aca="1" ref="J978" ca="1">OFFSET('Środki trwałe'!$C$195,'Rozliczenie dotacji'!D975,,)</f>
        <v>0</v>
      </c>
      <c r="K978" s="74">
        <f ca="1">ROUND(IF($C976=LataProjekcji,$E977,IF($C976=LataProjekcji,$C978,0)),0)</f>
        <v>0</v>
      </c>
      <c r="L978" s="247">
        <f ca="1">ROUND(IF(OR(AND($C976=LataProjekcji,$E976&gt;0),AND($C976=LataProjekcji,$E976=0,$D977&lt;=10)),$E977,IF($C976&lt;LataProjekcji,IF((SUM($K978:K978)+$C978)&lt;$C977,$C978,$C977-SUM($K978:K978)),0)),0)</f>
        <v>0</v>
      </c>
      <c r="M978" s="247">
        <f ca="1">ROUND(IF(OR(AND($C976=LataProjekcji,$E976&gt;0),AND($C976=LataProjekcji,$E976=0,$D977&lt;=10)),$E977,IF($C976&lt;LataProjekcji,IF((SUM($K978:L978)+$C978)&lt;$C977,$C978,$C977-SUM($K978:L978)),0)),0)</f>
        <v>0</v>
      </c>
      <c r="N978" s="247">
        <f ca="1">ROUND(IF(OR(AND($C976=LataProjekcji,$E976&gt;0),AND($C976=LataProjekcji,$E976=0,$D977&lt;=10)),$E977,IF($C976&lt;LataProjekcji,IF((SUM($K978:M978)+$C978)&lt;$C977,$C978,$C977-SUM($K978:M978)),0)),0)</f>
        <v>0</v>
      </c>
      <c r="O978" s="247">
        <f ca="1">ROUND(IF(OR(AND($C976=LataProjekcji,$E976&gt;0),AND($C976=LataProjekcji,$E976=0,$D977&lt;=10)),$E977,IF($C976&lt;LataProjekcji,IF((SUM($K978:N978)+$C978)&lt;$C977,$C978,$C977-SUM($K978:N978)),0)),0)</f>
        <v>0</v>
      </c>
      <c r="P978" s="247">
        <f ca="1">ROUND(IF(OR(AND($C976=LataProjekcji,$E976&gt;0),AND($C976=LataProjekcji,$E976=0,$D977&lt;=10)),$E977,IF($C976&lt;LataProjekcji,IF((SUM($K978:O978)+$C978)&lt;$C977,$C978,$C977-SUM($K978:O978)),0)),0)</f>
        <v>0</v>
      </c>
      <c r="Q978" s="247">
        <f ca="1">ROUND(IF(OR(AND($C976=LataProjekcji,$E976&gt;0),AND($C976=LataProjekcji,$E976=0,$D977&lt;=10)),$E977,IF($C976&lt;LataProjekcji,IF((SUM($K978:P978)+$C978)&lt;$C977,$C978,$C977-SUM($K978:P978)),0)),0)</f>
        <v>0</v>
      </c>
      <c r="R978" s="247">
        <f ca="1">ROUND(IF(OR(AND($C976=LataProjekcji,$E976&gt;0),AND($C976=LataProjekcji,$E976=0,$D977&lt;=10)),$E977,IF($C976&lt;LataProjekcji,IF((SUM($K978:Q978)+$C978)&lt;$C977,$C978,$C977-SUM($K978:Q978)),0)),0)</f>
        <v>0</v>
      </c>
      <c r="S978" s="247">
        <f ca="1">ROUND(IF(OR(AND($C976=LataProjekcji,$E976&gt;0),AND($C976=LataProjekcji,$E976=0,$D977&lt;=10)),$E977,IF($C976&lt;LataProjekcji,IF((SUM($K978:R978)+$C978)&lt;$C977,$C978,$C977-SUM($K978:R978)),0)),0)</f>
        <v>0</v>
      </c>
      <c r="T978" s="247">
        <f ca="1">ROUND(IF(OR(AND($C976=LataProjekcji,$E976&gt;0),AND($C976=LataProjekcji,$E976=0,$D977&lt;=10)),$E977,IF($C976&lt;LataProjekcji,IF((SUM($K978:S978)+$C978)&lt;$C977,$C978,$C977-SUM($K978:S978)),0)),0)</f>
        <v>0</v>
      </c>
      <c r="U978" s="247">
        <f ca="1">ROUND(IF(OR(AND($C976=LataProjekcji,$E976&gt;0),AND($C976=LataProjekcji,$E976=0,$D977&lt;=10)),$E977,IF($C976&lt;LataProjekcji,IF((SUM($K978:T978)+$C978)&lt;$C977,$C978,$C977-SUM($K978:T978)),0)),0)</f>
        <v>0</v>
      </c>
      <c r="V978" s="247">
        <f ca="1">ROUND(IF(OR(AND($C976=LataProjekcji,$E976&gt;0),AND($C976=LataProjekcji,$E976=0,$D977&lt;=10)),$E977,IF($C976&lt;LataProjekcji,IF((SUM($K978:U978)+$C978)&lt;$C977,$C978,$C977-SUM($K978:U978)),0)),0)</f>
        <v>0</v>
      </c>
      <c r="W978" s="247">
        <f ca="1">ROUND(IF(OR(AND($C976=LataProjekcji,$E976&gt;0),AND($C976=LataProjekcji,$E976=0,$D977&lt;=10)),$E977,IF($C976&lt;LataProjekcji,IF((SUM($K978:V978)+$C978)&lt;$C977,$C978,$C977-SUM($K978:V978)),0)),0)</f>
        <v>0</v>
      </c>
      <c r="X978" s="247">
        <f ca="1">ROUND(IF(OR(AND($C976=LataProjekcji,$E976&gt;0),AND($C976=LataProjekcji,$E976=0,$D977&lt;=10)),$E977,IF($C976&lt;LataProjekcji,IF((SUM($K978:W978)+$C978)&lt;$C977,$C978,$C977-SUM($K978:W978)),0)),0)</f>
        <v>0</v>
      </c>
    </row>
    <row r="979" spans="1:24" hidden="1">
      <c r="A979" s="258"/>
      <c r="B979" s="21" t="s">
        <v>416</v>
      </c>
      <c r="C979" s="22"/>
      <c r="D979" s="21"/>
      <c r="E979" s="21"/>
      <c r="F979" s="21"/>
      <c r="G979" s="21"/>
      <c r="I979" s="21"/>
      <c r="J979" s="21"/>
      <c r="K979" s="22">
        <f ca="1">ROUND(K978,0)</f>
        <v>0</v>
      </c>
      <c r="L979" s="22">
        <f t="shared" ref="L979:X979" ca="1" si="455">ROUND(K979+L978,0)</f>
        <v>0</v>
      </c>
      <c r="M979" s="22">
        <f t="shared" ca="1" si="455"/>
        <v>0</v>
      </c>
      <c r="N979" s="22">
        <f t="shared" ca="1" si="455"/>
        <v>0</v>
      </c>
      <c r="O979" s="22">
        <f t="shared" ca="1" si="455"/>
        <v>0</v>
      </c>
      <c r="P979" s="22">
        <f t="shared" ca="1" si="455"/>
        <v>0</v>
      </c>
      <c r="Q979" s="22">
        <f t="shared" ca="1" si="455"/>
        <v>0</v>
      </c>
      <c r="R979" s="22">
        <f t="shared" ca="1" si="455"/>
        <v>0</v>
      </c>
      <c r="S979" s="22">
        <f t="shared" ca="1" si="455"/>
        <v>0</v>
      </c>
      <c r="T979" s="22">
        <f t="shared" ca="1" si="455"/>
        <v>0</v>
      </c>
      <c r="U979" s="22">
        <f t="shared" ca="1" si="455"/>
        <v>0</v>
      </c>
      <c r="V979" s="22">
        <f t="shared" ca="1" si="455"/>
        <v>0</v>
      </c>
      <c r="W979" s="22">
        <f t="shared" ca="1" si="455"/>
        <v>0</v>
      </c>
      <c r="X979" s="22">
        <f t="shared" ca="1" si="455"/>
        <v>0</v>
      </c>
    </row>
    <row r="980" spans="1:24" hidden="1">
      <c r="A980" s="258"/>
      <c r="B980" s="21" t="s">
        <v>406</v>
      </c>
      <c r="C980" s="22"/>
      <c r="D980" s="21"/>
      <c r="E980" s="21"/>
      <c r="F980" s="21"/>
      <c r="G980" s="21"/>
      <c r="I980" s="21"/>
      <c r="J980" s="21"/>
      <c r="K980" s="76">
        <f t="shared" ref="K980:X980" ca="1" si="456">IF($C976=LataProjekcji,ROUND($C977-K979,0),ROUND(IF(K978=0,0,$C977-K979),0))</f>
        <v>0</v>
      </c>
      <c r="L980" s="76">
        <f t="shared" ca="1" si="456"/>
        <v>0</v>
      </c>
      <c r="M980" s="76">
        <f t="shared" ca="1" si="456"/>
        <v>0</v>
      </c>
      <c r="N980" s="76">
        <f t="shared" ca="1" si="456"/>
        <v>0</v>
      </c>
      <c r="O980" s="76">
        <f t="shared" ca="1" si="456"/>
        <v>0</v>
      </c>
      <c r="P980" s="76">
        <f t="shared" ca="1" si="456"/>
        <v>0</v>
      </c>
      <c r="Q980" s="76">
        <f t="shared" ca="1" si="456"/>
        <v>0</v>
      </c>
      <c r="R980" s="76">
        <f t="shared" ca="1" si="456"/>
        <v>0</v>
      </c>
      <c r="S980" s="76">
        <f t="shared" ca="1" si="456"/>
        <v>0</v>
      </c>
      <c r="T980" s="76">
        <f t="shared" ca="1" si="456"/>
        <v>0</v>
      </c>
      <c r="U980" s="76">
        <f t="shared" ca="1" si="456"/>
        <v>0</v>
      </c>
      <c r="V980" s="76">
        <f t="shared" ca="1" si="456"/>
        <v>0</v>
      </c>
      <c r="W980" s="76">
        <f t="shared" ca="1" si="456"/>
        <v>0</v>
      </c>
      <c r="X980" s="76">
        <f t="shared" ca="1" si="456"/>
        <v>0</v>
      </c>
    </row>
    <row r="981" spans="1:24" hidden="1">
      <c r="A981" s="258"/>
      <c r="B981" s="20"/>
      <c r="C981" s="21"/>
      <c r="D981" s="21"/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0" t="s">
        <v>391</v>
      </c>
      <c r="C982" s="21">
        <f>C975+1</f>
        <v>126</v>
      </c>
      <c r="D982" s="473">
        <f>D975+1</f>
        <v>260</v>
      </c>
      <c r="E982" s="21"/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414</v>
      </c>
      <c r="C983" s="164">
        <f ca="1">IFERROR(YEAR(OFFSET($D$28,C982,0)),0)</f>
        <v>0</v>
      </c>
      <c r="D983" s="164">
        <f ca="1">IFERROR(MONTH(OFFSET($D$28,C982,0)),0)</f>
        <v>0</v>
      </c>
      <c r="E983" s="21">
        <f ca="1">12-$D983</f>
        <v>12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406</v>
      </c>
      <c r="C984" s="244">
        <f ca="1">IF(OFFSET($F$28,C982,0)&lt;0,0,OFFSET($F$28,C982,0))</f>
        <v>0</v>
      </c>
      <c r="D984" s="22" t="str">
        <f ca="1">OFFSET($C$28,C982,0)</f>
        <v/>
      </c>
      <c r="E984" s="22">
        <f ca="1">IF(D984&gt;10,ROUND(($C985/12)*$E983,0),$C984)</f>
        <v>0</v>
      </c>
      <c r="F984" s="21"/>
      <c r="G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</row>
    <row r="985" spans="1:24" hidden="1">
      <c r="A985" s="258"/>
      <c r="B985" s="21" t="s">
        <v>415</v>
      </c>
      <c r="C985" s="244">
        <f ca="1">IF(ISBLANK(OFFSET($D$28,C982,0)),0,IF(OFFSET($C$28,C982,0)&gt;10,ROUND(C984*am_maszyny,0),IF(C984&lt;0,0,C984)))</f>
        <v>0</v>
      </c>
      <c r="D985" s="21"/>
      <c r="E985" s="21"/>
      <c r="F985" s="21"/>
      <c r="G985" s="21"/>
      <c r="I985" s="21"/>
      <c r="J985" s="473" cm="1">
        <f t="array" aca="1" ref="J985" ca="1">OFFSET('Środki trwałe'!$C$195,'Rozliczenie dotacji'!D982,,)</f>
        <v>0</v>
      </c>
      <c r="K985" s="74">
        <f ca="1">ROUND(IF($C983=LataProjekcji,$E984,IF($C983=LataProjekcji,$C985,0)),0)</f>
        <v>0</v>
      </c>
      <c r="L985" s="247">
        <f ca="1">ROUND(IF(OR(AND($C983=LataProjekcji,$E983&gt;0),AND($C983=LataProjekcji,$E983=0,$D984&lt;=10)),$E984,IF($C983&lt;LataProjekcji,IF((SUM($K985:K985)+$C985)&lt;$C984,$C985,$C984-SUM($K985:K985)),0)),0)</f>
        <v>0</v>
      </c>
      <c r="M985" s="247">
        <f ca="1">ROUND(IF(OR(AND($C983=LataProjekcji,$E983&gt;0),AND($C983=LataProjekcji,$E983=0,$D984&lt;=10)),$E984,IF($C983&lt;LataProjekcji,IF((SUM($K985:L985)+$C985)&lt;$C984,$C985,$C984-SUM($K985:L985)),0)),0)</f>
        <v>0</v>
      </c>
      <c r="N985" s="247">
        <f ca="1">ROUND(IF(OR(AND($C983=LataProjekcji,$E983&gt;0),AND($C983=LataProjekcji,$E983=0,$D984&lt;=10)),$E984,IF($C983&lt;LataProjekcji,IF((SUM($K985:M985)+$C985)&lt;$C984,$C985,$C984-SUM($K985:M985)),0)),0)</f>
        <v>0</v>
      </c>
      <c r="O985" s="247">
        <f ca="1">ROUND(IF(OR(AND($C983=LataProjekcji,$E983&gt;0),AND($C983=LataProjekcji,$E983=0,$D984&lt;=10)),$E984,IF($C983&lt;LataProjekcji,IF((SUM($K985:N985)+$C985)&lt;$C984,$C985,$C984-SUM($K985:N985)),0)),0)</f>
        <v>0</v>
      </c>
      <c r="P985" s="247">
        <f ca="1">ROUND(IF(OR(AND($C983=LataProjekcji,$E983&gt;0),AND($C983=LataProjekcji,$E983=0,$D984&lt;=10)),$E984,IF($C983&lt;LataProjekcji,IF((SUM($K985:O985)+$C985)&lt;$C984,$C985,$C984-SUM($K985:O985)),0)),0)</f>
        <v>0</v>
      </c>
      <c r="Q985" s="247">
        <f ca="1">ROUND(IF(OR(AND($C983=LataProjekcji,$E983&gt;0),AND($C983=LataProjekcji,$E983=0,$D984&lt;=10)),$E984,IF($C983&lt;LataProjekcji,IF((SUM($K985:P985)+$C985)&lt;$C984,$C985,$C984-SUM($K985:P985)),0)),0)</f>
        <v>0</v>
      </c>
      <c r="R985" s="247">
        <f ca="1">ROUND(IF(OR(AND($C983=LataProjekcji,$E983&gt;0),AND($C983=LataProjekcji,$E983=0,$D984&lt;=10)),$E984,IF($C983&lt;LataProjekcji,IF((SUM($K985:Q985)+$C985)&lt;$C984,$C985,$C984-SUM($K985:Q985)),0)),0)</f>
        <v>0</v>
      </c>
      <c r="S985" s="247">
        <f ca="1">ROUND(IF(OR(AND($C983=LataProjekcji,$E983&gt;0),AND($C983=LataProjekcji,$E983=0,$D984&lt;=10)),$E984,IF($C983&lt;LataProjekcji,IF((SUM($K985:R985)+$C985)&lt;$C984,$C985,$C984-SUM($K985:R985)),0)),0)</f>
        <v>0</v>
      </c>
      <c r="T985" s="247">
        <f ca="1">ROUND(IF(OR(AND($C983=LataProjekcji,$E983&gt;0),AND($C983=LataProjekcji,$E983=0,$D984&lt;=10)),$E984,IF($C983&lt;LataProjekcji,IF((SUM($K985:S985)+$C985)&lt;$C984,$C985,$C984-SUM($K985:S985)),0)),0)</f>
        <v>0</v>
      </c>
      <c r="U985" s="247">
        <f ca="1">ROUND(IF(OR(AND($C983=LataProjekcji,$E983&gt;0),AND($C983=LataProjekcji,$E983=0,$D984&lt;=10)),$E984,IF($C983&lt;LataProjekcji,IF((SUM($K985:T985)+$C985)&lt;$C984,$C985,$C984-SUM($K985:T985)),0)),0)</f>
        <v>0</v>
      </c>
      <c r="V985" s="247">
        <f ca="1">ROUND(IF(OR(AND($C983=LataProjekcji,$E983&gt;0),AND($C983=LataProjekcji,$E983=0,$D984&lt;=10)),$E984,IF($C983&lt;LataProjekcji,IF((SUM($K985:U985)+$C985)&lt;$C984,$C985,$C984-SUM($K985:U985)),0)),0)</f>
        <v>0</v>
      </c>
      <c r="W985" s="247">
        <f ca="1">ROUND(IF(OR(AND($C983=LataProjekcji,$E983&gt;0),AND($C983=LataProjekcji,$E983=0,$D984&lt;=10)),$E984,IF($C983&lt;LataProjekcji,IF((SUM($K985:V985)+$C985)&lt;$C984,$C985,$C984-SUM($K985:V985)),0)),0)</f>
        <v>0</v>
      </c>
      <c r="X985" s="247">
        <f ca="1">ROUND(IF(OR(AND($C983=LataProjekcji,$E983&gt;0),AND($C983=LataProjekcji,$E983=0,$D984&lt;=10)),$E984,IF($C983&lt;LataProjekcji,IF((SUM($K985:W985)+$C985)&lt;$C984,$C985,$C984-SUM($K985:W985)),0)),0)</f>
        <v>0</v>
      </c>
    </row>
    <row r="986" spans="1:24" hidden="1">
      <c r="A986" s="258"/>
      <c r="B986" s="21" t="s">
        <v>416</v>
      </c>
      <c r="C986" s="22"/>
      <c r="D986" s="21"/>
      <c r="E986" s="21"/>
      <c r="F986" s="21"/>
      <c r="G986" s="21"/>
      <c r="I986" s="21"/>
      <c r="J986" s="21"/>
      <c r="K986" s="22">
        <f ca="1">ROUND(K985,0)</f>
        <v>0</v>
      </c>
      <c r="L986" s="22">
        <f t="shared" ref="L986:X986" ca="1" si="457">ROUND(K986+L985,0)</f>
        <v>0</v>
      </c>
      <c r="M986" s="22">
        <f t="shared" ca="1" si="457"/>
        <v>0</v>
      </c>
      <c r="N986" s="22">
        <f t="shared" ca="1" si="457"/>
        <v>0</v>
      </c>
      <c r="O986" s="22">
        <f t="shared" ca="1" si="457"/>
        <v>0</v>
      </c>
      <c r="P986" s="22">
        <f t="shared" ca="1" si="457"/>
        <v>0</v>
      </c>
      <c r="Q986" s="22">
        <f t="shared" ca="1" si="457"/>
        <v>0</v>
      </c>
      <c r="R986" s="22">
        <f t="shared" ca="1" si="457"/>
        <v>0</v>
      </c>
      <c r="S986" s="22">
        <f t="shared" ca="1" si="457"/>
        <v>0</v>
      </c>
      <c r="T986" s="22">
        <f t="shared" ca="1" si="457"/>
        <v>0</v>
      </c>
      <c r="U986" s="22">
        <f t="shared" ca="1" si="457"/>
        <v>0</v>
      </c>
      <c r="V986" s="22">
        <f t="shared" ca="1" si="457"/>
        <v>0</v>
      </c>
      <c r="W986" s="22">
        <f t="shared" ca="1" si="457"/>
        <v>0</v>
      </c>
      <c r="X986" s="22">
        <f t="shared" ca="1" si="457"/>
        <v>0</v>
      </c>
    </row>
    <row r="987" spans="1:24" hidden="1">
      <c r="A987" s="258"/>
      <c r="B987" s="21" t="s">
        <v>406</v>
      </c>
      <c r="C987" s="22"/>
      <c r="D987" s="21"/>
      <c r="E987" s="21"/>
      <c r="F987" s="21"/>
      <c r="G987" s="21"/>
      <c r="I987" s="21"/>
      <c r="J987" s="21"/>
      <c r="K987" s="76">
        <f t="shared" ref="K987:X987" ca="1" si="458">IF($C983=LataProjekcji,ROUND($C984-K986,0),ROUND(IF(K985=0,0,$C984-K986),0))</f>
        <v>0</v>
      </c>
      <c r="L987" s="76">
        <f t="shared" ca="1" si="458"/>
        <v>0</v>
      </c>
      <c r="M987" s="76">
        <f t="shared" ca="1" si="458"/>
        <v>0</v>
      </c>
      <c r="N987" s="76">
        <f t="shared" ca="1" si="458"/>
        <v>0</v>
      </c>
      <c r="O987" s="76">
        <f t="shared" ca="1" si="458"/>
        <v>0</v>
      </c>
      <c r="P987" s="76">
        <f t="shared" ca="1" si="458"/>
        <v>0</v>
      </c>
      <c r="Q987" s="76">
        <f t="shared" ca="1" si="458"/>
        <v>0</v>
      </c>
      <c r="R987" s="76">
        <f t="shared" ca="1" si="458"/>
        <v>0</v>
      </c>
      <c r="S987" s="76">
        <f t="shared" ca="1" si="458"/>
        <v>0</v>
      </c>
      <c r="T987" s="76">
        <f t="shared" ca="1" si="458"/>
        <v>0</v>
      </c>
      <c r="U987" s="76">
        <f t="shared" ca="1" si="458"/>
        <v>0</v>
      </c>
      <c r="V987" s="76">
        <f t="shared" ca="1" si="458"/>
        <v>0</v>
      </c>
      <c r="W987" s="76">
        <f t="shared" ca="1" si="458"/>
        <v>0</v>
      </c>
      <c r="X987" s="76">
        <f t="shared" ca="1" si="458"/>
        <v>0</v>
      </c>
    </row>
    <row r="988" spans="1:24" hidden="1">
      <c r="A988" s="258"/>
      <c r="B988" s="21"/>
      <c r="C988" s="21"/>
      <c r="D988" s="21"/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0" t="s">
        <v>391</v>
      </c>
      <c r="C989" s="21">
        <f>C982+1</f>
        <v>127</v>
      </c>
      <c r="D989" s="473">
        <f>D982+1</f>
        <v>261</v>
      </c>
      <c r="E989" s="21"/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414</v>
      </c>
      <c r="C990" s="164">
        <f ca="1">IFERROR(YEAR(OFFSET($D$28,C989,0)),0)</f>
        <v>0</v>
      </c>
      <c r="D990" s="164">
        <f ca="1">IFERROR(MONTH(OFFSET($D$28,C989,0)),0)</f>
        <v>0</v>
      </c>
      <c r="E990" s="21">
        <f ca="1">12-$D990</f>
        <v>12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406</v>
      </c>
      <c r="C991" s="244">
        <f ca="1">IF(OFFSET($F$28,C989,0)&lt;0,0,OFFSET($F$28,C989,0))</f>
        <v>0</v>
      </c>
      <c r="D991" s="22" t="str">
        <f ca="1">OFFSET($C$28,C989,0)</f>
        <v/>
      </c>
      <c r="E991" s="22">
        <f ca="1">IF(D991&gt;10,ROUND(($C992/12)*$E990,0),$C991)</f>
        <v>0</v>
      </c>
      <c r="F991" s="21"/>
      <c r="G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258"/>
      <c r="B992" s="21" t="s">
        <v>415</v>
      </c>
      <c r="C992" s="244">
        <f ca="1">IF(ISBLANK(OFFSET($D$28,C989,0)),0,IF(OFFSET($C$28,C989,0)&gt;10,ROUND(C991*am_maszyny,0),IF(C991&lt;0,0,C991)))</f>
        <v>0</v>
      </c>
      <c r="D992" s="21"/>
      <c r="E992" s="21"/>
      <c r="F992" s="21"/>
      <c r="G992" s="21"/>
      <c r="I992" s="21"/>
      <c r="J992" s="473" cm="1">
        <f t="array" aca="1" ref="J992" ca="1">OFFSET('Środki trwałe'!$C$195,'Rozliczenie dotacji'!D989,,)</f>
        <v>0</v>
      </c>
      <c r="K992" s="74">
        <f ca="1">ROUND(IF($C990=LataProjekcji,$E991,IF($C990=LataProjekcji,$C992,0)),0)</f>
        <v>0</v>
      </c>
      <c r="L992" s="247">
        <f ca="1">ROUND(IF(OR(AND($C990=LataProjekcji,$E990&gt;0),AND($C990=LataProjekcji,$E990=0,$D991&lt;=10)),$E991,IF($C990&lt;LataProjekcji,IF((SUM($K992:K992)+$C992)&lt;$C991,$C992,$C991-SUM($K992:K992)),0)),0)</f>
        <v>0</v>
      </c>
      <c r="M992" s="247">
        <f ca="1">ROUND(IF(OR(AND($C990=LataProjekcji,$E990&gt;0),AND($C990=LataProjekcji,$E990=0,$D991&lt;=10)),$E991,IF($C990&lt;LataProjekcji,IF((SUM($K992:L992)+$C992)&lt;$C991,$C992,$C991-SUM($K992:L992)),0)),0)</f>
        <v>0</v>
      </c>
      <c r="N992" s="247">
        <f ca="1">ROUND(IF(OR(AND($C990=LataProjekcji,$E990&gt;0),AND($C990=LataProjekcji,$E990=0,$D991&lt;=10)),$E991,IF($C990&lt;LataProjekcji,IF((SUM($K992:M992)+$C992)&lt;$C991,$C992,$C991-SUM($K992:M992)),0)),0)</f>
        <v>0</v>
      </c>
      <c r="O992" s="247">
        <f ca="1">ROUND(IF(OR(AND($C990=LataProjekcji,$E990&gt;0),AND($C990=LataProjekcji,$E990=0,$D991&lt;=10)),$E991,IF($C990&lt;LataProjekcji,IF((SUM($K992:N992)+$C992)&lt;$C991,$C992,$C991-SUM($K992:N992)),0)),0)</f>
        <v>0</v>
      </c>
      <c r="P992" s="247">
        <f ca="1">ROUND(IF(OR(AND($C990=LataProjekcji,$E990&gt;0),AND($C990=LataProjekcji,$E990=0,$D991&lt;=10)),$E991,IF($C990&lt;LataProjekcji,IF((SUM($K992:O992)+$C992)&lt;$C991,$C992,$C991-SUM($K992:O992)),0)),0)</f>
        <v>0</v>
      </c>
      <c r="Q992" s="247">
        <f ca="1">ROUND(IF(OR(AND($C990=LataProjekcji,$E990&gt;0),AND($C990=LataProjekcji,$E990=0,$D991&lt;=10)),$E991,IF($C990&lt;LataProjekcji,IF((SUM($K992:P992)+$C992)&lt;$C991,$C992,$C991-SUM($K992:P992)),0)),0)</f>
        <v>0</v>
      </c>
      <c r="R992" s="247">
        <f ca="1">ROUND(IF(OR(AND($C990=LataProjekcji,$E990&gt;0),AND($C990=LataProjekcji,$E990=0,$D991&lt;=10)),$E991,IF($C990&lt;LataProjekcji,IF((SUM($K992:Q992)+$C992)&lt;$C991,$C992,$C991-SUM($K992:Q992)),0)),0)</f>
        <v>0</v>
      </c>
      <c r="S992" s="247">
        <f ca="1">ROUND(IF(OR(AND($C990=LataProjekcji,$E990&gt;0),AND($C990=LataProjekcji,$E990=0,$D991&lt;=10)),$E991,IF($C990&lt;LataProjekcji,IF((SUM($K992:R992)+$C992)&lt;$C991,$C992,$C991-SUM($K992:R992)),0)),0)</f>
        <v>0</v>
      </c>
      <c r="T992" s="247">
        <f ca="1">ROUND(IF(OR(AND($C990=LataProjekcji,$E990&gt;0),AND($C990=LataProjekcji,$E990=0,$D991&lt;=10)),$E991,IF($C990&lt;LataProjekcji,IF((SUM($K992:S992)+$C992)&lt;$C991,$C992,$C991-SUM($K992:S992)),0)),0)</f>
        <v>0</v>
      </c>
      <c r="U992" s="247">
        <f ca="1">ROUND(IF(OR(AND($C990=LataProjekcji,$E990&gt;0),AND($C990=LataProjekcji,$E990=0,$D991&lt;=10)),$E991,IF($C990&lt;LataProjekcji,IF((SUM($K992:T992)+$C992)&lt;$C991,$C992,$C991-SUM($K992:T992)),0)),0)</f>
        <v>0</v>
      </c>
      <c r="V992" s="247">
        <f ca="1">ROUND(IF(OR(AND($C990=LataProjekcji,$E990&gt;0),AND($C990=LataProjekcji,$E990=0,$D991&lt;=10)),$E991,IF($C990&lt;LataProjekcji,IF((SUM($K992:U992)+$C992)&lt;$C991,$C992,$C991-SUM($K992:U992)),0)),0)</f>
        <v>0</v>
      </c>
      <c r="W992" s="247">
        <f ca="1">ROUND(IF(OR(AND($C990=LataProjekcji,$E990&gt;0),AND($C990=LataProjekcji,$E990=0,$D991&lt;=10)),$E991,IF($C990&lt;LataProjekcji,IF((SUM($K992:V992)+$C992)&lt;$C991,$C992,$C991-SUM($K992:V992)),0)),0)</f>
        <v>0</v>
      </c>
      <c r="X992" s="247">
        <f ca="1">ROUND(IF(OR(AND($C990=LataProjekcji,$E990&gt;0),AND($C990=LataProjekcji,$E990=0,$D991&lt;=10)),$E991,IF($C990&lt;LataProjekcji,IF((SUM($K992:W992)+$C992)&lt;$C991,$C992,$C991-SUM($K992:W992)),0)),0)</f>
        <v>0</v>
      </c>
    </row>
    <row r="993" spans="1:24" hidden="1">
      <c r="A993" s="258"/>
      <c r="B993" s="21" t="s">
        <v>416</v>
      </c>
      <c r="C993" s="22"/>
      <c r="D993" s="21"/>
      <c r="E993" s="21"/>
      <c r="F993" s="21"/>
      <c r="G993" s="21"/>
      <c r="I993" s="21"/>
      <c r="J993" s="21"/>
      <c r="K993" s="22">
        <f ca="1">ROUND(K992,0)</f>
        <v>0</v>
      </c>
      <c r="L993" s="22">
        <f t="shared" ref="L993:X993" ca="1" si="459">ROUND(K993+L992,0)</f>
        <v>0</v>
      </c>
      <c r="M993" s="22">
        <f t="shared" ca="1" si="459"/>
        <v>0</v>
      </c>
      <c r="N993" s="22">
        <f t="shared" ca="1" si="459"/>
        <v>0</v>
      </c>
      <c r="O993" s="22">
        <f t="shared" ca="1" si="459"/>
        <v>0</v>
      </c>
      <c r="P993" s="22">
        <f t="shared" ca="1" si="459"/>
        <v>0</v>
      </c>
      <c r="Q993" s="22">
        <f t="shared" ca="1" si="459"/>
        <v>0</v>
      </c>
      <c r="R993" s="22">
        <f t="shared" ca="1" si="459"/>
        <v>0</v>
      </c>
      <c r="S993" s="22">
        <f t="shared" ca="1" si="459"/>
        <v>0</v>
      </c>
      <c r="T993" s="22">
        <f t="shared" ca="1" si="459"/>
        <v>0</v>
      </c>
      <c r="U993" s="22">
        <f t="shared" ca="1" si="459"/>
        <v>0</v>
      </c>
      <c r="V993" s="22">
        <f t="shared" ca="1" si="459"/>
        <v>0</v>
      </c>
      <c r="W993" s="22">
        <f t="shared" ca="1" si="459"/>
        <v>0</v>
      </c>
      <c r="X993" s="22">
        <f t="shared" ca="1" si="459"/>
        <v>0</v>
      </c>
    </row>
    <row r="994" spans="1:24" hidden="1">
      <c r="A994" s="258"/>
      <c r="B994" s="21" t="s">
        <v>406</v>
      </c>
      <c r="C994" s="22"/>
      <c r="D994" s="21"/>
      <c r="E994" s="21"/>
      <c r="F994" s="21"/>
      <c r="G994" s="21"/>
      <c r="I994" s="21"/>
      <c r="J994" s="21"/>
      <c r="K994" s="76">
        <f t="shared" ref="K994:X994" ca="1" si="460">IF($C990=LataProjekcji,ROUND($C991-K993,0),ROUND(IF(K992=0,0,$C991-K993),0))</f>
        <v>0</v>
      </c>
      <c r="L994" s="76">
        <f t="shared" ca="1" si="460"/>
        <v>0</v>
      </c>
      <c r="M994" s="76">
        <f t="shared" ca="1" si="460"/>
        <v>0</v>
      </c>
      <c r="N994" s="76">
        <f t="shared" ca="1" si="460"/>
        <v>0</v>
      </c>
      <c r="O994" s="76">
        <f t="shared" ca="1" si="460"/>
        <v>0</v>
      </c>
      <c r="P994" s="76">
        <f t="shared" ca="1" si="460"/>
        <v>0</v>
      </c>
      <c r="Q994" s="76">
        <f t="shared" ca="1" si="460"/>
        <v>0</v>
      </c>
      <c r="R994" s="76">
        <f t="shared" ca="1" si="460"/>
        <v>0</v>
      </c>
      <c r="S994" s="76">
        <f t="shared" ca="1" si="460"/>
        <v>0</v>
      </c>
      <c r="T994" s="76">
        <f t="shared" ca="1" si="460"/>
        <v>0</v>
      </c>
      <c r="U994" s="76">
        <f t="shared" ca="1" si="460"/>
        <v>0</v>
      </c>
      <c r="V994" s="76">
        <f t="shared" ca="1" si="460"/>
        <v>0</v>
      </c>
      <c r="W994" s="76">
        <f t="shared" ca="1" si="460"/>
        <v>0</v>
      </c>
      <c r="X994" s="76">
        <f t="shared" ca="1" si="460"/>
        <v>0</v>
      </c>
    </row>
    <row r="995" spans="1:24" hidden="1">
      <c r="A995" s="258"/>
      <c r="B995" s="21"/>
      <c r="C995" s="22"/>
      <c r="D995" s="21"/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0" t="s">
        <v>391</v>
      </c>
      <c r="C996" s="21">
        <f>C989+1</f>
        <v>128</v>
      </c>
      <c r="D996" s="473">
        <f>D989+1</f>
        <v>262</v>
      </c>
      <c r="E996" s="21"/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414</v>
      </c>
      <c r="C997" s="164">
        <f ca="1">IFERROR(YEAR(OFFSET($D$28,C996,0)),0)</f>
        <v>0</v>
      </c>
      <c r="D997" s="164">
        <f ca="1">IFERROR(MONTH(OFFSET($D$28,C996,0)),0)</f>
        <v>0</v>
      </c>
      <c r="E997" s="21">
        <f ca="1">12-$D997</f>
        <v>12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406</v>
      </c>
      <c r="C998" s="244">
        <f ca="1">IF(OFFSET($F$28,C996,0)&lt;0,0,OFFSET($F$28,C996,0))</f>
        <v>0</v>
      </c>
      <c r="D998" s="22" t="str">
        <f ca="1">OFFSET($C$28,C996,0)</f>
        <v/>
      </c>
      <c r="E998" s="22">
        <f ca="1">IF(D998&gt;10,ROUND(($C999/12)*$E997,0),$C998)</f>
        <v>0</v>
      </c>
      <c r="F998" s="21"/>
      <c r="G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258"/>
      <c r="B999" s="21" t="s">
        <v>415</v>
      </c>
      <c r="C999" s="244">
        <f ca="1">IF(ISBLANK(OFFSET($D$28,C996,0)),0,IF(OFFSET($C$28,C996,0)&gt;10,ROUND(C998*am_maszyny,0),IF(C998&lt;0,0,C998)))</f>
        <v>0</v>
      </c>
      <c r="D999" s="21"/>
      <c r="E999" s="21"/>
      <c r="F999" s="21"/>
      <c r="G999" s="21"/>
      <c r="I999" s="21"/>
      <c r="J999" s="473" cm="1">
        <f t="array" aca="1" ref="J999" ca="1">OFFSET('Środki trwałe'!$C$195,'Rozliczenie dotacji'!D996,,)</f>
        <v>0</v>
      </c>
      <c r="K999" s="74">
        <f ca="1">ROUND(IF($C997=LataProjekcji,$E998,IF($C997=LataProjekcji,$C999,0)),0)</f>
        <v>0</v>
      </c>
      <c r="L999" s="247">
        <f ca="1">ROUND(IF(OR(AND($C997=LataProjekcji,$E997&gt;0),AND($C997=LataProjekcji,$E997=0,$D998&lt;=10)),$E998,IF($C997&lt;LataProjekcji,IF((SUM($K999:K999)+$C999)&lt;$C998,$C999,$C998-SUM($K999:K999)),0)),0)</f>
        <v>0</v>
      </c>
      <c r="M999" s="247">
        <f ca="1">ROUND(IF(OR(AND($C997=LataProjekcji,$E997&gt;0),AND($C997=LataProjekcji,$E997=0,$D998&lt;=10)),$E998,IF($C997&lt;LataProjekcji,IF((SUM($K999:L999)+$C999)&lt;$C998,$C999,$C998-SUM($K999:L999)),0)),0)</f>
        <v>0</v>
      </c>
      <c r="N999" s="247">
        <f ca="1">ROUND(IF(OR(AND($C997=LataProjekcji,$E997&gt;0),AND($C997=LataProjekcji,$E997=0,$D998&lt;=10)),$E998,IF($C997&lt;LataProjekcji,IF((SUM($K999:M999)+$C999)&lt;$C998,$C999,$C998-SUM($K999:M999)),0)),0)</f>
        <v>0</v>
      </c>
      <c r="O999" s="247">
        <f ca="1">ROUND(IF(OR(AND($C997=LataProjekcji,$E997&gt;0),AND($C997=LataProjekcji,$E997=0,$D998&lt;=10)),$E998,IF($C997&lt;LataProjekcji,IF((SUM($K999:N999)+$C999)&lt;$C998,$C999,$C998-SUM($K999:N999)),0)),0)</f>
        <v>0</v>
      </c>
      <c r="P999" s="247">
        <f ca="1">ROUND(IF(OR(AND($C997=LataProjekcji,$E997&gt;0),AND($C997=LataProjekcji,$E997=0,$D998&lt;=10)),$E998,IF($C997&lt;LataProjekcji,IF((SUM($K999:O999)+$C999)&lt;$C998,$C999,$C998-SUM($K999:O999)),0)),0)</f>
        <v>0</v>
      </c>
      <c r="Q999" s="247">
        <f ca="1">ROUND(IF(OR(AND($C997=LataProjekcji,$E997&gt;0),AND($C997=LataProjekcji,$E997=0,$D998&lt;=10)),$E998,IF($C997&lt;LataProjekcji,IF((SUM($K999:P999)+$C999)&lt;$C998,$C999,$C998-SUM($K999:P999)),0)),0)</f>
        <v>0</v>
      </c>
      <c r="R999" s="247">
        <f ca="1">ROUND(IF(OR(AND($C997=LataProjekcji,$E997&gt;0),AND($C997=LataProjekcji,$E997=0,$D998&lt;=10)),$E998,IF($C997&lt;LataProjekcji,IF((SUM($K999:Q999)+$C999)&lt;$C998,$C999,$C998-SUM($K999:Q999)),0)),0)</f>
        <v>0</v>
      </c>
      <c r="S999" s="247">
        <f ca="1">ROUND(IF(OR(AND($C997=LataProjekcji,$E997&gt;0),AND($C997=LataProjekcji,$E997=0,$D998&lt;=10)),$E998,IF($C997&lt;LataProjekcji,IF((SUM($K999:R999)+$C999)&lt;$C998,$C999,$C998-SUM($K999:R999)),0)),0)</f>
        <v>0</v>
      </c>
      <c r="T999" s="247">
        <f ca="1">ROUND(IF(OR(AND($C997=LataProjekcji,$E997&gt;0),AND($C997=LataProjekcji,$E997=0,$D998&lt;=10)),$E998,IF($C997&lt;LataProjekcji,IF((SUM($K999:S999)+$C999)&lt;$C998,$C999,$C998-SUM($K999:S999)),0)),0)</f>
        <v>0</v>
      </c>
      <c r="U999" s="247">
        <f ca="1">ROUND(IF(OR(AND($C997=LataProjekcji,$E997&gt;0),AND($C997=LataProjekcji,$E997=0,$D998&lt;=10)),$E998,IF($C997&lt;LataProjekcji,IF((SUM($K999:T999)+$C999)&lt;$C998,$C999,$C998-SUM($K999:T999)),0)),0)</f>
        <v>0</v>
      </c>
      <c r="V999" s="247">
        <f ca="1">ROUND(IF(OR(AND($C997=LataProjekcji,$E997&gt;0),AND($C997=LataProjekcji,$E997=0,$D998&lt;=10)),$E998,IF($C997&lt;LataProjekcji,IF((SUM($K999:U999)+$C999)&lt;$C998,$C999,$C998-SUM($K999:U999)),0)),0)</f>
        <v>0</v>
      </c>
      <c r="W999" s="247">
        <f ca="1">ROUND(IF(OR(AND($C997=LataProjekcji,$E997&gt;0),AND($C997=LataProjekcji,$E997=0,$D998&lt;=10)),$E998,IF($C997&lt;LataProjekcji,IF((SUM($K999:V999)+$C999)&lt;$C998,$C999,$C998-SUM($K999:V999)),0)),0)</f>
        <v>0</v>
      </c>
      <c r="X999" s="247">
        <f ca="1">ROUND(IF(OR(AND($C997=LataProjekcji,$E997&gt;0),AND($C997=LataProjekcji,$E997=0,$D998&lt;=10)),$E998,IF($C997&lt;LataProjekcji,IF((SUM($K999:W999)+$C999)&lt;$C998,$C999,$C998-SUM($K999:W999)),0)),0)</f>
        <v>0</v>
      </c>
    </row>
    <row r="1000" spans="1:24" hidden="1">
      <c r="A1000" s="258"/>
      <c r="B1000" s="21" t="s">
        <v>416</v>
      </c>
      <c r="C1000" s="22"/>
      <c r="D1000" s="21"/>
      <c r="E1000" s="21"/>
      <c r="F1000" s="21"/>
      <c r="G1000" s="21"/>
      <c r="I1000" s="21"/>
      <c r="J1000" s="21"/>
      <c r="K1000" s="22">
        <f ca="1">ROUND(K999,0)</f>
        <v>0</v>
      </c>
      <c r="L1000" s="22">
        <f t="shared" ref="L1000:X1000" ca="1" si="461">ROUND(K1000+L999,0)</f>
        <v>0</v>
      </c>
      <c r="M1000" s="22">
        <f t="shared" ca="1" si="461"/>
        <v>0</v>
      </c>
      <c r="N1000" s="22">
        <f t="shared" ca="1" si="461"/>
        <v>0</v>
      </c>
      <c r="O1000" s="22">
        <f t="shared" ca="1" si="461"/>
        <v>0</v>
      </c>
      <c r="P1000" s="22">
        <f t="shared" ca="1" si="461"/>
        <v>0</v>
      </c>
      <c r="Q1000" s="22">
        <f t="shared" ca="1" si="461"/>
        <v>0</v>
      </c>
      <c r="R1000" s="22">
        <f t="shared" ca="1" si="461"/>
        <v>0</v>
      </c>
      <c r="S1000" s="22">
        <f t="shared" ca="1" si="461"/>
        <v>0</v>
      </c>
      <c r="T1000" s="22">
        <f t="shared" ca="1" si="461"/>
        <v>0</v>
      </c>
      <c r="U1000" s="22">
        <f t="shared" ca="1" si="461"/>
        <v>0</v>
      </c>
      <c r="V1000" s="22">
        <f t="shared" ca="1" si="461"/>
        <v>0</v>
      </c>
      <c r="W1000" s="22">
        <f t="shared" ca="1" si="461"/>
        <v>0</v>
      </c>
      <c r="X1000" s="22">
        <f t="shared" ca="1" si="461"/>
        <v>0</v>
      </c>
    </row>
    <row r="1001" spans="1:24" hidden="1">
      <c r="A1001" s="258"/>
      <c r="B1001" s="21" t="s">
        <v>406</v>
      </c>
      <c r="C1001" s="22"/>
      <c r="D1001" s="21"/>
      <c r="E1001" s="21"/>
      <c r="F1001" s="21"/>
      <c r="G1001" s="21"/>
      <c r="I1001" s="21"/>
      <c r="J1001" s="21"/>
      <c r="K1001" s="76">
        <f t="shared" ref="K1001:X1001" ca="1" si="462">IF($C997=LataProjekcji,ROUND($C998-K1000,0),ROUND(IF(K999=0,0,$C998-K1000),0))</f>
        <v>0</v>
      </c>
      <c r="L1001" s="76">
        <f t="shared" ca="1" si="462"/>
        <v>0</v>
      </c>
      <c r="M1001" s="76">
        <f t="shared" ca="1" si="462"/>
        <v>0</v>
      </c>
      <c r="N1001" s="76">
        <f t="shared" ca="1" si="462"/>
        <v>0</v>
      </c>
      <c r="O1001" s="76">
        <f t="shared" ca="1" si="462"/>
        <v>0</v>
      </c>
      <c r="P1001" s="76">
        <f t="shared" ca="1" si="462"/>
        <v>0</v>
      </c>
      <c r="Q1001" s="76">
        <f t="shared" ca="1" si="462"/>
        <v>0</v>
      </c>
      <c r="R1001" s="76">
        <f t="shared" ca="1" si="462"/>
        <v>0</v>
      </c>
      <c r="S1001" s="76">
        <f t="shared" ca="1" si="462"/>
        <v>0</v>
      </c>
      <c r="T1001" s="76">
        <f t="shared" ca="1" si="462"/>
        <v>0</v>
      </c>
      <c r="U1001" s="76">
        <f t="shared" ca="1" si="462"/>
        <v>0</v>
      </c>
      <c r="V1001" s="76">
        <f t="shared" ca="1" si="462"/>
        <v>0</v>
      </c>
      <c r="W1001" s="76">
        <f t="shared" ca="1" si="462"/>
        <v>0</v>
      </c>
      <c r="X1001" s="76">
        <f t="shared" ca="1" si="462"/>
        <v>0</v>
      </c>
    </row>
    <row r="1002" spans="1:24" hidden="1">
      <c r="A1002" s="258"/>
      <c r="B1002" s="21"/>
      <c r="C1002" s="22"/>
      <c r="D1002" s="21"/>
      <c r="E1002" s="21"/>
      <c r="F1002" s="21"/>
      <c r="G1002" s="21"/>
      <c r="I1002" s="21"/>
      <c r="J1002" s="21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</row>
    <row r="1003" spans="1:24" hidden="1">
      <c r="A1003" s="258"/>
      <c r="B1003" s="20" t="str">
        <f>B157</f>
        <v/>
      </c>
      <c r="C1003" s="21">
        <f>C996+1</f>
        <v>129</v>
      </c>
      <c r="D1003" s="473">
        <f>D996+1</f>
        <v>263</v>
      </c>
      <c r="E1003" s="21"/>
      <c r="F1003" s="48"/>
      <c r="G1003" s="50"/>
      <c r="H1003" s="320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414</v>
      </c>
      <c r="C1004" s="164">
        <f ca="1">IFERROR(YEAR(OFFSET($D$28,C1003,0)),0)</f>
        <v>0</v>
      </c>
      <c r="D1004" s="164">
        <f ca="1">IFERROR(MONTH(OFFSET($D$28,C1003,0)),0)</f>
        <v>0</v>
      </c>
      <c r="E1004" s="21">
        <f ca="1">12-$D1004</f>
        <v>12</v>
      </c>
      <c r="F1004" s="49"/>
      <c r="G1004" s="51"/>
      <c r="H1004" s="321"/>
      <c r="I1004" s="22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406</v>
      </c>
      <c r="C1005" s="244">
        <f ca="1">IF(OFFSET($F$28,C1003,0)&lt;0,0,OFFSET($F$28,C1003,0))</f>
        <v>0</v>
      </c>
      <c r="D1005" s="22" t="str">
        <f ca="1">OFFSET($C$28,C1003,0)</f>
        <v/>
      </c>
      <c r="E1005" s="22">
        <f ca="1">IF(D1005&gt;10,ROUND(($C1006/12)*$E1004,0),$C1005)</f>
        <v>0</v>
      </c>
      <c r="F1005" s="21"/>
      <c r="G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258"/>
      <c r="B1006" s="21" t="s">
        <v>415</v>
      </c>
      <c r="C1006" s="244">
        <f ca="1">IF(ISBLANK(OFFSET($D$28,C1003,0)),0,IF(OFFSET($C$28,C1003,0)&gt;10,ROUND(C1005*am_maszyny,0),IF(C1005&lt;0,0,C1005)))</f>
        <v>0</v>
      </c>
      <c r="D1006" s="21"/>
      <c r="E1006" s="21"/>
      <c r="F1006" s="21"/>
      <c r="G1006" s="21"/>
      <c r="I1006" s="21"/>
      <c r="J1006" s="473" t="str" cm="1">
        <f t="array" aca="1" ref="J1006" ca="1">OFFSET('Środki trwałe'!$C$195,'Rozliczenie dotacji'!D1003,,)</f>
        <v/>
      </c>
      <c r="K1006" s="74">
        <f ca="1">ROUND(IF($C1004=LataProjekcji,$E1005,IF($C1004=LataProjekcji,$C1006,0)),0)</f>
        <v>0</v>
      </c>
      <c r="L1006" s="247">
        <f ca="1">ROUND(IF(OR(AND($C1004=LataProjekcji,$E1004&gt;0),AND($C1004=LataProjekcji,$E1004=0,$D1005&lt;=10)),$E1005,IF($C1004&lt;LataProjekcji,IF((SUM($K1006:K1006)+$C1006)&lt;$C1005,$C1006,$C1005-SUM($K1006:K1006)),0)),0)</f>
        <v>0</v>
      </c>
      <c r="M1006" s="247">
        <f ca="1">ROUND(IF(OR(AND($C1004=LataProjekcji,$E1004&gt;0),AND($C1004=LataProjekcji,$E1004=0,$D1005&lt;=10)),$E1005,IF($C1004&lt;LataProjekcji,IF((SUM($K1006:L1006)+$C1006)&lt;$C1005,$C1006,$C1005-SUM($K1006:L1006)),0)),0)</f>
        <v>0</v>
      </c>
      <c r="N1006" s="247">
        <f ca="1">ROUND(IF(OR(AND($C1004=LataProjekcji,$E1004&gt;0),AND($C1004=LataProjekcji,$E1004=0,$D1005&lt;=10)),$E1005,IF($C1004&lt;LataProjekcji,IF((SUM($K1006:M1006)+$C1006)&lt;$C1005,$C1006,$C1005-SUM($K1006:M1006)),0)),0)</f>
        <v>0</v>
      </c>
      <c r="O1006" s="247">
        <f ca="1">ROUND(IF(OR(AND($C1004=LataProjekcji,$E1004&gt;0),AND($C1004=LataProjekcji,$E1004=0,$D1005&lt;=10)),$E1005,IF($C1004&lt;LataProjekcji,IF((SUM($K1006:N1006)+$C1006)&lt;$C1005,$C1006,$C1005-SUM($K1006:N1006)),0)),0)</f>
        <v>0</v>
      </c>
      <c r="P1006" s="247">
        <f ca="1">ROUND(IF(OR(AND($C1004=LataProjekcji,$E1004&gt;0),AND($C1004=LataProjekcji,$E1004=0,$D1005&lt;=10)),$E1005,IF($C1004&lt;LataProjekcji,IF((SUM($K1006:O1006)+$C1006)&lt;$C1005,$C1006,$C1005-SUM($K1006:O1006)),0)),0)</f>
        <v>0</v>
      </c>
      <c r="Q1006" s="247">
        <f ca="1">ROUND(IF(OR(AND($C1004=LataProjekcji,$E1004&gt;0),AND($C1004=LataProjekcji,$E1004=0,$D1005&lt;=10)),$E1005,IF($C1004&lt;LataProjekcji,IF((SUM($K1006:P1006)+$C1006)&lt;$C1005,$C1006,$C1005-SUM($K1006:P1006)),0)),0)</f>
        <v>0</v>
      </c>
      <c r="R1006" s="247">
        <f ca="1">ROUND(IF(OR(AND($C1004=LataProjekcji,$E1004&gt;0),AND($C1004=LataProjekcji,$E1004=0,$D1005&lt;=10)),$E1005,IF($C1004&lt;LataProjekcji,IF((SUM($K1006:Q1006)+$C1006)&lt;$C1005,$C1006,$C1005-SUM($K1006:Q1006)),0)),0)</f>
        <v>0</v>
      </c>
      <c r="S1006" s="247">
        <f ca="1">ROUND(IF(OR(AND($C1004=LataProjekcji,$E1004&gt;0),AND($C1004=LataProjekcji,$E1004=0,$D1005&lt;=10)),$E1005,IF($C1004&lt;LataProjekcji,IF((SUM($K1006:R1006)+$C1006)&lt;$C1005,$C1006,$C1005-SUM($K1006:R1006)),0)),0)</f>
        <v>0</v>
      </c>
      <c r="T1006" s="247">
        <f ca="1">ROUND(IF(OR(AND($C1004=LataProjekcji,$E1004&gt;0),AND($C1004=LataProjekcji,$E1004=0,$D1005&lt;=10)),$E1005,IF($C1004&lt;LataProjekcji,IF((SUM($K1006:S1006)+$C1006)&lt;$C1005,$C1006,$C1005-SUM($K1006:S1006)),0)),0)</f>
        <v>0</v>
      </c>
      <c r="U1006" s="247">
        <f ca="1">ROUND(IF(OR(AND($C1004=LataProjekcji,$E1004&gt;0),AND($C1004=LataProjekcji,$E1004=0,$D1005&lt;=10)),$E1005,IF($C1004&lt;LataProjekcji,IF((SUM($K1006:T1006)+$C1006)&lt;$C1005,$C1006,$C1005-SUM($K1006:T1006)),0)),0)</f>
        <v>0</v>
      </c>
      <c r="V1006" s="247">
        <f ca="1">ROUND(IF(OR(AND($C1004=LataProjekcji,$E1004&gt;0),AND($C1004=LataProjekcji,$E1004=0,$D1005&lt;=10)),$E1005,IF($C1004&lt;LataProjekcji,IF((SUM($K1006:U1006)+$C1006)&lt;$C1005,$C1006,$C1005-SUM($K1006:U1006)),0)),0)</f>
        <v>0</v>
      </c>
      <c r="W1006" s="247">
        <f ca="1">ROUND(IF(OR(AND($C1004=LataProjekcji,$E1004&gt;0),AND($C1004=LataProjekcji,$E1004=0,$D1005&lt;=10)),$E1005,IF($C1004&lt;LataProjekcji,IF((SUM($K1006:V1006)+$C1006)&lt;$C1005,$C1006,$C1005-SUM($K1006:V1006)),0)),0)</f>
        <v>0</v>
      </c>
      <c r="X1006" s="247">
        <f ca="1">ROUND(IF(OR(AND($C1004=LataProjekcji,$E1004&gt;0),AND($C1004=LataProjekcji,$E1004=0,$D1005&lt;=10)),$E1005,IF($C1004&lt;LataProjekcji,IF((SUM($K1006:W1006)+$C1006)&lt;$C1005,$C1006,$C1005-SUM($K1006:W1006)),0)),0)</f>
        <v>0</v>
      </c>
    </row>
    <row r="1007" spans="1:24" hidden="1">
      <c r="A1007" s="258"/>
      <c r="B1007" s="21" t="s">
        <v>416</v>
      </c>
      <c r="C1007" s="22"/>
      <c r="D1007" s="21"/>
      <c r="E1007" s="21"/>
      <c r="F1007" s="21"/>
      <c r="G1007" s="21"/>
      <c r="I1007" s="21"/>
      <c r="J1007" s="21"/>
      <c r="K1007" s="22">
        <f ca="1">ROUND(K1006,0)</f>
        <v>0</v>
      </c>
      <c r="L1007" s="22">
        <f t="shared" ref="L1007:X1007" ca="1" si="463">ROUND(K1007+L1006,0)</f>
        <v>0</v>
      </c>
      <c r="M1007" s="22">
        <f t="shared" ca="1" si="463"/>
        <v>0</v>
      </c>
      <c r="N1007" s="22">
        <f t="shared" ca="1" si="463"/>
        <v>0</v>
      </c>
      <c r="O1007" s="22">
        <f t="shared" ca="1" si="463"/>
        <v>0</v>
      </c>
      <c r="P1007" s="22">
        <f t="shared" ca="1" si="463"/>
        <v>0</v>
      </c>
      <c r="Q1007" s="22">
        <f t="shared" ca="1" si="463"/>
        <v>0</v>
      </c>
      <c r="R1007" s="22">
        <f t="shared" ca="1" si="463"/>
        <v>0</v>
      </c>
      <c r="S1007" s="22">
        <f t="shared" ca="1" si="463"/>
        <v>0</v>
      </c>
      <c r="T1007" s="22">
        <f t="shared" ca="1" si="463"/>
        <v>0</v>
      </c>
      <c r="U1007" s="22">
        <f t="shared" ca="1" si="463"/>
        <v>0</v>
      </c>
      <c r="V1007" s="22">
        <f t="shared" ca="1" si="463"/>
        <v>0</v>
      </c>
      <c r="W1007" s="22">
        <f t="shared" ca="1" si="463"/>
        <v>0</v>
      </c>
      <c r="X1007" s="22">
        <f t="shared" ca="1" si="463"/>
        <v>0</v>
      </c>
    </row>
    <row r="1008" spans="1:24" hidden="1">
      <c r="A1008" s="258"/>
      <c r="B1008" s="21" t="s">
        <v>406</v>
      </c>
      <c r="C1008" s="22"/>
      <c r="D1008" s="21"/>
      <c r="E1008" s="21"/>
      <c r="F1008" s="21"/>
      <c r="G1008" s="21"/>
      <c r="I1008" s="21"/>
      <c r="J1008" s="21"/>
      <c r="K1008" s="76">
        <f t="shared" ref="K1008:X1008" ca="1" si="464">IF($C1004=LataProjekcji,ROUND($C1005-K1007,0),ROUND(IF(K1006=0,0,$C1005-K1007),0))</f>
        <v>0</v>
      </c>
      <c r="L1008" s="76">
        <f t="shared" ca="1" si="464"/>
        <v>0</v>
      </c>
      <c r="M1008" s="76">
        <f t="shared" ca="1" si="464"/>
        <v>0</v>
      </c>
      <c r="N1008" s="76">
        <f t="shared" ca="1" si="464"/>
        <v>0</v>
      </c>
      <c r="O1008" s="76">
        <f t="shared" ca="1" si="464"/>
        <v>0</v>
      </c>
      <c r="P1008" s="76">
        <f t="shared" ca="1" si="464"/>
        <v>0</v>
      </c>
      <c r="Q1008" s="76">
        <f t="shared" ca="1" si="464"/>
        <v>0</v>
      </c>
      <c r="R1008" s="76">
        <f t="shared" ca="1" si="464"/>
        <v>0</v>
      </c>
      <c r="S1008" s="76">
        <f t="shared" ca="1" si="464"/>
        <v>0</v>
      </c>
      <c r="T1008" s="76">
        <f t="shared" ca="1" si="464"/>
        <v>0</v>
      </c>
      <c r="U1008" s="76">
        <f t="shared" ca="1" si="464"/>
        <v>0</v>
      </c>
      <c r="V1008" s="76">
        <f t="shared" ca="1" si="464"/>
        <v>0</v>
      </c>
      <c r="W1008" s="76">
        <f t="shared" ca="1" si="464"/>
        <v>0</v>
      </c>
      <c r="X1008" s="76">
        <f t="shared" ca="1" si="464"/>
        <v>0</v>
      </c>
    </row>
    <row r="1009" spans="1:24" hidden="1">
      <c r="A1009" s="258"/>
      <c r="B1009" s="21"/>
      <c r="C1009" s="21"/>
      <c r="D1009" s="21"/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0" t="str">
        <f>B158</f>
        <v/>
      </c>
      <c r="C1010" s="21">
        <f>C1003+1</f>
        <v>130</v>
      </c>
      <c r="D1010" s="473">
        <f>D1003+1</f>
        <v>264</v>
      </c>
      <c r="E1010" s="21"/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414</v>
      </c>
      <c r="C1011" s="164">
        <f ca="1">IFERROR(YEAR(OFFSET($D$28,C1010,0)),0)</f>
        <v>0</v>
      </c>
      <c r="D1011" s="164">
        <f ca="1">IFERROR(MONTH(OFFSET($D$28,C1010,0)),0)</f>
        <v>0</v>
      </c>
      <c r="E1011" s="21">
        <f ca="1">12-$D1011</f>
        <v>12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406</v>
      </c>
      <c r="C1012" s="244">
        <f ca="1">IF(OFFSET($F$28,C1010,0)&lt;0,0,OFFSET($F$28,C1010,0))</f>
        <v>0</v>
      </c>
      <c r="D1012" s="22" t="str">
        <f ca="1">OFFSET($C$28,C1010,0)</f>
        <v/>
      </c>
      <c r="E1012" s="22">
        <f ca="1">IF(D1012&gt;10,ROUND(($C1013/12)*$E1011,0),$C1012)</f>
        <v>0</v>
      </c>
      <c r="F1012" s="21"/>
      <c r="G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</row>
    <row r="1013" spans="1:24" hidden="1">
      <c r="A1013" s="258"/>
      <c r="B1013" s="21" t="s">
        <v>415</v>
      </c>
      <c r="C1013" s="244">
        <f ca="1">IF(ISBLANK(OFFSET($D$28,C1010,0)),0,IF(OFFSET($C$28,C1010,0)&gt;10,ROUND(C1012*am_maszyny,0),IF(C1012&lt;0,0,C1012)))</f>
        <v>0</v>
      </c>
      <c r="D1013" s="21"/>
      <c r="E1013" s="21"/>
      <c r="F1013" s="21"/>
      <c r="G1013" s="21"/>
      <c r="I1013" s="21"/>
      <c r="J1013" s="473" t="str" cm="1">
        <f t="array" aca="1" ref="J1013" ca="1">OFFSET('Środki trwałe'!$C$195,'Rozliczenie dotacji'!D1010,,)</f>
        <v/>
      </c>
      <c r="K1013" s="74">
        <f ca="1">ROUND(IF($C1011=LataProjekcji,$E1012,IF($C1011=LataProjekcji,$C1013,0)),0)</f>
        <v>0</v>
      </c>
      <c r="L1013" s="247">
        <f ca="1">ROUND(IF(OR(AND($C1011=LataProjekcji,$E1011&gt;0),AND($C1011=LataProjekcji,$E1011=0,$D1012&lt;=10)),$E1012,IF($C1011&lt;LataProjekcji,IF((SUM($K1013:K1013)+$C1013)&lt;$C1012,$C1013,$C1012-SUM($K1013:K1013)),0)),0)</f>
        <v>0</v>
      </c>
      <c r="M1013" s="247">
        <f ca="1">ROUND(IF(OR(AND($C1011=LataProjekcji,$E1011&gt;0),AND($C1011=LataProjekcji,$E1011=0,$D1012&lt;=10)),$E1012,IF($C1011&lt;LataProjekcji,IF((SUM($K1013:L1013)+$C1013)&lt;$C1012,$C1013,$C1012-SUM($K1013:L1013)),0)),0)</f>
        <v>0</v>
      </c>
      <c r="N1013" s="247">
        <f ca="1">ROUND(IF(OR(AND($C1011=LataProjekcji,$E1011&gt;0),AND($C1011=LataProjekcji,$E1011=0,$D1012&lt;=10)),$E1012,IF($C1011&lt;LataProjekcji,IF((SUM($K1013:M1013)+$C1013)&lt;$C1012,$C1013,$C1012-SUM($K1013:M1013)),0)),0)</f>
        <v>0</v>
      </c>
      <c r="O1013" s="247">
        <f ca="1">ROUND(IF(OR(AND($C1011=LataProjekcji,$E1011&gt;0),AND($C1011=LataProjekcji,$E1011=0,$D1012&lt;=10)),$E1012,IF($C1011&lt;LataProjekcji,IF((SUM($K1013:N1013)+$C1013)&lt;$C1012,$C1013,$C1012-SUM($K1013:N1013)),0)),0)</f>
        <v>0</v>
      </c>
      <c r="P1013" s="247">
        <f ca="1">ROUND(IF(OR(AND($C1011=LataProjekcji,$E1011&gt;0),AND($C1011=LataProjekcji,$E1011=0,$D1012&lt;=10)),$E1012,IF($C1011&lt;LataProjekcji,IF((SUM($K1013:O1013)+$C1013)&lt;$C1012,$C1013,$C1012-SUM($K1013:O1013)),0)),0)</f>
        <v>0</v>
      </c>
      <c r="Q1013" s="247">
        <f ca="1">ROUND(IF(OR(AND($C1011=LataProjekcji,$E1011&gt;0),AND($C1011=LataProjekcji,$E1011=0,$D1012&lt;=10)),$E1012,IF($C1011&lt;LataProjekcji,IF((SUM($K1013:P1013)+$C1013)&lt;$C1012,$C1013,$C1012-SUM($K1013:P1013)),0)),0)</f>
        <v>0</v>
      </c>
      <c r="R1013" s="247">
        <f ca="1">ROUND(IF(OR(AND($C1011=LataProjekcji,$E1011&gt;0),AND($C1011=LataProjekcji,$E1011=0,$D1012&lt;=10)),$E1012,IF($C1011&lt;LataProjekcji,IF((SUM($K1013:Q1013)+$C1013)&lt;$C1012,$C1013,$C1012-SUM($K1013:Q1013)),0)),0)</f>
        <v>0</v>
      </c>
      <c r="S1013" s="247">
        <f ca="1">ROUND(IF(OR(AND($C1011=LataProjekcji,$E1011&gt;0),AND($C1011=LataProjekcji,$E1011=0,$D1012&lt;=10)),$E1012,IF($C1011&lt;LataProjekcji,IF((SUM($K1013:R1013)+$C1013)&lt;$C1012,$C1013,$C1012-SUM($K1013:R1013)),0)),0)</f>
        <v>0</v>
      </c>
      <c r="T1013" s="247">
        <f ca="1">ROUND(IF(OR(AND($C1011=LataProjekcji,$E1011&gt;0),AND($C1011=LataProjekcji,$E1011=0,$D1012&lt;=10)),$E1012,IF($C1011&lt;LataProjekcji,IF((SUM($K1013:S1013)+$C1013)&lt;$C1012,$C1013,$C1012-SUM($K1013:S1013)),0)),0)</f>
        <v>0</v>
      </c>
      <c r="U1013" s="247">
        <f ca="1">ROUND(IF(OR(AND($C1011=LataProjekcji,$E1011&gt;0),AND($C1011=LataProjekcji,$E1011=0,$D1012&lt;=10)),$E1012,IF($C1011&lt;LataProjekcji,IF((SUM($K1013:T1013)+$C1013)&lt;$C1012,$C1013,$C1012-SUM($K1013:T1013)),0)),0)</f>
        <v>0</v>
      </c>
      <c r="V1013" s="247">
        <f ca="1">ROUND(IF(OR(AND($C1011=LataProjekcji,$E1011&gt;0),AND($C1011=LataProjekcji,$E1011=0,$D1012&lt;=10)),$E1012,IF($C1011&lt;LataProjekcji,IF((SUM($K1013:U1013)+$C1013)&lt;$C1012,$C1013,$C1012-SUM($K1013:U1013)),0)),0)</f>
        <v>0</v>
      </c>
      <c r="W1013" s="247">
        <f ca="1">ROUND(IF(OR(AND($C1011=LataProjekcji,$E1011&gt;0),AND($C1011=LataProjekcji,$E1011=0,$D1012&lt;=10)),$E1012,IF($C1011&lt;LataProjekcji,IF((SUM($K1013:V1013)+$C1013)&lt;$C1012,$C1013,$C1012-SUM($K1013:V1013)),0)),0)</f>
        <v>0</v>
      </c>
      <c r="X1013" s="247">
        <f ca="1">ROUND(IF(OR(AND($C1011=LataProjekcji,$E1011&gt;0),AND($C1011=LataProjekcji,$E1011=0,$D1012&lt;=10)),$E1012,IF($C1011&lt;LataProjekcji,IF((SUM($K1013:W1013)+$C1013)&lt;$C1012,$C1013,$C1012-SUM($K1013:W1013)),0)),0)</f>
        <v>0</v>
      </c>
    </row>
    <row r="1014" spans="1:24" hidden="1">
      <c r="A1014" s="258"/>
      <c r="B1014" s="21" t="s">
        <v>416</v>
      </c>
      <c r="C1014" s="22"/>
      <c r="D1014" s="21"/>
      <c r="E1014" s="21"/>
      <c r="F1014" s="21"/>
      <c r="G1014" s="21"/>
      <c r="I1014" s="21"/>
      <c r="J1014" s="21"/>
      <c r="K1014" s="22">
        <f ca="1">ROUND(K1013,0)</f>
        <v>0</v>
      </c>
      <c r="L1014" s="22">
        <f t="shared" ref="L1014:X1014" ca="1" si="465">ROUND(K1014+L1013,0)</f>
        <v>0</v>
      </c>
      <c r="M1014" s="22">
        <f t="shared" ca="1" si="465"/>
        <v>0</v>
      </c>
      <c r="N1014" s="22">
        <f t="shared" ca="1" si="465"/>
        <v>0</v>
      </c>
      <c r="O1014" s="22">
        <f t="shared" ca="1" si="465"/>
        <v>0</v>
      </c>
      <c r="P1014" s="22">
        <f t="shared" ca="1" si="465"/>
        <v>0</v>
      </c>
      <c r="Q1014" s="22">
        <f t="shared" ca="1" si="465"/>
        <v>0</v>
      </c>
      <c r="R1014" s="22">
        <f t="shared" ca="1" si="465"/>
        <v>0</v>
      </c>
      <c r="S1014" s="22">
        <f t="shared" ca="1" si="465"/>
        <v>0</v>
      </c>
      <c r="T1014" s="22">
        <f t="shared" ca="1" si="465"/>
        <v>0</v>
      </c>
      <c r="U1014" s="22">
        <f t="shared" ca="1" si="465"/>
        <v>0</v>
      </c>
      <c r="V1014" s="22">
        <f t="shared" ca="1" si="465"/>
        <v>0</v>
      </c>
      <c r="W1014" s="22">
        <f t="shared" ca="1" si="465"/>
        <v>0</v>
      </c>
      <c r="X1014" s="22">
        <f t="shared" ca="1" si="465"/>
        <v>0</v>
      </c>
    </row>
    <row r="1015" spans="1:24" hidden="1">
      <c r="A1015" s="258"/>
      <c r="B1015" s="21" t="s">
        <v>406</v>
      </c>
      <c r="C1015" s="22"/>
      <c r="D1015" s="21"/>
      <c r="E1015" s="21"/>
      <c r="F1015" s="21"/>
      <c r="G1015" s="21"/>
      <c r="I1015" s="21"/>
      <c r="J1015" s="21"/>
      <c r="K1015" s="76">
        <f t="shared" ref="K1015:X1015" ca="1" si="466">IF($C1011=LataProjekcji,ROUND($C1012-K1014,0),ROUND(IF(K1013=0,0,$C1012-K1014),0))</f>
        <v>0</v>
      </c>
      <c r="L1015" s="76">
        <f t="shared" ca="1" si="466"/>
        <v>0</v>
      </c>
      <c r="M1015" s="76">
        <f t="shared" ca="1" si="466"/>
        <v>0</v>
      </c>
      <c r="N1015" s="76">
        <f t="shared" ca="1" si="466"/>
        <v>0</v>
      </c>
      <c r="O1015" s="76">
        <f t="shared" ca="1" si="466"/>
        <v>0</v>
      </c>
      <c r="P1015" s="76">
        <f t="shared" ca="1" si="466"/>
        <v>0</v>
      </c>
      <c r="Q1015" s="76">
        <f t="shared" ca="1" si="466"/>
        <v>0</v>
      </c>
      <c r="R1015" s="76">
        <f t="shared" ca="1" si="466"/>
        <v>0</v>
      </c>
      <c r="S1015" s="76">
        <f t="shared" ca="1" si="466"/>
        <v>0</v>
      </c>
      <c r="T1015" s="76">
        <f t="shared" ca="1" si="466"/>
        <v>0</v>
      </c>
      <c r="U1015" s="76">
        <f t="shared" ca="1" si="466"/>
        <v>0</v>
      </c>
      <c r="V1015" s="76">
        <f t="shared" ca="1" si="466"/>
        <v>0</v>
      </c>
      <c r="W1015" s="76">
        <f t="shared" ca="1" si="466"/>
        <v>0</v>
      </c>
      <c r="X1015" s="76">
        <f t="shared" ca="1" si="466"/>
        <v>0</v>
      </c>
    </row>
    <row r="1016" spans="1:24" hidden="1">
      <c r="A1016" s="258"/>
      <c r="B1016" s="20"/>
      <c r="C1016" s="22"/>
      <c r="D1016" s="21"/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0" t="str">
        <f>B159</f>
        <v/>
      </c>
      <c r="C1017" s="21">
        <f>C1010+1</f>
        <v>131</v>
      </c>
      <c r="D1017" s="473">
        <f>D1010+1</f>
        <v>265</v>
      </c>
      <c r="E1017" s="21"/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414</v>
      </c>
      <c r="C1018" s="164">
        <f ca="1">IFERROR(YEAR(OFFSET($D$28,C1017,0)),0)</f>
        <v>0</v>
      </c>
      <c r="D1018" s="164">
        <f ca="1">IFERROR(MONTH(OFFSET($D$28,C1017,0)),0)</f>
        <v>0</v>
      </c>
      <c r="E1018" s="21">
        <f ca="1">12-$D1018</f>
        <v>12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406</v>
      </c>
      <c r="C1019" s="244">
        <f ca="1">IF(OFFSET($F$28,C1017,0)&lt;0,0,OFFSET($F$28,C1017,0))</f>
        <v>0</v>
      </c>
      <c r="D1019" s="22" t="str">
        <f ca="1">OFFSET($C$28,C1017,0)</f>
        <v/>
      </c>
      <c r="E1019" s="22">
        <f ca="1">IF(D1019&gt;10,ROUND(($C1020/12)*$E1018,0),$C1019)</f>
        <v>0</v>
      </c>
      <c r="F1019" s="21"/>
      <c r="G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</row>
    <row r="1020" spans="1:24" hidden="1">
      <c r="A1020" s="258"/>
      <c r="B1020" s="21" t="s">
        <v>415</v>
      </c>
      <c r="C1020" s="244">
        <f ca="1">IF(ISBLANK(OFFSET($D$28,C1017,0)),0,IF(OFFSET($C$28,C1017,0)&gt;10,ROUND(C1019*am_maszyny,0),IF(C1019&lt;0,0,C1019)))</f>
        <v>0</v>
      </c>
      <c r="D1020" s="21"/>
      <c r="E1020" s="21"/>
      <c r="F1020" s="21"/>
      <c r="G1020" s="21"/>
      <c r="I1020" s="21"/>
      <c r="J1020" s="473" t="str" cm="1">
        <f t="array" aca="1" ref="J1020" ca="1">OFFSET('Środki trwałe'!$C$195,'Rozliczenie dotacji'!D1017,,)</f>
        <v/>
      </c>
      <c r="K1020" s="74">
        <f ca="1">ROUND(IF($C1018=LataProjekcji,$E1019,IF($C1018=LataProjekcji,$C1020,0)),0)</f>
        <v>0</v>
      </c>
      <c r="L1020" s="247">
        <f ca="1">ROUND(IF(OR(AND($C1018=LataProjekcji,$E1018&gt;0),AND($C1018=LataProjekcji,$E1018=0,$D1019&lt;=10)),$E1019,IF($C1018&lt;LataProjekcji,IF((SUM($K1020:K1020)+$C1020)&lt;$C1019,$C1020,$C1019-SUM($K1020:K1020)),0)),0)</f>
        <v>0</v>
      </c>
      <c r="M1020" s="247">
        <f ca="1">ROUND(IF(OR(AND($C1018=LataProjekcji,$E1018&gt;0),AND($C1018=LataProjekcji,$E1018=0,$D1019&lt;=10)),$E1019,IF($C1018&lt;LataProjekcji,IF((SUM($K1020:L1020)+$C1020)&lt;$C1019,$C1020,$C1019-SUM($K1020:L1020)),0)),0)</f>
        <v>0</v>
      </c>
      <c r="N1020" s="247">
        <f ca="1">ROUND(IF(OR(AND($C1018=LataProjekcji,$E1018&gt;0),AND($C1018=LataProjekcji,$E1018=0,$D1019&lt;=10)),$E1019,IF($C1018&lt;LataProjekcji,IF((SUM($K1020:M1020)+$C1020)&lt;$C1019,$C1020,$C1019-SUM($K1020:M1020)),0)),0)</f>
        <v>0</v>
      </c>
      <c r="O1020" s="247">
        <f ca="1">ROUND(IF(OR(AND($C1018=LataProjekcji,$E1018&gt;0),AND($C1018=LataProjekcji,$E1018=0,$D1019&lt;=10)),$E1019,IF($C1018&lt;LataProjekcji,IF((SUM($K1020:N1020)+$C1020)&lt;$C1019,$C1020,$C1019-SUM($K1020:N1020)),0)),0)</f>
        <v>0</v>
      </c>
      <c r="P1020" s="247">
        <f ca="1">ROUND(IF(OR(AND($C1018=LataProjekcji,$E1018&gt;0),AND($C1018=LataProjekcji,$E1018=0,$D1019&lt;=10)),$E1019,IF($C1018&lt;LataProjekcji,IF((SUM($K1020:O1020)+$C1020)&lt;$C1019,$C1020,$C1019-SUM($K1020:O1020)),0)),0)</f>
        <v>0</v>
      </c>
      <c r="Q1020" s="247">
        <f ca="1">ROUND(IF(OR(AND($C1018=LataProjekcji,$E1018&gt;0),AND($C1018=LataProjekcji,$E1018=0,$D1019&lt;=10)),$E1019,IF($C1018&lt;LataProjekcji,IF((SUM($K1020:P1020)+$C1020)&lt;$C1019,$C1020,$C1019-SUM($K1020:P1020)),0)),0)</f>
        <v>0</v>
      </c>
      <c r="R1020" s="247">
        <f ca="1">ROUND(IF(OR(AND($C1018=LataProjekcji,$E1018&gt;0),AND($C1018=LataProjekcji,$E1018=0,$D1019&lt;=10)),$E1019,IF($C1018&lt;LataProjekcji,IF((SUM($K1020:Q1020)+$C1020)&lt;$C1019,$C1020,$C1019-SUM($K1020:Q1020)),0)),0)</f>
        <v>0</v>
      </c>
      <c r="S1020" s="247">
        <f ca="1">ROUND(IF(OR(AND($C1018=LataProjekcji,$E1018&gt;0),AND($C1018=LataProjekcji,$E1018=0,$D1019&lt;=10)),$E1019,IF($C1018&lt;LataProjekcji,IF((SUM($K1020:R1020)+$C1020)&lt;$C1019,$C1020,$C1019-SUM($K1020:R1020)),0)),0)</f>
        <v>0</v>
      </c>
      <c r="T1020" s="247">
        <f ca="1">ROUND(IF(OR(AND($C1018=LataProjekcji,$E1018&gt;0),AND($C1018=LataProjekcji,$E1018=0,$D1019&lt;=10)),$E1019,IF($C1018&lt;LataProjekcji,IF((SUM($K1020:S1020)+$C1020)&lt;$C1019,$C1020,$C1019-SUM($K1020:S1020)),0)),0)</f>
        <v>0</v>
      </c>
      <c r="U1020" s="247">
        <f ca="1">ROUND(IF(OR(AND($C1018=LataProjekcji,$E1018&gt;0),AND($C1018=LataProjekcji,$E1018=0,$D1019&lt;=10)),$E1019,IF($C1018&lt;LataProjekcji,IF((SUM($K1020:T1020)+$C1020)&lt;$C1019,$C1020,$C1019-SUM($K1020:T1020)),0)),0)</f>
        <v>0</v>
      </c>
      <c r="V1020" s="247">
        <f ca="1">ROUND(IF(OR(AND($C1018=LataProjekcji,$E1018&gt;0),AND($C1018=LataProjekcji,$E1018=0,$D1019&lt;=10)),$E1019,IF($C1018&lt;LataProjekcji,IF((SUM($K1020:U1020)+$C1020)&lt;$C1019,$C1020,$C1019-SUM($K1020:U1020)),0)),0)</f>
        <v>0</v>
      </c>
      <c r="W1020" s="247">
        <f ca="1">ROUND(IF(OR(AND($C1018=LataProjekcji,$E1018&gt;0),AND($C1018=LataProjekcji,$E1018=0,$D1019&lt;=10)),$E1019,IF($C1018&lt;LataProjekcji,IF((SUM($K1020:V1020)+$C1020)&lt;$C1019,$C1020,$C1019-SUM($K1020:V1020)),0)),0)</f>
        <v>0</v>
      </c>
      <c r="X1020" s="247">
        <f ca="1">ROUND(IF(OR(AND($C1018=LataProjekcji,$E1018&gt;0),AND($C1018=LataProjekcji,$E1018=0,$D1019&lt;=10)),$E1019,IF($C1018&lt;LataProjekcji,IF((SUM($K1020:W1020)+$C1020)&lt;$C1019,$C1020,$C1019-SUM($K1020:W1020)),0)),0)</f>
        <v>0</v>
      </c>
    </row>
    <row r="1021" spans="1:24" hidden="1">
      <c r="A1021" s="258"/>
      <c r="B1021" s="21" t="s">
        <v>416</v>
      </c>
      <c r="C1021" s="22"/>
      <c r="D1021" s="21"/>
      <c r="E1021" s="21"/>
      <c r="F1021" s="21"/>
      <c r="G1021" s="21"/>
      <c r="I1021" s="21"/>
      <c r="J1021" s="21"/>
      <c r="K1021" s="22">
        <f ca="1">ROUND(K1020,0)</f>
        <v>0</v>
      </c>
      <c r="L1021" s="22">
        <f t="shared" ref="L1021:X1021" ca="1" si="467">ROUND(K1021+L1020,0)</f>
        <v>0</v>
      </c>
      <c r="M1021" s="22">
        <f t="shared" ca="1" si="467"/>
        <v>0</v>
      </c>
      <c r="N1021" s="22">
        <f t="shared" ca="1" si="467"/>
        <v>0</v>
      </c>
      <c r="O1021" s="22">
        <f t="shared" ca="1" si="467"/>
        <v>0</v>
      </c>
      <c r="P1021" s="22">
        <f t="shared" ca="1" si="467"/>
        <v>0</v>
      </c>
      <c r="Q1021" s="22">
        <f t="shared" ca="1" si="467"/>
        <v>0</v>
      </c>
      <c r="R1021" s="22">
        <f t="shared" ca="1" si="467"/>
        <v>0</v>
      </c>
      <c r="S1021" s="22">
        <f t="shared" ca="1" si="467"/>
        <v>0</v>
      </c>
      <c r="T1021" s="22">
        <f t="shared" ca="1" si="467"/>
        <v>0</v>
      </c>
      <c r="U1021" s="22">
        <f t="shared" ca="1" si="467"/>
        <v>0</v>
      </c>
      <c r="V1021" s="22">
        <f t="shared" ca="1" si="467"/>
        <v>0</v>
      </c>
      <c r="W1021" s="22">
        <f t="shared" ca="1" si="467"/>
        <v>0</v>
      </c>
      <c r="X1021" s="22">
        <f t="shared" ca="1" si="467"/>
        <v>0</v>
      </c>
    </row>
    <row r="1022" spans="1:24" hidden="1">
      <c r="A1022" s="258"/>
      <c r="B1022" s="21" t="s">
        <v>406</v>
      </c>
      <c r="C1022" s="22"/>
      <c r="D1022" s="21"/>
      <c r="E1022" s="21"/>
      <c r="F1022" s="21"/>
      <c r="G1022" s="21"/>
      <c r="I1022" s="21"/>
      <c r="J1022" s="21"/>
      <c r="K1022" s="76">
        <f t="shared" ref="K1022:X1022" ca="1" si="468">IF($C1018=LataProjekcji,ROUND($C1019-K1021,0),ROUND(IF(K1020=0,0,$C1019-K1021),0))</f>
        <v>0</v>
      </c>
      <c r="L1022" s="76">
        <f t="shared" ca="1" si="468"/>
        <v>0</v>
      </c>
      <c r="M1022" s="76">
        <f t="shared" ca="1" si="468"/>
        <v>0</v>
      </c>
      <c r="N1022" s="76">
        <f t="shared" ca="1" si="468"/>
        <v>0</v>
      </c>
      <c r="O1022" s="76">
        <f t="shared" ca="1" si="468"/>
        <v>0</v>
      </c>
      <c r="P1022" s="76">
        <f t="shared" ca="1" si="468"/>
        <v>0</v>
      </c>
      <c r="Q1022" s="76">
        <f t="shared" ca="1" si="468"/>
        <v>0</v>
      </c>
      <c r="R1022" s="76">
        <f t="shared" ca="1" si="468"/>
        <v>0</v>
      </c>
      <c r="S1022" s="76">
        <f t="shared" ca="1" si="468"/>
        <v>0</v>
      </c>
      <c r="T1022" s="76">
        <f t="shared" ca="1" si="468"/>
        <v>0</v>
      </c>
      <c r="U1022" s="76">
        <f t="shared" ca="1" si="468"/>
        <v>0</v>
      </c>
      <c r="V1022" s="76">
        <f t="shared" ca="1" si="468"/>
        <v>0</v>
      </c>
      <c r="W1022" s="76">
        <f t="shared" ca="1" si="468"/>
        <v>0</v>
      </c>
      <c r="X1022" s="76">
        <f t="shared" ca="1" si="468"/>
        <v>0</v>
      </c>
    </row>
    <row r="1023" spans="1:24" hidden="1">
      <c r="A1023" s="258"/>
      <c r="B1023" s="21"/>
      <c r="C1023" s="22"/>
      <c r="D1023" s="21"/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0" t="str">
        <f>B160</f>
        <v/>
      </c>
      <c r="C1024" s="21">
        <f>C1017+1</f>
        <v>132</v>
      </c>
      <c r="D1024" s="473">
        <f>D1017+1</f>
        <v>266</v>
      </c>
      <c r="E1024" s="21"/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414</v>
      </c>
      <c r="C1025" s="164">
        <f ca="1">IFERROR(YEAR(OFFSET($D$28,C1024,0)),0)</f>
        <v>0</v>
      </c>
      <c r="D1025" s="164">
        <f ca="1">IFERROR(MONTH(OFFSET($D$28,C1024,0)),0)</f>
        <v>0</v>
      </c>
      <c r="E1025" s="21">
        <f ca="1">12-$D1025</f>
        <v>12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406</v>
      </c>
      <c r="C1026" s="244">
        <f ca="1">IF(OFFSET($F$28,C1024,0)&lt;0,0,OFFSET($F$28,C1024,0))</f>
        <v>0</v>
      </c>
      <c r="D1026" s="22" t="str">
        <f ca="1">OFFSET($C$28,C1024,0)</f>
        <v/>
      </c>
      <c r="E1026" s="22">
        <f ca="1">IF(D1026&gt;10,ROUND(($C1027/12)*$E1025,0),$C1026)</f>
        <v>0</v>
      </c>
      <c r="F1026" s="21"/>
      <c r="G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</row>
    <row r="1027" spans="1:24" hidden="1">
      <c r="A1027" s="258"/>
      <c r="B1027" s="21" t="s">
        <v>415</v>
      </c>
      <c r="C1027" s="244">
        <f ca="1">IF(ISBLANK(OFFSET($D$28,C1024,0)),0,IF(OFFSET($C$28,C1024,0)&gt;10,ROUND(C1026*am_maszyny,0),IF(C1026&lt;0,0,C1026)))</f>
        <v>0</v>
      </c>
      <c r="D1027" s="21"/>
      <c r="E1027" s="21"/>
      <c r="F1027" s="21"/>
      <c r="G1027" s="21"/>
      <c r="I1027" s="21"/>
      <c r="J1027" s="473" t="str" cm="1">
        <f t="array" aca="1" ref="J1027" ca="1">OFFSET('Środki trwałe'!$C$195,'Rozliczenie dotacji'!D1024,,)</f>
        <v/>
      </c>
      <c r="K1027" s="74">
        <f ca="1">ROUND(IF($C1025=LataProjekcji,$E1026,IF($C1025=LataProjekcji,$C1027,0)),0)</f>
        <v>0</v>
      </c>
      <c r="L1027" s="247">
        <f ca="1">ROUND(IF(OR(AND($C1025=LataProjekcji,$E1025&gt;0),AND($C1025=LataProjekcji,$E1025=0,$D1026&lt;=10)),$E1026,IF($C1025&lt;LataProjekcji,IF((SUM($K1027:K1027)+$C1027)&lt;$C1026,$C1027,$C1026-SUM($K1027:K1027)),0)),0)</f>
        <v>0</v>
      </c>
      <c r="M1027" s="247">
        <f ca="1">ROUND(IF(OR(AND($C1025=LataProjekcji,$E1025&gt;0),AND($C1025=LataProjekcji,$E1025=0,$D1026&lt;=10)),$E1026,IF($C1025&lt;LataProjekcji,IF((SUM($K1027:L1027)+$C1027)&lt;$C1026,$C1027,$C1026-SUM($K1027:L1027)),0)),0)</f>
        <v>0</v>
      </c>
      <c r="N1027" s="247">
        <f ca="1">ROUND(IF(OR(AND($C1025=LataProjekcji,$E1025&gt;0),AND($C1025=LataProjekcji,$E1025=0,$D1026&lt;=10)),$E1026,IF($C1025&lt;LataProjekcji,IF((SUM($K1027:M1027)+$C1027)&lt;$C1026,$C1027,$C1026-SUM($K1027:M1027)),0)),0)</f>
        <v>0</v>
      </c>
      <c r="O1027" s="247">
        <f ca="1">ROUND(IF(OR(AND($C1025=LataProjekcji,$E1025&gt;0),AND($C1025=LataProjekcji,$E1025=0,$D1026&lt;=10)),$E1026,IF($C1025&lt;LataProjekcji,IF((SUM($K1027:N1027)+$C1027)&lt;$C1026,$C1027,$C1026-SUM($K1027:N1027)),0)),0)</f>
        <v>0</v>
      </c>
      <c r="P1027" s="247">
        <f ca="1">ROUND(IF(OR(AND($C1025=LataProjekcji,$E1025&gt;0),AND($C1025=LataProjekcji,$E1025=0,$D1026&lt;=10)),$E1026,IF($C1025&lt;LataProjekcji,IF((SUM($K1027:O1027)+$C1027)&lt;$C1026,$C1027,$C1026-SUM($K1027:O1027)),0)),0)</f>
        <v>0</v>
      </c>
      <c r="Q1027" s="247">
        <f ca="1">ROUND(IF(OR(AND($C1025=LataProjekcji,$E1025&gt;0),AND($C1025=LataProjekcji,$E1025=0,$D1026&lt;=10)),$E1026,IF($C1025&lt;LataProjekcji,IF((SUM($K1027:P1027)+$C1027)&lt;$C1026,$C1027,$C1026-SUM($K1027:P1027)),0)),0)</f>
        <v>0</v>
      </c>
      <c r="R1027" s="247">
        <f ca="1">ROUND(IF(OR(AND($C1025=LataProjekcji,$E1025&gt;0),AND($C1025=LataProjekcji,$E1025=0,$D1026&lt;=10)),$E1026,IF($C1025&lt;LataProjekcji,IF((SUM($K1027:Q1027)+$C1027)&lt;$C1026,$C1027,$C1026-SUM($K1027:Q1027)),0)),0)</f>
        <v>0</v>
      </c>
      <c r="S1027" s="247">
        <f ca="1">ROUND(IF(OR(AND($C1025=LataProjekcji,$E1025&gt;0),AND($C1025=LataProjekcji,$E1025=0,$D1026&lt;=10)),$E1026,IF($C1025&lt;LataProjekcji,IF((SUM($K1027:R1027)+$C1027)&lt;$C1026,$C1027,$C1026-SUM($K1027:R1027)),0)),0)</f>
        <v>0</v>
      </c>
      <c r="T1027" s="247">
        <f ca="1">ROUND(IF(OR(AND($C1025=LataProjekcji,$E1025&gt;0),AND($C1025=LataProjekcji,$E1025=0,$D1026&lt;=10)),$E1026,IF($C1025&lt;LataProjekcji,IF((SUM($K1027:S1027)+$C1027)&lt;$C1026,$C1027,$C1026-SUM($K1027:S1027)),0)),0)</f>
        <v>0</v>
      </c>
      <c r="U1027" s="247">
        <f ca="1">ROUND(IF(OR(AND($C1025=LataProjekcji,$E1025&gt;0),AND($C1025=LataProjekcji,$E1025=0,$D1026&lt;=10)),$E1026,IF($C1025&lt;LataProjekcji,IF((SUM($K1027:T1027)+$C1027)&lt;$C1026,$C1027,$C1026-SUM($K1027:T1027)),0)),0)</f>
        <v>0</v>
      </c>
      <c r="V1027" s="247">
        <f ca="1">ROUND(IF(OR(AND($C1025=LataProjekcji,$E1025&gt;0),AND($C1025=LataProjekcji,$E1025=0,$D1026&lt;=10)),$E1026,IF($C1025&lt;LataProjekcji,IF((SUM($K1027:U1027)+$C1027)&lt;$C1026,$C1027,$C1026-SUM($K1027:U1027)),0)),0)</f>
        <v>0</v>
      </c>
      <c r="W1027" s="247">
        <f ca="1">ROUND(IF(OR(AND($C1025=LataProjekcji,$E1025&gt;0),AND($C1025=LataProjekcji,$E1025=0,$D1026&lt;=10)),$E1026,IF($C1025&lt;LataProjekcji,IF((SUM($K1027:V1027)+$C1027)&lt;$C1026,$C1027,$C1026-SUM($K1027:V1027)),0)),0)</f>
        <v>0</v>
      </c>
      <c r="X1027" s="247">
        <f ca="1">ROUND(IF(OR(AND($C1025=LataProjekcji,$E1025&gt;0),AND($C1025=LataProjekcji,$E1025=0,$D1026&lt;=10)),$E1026,IF($C1025&lt;LataProjekcji,IF((SUM($K1027:W1027)+$C1027)&lt;$C1026,$C1027,$C1026-SUM($K1027:W1027)),0)),0)</f>
        <v>0</v>
      </c>
    </row>
    <row r="1028" spans="1:24" hidden="1">
      <c r="A1028" s="258"/>
      <c r="B1028" s="21" t="s">
        <v>416</v>
      </c>
      <c r="C1028" s="22"/>
      <c r="D1028" s="21"/>
      <c r="E1028" s="21"/>
      <c r="F1028" s="21"/>
      <c r="G1028" s="21"/>
      <c r="I1028" s="21"/>
      <c r="J1028" s="21"/>
      <c r="K1028" s="22">
        <f ca="1">ROUND(K1027,0)</f>
        <v>0</v>
      </c>
      <c r="L1028" s="22">
        <f t="shared" ref="L1028:X1028" ca="1" si="469">ROUND(K1028+L1027,0)</f>
        <v>0</v>
      </c>
      <c r="M1028" s="22">
        <f t="shared" ca="1" si="469"/>
        <v>0</v>
      </c>
      <c r="N1028" s="22">
        <f t="shared" ca="1" si="469"/>
        <v>0</v>
      </c>
      <c r="O1028" s="22">
        <f t="shared" ca="1" si="469"/>
        <v>0</v>
      </c>
      <c r="P1028" s="22">
        <f t="shared" ca="1" si="469"/>
        <v>0</v>
      </c>
      <c r="Q1028" s="22">
        <f t="shared" ca="1" si="469"/>
        <v>0</v>
      </c>
      <c r="R1028" s="22">
        <f t="shared" ca="1" si="469"/>
        <v>0</v>
      </c>
      <c r="S1028" s="22">
        <f t="shared" ca="1" si="469"/>
        <v>0</v>
      </c>
      <c r="T1028" s="22">
        <f t="shared" ca="1" si="469"/>
        <v>0</v>
      </c>
      <c r="U1028" s="22">
        <f t="shared" ca="1" si="469"/>
        <v>0</v>
      </c>
      <c r="V1028" s="22">
        <f t="shared" ca="1" si="469"/>
        <v>0</v>
      </c>
      <c r="W1028" s="22">
        <f t="shared" ca="1" si="469"/>
        <v>0</v>
      </c>
      <c r="X1028" s="22">
        <f t="shared" ca="1" si="469"/>
        <v>0</v>
      </c>
    </row>
    <row r="1029" spans="1:24" hidden="1">
      <c r="A1029" s="258"/>
      <c r="B1029" s="21" t="s">
        <v>406</v>
      </c>
      <c r="C1029" s="22"/>
      <c r="D1029" s="21"/>
      <c r="E1029" s="21"/>
      <c r="F1029" s="21"/>
      <c r="G1029" s="21"/>
      <c r="I1029" s="21"/>
      <c r="J1029" s="21"/>
      <c r="K1029" s="76">
        <f t="shared" ref="K1029:X1029" ca="1" si="470">IF($C1025=LataProjekcji,ROUND($C1026-K1028,0),ROUND(IF(K1027=0,0,$C1026-K1028),0))</f>
        <v>0</v>
      </c>
      <c r="L1029" s="76">
        <f t="shared" ca="1" si="470"/>
        <v>0</v>
      </c>
      <c r="M1029" s="76">
        <f t="shared" ca="1" si="470"/>
        <v>0</v>
      </c>
      <c r="N1029" s="76">
        <f t="shared" ca="1" si="470"/>
        <v>0</v>
      </c>
      <c r="O1029" s="76">
        <f t="shared" ca="1" si="470"/>
        <v>0</v>
      </c>
      <c r="P1029" s="76">
        <f t="shared" ca="1" si="470"/>
        <v>0</v>
      </c>
      <c r="Q1029" s="76">
        <f t="shared" ca="1" si="470"/>
        <v>0</v>
      </c>
      <c r="R1029" s="76">
        <f t="shared" ca="1" si="470"/>
        <v>0</v>
      </c>
      <c r="S1029" s="76">
        <f t="shared" ca="1" si="470"/>
        <v>0</v>
      </c>
      <c r="T1029" s="76">
        <f t="shared" ca="1" si="470"/>
        <v>0</v>
      </c>
      <c r="U1029" s="76">
        <f t="shared" ca="1" si="470"/>
        <v>0</v>
      </c>
      <c r="V1029" s="76">
        <f t="shared" ca="1" si="470"/>
        <v>0</v>
      </c>
      <c r="W1029" s="76">
        <f t="shared" ca="1" si="470"/>
        <v>0</v>
      </c>
      <c r="X1029" s="76">
        <f t="shared" ca="1" si="470"/>
        <v>0</v>
      </c>
    </row>
    <row r="1030" spans="1:24" hidden="1">
      <c r="A1030" s="258"/>
      <c r="B1030" s="21"/>
      <c r="C1030" s="21"/>
      <c r="D1030" s="21"/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0" t="str">
        <f>B161</f>
        <v/>
      </c>
      <c r="C1031" s="21">
        <f>C1024+1</f>
        <v>133</v>
      </c>
      <c r="D1031" s="473">
        <f>D1024+1</f>
        <v>267</v>
      </c>
      <c r="E1031" s="21"/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414</v>
      </c>
      <c r="C1032" s="164">
        <f ca="1">IFERROR(YEAR(OFFSET($D$28,C1031,0)),0)</f>
        <v>0</v>
      </c>
      <c r="D1032" s="164">
        <f ca="1">IFERROR(MONTH(OFFSET($D$28,C1031,0)),0)</f>
        <v>0</v>
      </c>
      <c r="E1032" s="21">
        <f ca="1">12-$D1032</f>
        <v>12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406</v>
      </c>
      <c r="C1033" s="244">
        <f ca="1">IF(OFFSET($F$28,C1031,0)&lt;0,0,OFFSET($F$28,C1031,0))</f>
        <v>0</v>
      </c>
      <c r="D1033" s="22" t="str">
        <f ca="1">OFFSET($C$28,C1031,0)</f>
        <v/>
      </c>
      <c r="E1033" s="22">
        <f ca="1">IF(D1033&gt;10,ROUND(($C1034/12)*$E1032,0),$C1033)</f>
        <v>0</v>
      </c>
      <c r="F1033" s="21"/>
      <c r="G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258"/>
      <c r="B1034" s="21" t="s">
        <v>415</v>
      </c>
      <c r="C1034" s="244">
        <f ca="1">IF(ISBLANK(OFFSET($D$28,C1031,0)),0,IF(OFFSET($C$28,C1031,0)&gt;10,ROUND(C1033*am_maszyny,0),IF(C1033&lt;0,0,C1033)))</f>
        <v>0</v>
      </c>
      <c r="D1034" s="21"/>
      <c r="E1034" s="21"/>
      <c r="F1034" s="21"/>
      <c r="G1034" s="21"/>
      <c r="I1034" s="21"/>
      <c r="J1034" s="473" t="str" cm="1">
        <f t="array" aca="1" ref="J1034" ca="1">OFFSET('Środki trwałe'!$C$195,'Rozliczenie dotacji'!D1031,,)</f>
        <v/>
      </c>
      <c r="K1034" s="74">
        <f ca="1">ROUND(IF($C1032=LataProjekcji,$E1033,IF($C1032=LataProjekcji,$C1034,0)),0)</f>
        <v>0</v>
      </c>
      <c r="L1034" s="247">
        <f ca="1">ROUND(IF(OR(AND($C1032=LataProjekcji,$E1032&gt;0),AND($C1032=LataProjekcji,$E1032=0,$D1033&lt;=10)),$E1033,IF($C1032&lt;LataProjekcji,IF((SUM($K1034:K1034)+$C1034)&lt;$C1033,$C1034,$C1033-SUM($K1034:K1034)),0)),0)</f>
        <v>0</v>
      </c>
      <c r="M1034" s="247">
        <f ca="1">ROUND(IF(OR(AND($C1032=LataProjekcji,$E1032&gt;0),AND($C1032=LataProjekcji,$E1032=0,$D1033&lt;=10)),$E1033,IF($C1032&lt;LataProjekcji,IF((SUM($K1034:L1034)+$C1034)&lt;$C1033,$C1034,$C1033-SUM($K1034:L1034)),0)),0)</f>
        <v>0</v>
      </c>
      <c r="N1034" s="247">
        <f ca="1">ROUND(IF(OR(AND($C1032=LataProjekcji,$E1032&gt;0),AND($C1032=LataProjekcji,$E1032=0,$D1033&lt;=10)),$E1033,IF($C1032&lt;LataProjekcji,IF((SUM($K1034:M1034)+$C1034)&lt;$C1033,$C1034,$C1033-SUM($K1034:M1034)),0)),0)</f>
        <v>0</v>
      </c>
      <c r="O1034" s="247">
        <f ca="1">ROUND(IF(OR(AND($C1032=LataProjekcji,$E1032&gt;0),AND($C1032=LataProjekcji,$E1032=0,$D1033&lt;=10)),$E1033,IF($C1032&lt;LataProjekcji,IF((SUM($K1034:N1034)+$C1034)&lt;$C1033,$C1034,$C1033-SUM($K1034:N1034)),0)),0)</f>
        <v>0</v>
      </c>
      <c r="P1034" s="247">
        <f ca="1">ROUND(IF(OR(AND($C1032=LataProjekcji,$E1032&gt;0),AND($C1032=LataProjekcji,$E1032=0,$D1033&lt;=10)),$E1033,IF($C1032&lt;LataProjekcji,IF((SUM($K1034:O1034)+$C1034)&lt;$C1033,$C1034,$C1033-SUM($K1034:O1034)),0)),0)</f>
        <v>0</v>
      </c>
      <c r="Q1034" s="247">
        <f ca="1">ROUND(IF(OR(AND($C1032=LataProjekcji,$E1032&gt;0),AND($C1032=LataProjekcji,$E1032=0,$D1033&lt;=10)),$E1033,IF($C1032&lt;LataProjekcji,IF((SUM($K1034:P1034)+$C1034)&lt;$C1033,$C1034,$C1033-SUM($K1034:P1034)),0)),0)</f>
        <v>0</v>
      </c>
      <c r="R1034" s="247">
        <f ca="1">ROUND(IF(OR(AND($C1032=LataProjekcji,$E1032&gt;0),AND($C1032=LataProjekcji,$E1032=0,$D1033&lt;=10)),$E1033,IF($C1032&lt;LataProjekcji,IF((SUM($K1034:Q1034)+$C1034)&lt;$C1033,$C1034,$C1033-SUM($K1034:Q1034)),0)),0)</f>
        <v>0</v>
      </c>
      <c r="S1034" s="247">
        <f ca="1">ROUND(IF(OR(AND($C1032=LataProjekcji,$E1032&gt;0),AND($C1032=LataProjekcji,$E1032=0,$D1033&lt;=10)),$E1033,IF($C1032&lt;LataProjekcji,IF((SUM($K1034:R1034)+$C1034)&lt;$C1033,$C1034,$C1033-SUM($K1034:R1034)),0)),0)</f>
        <v>0</v>
      </c>
      <c r="T1034" s="247">
        <f ca="1">ROUND(IF(OR(AND($C1032=LataProjekcji,$E1032&gt;0),AND($C1032=LataProjekcji,$E1032=0,$D1033&lt;=10)),$E1033,IF($C1032&lt;LataProjekcji,IF((SUM($K1034:S1034)+$C1034)&lt;$C1033,$C1034,$C1033-SUM($K1034:S1034)),0)),0)</f>
        <v>0</v>
      </c>
      <c r="U1034" s="247">
        <f ca="1">ROUND(IF(OR(AND($C1032=LataProjekcji,$E1032&gt;0),AND($C1032=LataProjekcji,$E1032=0,$D1033&lt;=10)),$E1033,IF($C1032&lt;LataProjekcji,IF((SUM($K1034:T1034)+$C1034)&lt;$C1033,$C1034,$C1033-SUM($K1034:T1034)),0)),0)</f>
        <v>0</v>
      </c>
      <c r="V1034" s="247">
        <f ca="1">ROUND(IF(OR(AND($C1032=LataProjekcji,$E1032&gt;0),AND($C1032=LataProjekcji,$E1032=0,$D1033&lt;=10)),$E1033,IF($C1032&lt;LataProjekcji,IF((SUM($K1034:U1034)+$C1034)&lt;$C1033,$C1034,$C1033-SUM($K1034:U1034)),0)),0)</f>
        <v>0</v>
      </c>
      <c r="W1034" s="247">
        <f ca="1">ROUND(IF(OR(AND($C1032=LataProjekcji,$E1032&gt;0),AND($C1032=LataProjekcji,$E1032=0,$D1033&lt;=10)),$E1033,IF($C1032&lt;LataProjekcji,IF((SUM($K1034:V1034)+$C1034)&lt;$C1033,$C1034,$C1033-SUM($K1034:V1034)),0)),0)</f>
        <v>0</v>
      </c>
      <c r="X1034" s="247">
        <f ca="1">ROUND(IF(OR(AND($C1032=LataProjekcji,$E1032&gt;0),AND($C1032=LataProjekcji,$E1032=0,$D1033&lt;=10)),$E1033,IF($C1032&lt;LataProjekcji,IF((SUM($K1034:W1034)+$C1034)&lt;$C1033,$C1034,$C1033-SUM($K1034:W1034)),0)),0)</f>
        <v>0</v>
      </c>
    </row>
    <row r="1035" spans="1:24" hidden="1">
      <c r="A1035" s="258"/>
      <c r="B1035" s="21" t="s">
        <v>416</v>
      </c>
      <c r="C1035" s="22"/>
      <c r="D1035" s="21"/>
      <c r="E1035" s="21"/>
      <c r="F1035" s="21"/>
      <c r="G1035" s="21"/>
      <c r="I1035" s="21"/>
      <c r="J1035" s="21"/>
      <c r="K1035" s="22">
        <f ca="1">ROUND(K1034,0)</f>
        <v>0</v>
      </c>
      <c r="L1035" s="22">
        <f t="shared" ref="L1035:X1035" ca="1" si="471">ROUND(K1035+L1034,0)</f>
        <v>0</v>
      </c>
      <c r="M1035" s="22">
        <f t="shared" ca="1" si="471"/>
        <v>0</v>
      </c>
      <c r="N1035" s="22">
        <f t="shared" ca="1" si="471"/>
        <v>0</v>
      </c>
      <c r="O1035" s="22">
        <f t="shared" ca="1" si="471"/>
        <v>0</v>
      </c>
      <c r="P1035" s="22">
        <f t="shared" ca="1" si="471"/>
        <v>0</v>
      </c>
      <c r="Q1035" s="22">
        <f t="shared" ca="1" si="471"/>
        <v>0</v>
      </c>
      <c r="R1035" s="22">
        <f t="shared" ca="1" si="471"/>
        <v>0</v>
      </c>
      <c r="S1035" s="22">
        <f t="shared" ca="1" si="471"/>
        <v>0</v>
      </c>
      <c r="T1035" s="22">
        <f t="shared" ca="1" si="471"/>
        <v>0</v>
      </c>
      <c r="U1035" s="22">
        <f t="shared" ca="1" si="471"/>
        <v>0</v>
      </c>
      <c r="V1035" s="22">
        <f t="shared" ca="1" si="471"/>
        <v>0</v>
      </c>
      <c r="W1035" s="22">
        <f t="shared" ca="1" si="471"/>
        <v>0</v>
      </c>
      <c r="X1035" s="22">
        <f t="shared" ca="1" si="471"/>
        <v>0</v>
      </c>
    </row>
    <row r="1036" spans="1:24" hidden="1">
      <c r="A1036" s="258"/>
      <c r="B1036" s="21" t="s">
        <v>406</v>
      </c>
      <c r="C1036" s="22"/>
      <c r="D1036" s="21"/>
      <c r="E1036" s="21"/>
      <c r="F1036" s="21"/>
      <c r="G1036" s="21"/>
      <c r="I1036" s="21"/>
      <c r="J1036" s="21"/>
      <c r="K1036" s="76">
        <f t="shared" ref="K1036:X1036" ca="1" si="472">IF($C1032=LataProjekcji,ROUND($C1033-K1035,0),ROUND(IF(K1034=0,0,$C1033-K1035),0))</f>
        <v>0</v>
      </c>
      <c r="L1036" s="76">
        <f t="shared" ca="1" si="472"/>
        <v>0</v>
      </c>
      <c r="M1036" s="76">
        <f t="shared" ca="1" si="472"/>
        <v>0</v>
      </c>
      <c r="N1036" s="76">
        <f t="shared" ca="1" si="472"/>
        <v>0</v>
      </c>
      <c r="O1036" s="76">
        <f t="shared" ca="1" si="472"/>
        <v>0</v>
      </c>
      <c r="P1036" s="76">
        <f t="shared" ca="1" si="472"/>
        <v>0</v>
      </c>
      <c r="Q1036" s="76">
        <f t="shared" ca="1" si="472"/>
        <v>0</v>
      </c>
      <c r="R1036" s="76">
        <f t="shared" ca="1" si="472"/>
        <v>0</v>
      </c>
      <c r="S1036" s="76">
        <f t="shared" ca="1" si="472"/>
        <v>0</v>
      </c>
      <c r="T1036" s="76">
        <f t="shared" ca="1" si="472"/>
        <v>0</v>
      </c>
      <c r="U1036" s="76">
        <f t="shared" ca="1" si="472"/>
        <v>0</v>
      </c>
      <c r="V1036" s="76">
        <f t="shared" ca="1" si="472"/>
        <v>0</v>
      </c>
      <c r="W1036" s="76">
        <f t="shared" ca="1" si="472"/>
        <v>0</v>
      </c>
      <c r="X1036" s="76">
        <f t="shared" ca="1" si="472"/>
        <v>0</v>
      </c>
    </row>
    <row r="1040" spans="1:24" ht="12.5" hidden="1" thickBot="1"/>
    <row r="1041" spans="1:24" ht="12.5" hidden="1" thickBot="1">
      <c r="A1041" s="258"/>
      <c r="B1041" s="20" t="s">
        <v>392</v>
      </c>
      <c r="C1041" s="249">
        <v>142</v>
      </c>
      <c r="D1041" s="472">
        <v>379</v>
      </c>
      <c r="E1041" s="21" t="s">
        <v>411</v>
      </c>
      <c r="F1041" s="48"/>
      <c r="G1041" s="50" t="s">
        <v>412</v>
      </c>
      <c r="H1041" s="320"/>
      <c r="I1041" s="21" t="s">
        <v>413</v>
      </c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258"/>
      <c r="B1042" s="21" t="s">
        <v>414</v>
      </c>
      <c r="C1042" s="164">
        <f ca="1">IFERROR(YEAR(OFFSET($D$28,C1041,0)),0)</f>
        <v>0</v>
      </c>
      <c r="D1042" s="164">
        <f ca="1">IFERROR(MONTH(OFFSET($D$28,C1041,0)),0)</f>
        <v>0</v>
      </c>
      <c r="E1042" s="21">
        <f ca="1">12-$D1042</f>
        <v>12</v>
      </c>
      <c r="F1042" s="49"/>
      <c r="G1042" s="51">
        <f>C180-F1042</f>
        <v>0</v>
      </c>
      <c r="H1042" s="321"/>
      <c r="I1042" s="22">
        <f>C180-F1042-G1042</f>
        <v>0</v>
      </c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</row>
    <row r="1043" spans="1:24" hidden="1">
      <c r="A1043" s="258"/>
      <c r="B1043" s="21" t="s">
        <v>406</v>
      </c>
      <c r="C1043" s="244">
        <f ca="1">IF(OFFSET($F$28,C1041,0)&lt;0,0,OFFSET($F$28,C1041,0))</f>
        <v>0</v>
      </c>
      <c r="D1043" s="22" t="str">
        <f ca="1">OFFSET($C$28,C1041,0)</f>
        <v/>
      </c>
      <c r="E1043" s="22">
        <f ca="1">IF(D1043&gt;10,ROUND(($C1044/12)*$E1042,0),$C1043)</f>
        <v>0</v>
      </c>
      <c r="F1043" s="21" t="s">
        <v>426</v>
      </c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1" t="s">
        <v>415</v>
      </c>
      <c r="C1044" s="244">
        <f ca="1">IF(ISBLANK(OFFSET($D$28,C1041,0)),0,IF(OFFSET($C$28,C1041,0)&gt;10,ROUND(C1043*am_transport,0),IF(C1043&lt;0,0,C1043)))</f>
        <v>0</v>
      </c>
      <c r="D1044" s="21"/>
      <c r="E1044" s="21"/>
      <c r="F1044" s="21"/>
      <c r="G1044" s="21"/>
      <c r="I1044" s="21"/>
      <c r="J1044" s="473" cm="1">
        <f t="array" aca="1" ref="J1044" ca="1">OFFSET('Środki trwałe'!$C$195,'Rozliczenie dotacji'!D1041,,)</f>
        <v>0</v>
      </c>
      <c r="K1044" s="74">
        <f ca="1">ROUND(IF($C1042=LataProjekcji,$E1043,IF($C1042=LataProjekcji,$C1044,0)),0)</f>
        <v>0</v>
      </c>
      <c r="L1044" s="247">
        <f ca="1">ROUND(IF(OR(AND($C1042=LataProjekcji,$E1042&gt;0),AND($C1042=LataProjekcji,$E1042=0,$D1043&lt;=10)),$E1043,IF($C1042&lt;LataProjekcji,IF((SUM($K1044:K1044)+$C1044)&lt;$C1043,$C1044,$C1043-SUM($K1044:K1044)),0)),0)</f>
        <v>0</v>
      </c>
      <c r="M1044" s="247">
        <f ca="1">ROUND(IF(OR(AND($C1042=LataProjekcji,$E1042&gt;0),AND($C1042=LataProjekcji,$E1042=0,$D1043&lt;=10)),$E1043,IF($C1042&lt;LataProjekcji,IF((SUM($K1044:L1044)+$C1044)&lt;$C1043,$C1044,$C1043-SUM($K1044:L1044)),0)),0)</f>
        <v>0</v>
      </c>
      <c r="N1044" s="247">
        <f ca="1">ROUND(IF(OR(AND($C1042=LataProjekcji,$E1042&gt;0),AND($C1042=LataProjekcji,$E1042=0,$D1043&lt;=10)),$E1043,IF($C1042&lt;LataProjekcji,IF((SUM($K1044:M1044)+$C1044)&lt;$C1043,$C1044,$C1043-SUM($K1044:M1044)),0)),0)</f>
        <v>0</v>
      </c>
      <c r="O1044" s="247">
        <f ca="1">ROUND(IF(OR(AND($C1042=LataProjekcji,$E1042&gt;0),AND($C1042=LataProjekcji,$E1042=0,$D1043&lt;=10)),$E1043,IF($C1042&lt;LataProjekcji,IF((SUM($K1044:N1044)+$C1044)&lt;$C1043,$C1044,$C1043-SUM($K1044:N1044)),0)),0)</f>
        <v>0</v>
      </c>
      <c r="P1044" s="247">
        <f ca="1">ROUND(IF(OR(AND($C1042=LataProjekcji,$E1042&gt;0),AND($C1042=LataProjekcji,$E1042=0,$D1043&lt;=10)),$E1043,IF($C1042&lt;LataProjekcji,IF((SUM($K1044:O1044)+$C1044)&lt;$C1043,$C1044,$C1043-SUM($K1044:O1044)),0)),0)</f>
        <v>0</v>
      </c>
      <c r="Q1044" s="247">
        <f ca="1">ROUND(IF(OR(AND($C1042=LataProjekcji,$E1042&gt;0),AND($C1042=LataProjekcji,$E1042=0,$D1043&lt;=10)),$E1043,IF($C1042&lt;LataProjekcji,IF((SUM($K1044:P1044)+$C1044)&lt;$C1043,$C1044,$C1043-SUM($K1044:P1044)),0)),0)</f>
        <v>0</v>
      </c>
      <c r="R1044" s="247">
        <f ca="1">ROUND(IF(OR(AND($C1042=LataProjekcji,$E1042&gt;0),AND($C1042=LataProjekcji,$E1042=0,$D1043&lt;=10)),$E1043,IF($C1042&lt;LataProjekcji,IF((SUM($K1044:Q1044)+$C1044)&lt;$C1043,$C1044,$C1043-SUM($K1044:Q1044)),0)),0)</f>
        <v>0</v>
      </c>
      <c r="S1044" s="247">
        <f ca="1">ROUND(IF(OR(AND($C1042=LataProjekcji,$E1042&gt;0),AND($C1042=LataProjekcji,$E1042=0,$D1043&lt;=10)),$E1043,IF($C1042&lt;LataProjekcji,IF((SUM($K1044:R1044)+$C1044)&lt;$C1043,$C1044,$C1043-SUM($K1044:R1044)),0)),0)</f>
        <v>0</v>
      </c>
      <c r="T1044" s="247">
        <f ca="1">ROUND(IF(OR(AND($C1042=LataProjekcji,$E1042&gt;0),AND($C1042=LataProjekcji,$E1042=0,$D1043&lt;=10)),$E1043,IF($C1042&lt;LataProjekcji,IF((SUM($K1044:S1044)+$C1044)&lt;$C1043,$C1044,$C1043-SUM($K1044:S1044)),0)),0)</f>
        <v>0</v>
      </c>
      <c r="U1044" s="247">
        <f ca="1">ROUND(IF(OR(AND($C1042=LataProjekcji,$E1042&gt;0),AND($C1042=LataProjekcji,$E1042=0,$D1043&lt;=10)),$E1043,IF($C1042&lt;LataProjekcji,IF((SUM($K1044:T1044)+$C1044)&lt;$C1043,$C1044,$C1043-SUM($K1044:T1044)),0)),0)</f>
        <v>0</v>
      </c>
      <c r="V1044" s="247">
        <f ca="1">ROUND(IF(OR(AND($C1042=LataProjekcji,$E1042&gt;0),AND($C1042=LataProjekcji,$E1042=0,$D1043&lt;=10)),$E1043,IF($C1042&lt;LataProjekcji,IF((SUM($K1044:U1044)+$C1044)&lt;$C1043,$C1044,$C1043-SUM($K1044:U1044)),0)),0)</f>
        <v>0</v>
      </c>
      <c r="W1044" s="247">
        <f ca="1">ROUND(IF(OR(AND($C1042=LataProjekcji,$E1042&gt;0),AND($C1042=LataProjekcji,$E1042=0,$D1043&lt;=10)),$E1043,IF($C1042&lt;LataProjekcji,IF((SUM($K1044:V1044)+$C1044)&lt;$C1043,$C1044,$C1043-SUM($K1044:V1044)),0)),0)</f>
        <v>0</v>
      </c>
      <c r="X1044" s="247">
        <f ca="1">ROUND(IF(OR(AND($C1042=LataProjekcji,$E1042&gt;0),AND($C1042=LataProjekcji,$E1042=0,$D1043&lt;=10)),$E1043,IF($C1042&lt;LataProjekcji,IF((SUM($K1044:W1044)+$C1044)&lt;$C1043,$C1044,$C1043-SUM($K1044:W1044)),0)),0)</f>
        <v>0</v>
      </c>
    </row>
    <row r="1045" spans="1:24" hidden="1">
      <c r="A1045" s="258"/>
      <c r="B1045" s="21" t="s">
        <v>416</v>
      </c>
      <c r="C1045" s="22"/>
      <c r="D1045" s="21"/>
      <c r="E1045" s="21"/>
      <c r="F1045" s="21"/>
      <c r="G1045" s="21"/>
      <c r="I1045" s="21"/>
      <c r="J1045" s="21"/>
      <c r="K1045" s="22">
        <f ca="1">ROUND(K1044,0)</f>
        <v>0</v>
      </c>
      <c r="L1045" s="22">
        <f t="shared" ref="L1045:X1045" ca="1" si="473">ROUND(K1045+L1044,0)</f>
        <v>0</v>
      </c>
      <c r="M1045" s="22">
        <f t="shared" ca="1" si="473"/>
        <v>0</v>
      </c>
      <c r="N1045" s="22">
        <f t="shared" ca="1" si="473"/>
        <v>0</v>
      </c>
      <c r="O1045" s="22">
        <f t="shared" ca="1" si="473"/>
        <v>0</v>
      </c>
      <c r="P1045" s="22">
        <f t="shared" ca="1" si="473"/>
        <v>0</v>
      </c>
      <c r="Q1045" s="22">
        <f t="shared" ca="1" si="473"/>
        <v>0</v>
      </c>
      <c r="R1045" s="22">
        <f t="shared" ca="1" si="473"/>
        <v>0</v>
      </c>
      <c r="S1045" s="22">
        <f t="shared" ca="1" si="473"/>
        <v>0</v>
      </c>
      <c r="T1045" s="22">
        <f t="shared" ca="1" si="473"/>
        <v>0</v>
      </c>
      <c r="U1045" s="22">
        <f t="shared" ca="1" si="473"/>
        <v>0</v>
      </c>
      <c r="V1045" s="22">
        <f t="shared" ca="1" si="473"/>
        <v>0</v>
      </c>
      <c r="W1045" s="22">
        <f t="shared" ca="1" si="473"/>
        <v>0</v>
      </c>
      <c r="X1045" s="22">
        <f t="shared" ca="1" si="473"/>
        <v>0</v>
      </c>
    </row>
    <row r="1046" spans="1:24" hidden="1">
      <c r="A1046" s="258"/>
      <c r="B1046" s="21" t="s">
        <v>406</v>
      </c>
      <c r="C1046" s="22"/>
      <c r="D1046" s="21"/>
      <c r="E1046" s="21"/>
      <c r="F1046" s="21"/>
      <c r="G1046" s="21"/>
      <c r="I1046" s="21"/>
      <c r="J1046" s="21"/>
      <c r="K1046" s="76">
        <f t="shared" ref="K1046:X1046" ca="1" si="474">IF($C1042=LataProjekcji,ROUND($C1043-K1045,0),ROUND(IF(K1044=0,0,$C1043-K1045),0))</f>
        <v>0</v>
      </c>
      <c r="L1046" s="76">
        <f t="shared" ca="1" si="474"/>
        <v>0</v>
      </c>
      <c r="M1046" s="76">
        <f t="shared" ca="1" si="474"/>
        <v>0</v>
      </c>
      <c r="N1046" s="76">
        <f t="shared" ca="1" si="474"/>
        <v>0</v>
      </c>
      <c r="O1046" s="76">
        <f t="shared" ca="1" si="474"/>
        <v>0</v>
      </c>
      <c r="P1046" s="76">
        <f t="shared" ca="1" si="474"/>
        <v>0</v>
      </c>
      <c r="Q1046" s="76">
        <f t="shared" ca="1" si="474"/>
        <v>0</v>
      </c>
      <c r="R1046" s="76">
        <f t="shared" ca="1" si="474"/>
        <v>0</v>
      </c>
      <c r="S1046" s="76">
        <f t="shared" ca="1" si="474"/>
        <v>0</v>
      </c>
      <c r="T1046" s="76">
        <f t="shared" ca="1" si="474"/>
        <v>0</v>
      </c>
      <c r="U1046" s="76">
        <f t="shared" ca="1" si="474"/>
        <v>0</v>
      </c>
      <c r="V1046" s="76">
        <f t="shared" ca="1" si="474"/>
        <v>0</v>
      </c>
      <c r="W1046" s="76">
        <f t="shared" ca="1" si="474"/>
        <v>0</v>
      </c>
      <c r="X1046" s="76">
        <f t="shared" ca="1" si="474"/>
        <v>0</v>
      </c>
    </row>
    <row r="1047" spans="1:24" hidden="1">
      <c r="A1047" s="258"/>
      <c r="B1047" s="21"/>
      <c r="C1047" s="22"/>
      <c r="D1047" s="21"/>
      <c r="E1047" s="21"/>
      <c r="F1047" s="21"/>
      <c r="G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258"/>
      <c r="B1048" s="20" t="s">
        <v>392</v>
      </c>
      <c r="C1048" s="21">
        <f>C1041+1</f>
        <v>143</v>
      </c>
      <c r="D1048" s="473">
        <f>D1041+1</f>
        <v>380</v>
      </c>
      <c r="E1048" s="21"/>
      <c r="F1048" s="21"/>
      <c r="G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</row>
    <row r="1049" spans="1:24" hidden="1">
      <c r="A1049" s="258"/>
      <c r="B1049" s="21" t="s">
        <v>414</v>
      </c>
      <c r="C1049" s="164">
        <f ca="1">IFERROR(YEAR(OFFSET($D$28,C1048,0)),0)</f>
        <v>0</v>
      </c>
      <c r="D1049" s="164">
        <f ca="1">IFERROR(MONTH(OFFSET($D$28,C1048,0)),0)</f>
        <v>0</v>
      </c>
      <c r="E1049" s="21">
        <f ca="1">12-$D1049</f>
        <v>12</v>
      </c>
      <c r="F1049" s="21"/>
      <c r="G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</row>
    <row r="1050" spans="1:24" hidden="1">
      <c r="A1050" s="258"/>
      <c r="B1050" s="21" t="s">
        <v>406</v>
      </c>
      <c r="C1050" s="244">
        <f ca="1">IF(OFFSET($F$28,C1048,0)&lt;0,0,OFFSET($F$28,C1048,0))</f>
        <v>0</v>
      </c>
      <c r="D1050" s="22" t="str">
        <f ca="1">OFFSET($C$28,C1048,0)</f>
        <v/>
      </c>
      <c r="E1050" s="22">
        <f ca="1">IF(D1050&gt;10,ROUND(($C1051/12)*$E1049,0),$C1050)</f>
        <v>0</v>
      </c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1" t="s">
        <v>415</v>
      </c>
      <c r="C1051" s="244">
        <f ca="1">IF(ISBLANK(OFFSET($D$28,C1048,0)),0,IF(OFFSET($C$28,C1048,0)&gt;10,ROUND(C1050*am_transport,0),IF(C1050&lt;0,0,C1050)))</f>
        <v>0</v>
      </c>
      <c r="D1051" s="21"/>
      <c r="E1051" s="21"/>
      <c r="F1051" s="21"/>
      <c r="G1051" s="21"/>
      <c r="I1051" s="21"/>
      <c r="J1051" s="473" cm="1">
        <f t="array" aca="1" ref="J1051" ca="1">OFFSET('Środki trwałe'!$C$195,'Rozliczenie dotacji'!D1048,,)</f>
        <v>0</v>
      </c>
      <c r="K1051" s="74">
        <f ca="1">ROUND(IF($C1049=LataProjekcji,$E1050,IF($C1049=LataProjekcji,$C1051,0)),0)</f>
        <v>0</v>
      </c>
      <c r="L1051" s="247">
        <f ca="1">ROUND(IF(OR(AND($C1049=LataProjekcji,$E1049&gt;0),AND($C1049=LataProjekcji,$E1049=0,$D1050&lt;=10)),$E1050,IF($C1049&lt;LataProjekcji,IF((SUM($K1051:K1051)+$C1051)&lt;$C1050,$C1051,$C1050-SUM($K1051:K1051)),0)),0)</f>
        <v>0</v>
      </c>
      <c r="M1051" s="247">
        <f ca="1">ROUND(IF(OR(AND($C1049=LataProjekcji,$E1049&gt;0),AND($C1049=LataProjekcji,$E1049=0,$D1050&lt;=10)),$E1050,IF($C1049&lt;LataProjekcji,IF((SUM($K1051:L1051)+$C1051)&lt;$C1050,$C1051,$C1050-SUM($K1051:L1051)),0)),0)</f>
        <v>0</v>
      </c>
      <c r="N1051" s="247">
        <f ca="1">ROUND(IF(OR(AND($C1049=LataProjekcji,$E1049&gt;0),AND($C1049=LataProjekcji,$E1049=0,$D1050&lt;=10)),$E1050,IF($C1049&lt;LataProjekcji,IF((SUM($K1051:M1051)+$C1051)&lt;$C1050,$C1051,$C1050-SUM($K1051:M1051)),0)),0)</f>
        <v>0</v>
      </c>
      <c r="O1051" s="247">
        <f ca="1">ROUND(IF(OR(AND($C1049=LataProjekcji,$E1049&gt;0),AND($C1049=LataProjekcji,$E1049=0,$D1050&lt;=10)),$E1050,IF($C1049&lt;LataProjekcji,IF((SUM($K1051:N1051)+$C1051)&lt;$C1050,$C1051,$C1050-SUM($K1051:N1051)),0)),0)</f>
        <v>0</v>
      </c>
      <c r="P1051" s="247">
        <f ca="1">ROUND(IF(OR(AND($C1049=LataProjekcji,$E1049&gt;0),AND($C1049=LataProjekcji,$E1049=0,$D1050&lt;=10)),$E1050,IF($C1049&lt;LataProjekcji,IF((SUM($K1051:O1051)+$C1051)&lt;$C1050,$C1051,$C1050-SUM($K1051:O1051)),0)),0)</f>
        <v>0</v>
      </c>
      <c r="Q1051" s="247">
        <f ca="1">ROUND(IF(OR(AND($C1049=LataProjekcji,$E1049&gt;0),AND($C1049=LataProjekcji,$E1049=0,$D1050&lt;=10)),$E1050,IF($C1049&lt;LataProjekcji,IF((SUM($K1051:P1051)+$C1051)&lt;$C1050,$C1051,$C1050-SUM($K1051:P1051)),0)),0)</f>
        <v>0</v>
      </c>
      <c r="R1051" s="247">
        <f ca="1">ROUND(IF(OR(AND($C1049=LataProjekcji,$E1049&gt;0),AND($C1049=LataProjekcji,$E1049=0,$D1050&lt;=10)),$E1050,IF($C1049&lt;LataProjekcji,IF((SUM($K1051:Q1051)+$C1051)&lt;$C1050,$C1051,$C1050-SUM($K1051:Q1051)),0)),0)</f>
        <v>0</v>
      </c>
      <c r="S1051" s="247">
        <f ca="1">ROUND(IF(OR(AND($C1049=LataProjekcji,$E1049&gt;0),AND($C1049=LataProjekcji,$E1049=0,$D1050&lt;=10)),$E1050,IF($C1049&lt;LataProjekcji,IF((SUM($K1051:R1051)+$C1051)&lt;$C1050,$C1051,$C1050-SUM($K1051:R1051)),0)),0)</f>
        <v>0</v>
      </c>
      <c r="T1051" s="247">
        <f ca="1">ROUND(IF(OR(AND($C1049=LataProjekcji,$E1049&gt;0),AND($C1049=LataProjekcji,$E1049=0,$D1050&lt;=10)),$E1050,IF($C1049&lt;LataProjekcji,IF((SUM($K1051:S1051)+$C1051)&lt;$C1050,$C1051,$C1050-SUM($K1051:S1051)),0)),0)</f>
        <v>0</v>
      </c>
      <c r="U1051" s="247">
        <f ca="1">ROUND(IF(OR(AND($C1049=LataProjekcji,$E1049&gt;0),AND($C1049=LataProjekcji,$E1049=0,$D1050&lt;=10)),$E1050,IF($C1049&lt;LataProjekcji,IF((SUM($K1051:T1051)+$C1051)&lt;$C1050,$C1051,$C1050-SUM($K1051:T1051)),0)),0)</f>
        <v>0</v>
      </c>
      <c r="V1051" s="247">
        <f ca="1">ROUND(IF(OR(AND($C1049=LataProjekcji,$E1049&gt;0),AND($C1049=LataProjekcji,$E1049=0,$D1050&lt;=10)),$E1050,IF($C1049&lt;LataProjekcji,IF((SUM($K1051:U1051)+$C1051)&lt;$C1050,$C1051,$C1050-SUM($K1051:U1051)),0)),0)</f>
        <v>0</v>
      </c>
      <c r="W1051" s="247">
        <f ca="1">ROUND(IF(OR(AND($C1049=LataProjekcji,$E1049&gt;0),AND($C1049=LataProjekcji,$E1049=0,$D1050&lt;=10)),$E1050,IF($C1049&lt;LataProjekcji,IF((SUM($K1051:V1051)+$C1051)&lt;$C1050,$C1051,$C1050-SUM($K1051:V1051)),0)),0)</f>
        <v>0</v>
      </c>
      <c r="X1051" s="247">
        <f ca="1">ROUND(IF(OR(AND($C1049=LataProjekcji,$E1049&gt;0),AND($C1049=LataProjekcji,$E1049=0,$D1050&lt;=10)),$E1050,IF($C1049&lt;LataProjekcji,IF((SUM($K1051:W1051)+$C1051)&lt;$C1050,$C1051,$C1050-SUM($K1051:W1051)),0)),0)</f>
        <v>0</v>
      </c>
    </row>
    <row r="1052" spans="1:24" hidden="1">
      <c r="A1052" s="258"/>
      <c r="B1052" s="21" t="s">
        <v>416</v>
      </c>
      <c r="C1052" s="22"/>
      <c r="D1052" s="21"/>
      <c r="E1052" s="21"/>
      <c r="F1052" s="21"/>
      <c r="G1052" s="21"/>
      <c r="I1052" s="21"/>
      <c r="J1052" s="21"/>
      <c r="K1052" s="22">
        <f ca="1">ROUND(K1051,0)</f>
        <v>0</v>
      </c>
      <c r="L1052" s="22">
        <f t="shared" ref="L1052:X1052" ca="1" si="475">ROUND(K1052+L1051,0)</f>
        <v>0</v>
      </c>
      <c r="M1052" s="22">
        <f t="shared" ca="1" si="475"/>
        <v>0</v>
      </c>
      <c r="N1052" s="22">
        <f t="shared" ca="1" si="475"/>
        <v>0</v>
      </c>
      <c r="O1052" s="22">
        <f t="shared" ca="1" si="475"/>
        <v>0</v>
      </c>
      <c r="P1052" s="22">
        <f t="shared" ca="1" si="475"/>
        <v>0</v>
      </c>
      <c r="Q1052" s="22">
        <f t="shared" ca="1" si="475"/>
        <v>0</v>
      </c>
      <c r="R1052" s="22">
        <f t="shared" ca="1" si="475"/>
        <v>0</v>
      </c>
      <c r="S1052" s="22">
        <f t="shared" ca="1" si="475"/>
        <v>0</v>
      </c>
      <c r="T1052" s="22">
        <f t="shared" ca="1" si="475"/>
        <v>0</v>
      </c>
      <c r="U1052" s="22">
        <f t="shared" ca="1" si="475"/>
        <v>0</v>
      </c>
      <c r="V1052" s="22">
        <f t="shared" ca="1" si="475"/>
        <v>0</v>
      </c>
      <c r="W1052" s="22">
        <f t="shared" ca="1" si="475"/>
        <v>0</v>
      </c>
      <c r="X1052" s="22">
        <f t="shared" ca="1" si="475"/>
        <v>0</v>
      </c>
    </row>
    <row r="1053" spans="1:24" hidden="1">
      <c r="A1053" s="258"/>
      <c r="B1053" s="21" t="s">
        <v>406</v>
      </c>
      <c r="C1053" s="22"/>
      <c r="D1053" s="21"/>
      <c r="E1053" s="21"/>
      <c r="F1053" s="21"/>
      <c r="G1053" s="21"/>
      <c r="I1053" s="21"/>
      <c r="J1053" s="21"/>
      <c r="K1053" s="76">
        <f t="shared" ref="K1053:X1053" ca="1" si="476">IF($C1049=LataProjekcji,ROUND($C1050-K1052,0),ROUND(IF(K1051=0,0,$C1050-K1052),0))</f>
        <v>0</v>
      </c>
      <c r="L1053" s="76">
        <f t="shared" ca="1" si="476"/>
        <v>0</v>
      </c>
      <c r="M1053" s="76">
        <f t="shared" ca="1" si="476"/>
        <v>0</v>
      </c>
      <c r="N1053" s="76">
        <f t="shared" ca="1" si="476"/>
        <v>0</v>
      </c>
      <c r="O1053" s="76">
        <f t="shared" ca="1" si="476"/>
        <v>0</v>
      </c>
      <c r="P1053" s="76">
        <f t="shared" ca="1" si="476"/>
        <v>0</v>
      </c>
      <c r="Q1053" s="76">
        <f t="shared" ca="1" si="476"/>
        <v>0</v>
      </c>
      <c r="R1053" s="76">
        <f t="shared" ca="1" si="476"/>
        <v>0</v>
      </c>
      <c r="S1053" s="76">
        <f t="shared" ca="1" si="476"/>
        <v>0</v>
      </c>
      <c r="T1053" s="76">
        <f t="shared" ca="1" si="476"/>
        <v>0</v>
      </c>
      <c r="U1053" s="76">
        <f t="shared" ca="1" si="476"/>
        <v>0</v>
      </c>
      <c r="V1053" s="76">
        <f t="shared" ca="1" si="476"/>
        <v>0</v>
      </c>
      <c r="W1053" s="76">
        <f t="shared" ca="1" si="476"/>
        <v>0</v>
      </c>
      <c r="X1053" s="76">
        <f t="shared" ca="1" si="476"/>
        <v>0</v>
      </c>
    </row>
    <row r="1054" spans="1:24" hidden="1">
      <c r="A1054" s="258"/>
      <c r="B1054" s="20"/>
      <c r="C1054" s="21"/>
      <c r="D1054" s="21"/>
      <c r="E1054" s="21"/>
      <c r="F1054" s="21"/>
      <c r="G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</row>
    <row r="1055" spans="1:24" hidden="1">
      <c r="A1055" s="258"/>
      <c r="B1055" s="20" t="s">
        <v>392</v>
      </c>
      <c r="C1055" s="21">
        <f>C1048+1</f>
        <v>144</v>
      </c>
      <c r="D1055" s="473">
        <f>D1048+1</f>
        <v>381</v>
      </c>
      <c r="E1055" s="21"/>
      <c r="F1055" s="21"/>
      <c r="G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</row>
    <row r="1056" spans="1:24" hidden="1">
      <c r="A1056" s="258"/>
      <c r="B1056" s="21" t="s">
        <v>414</v>
      </c>
      <c r="C1056" s="164">
        <f ca="1">IFERROR(YEAR(OFFSET($D$28,C1055,0)),0)</f>
        <v>0</v>
      </c>
      <c r="D1056" s="164">
        <f ca="1">IFERROR(MONTH(OFFSET($D$28,C1055,0)),0)</f>
        <v>0</v>
      </c>
      <c r="E1056" s="21">
        <f ca="1">12-$D1056</f>
        <v>12</v>
      </c>
      <c r="F1056" s="21"/>
      <c r="G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</row>
    <row r="1057" spans="1:24" hidden="1">
      <c r="A1057" s="258"/>
      <c r="B1057" s="21" t="s">
        <v>406</v>
      </c>
      <c r="C1057" s="244">
        <f ca="1">IF(OFFSET($F$28,C1055,0)&lt;0,0,OFFSET($F$28,C1055,0))</f>
        <v>0</v>
      </c>
      <c r="D1057" s="22" t="str">
        <f ca="1">OFFSET($C$28,C1055,0)</f>
        <v/>
      </c>
      <c r="E1057" s="22">
        <f ca="1">IF(D1057&gt;10,ROUND(($C1058/12)*$E1056,0),$C1057)</f>
        <v>0</v>
      </c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1" t="s">
        <v>415</v>
      </c>
      <c r="C1058" s="244">
        <f ca="1">IF(ISBLANK(OFFSET($D$28,C1055,0)),0,IF(OFFSET($C$28,C1055,0)&gt;10,ROUND(C1057*am_transport,0),IF(C1057&lt;0,0,C1057)))</f>
        <v>0</v>
      </c>
      <c r="D1058" s="21"/>
      <c r="E1058" s="21"/>
      <c r="F1058" s="21"/>
      <c r="G1058" s="21"/>
      <c r="I1058" s="21"/>
      <c r="J1058" s="473" cm="1">
        <f t="array" aca="1" ref="J1058" ca="1">OFFSET('Środki trwałe'!$C$195,'Rozliczenie dotacji'!D1055,,)</f>
        <v>0</v>
      </c>
      <c r="K1058" s="74">
        <f ca="1">ROUND(IF($C1056=LataProjekcji,$E1057,IF($C1056=LataProjekcji,$C1058,0)),0)</f>
        <v>0</v>
      </c>
      <c r="L1058" s="247">
        <f ca="1">ROUND(IF(OR(AND($C1056=LataProjekcji,$E1056&gt;0),AND($C1056=LataProjekcji,$E1056=0,$D1057&lt;=10)),$E1057,IF($C1056&lt;LataProjekcji,IF((SUM($K1058:K1058)+$C1058)&lt;$C1057,$C1058,$C1057-SUM($K1058:K1058)),0)),0)</f>
        <v>0</v>
      </c>
      <c r="M1058" s="247">
        <f ca="1">ROUND(IF(OR(AND($C1056=LataProjekcji,$E1056&gt;0),AND($C1056=LataProjekcji,$E1056=0,$D1057&lt;=10)),$E1057,IF($C1056&lt;LataProjekcji,IF((SUM($K1058:L1058)+$C1058)&lt;$C1057,$C1058,$C1057-SUM($K1058:L1058)),0)),0)</f>
        <v>0</v>
      </c>
      <c r="N1058" s="247">
        <f ca="1">ROUND(IF(OR(AND($C1056=LataProjekcji,$E1056&gt;0),AND($C1056=LataProjekcji,$E1056=0,$D1057&lt;=10)),$E1057,IF($C1056&lt;LataProjekcji,IF((SUM($K1058:M1058)+$C1058)&lt;$C1057,$C1058,$C1057-SUM($K1058:M1058)),0)),0)</f>
        <v>0</v>
      </c>
      <c r="O1058" s="247">
        <f ca="1">ROUND(IF(OR(AND($C1056=LataProjekcji,$E1056&gt;0),AND($C1056=LataProjekcji,$E1056=0,$D1057&lt;=10)),$E1057,IF($C1056&lt;LataProjekcji,IF((SUM($K1058:N1058)+$C1058)&lt;$C1057,$C1058,$C1057-SUM($K1058:N1058)),0)),0)</f>
        <v>0</v>
      </c>
      <c r="P1058" s="247">
        <f ca="1">ROUND(IF(OR(AND($C1056=LataProjekcji,$E1056&gt;0),AND($C1056=LataProjekcji,$E1056=0,$D1057&lt;=10)),$E1057,IF($C1056&lt;LataProjekcji,IF((SUM($K1058:O1058)+$C1058)&lt;$C1057,$C1058,$C1057-SUM($K1058:O1058)),0)),0)</f>
        <v>0</v>
      </c>
      <c r="Q1058" s="247">
        <f ca="1">ROUND(IF(OR(AND($C1056=LataProjekcji,$E1056&gt;0),AND($C1056=LataProjekcji,$E1056=0,$D1057&lt;=10)),$E1057,IF($C1056&lt;LataProjekcji,IF((SUM($K1058:P1058)+$C1058)&lt;$C1057,$C1058,$C1057-SUM($K1058:P1058)),0)),0)</f>
        <v>0</v>
      </c>
      <c r="R1058" s="247">
        <f ca="1">ROUND(IF(OR(AND($C1056=LataProjekcji,$E1056&gt;0),AND($C1056=LataProjekcji,$E1056=0,$D1057&lt;=10)),$E1057,IF($C1056&lt;LataProjekcji,IF((SUM($K1058:Q1058)+$C1058)&lt;$C1057,$C1058,$C1057-SUM($K1058:Q1058)),0)),0)</f>
        <v>0</v>
      </c>
      <c r="S1058" s="247">
        <f ca="1">ROUND(IF(OR(AND($C1056=LataProjekcji,$E1056&gt;0),AND($C1056=LataProjekcji,$E1056=0,$D1057&lt;=10)),$E1057,IF($C1056&lt;LataProjekcji,IF((SUM($K1058:R1058)+$C1058)&lt;$C1057,$C1058,$C1057-SUM($K1058:R1058)),0)),0)</f>
        <v>0</v>
      </c>
      <c r="T1058" s="247">
        <f ca="1">ROUND(IF(OR(AND($C1056=LataProjekcji,$E1056&gt;0),AND($C1056=LataProjekcji,$E1056=0,$D1057&lt;=10)),$E1057,IF($C1056&lt;LataProjekcji,IF((SUM($K1058:S1058)+$C1058)&lt;$C1057,$C1058,$C1057-SUM($K1058:S1058)),0)),0)</f>
        <v>0</v>
      </c>
      <c r="U1058" s="247">
        <f ca="1">ROUND(IF(OR(AND($C1056=LataProjekcji,$E1056&gt;0),AND($C1056=LataProjekcji,$E1056=0,$D1057&lt;=10)),$E1057,IF($C1056&lt;LataProjekcji,IF((SUM($K1058:T1058)+$C1058)&lt;$C1057,$C1058,$C1057-SUM($K1058:T1058)),0)),0)</f>
        <v>0</v>
      </c>
      <c r="V1058" s="247">
        <f ca="1">ROUND(IF(OR(AND($C1056=LataProjekcji,$E1056&gt;0),AND($C1056=LataProjekcji,$E1056=0,$D1057&lt;=10)),$E1057,IF($C1056&lt;LataProjekcji,IF((SUM($K1058:U1058)+$C1058)&lt;$C1057,$C1058,$C1057-SUM($K1058:U1058)),0)),0)</f>
        <v>0</v>
      </c>
      <c r="W1058" s="247">
        <f ca="1">ROUND(IF(OR(AND($C1056=LataProjekcji,$E1056&gt;0),AND($C1056=LataProjekcji,$E1056=0,$D1057&lt;=10)),$E1057,IF($C1056&lt;LataProjekcji,IF((SUM($K1058:V1058)+$C1058)&lt;$C1057,$C1058,$C1057-SUM($K1058:V1058)),0)),0)</f>
        <v>0</v>
      </c>
      <c r="X1058" s="247">
        <f ca="1">ROUND(IF(OR(AND($C1056=LataProjekcji,$E1056&gt;0),AND($C1056=LataProjekcji,$E1056=0,$D1057&lt;=10)),$E1057,IF($C1056&lt;LataProjekcji,IF((SUM($K1058:W1058)+$C1058)&lt;$C1057,$C1058,$C1057-SUM($K1058:W1058)),0)),0)</f>
        <v>0</v>
      </c>
    </row>
    <row r="1059" spans="1:24" hidden="1">
      <c r="A1059" s="258"/>
      <c r="B1059" s="21" t="s">
        <v>416</v>
      </c>
      <c r="C1059" s="22"/>
      <c r="D1059" s="21"/>
      <c r="E1059" s="21"/>
      <c r="F1059" s="21"/>
      <c r="G1059" s="21"/>
      <c r="I1059" s="21"/>
      <c r="J1059" s="21"/>
      <c r="K1059" s="22">
        <f ca="1">ROUND(K1058,0)</f>
        <v>0</v>
      </c>
      <c r="L1059" s="22">
        <f t="shared" ref="L1059:X1059" ca="1" si="477">ROUND(K1059+L1058,0)</f>
        <v>0</v>
      </c>
      <c r="M1059" s="22">
        <f t="shared" ca="1" si="477"/>
        <v>0</v>
      </c>
      <c r="N1059" s="22">
        <f t="shared" ca="1" si="477"/>
        <v>0</v>
      </c>
      <c r="O1059" s="22">
        <f t="shared" ca="1" si="477"/>
        <v>0</v>
      </c>
      <c r="P1059" s="22">
        <f t="shared" ca="1" si="477"/>
        <v>0</v>
      </c>
      <c r="Q1059" s="22">
        <f t="shared" ca="1" si="477"/>
        <v>0</v>
      </c>
      <c r="R1059" s="22">
        <f t="shared" ca="1" si="477"/>
        <v>0</v>
      </c>
      <c r="S1059" s="22">
        <f t="shared" ca="1" si="477"/>
        <v>0</v>
      </c>
      <c r="T1059" s="22">
        <f t="shared" ca="1" si="477"/>
        <v>0</v>
      </c>
      <c r="U1059" s="22">
        <f t="shared" ca="1" si="477"/>
        <v>0</v>
      </c>
      <c r="V1059" s="22">
        <f t="shared" ca="1" si="477"/>
        <v>0</v>
      </c>
      <c r="W1059" s="22">
        <f t="shared" ca="1" si="477"/>
        <v>0</v>
      </c>
      <c r="X1059" s="22">
        <f t="shared" ca="1" si="477"/>
        <v>0</v>
      </c>
    </row>
    <row r="1060" spans="1:24" hidden="1">
      <c r="A1060" s="258"/>
      <c r="B1060" s="21" t="s">
        <v>406</v>
      </c>
      <c r="C1060" s="22"/>
      <c r="D1060" s="21"/>
      <c r="E1060" s="21"/>
      <c r="F1060" s="21"/>
      <c r="G1060" s="21"/>
      <c r="I1060" s="21"/>
      <c r="J1060" s="21"/>
      <c r="K1060" s="76">
        <f t="shared" ref="K1060:X1060" ca="1" si="478">IF($C1056=LataProjekcji,ROUND($C1057-K1059,0),ROUND(IF(K1058=0,0,$C1057-K1059),0))</f>
        <v>0</v>
      </c>
      <c r="L1060" s="76">
        <f t="shared" ca="1" si="478"/>
        <v>0</v>
      </c>
      <c r="M1060" s="76">
        <f t="shared" ca="1" si="478"/>
        <v>0</v>
      </c>
      <c r="N1060" s="76">
        <f t="shared" ca="1" si="478"/>
        <v>0</v>
      </c>
      <c r="O1060" s="76">
        <f t="shared" ca="1" si="478"/>
        <v>0</v>
      </c>
      <c r="P1060" s="76">
        <f t="shared" ca="1" si="478"/>
        <v>0</v>
      </c>
      <c r="Q1060" s="76">
        <f t="shared" ca="1" si="478"/>
        <v>0</v>
      </c>
      <c r="R1060" s="76">
        <f t="shared" ca="1" si="478"/>
        <v>0</v>
      </c>
      <c r="S1060" s="76">
        <f t="shared" ca="1" si="478"/>
        <v>0</v>
      </c>
      <c r="T1060" s="76">
        <f t="shared" ca="1" si="478"/>
        <v>0</v>
      </c>
      <c r="U1060" s="76">
        <f t="shared" ca="1" si="478"/>
        <v>0</v>
      </c>
      <c r="V1060" s="76">
        <f t="shared" ca="1" si="478"/>
        <v>0</v>
      </c>
      <c r="W1060" s="76">
        <f t="shared" ca="1" si="478"/>
        <v>0</v>
      </c>
      <c r="X1060" s="76">
        <f t="shared" ca="1" si="478"/>
        <v>0</v>
      </c>
    </row>
    <row r="1061" spans="1:24" hidden="1">
      <c r="A1061" s="258"/>
      <c r="B1061" s="21"/>
      <c r="C1061" s="22"/>
      <c r="D1061" s="21"/>
      <c r="E1061" s="21"/>
      <c r="F1061" s="21"/>
      <c r="G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</row>
    <row r="1062" spans="1:24" hidden="1">
      <c r="A1062" s="258"/>
      <c r="B1062" s="20" t="s">
        <v>392</v>
      </c>
      <c r="C1062" s="21">
        <f>C1055+1</f>
        <v>145</v>
      </c>
      <c r="D1062" s="473">
        <f>D1055+1</f>
        <v>382</v>
      </c>
      <c r="E1062" s="21"/>
      <c r="F1062" s="21"/>
      <c r="G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</row>
    <row r="1063" spans="1:24" hidden="1">
      <c r="A1063" s="258"/>
      <c r="B1063" s="21" t="s">
        <v>414</v>
      </c>
      <c r="C1063" s="164">
        <f ca="1">IFERROR(YEAR(OFFSET($D$28,C1062,0)),0)</f>
        <v>0</v>
      </c>
      <c r="D1063" s="164">
        <f ca="1">IFERROR(MONTH(OFFSET($D$28,C1062,0)),0)</f>
        <v>0</v>
      </c>
      <c r="E1063" s="21">
        <f ca="1">12-$D1063</f>
        <v>12</v>
      </c>
      <c r="F1063" s="21"/>
      <c r="G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258"/>
      <c r="B1064" s="21" t="s">
        <v>406</v>
      </c>
      <c r="C1064" s="244">
        <f ca="1">IF(OFFSET($F$28,C1062,0)&lt;0,0,OFFSET($F$28,C1062,0))</f>
        <v>0</v>
      </c>
      <c r="D1064" s="22" t="str">
        <f ca="1">OFFSET($C$28,C1062,0)</f>
        <v/>
      </c>
      <c r="E1064" s="22">
        <f ca="1">IF(D1064&gt;10,ROUND(($C1065/12)*$E1063,0),$C1064)</f>
        <v>0</v>
      </c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1" t="s">
        <v>415</v>
      </c>
      <c r="C1065" s="244">
        <f ca="1">IF(ISBLANK(OFFSET($D$28,C1062,0)),0,IF(OFFSET($C$28,C1062,0)&gt;10,ROUND(C1064*am_transport,0),IF(C1064&lt;0,0,C1064)))</f>
        <v>0</v>
      </c>
      <c r="D1065" s="21"/>
      <c r="E1065" s="21"/>
      <c r="F1065" s="21"/>
      <c r="G1065" s="21"/>
      <c r="I1065" s="21"/>
      <c r="J1065" s="473" cm="1">
        <f t="array" aca="1" ref="J1065" ca="1">OFFSET('Środki trwałe'!$C$195,'Rozliczenie dotacji'!D1062,,)</f>
        <v>0</v>
      </c>
      <c r="K1065" s="74">
        <f ca="1">ROUND(IF($C1063=LataProjekcji,$E1064,IF($C1063=LataProjekcji,$C1065,0)),0)</f>
        <v>0</v>
      </c>
      <c r="L1065" s="247">
        <f ca="1">ROUND(IF(OR(AND($C1063=LataProjekcji,$E1063&gt;0),AND($C1063=LataProjekcji,$E1063=0,$D1064&lt;=10)),$E1064,IF($C1063&lt;LataProjekcji,IF((SUM($K1065:K1065)+$C1065)&lt;$C1064,$C1065,$C1064-SUM($K1065:K1065)),0)),0)</f>
        <v>0</v>
      </c>
      <c r="M1065" s="247">
        <f ca="1">ROUND(IF(OR(AND($C1063=LataProjekcji,$E1063&gt;0),AND($C1063=LataProjekcji,$E1063=0,$D1064&lt;=10)),$E1064,IF($C1063&lt;LataProjekcji,IF((SUM($K1065:L1065)+$C1065)&lt;$C1064,$C1065,$C1064-SUM($K1065:L1065)),0)),0)</f>
        <v>0</v>
      </c>
      <c r="N1065" s="247">
        <f ca="1">ROUND(IF(OR(AND($C1063=LataProjekcji,$E1063&gt;0),AND($C1063=LataProjekcji,$E1063=0,$D1064&lt;=10)),$E1064,IF($C1063&lt;LataProjekcji,IF((SUM($K1065:M1065)+$C1065)&lt;$C1064,$C1065,$C1064-SUM($K1065:M1065)),0)),0)</f>
        <v>0</v>
      </c>
      <c r="O1065" s="247">
        <f ca="1">ROUND(IF(OR(AND($C1063=LataProjekcji,$E1063&gt;0),AND($C1063=LataProjekcji,$E1063=0,$D1064&lt;=10)),$E1064,IF($C1063&lt;LataProjekcji,IF((SUM($K1065:N1065)+$C1065)&lt;$C1064,$C1065,$C1064-SUM($K1065:N1065)),0)),0)</f>
        <v>0</v>
      </c>
      <c r="P1065" s="247">
        <f ca="1">ROUND(IF(OR(AND($C1063=LataProjekcji,$E1063&gt;0),AND($C1063=LataProjekcji,$E1063=0,$D1064&lt;=10)),$E1064,IF($C1063&lt;LataProjekcji,IF((SUM($K1065:O1065)+$C1065)&lt;$C1064,$C1065,$C1064-SUM($K1065:O1065)),0)),0)</f>
        <v>0</v>
      </c>
      <c r="Q1065" s="247">
        <f ca="1">ROUND(IF(OR(AND($C1063=LataProjekcji,$E1063&gt;0),AND($C1063=LataProjekcji,$E1063=0,$D1064&lt;=10)),$E1064,IF($C1063&lt;LataProjekcji,IF((SUM($K1065:P1065)+$C1065)&lt;$C1064,$C1065,$C1064-SUM($K1065:P1065)),0)),0)</f>
        <v>0</v>
      </c>
      <c r="R1065" s="247">
        <f ca="1">ROUND(IF(OR(AND($C1063=LataProjekcji,$E1063&gt;0),AND($C1063=LataProjekcji,$E1063=0,$D1064&lt;=10)),$E1064,IF($C1063&lt;LataProjekcji,IF((SUM($K1065:Q1065)+$C1065)&lt;$C1064,$C1065,$C1064-SUM($K1065:Q1065)),0)),0)</f>
        <v>0</v>
      </c>
      <c r="S1065" s="247">
        <f ca="1">ROUND(IF(OR(AND($C1063=LataProjekcji,$E1063&gt;0),AND($C1063=LataProjekcji,$E1063=0,$D1064&lt;=10)),$E1064,IF($C1063&lt;LataProjekcji,IF((SUM($K1065:R1065)+$C1065)&lt;$C1064,$C1065,$C1064-SUM($K1065:R1065)),0)),0)</f>
        <v>0</v>
      </c>
      <c r="T1065" s="247">
        <f ca="1">ROUND(IF(OR(AND($C1063=LataProjekcji,$E1063&gt;0),AND($C1063=LataProjekcji,$E1063=0,$D1064&lt;=10)),$E1064,IF($C1063&lt;LataProjekcji,IF((SUM($K1065:S1065)+$C1065)&lt;$C1064,$C1065,$C1064-SUM($K1065:S1065)),0)),0)</f>
        <v>0</v>
      </c>
      <c r="U1065" s="247">
        <f ca="1">ROUND(IF(OR(AND($C1063=LataProjekcji,$E1063&gt;0),AND($C1063=LataProjekcji,$E1063=0,$D1064&lt;=10)),$E1064,IF($C1063&lt;LataProjekcji,IF((SUM($K1065:T1065)+$C1065)&lt;$C1064,$C1065,$C1064-SUM($K1065:T1065)),0)),0)</f>
        <v>0</v>
      </c>
      <c r="V1065" s="247">
        <f ca="1">ROUND(IF(OR(AND($C1063=LataProjekcji,$E1063&gt;0),AND($C1063=LataProjekcji,$E1063=0,$D1064&lt;=10)),$E1064,IF($C1063&lt;LataProjekcji,IF((SUM($K1065:U1065)+$C1065)&lt;$C1064,$C1065,$C1064-SUM($K1065:U1065)),0)),0)</f>
        <v>0</v>
      </c>
      <c r="W1065" s="247">
        <f ca="1">ROUND(IF(OR(AND($C1063=LataProjekcji,$E1063&gt;0),AND($C1063=LataProjekcji,$E1063=0,$D1064&lt;=10)),$E1064,IF($C1063&lt;LataProjekcji,IF((SUM($K1065:V1065)+$C1065)&lt;$C1064,$C1065,$C1064-SUM($K1065:V1065)),0)),0)</f>
        <v>0</v>
      </c>
      <c r="X1065" s="247">
        <f ca="1">ROUND(IF(OR(AND($C1063=LataProjekcji,$E1063&gt;0),AND($C1063=LataProjekcji,$E1063=0,$D1064&lt;=10)),$E1064,IF($C1063&lt;LataProjekcji,IF((SUM($K1065:W1065)+$C1065)&lt;$C1064,$C1065,$C1064-SUM($K1065:W1065)),0)),0)</f>
        <v>0</v>
      </c>
    </row>
    <row r="1066" spans="1:24" hidden="1">
      <c r="A1066" s="258"/>
      <c r="B1066" s="21" t="s">
        <v>416</v>
      </c>
      <c r="C1066" s="22"/>
      <c r="D1066" s="21"/>
      <c r="E1066" s="21"/>
      <c r="F1066" s="21"/>
      <c r="G1066" s="21"/>
      <c r="I1066" s="21"/>
      <c r="J1066" s="21"/>
      <c r="K1066" s="22">
        <f ca="1">ROUND(K1065,0)</f>
        <v>0</v>
      </c>
      <c r="L1066" s="22">
        <f t="shared" ref="L1066:X1066" ca="1" si="479">ROUND(K1066+L1065,0)</f>
        <v>0</v>
      </c>
      <c r="M1066" s="22">
        <f t="shared" ca="1" si="479"/>
        <v>0</v>
      </c>
      <c r="N1066" s="22">
        <f t="shared" ca="1" si="479"/>
        <v>0</v>
      </c>
      <c r="O1066" s="22">
        <f t="shared" ca="1" si="479"/>
        <v>0</v>
      </c>
      <c r="P1066" s="22">
        <f t="shared" ca="1" si="479"/>
        <v>0</v>
      </c>
      <c r="Q1066" s="22">
        <f t="shared" ca="1" si="479"/>
        <v>0</v>
      </c>
      <c r="R1066" s="22">
        <f t="shared" ca="1" si="479"/>
        <v>0</v>
      </c>
      <c r="S1066" s="22">
        <f t="shared" ca="1" si="479"/>
        <v>0</v>
      </c>
      <c r="T1066" s="22">
        <f t="shared" ca="1" si="479"/>
        <v>0</v>
      </c>
      <c r="U1066" s="22">
        <f t="shared" ca="1" si="479"/>
        <v>0</v>
      </c>
      <c r="V1066" s="22">
        <f t="shared" ca="1" si="479"/>
        <v>0</v>
      </c>
      <c r="W1066" s="22">
        <f t="shared" ca="1" si="479"/>
        <v>0</v>
      </c>
      <c r="X1066" s="22">
        <f t="shared" ca="1" si="479"/>
        <v>0</v>
      </c>
    </row>
    <row r="1067" spans="1:24" hidden="1">
      <c r="A1067" s="258"/>
      <c r="B1067" s="21" t="s">
        <v>406</v>
      </c>
      <c r="C1067" s="22"/>
      <c r="D1067" s="21"/>
      <c r="E1067" s="21"/>
      <c r="F1067" s="21"/>
      <c r="G1067" s="21"/>
      <c r="I1067" s="21"/>
      <c r="J1067" s="21"/>
      <c r="K1067" s="76">
        <f t="shared" ref="K1067:X1067" ca="1" si="480">IF($C1063=LataProjekcji,ROUND($C1064-K1066,0),ROUND(IF(K1065=0,0,$C1064-K1066),0))</f>
        <v>0</v>
      </c>
      <c r="L1067" s="76">
        <f t="shared" ca="1" si="480"/>
        <v>0</v>
      </c>
      <c r="M1067" s="76">
        <f t="shared" ca="1" si="480"/>
        <v>0</v>
      </c>
      <c r="N1067" s="76">
        <f t="shared" ca="1" si="480"/>
        <v>0</v>
      </c>
      <c r="O1067" s="76">
        <f t="shared" ca="1" si="480"/>
        <v>0</v>
      </c>
      <c r="P1067" s="76">
        <f t="shared" ca="1" si="480"/>
        <v>0</v>
      </c>
      <c r="Q1067" s="76">
        <f t="shared" ca="1" si="480"/>
        <v>0</v>
      </c>
      <c r="R1067" s="76">
        <f t="shared" ca="1" si="480"/>
        <v>0</v>
      </c>
      <c r="S1067" s="76">
        <f t="shared" ca="1" si="480"/>
        <v>0</v>
      </c>
      <c r="T1067" s="76">
        <f t="shared" ca="1" si="480"/>
        <v>0</v>
      </c>
      <c r="U1067" s="76">
        <f t="shared" ca="1" si="480"/>
        <v>0</v>
      </c>
      <c r="V1067" s="76">
        <f t="shared" ca="1" si="480"/>
        <v>0</v>
      </c>
      <c r="W1067" s="76">
        <f t="shared" ca="1" si="480"/>
        <v>0</v>
      </c>
      <c r="X1067" s="76">
        <f t="shared" ca="1" si="480"/>
        <v>0</v>
      </c>
    </row>
    <row r="1068" spans="1:24" hidden="1">
      <c r="A1068" s="258"/>
      <c r="B1068" s="21"/>
      <c r="C1068" s="22"/>
      <c r="D1068" s="21"/>
      <c r="E1068" s="21"/>
      <c r="F1068" s="21"/>
      <c r="G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</row>
    <row r="1069" spans="1:24" hidden="1">
      <c r="A1069" s="258"/>
      <c r="B1069" s="20" t="s">
        <v>392</v>
      </c>
      <c r="C1069" s="21">
        <f>C1062+1</f>
        <v>146</v>
      </c>
      <c r="D1069" s="473">
        <f>D1062+1</f>
        <v>383</v>
      </c>
      <c r="E1069" s="21"/>
      <c r="F1069" s="21"/>
      <c r="G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258"/>
      <c r="B1070" s="21" t="s">
        <v>414</v>
      </c>
      <c r="C1070" s="164">
        <f ca="1">IFERROR(YEAR(OFFSET($D$28,C1069,0)),0)</f>
        <v>0</v>
      </c>
      <c r="D1070" s="164">
        <f ca="1">IFERROR(MONTH(OFFSET($D$28,C1069,0)),0)</f>
        <v>0</v>
      </c>
      <c r="E1070" s="21">
        <f ca="1">12-$D1070</f>
        <v>12</v>
      </c>
      <c r="F1070" s="21"/>
      <c r="G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258"/>
      <c r="B1071" s="21" t="s">
        <v>406</v>
      </c>
      <c r="C1071" s="244">
        <f ca="1">IF(OFFSET($F$28,C1069,0)&lt;0,0,OFFSET($F$28,C1069,0))</f>
        <v>0</v>
      </c>
      <c r="D1071" s="22" t="str">
        <f ca="1">OFFSET($C$28,C1069,0)</f>
        <v/>
      </c>
      <c r="E1071" s="22">
        <f ca="1">IF(D1071&gt;10,ROUND(($C1072/12)*$E1070,0),$C1071)</f>
        <v>0</v>
      </c>
      <c r="F1071" s="21"/>
      <c r="G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258"/>
      <c r="B1072" s="21" t="s">
        <v>415</v>
      </c>
      <c r="C1072" s="244">
        <f ca="1">IF(ISBLANK(OFFSET($D$28,C1069,0)),0,IF(OFFSET($C$28,C1069,0)&gt;10,ROUND(C1071*am_transport,0),IF(C1071&lt;0,0,C1071)))</f>
        <v>0</v>
      </c>
      <c r="D1072" s="21"/>
      <c r="E1072" s="21"/>
      <c r="F1072" s="21"/>
      <c r="G1072" s="21"/>
      <c r="I1072" s="21"/>
      <c r="J1072" s="473" cm="1">
        <f t="array" aca="1" ref="J1072" ca="1">OFFSET('Środki trwałe'!$C$195,'Rozliczenie dotacji'!D1069,,)</f>
        <v>0</v>
      </c>
      <c r="K1072" s="74">
        <f ca="1">ROUND(IF($C1070=LataProjekcji,$E1071,IF($C1070=LataProjekcji,$C1072,0)),0)</f>
        <v>0</v>
      </c>
      <c r="L1072" s="247">
        <f ca="1">ROUND(IF(OR(AND($C1070=LataProjekcji,$E1070&gt;0),AND($C1070=LataProjekcji,$E1070=0,$D1071&lt;=10)),$E1071,IF($C1070&lt;LataProjekcji,IF((SUM($K1072:K1072)+$C1072)&lt;$C1071,$C1072,$C1071-SUM($K1072:K1072)),0)),0)</f>
        <v>0</v>
      </c>
      <c r="M1072" s="247">
        <f ca="1">ROUND(IF(OR(AND($C1070=LataProjekcji,$E1070&gt;0),AND($C1070=LataProjekcji,$E1070=0,$D1071&lt;=10)),$E1071,IF($C1070&lt;LataProjekcji,IF((SUM($K1072:L1072)+$C1072)&lt;$C1071,$C1072,$C1071-SUM($K1072:L1072)),0)),0)</f>
        <v>0</v>
      </c>
      <c r="N1072" s="247">
        <f ca="1">ROUND(IF(OR(AND($C1070=LataProjekcji,$E1070&gt;0),AND($C1070=LataProjekcji,$E1070=0,$D1071&lt;=10)),$E1071,IF($C1070&lt;LataProjekcji,IF((SUM($K1072:M1072)+$C1072)&lt;$C1071,$C1072,$C1071-SUM($K1072:M1072)),0)),0)</f>
        <v>0</v>
      </c>
      <c r="O1072" s="247">
        <f ca="1">ROUND(IF(OR(AND($C1070=LataProjekcji,$E1070&gt;0),AND($C1070=LataProjekcji,$E1070=0,$D1071&lt;=10)),$E1071,IF($C1070&lt;LataProjekcji,IF((SUM($K1072:N1072)+$C1072)&lt;$C1071,$C1072,$C1071-SUM($K1072:N1072)),0)),0)</f>
        <v>0</v>
      </c>
      <c r="P1072" s="247">
        <f ca="1">ROUND(IF(OR(AND($C1070=LataProjekcji,$E1070&gt;0),AND($C1070=LataProjekcji,$E1070=0,$D1071&lt;=10)),$E1071,IF($C1070&lt;LataProjekcji,IF((SUM($K1072:O1072)+$C1072)&lt;$C1071,$C1072,$C1071-SUM($K1072:O1072)),0)),0)</f>
        <v>0</v>
      </c>
      <c r="Q1072" s="247">
        <f ca="1">ROUND(IF(OR(AND($C1070=LataProjekcji,$E1070&gt;0),AND($C1070=LataProjekcji,$E1070=0,$D1071&lt;=10)),$E1071,IF($C1070&lt;LataProjekcji,IF((SUM($K1072:P1072)+$C1072)&lt;$C1071,$C1072,$C1071-SUM($K1072:P1072)),0)),0)</f>
        <v>0</v>
      </c>
      <c r="R1072" s="247">
        <f ca="1">ROUND(IF(OR(AND($C1070=LataProjekcji,$E1070&gt;0),AND($C1070=LataProjekcji,$E1070=0,$D1071&lt;=10)),$E1071,IF($C1070&lt;LataProjekcji,IF((SUM($K1072:Q1072)+$C1072)&lt;$C1071,$C1072,$C1071-SUM($K1072:Q1072)),0)),0)</f>
        <v>0</v>
      </c>
      <c r="S1072" s="247">
        <f ca="1">ROUND(IF(OR(AND($C1070=LataProjekcji,$E1070&gt;0),AND($C1070=LataProjekcji,$E1070=0,$D1071&lt;=10)),$E1071,IF($C1070&lt;LataProjekcji,IF((SUM($K1072:R1072)+$C1072)&lt;$C1071,$C1072,$C1071-SUM($K1072:R1072)),0)),0)</f>
        <v>0</v>
      </c>
      <c r="T1072" s="247">
        <f ca="1">ROUND(IF(OR(AND($C1070=LataProjekcji,$E1070&gt;0),AND($C1070=LataProjekcji,$E1070=0,$D1071&lt;=10)),$E1071,IF($C1070&lt;LataProjekcji,IF((SUM($K1072:S1072)+$C1072)&lt;$C1071,$C1072,$C1071-SUM($K1072:S1072)),0)),0)</f>
        <v>0</v>
      </c>
      <c r="U1072" s="247">
        <f ca="1">ROUND(IF(OR(AND($C1070=LataProjekcji,$E1070&gt;0),AND($C1070=LataProjekcji,$E1070=0,$D1071&lt;=10)),$E1071,IF($C1070&lt;LataProjekcji,IF((SUM($K1072:T1072)+$C1072)&lt;$C1071,$C1072,$C1071-SUM($K1072:T1072)),0)),0)</f>
        <v>0</v>
      </c>
      <c r="V1072" s="247">
        <f ca="1">ROUND(IF(OR(AND($C1070=LataProjekcji,$E1070&gt;0),AND($C1070=LataProjekcji,$E1070=0,$D1071&lt;=10)),$E1071,IF($C1070&lt;LataProjekcji,IF((SUM($K1072:U1072)+$C1072)&lt;$C1071,$C1072,$C1071-SUM($K1072:U1072)),0)),0)</f>
        <v>0</v>
      </c>
      <c r="W1072" s="247">
        <f ca="1">ROUND(IF(OR(AND($C1070=LataProjekcji,$E1070&gt;0),AND($C1070=LataProjekcji,$E1070=0,$D1071&lt;=10)),$E1071,IF($C1070&lt;LataProjekcji,IF((SUM($K1072:V1072)+$C1072)&lt;$C1071,$C1072,$C1071-SUM($K1072:V1072)),0)),0)</f>
        <v>0</v>
      </c>
      <c r="X1072" s="247">
        <f ca="1">ROUND(IF(OR(AND($C1070=LataProjekcji,$E1070&gt;0),AND($C1070=LataProjekcji,$E1070=0,$D1071&lt;=10)),$E1071,IF($C1070&lt;LataProjekcji,IF((SUM($K1072:W1072)+$C1072)&lt;$C1071,$C1072,$C1071-SUM($K1072:W1072)),0)),0)</f>
        <v>0</v>
      </c>
    </row>
    <row r="1073" spans="1:24" hidden="1">
      <c r="A1073" s="258"/>
      <c r="B1073" s="21" t="s">
        <v>416</v>
      </c>
      <c r="C1073" s="22"/>
      <c r="D1073" s="21"/>
      <c r="E1073" s="21"/>
      <c r="F1073" s="21"/>
      <c r="G1073" s="21"/>
      <c r="I1073" s="21"/>
      <c r="J1073" s="21"/>
      <c r="K1073" s="22">
        <f ca="1">ROUND(K1072,0)</f>
        <v>0</v>
      </c>
      <c r="L1073" s="22">
        <f t="shared" ref="L1073:X1073" ca="1" si="481">ROUND(K1073+L1072,0)</f>
        <v>0</v>
      </c>
      <c r="M1073" s="22">
        <f t="shared" ca="1" si="481"/>
        <v>0</v>
      </c>
      <c r="N1073" s="22">
        <f t="shared" ca="1" si="481"/>
        <v>0</v>
      </c>
      <c r="O1073" s="22">
        <f t="shared" ca="1" si="481"/>
        <v>0</v>
      </c>
      <c r="P1073" s="22">
        <f t="shared" ca="1" si="481"/>
        <v>0</v>
      </c>
      <c r="Q1073" s="22">
        <f t="shared" ca="1" si="481"/>
        <v>0</v>
      </c>
      <c r="R1073" s="22">
        <f t="shared" ca="1" si="481"/>
        <v>0</v>
      </c>
      <c r="S1073" s="22">
        <f t="shared" ca="1" si="481"/>
        <v>0</v>
      </c>
      <c r="T1073" s="22">
        <f t="shared" ca="1" si="481"/>
        <v>0</v>
      </c>
      <c r="U1073" s="22">
        <f t="shared" ca="1" si="481"/>
        <v>0</v>
      </c>
      <c r="V1073" s="22">
        <f t="shared" ca="1" si="481"/>
        <v>0</v>
      </c>
      <c r="W1073" s="22">
        <f t="shared" ca="1" si="481"/>
        <v>0</v>
      </c>
      <c r="X1073" s="22">
        <f t="shared" ca="1" si="481"/>
        <v>0</v>
      </c>
    </row>
    <row r="1074" spans="1:24" hidden="1">
      <c r="A1074" s="258"/>
      <c r="B1074" s="21" t="s">
        <v>406</v>
      </c>
      <c r="C1074" s="22"/>
      <c r="D1074" s="21"/>
      <c r="E1074" s="21"/>
      <c r="F1074" s="21"/>
      <c r="G1074" s="21"/>
      <c r="I1074" s="21"/>
      <c r="J1074" s="21"/>
      <c r="K1074" s="76">
        <f t="shared" ref="K1074:X1074" ca="1" si="482">IF($C1070=LataProjekcji,ROUND($C1071-K1073,0),ROUND(IF(K1072=0,0,$C1071-K1073),0))</f>
        <v>0</v>
      </c>
      <c r="L1074" s="76">
        <f t="shared" ca="1" si="482"/>
        <v>0</v>
      </c>
      <c r="M1074" s="76">
        <f t="shared" ca="1" si="482"/>
        <v>0</v>
      </c>
      <c r="N1074" s="76">
        <f t="shared" ca="1" si="482"/>
        <v>0</v>
      </c>
      <c r="O1074" s="76">
        <f t="shared" ca="1" si="482"/>
        <v>0</v>
      </c>
      <c r="P1074" s="76">
        <f t="shared" ca="1" si="482"/>
        <v>0</v>
      </c>
      <c r="Q1074" s="76">
        <f t="shared" ca="1" si="482"/>
        <v>0</v>
      </c>
      <c r="R1074" s="76">
        <f t="shared" ca="1" si="482"/>
        <v>0</v>
      </c>
      <c r="S1074" s="76">
        <f t="shared" ca="1" si="482"/>
        <v>0</v>
      </c>
      <c r="T1074" s="76">
        <f t="shared" ca="1" si="482"/>
        <v>0</v>
      </c>
      <c r="U1074" s="76">
        <f t="shared" ca="1" si="482"/>
        <v>0</v>
      </c>
      <c r="V1074" s="76">
        <f t="shared" ca="1" si="482"/>
        <v>0</v>
      </c>
      <c r="W1074" s="76">
        <f t="shared" ca="1" si="482"/>
        <v>0</v>
      </c>
      <c r="X1074" s="76">
        <f t="shared" ca="1" si="482"/>
        <v>0</v>
      </c>
    </row>
    <row r="1075" spans="1:24" hidden="1">
      <c r="A1075" s="258"/>
      <c r="B1075" s="20"/>
      <c r="C1075" s="21"/>
      <c r="D1075" s="21"/>
      <c r="E1075" s="21"/>
      <c r="F1075" s="21"/>
      <c r="G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0" t="s">
        <v>392</v>
      </c>
      <c r="C1076" s="21">
        <f>C1069+1</f>
        <v>147</v>
      </c>
      <c r="D1076" s="473">
        <f>D1069+1</f>
        <v>384</v>
      </c>
      <c r="E1076" s="21"/>
      <c r="F1076" s="21"/>
      <c r="G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414</v>
      </c>
      <c r="C1077" s="164">
        <f ca="1">IFERROR(YEAR(OFFSET($D$28,C1076,0)),0)</f>
        <v>0</v>
      </c>
      <c r="D1077" s="164">
        <f ca="1">IFERROR(MONTH(OFFSET($D$28,C1076,0)),0)</f>
        <v>0</v>
      </c>
      <c r="E1077" s="21">
        <f ca="1">12-$D1077</f>
        <v>12</v>
      </c>
      <c r="F1077" s="21"/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406</v>
      </c>
      <c r="C1078" s="244">
        <f ca="1">IF(OFFSET($F$28,C1076,0)&lt;0,0,OFFSET($F$28,C1076,0))</f>
        <v>0</v>
      </c>
      <c r="D1078" s="22" t="str">
        <f ca="1">OFFSET($C$28,C1076,0)</f>
        <v/>
      </c>
      <c r="E1078" s="22">
        <f ca="1">IF(D1078&gt;10,ROUND(($C1079/12)*$E1077,0),$C1078)</f>
        <v>0</v>
      </c>
      <c r="F1078" s="21"/>
      <c r="G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</row>
    <row r="1079" spans="1:24" hidden="1">
      <c r="A1079" s="258"/>
      <c r="B1079" s="21" t="s">
        <v>415</v>
      </c>
      <c r="C1079" s="244">
        <f ca="1">IF(ISBLANK(OFFSET($D$28,C1076,0)),0,IF(OFFSET($C$28,C1076,0)&gt;10,ROUND(C1078*am_transport,0),IF(C1078&lt;0,0,C1078)))</f>
        <v>0</v>
      </c>
      <c r="D1079" s="21"/>
      <c r="E1079" s="21"/>
      <c r="F1079" s="21"/>
      <c r="G1079" s="21"/>
      <c r="I1079" s="21"/>
      <c r="J1079" s="473" cm="1">
        <f t="array" aca="1" ref="J1079" ca="1">OFFSET('Środki trwałe'!$C$195,'Rozliczenie dotacji'!D1076,,)</f>
        <v>0</v>
      </c>
      <c r="K1079" s="74">
        <f ca="1">ROUND(IF($C1077=LataProjekcji,$E1078,IF($C1077=LataProjekcji,$C1079,0)),0)</f>
        <v>0</v>
      </c>
      <c r="L1079" s="247">
        <f ca="1">ROUND(IF(OR(AND($C1077=LataProjekcji,$E1077&gt;0),AND($C1077=LataProjekcji,$E1077=0,$D1078&lt;=10)),$E1078,IF($C1077&lt;LataProjekcji,IF((SUM($K1079:K1079)+$C1079)&lt;$C1078,$C1079,$C1078-SUM($K1079:K1079)),0)),0)</f>
        <v>0</v>
      </c>
      <c r="M1079" s="247">
        <f ca="1">ROUND(IF(OR(AND($C1077=LataProjekcji,$E1077&gt;0),AND($C1077=LataProjekcji,$E1077=0,$D1078&lt;=10)),$E1078,IF($C1077&lt;LataProjekcji,IF((SUM($K1079:L1079)+$C1079)&lt;$C1078,$C1079,$C1078-SUM($K1079:L1079)),0)),0)</f>
        <v>0</v>
      </c>
      <c r="N1079" s="247">
        <f ca="1">ROUND(IF(OR(AND($C1077=LataProjekcji,$E1077&gt;0),AND($C1077=LataProjekcji,$E1077=0,$D1078&lt;=10)),$E1078,IF($C1077&lt;LataProjekcji,IF((SUM($K1079:M1079)+$C1079)&lt;$C1078,$C1079,$C1078-SUM($K1079:M1079)),0)),0)</f>
        <v>0</v>
      </c>
      <c r="O1079" s="247">
        <f ca="1">ROUND(IF(OR(AND($C1077=LataProjekcji,$E1077&gt;0),AND($C1077=LataProjekcji,$E1077=0,$D1078&lt;=10)),$E1078,IF($C1077&lt;LataProjekcji,IF((SUM($K1079:N1079)+$C1079)&lt;$C1078,$C1079,$C1078-SUM($K1079:N1079)),0)),0)</f>
        <v>0</v>
      </c>
      <c r="P1079" s="247">
        <f ca="1">ROUND(IF(OR(AND($C1077=LataProjekcji,$E1077&gt;0),AND($C1077=LataProjekcji,$E1077=0,$D1078&lt;=10)),$E1078,IF($C1077&lt;LataProjekcji,IF((SUM($K1079:O1079)+$C1079)&lt;$C1078,$C1079,$C1078-SUM($K1079:O1079)),0)),0)</f>
        <v>0</v>
      </c>
      <c r="Q1079" s="247">
        <f ca="1">ROUND(IF(OR(AND($C1077=LataProjekcji,$E1077&gt;0),AND($C1077=LataProjekcji,$E1077=0,$D1078&lt;=10)),$E1078,IF($C1077&lt;LataProjekcji,IF((SUM($K1079:P1079)+$C1079)&lt;$C1078,$C1079,$C1078-SUM($K1079:P1079)),0)),0)</f>
        <v>0</v>
      </c>
      <c r="R1079" s="247">
        <f ca="1">ROUND(IF(OR(AND($C1077=LataProjekcji,$E1077&gt;0),AND($C1077=LataProjekcji,$E1077=0,$D1078&lt;=10)),$E1078,IF($C1077&lt;LataProjekcji,IF((SUM($K1079:Q1079)+$C1079)&lt;$C1078,$C1079,$C1078-SUM($K1079:Q1079)),0)),0)</f>
        <v>0</v>
      </c>
      <c r="S1079" s="247">
        <f ca="1">ROUND(IF(OR(AND($C1077=LataProjekcji,$E1077&gt;0),AND($C1077=LataProjekcji,$E1077=0,$D1078&lt;=10)),$E1078,IF($C1077&lt;LataProjekcji,IF((SUM($K1079:R1079)+$C1079)&lt;$C1078,$C1079,$C1078-SUM($K1079:R1079)),0)),0)</f>
        <v>0</v>
      </c>
      <c r="T1079" s="247">
        <f ca="1">ROUND(IF(OR(AND($C1077=LataProjekcji,$E1077&gt;0),AND($C1077=LataProjekcji,$E1077=0,$D1078&lt;=10)),$E1078,IF($C1077&lt;LataProjekcji,IF((SUM($K1079:S1079)+$C1079)&lt;$C1078,$C1079,$C1078-SUM($K1079:S1079)),0)),0)</f>
        <v>0</v>
      </c>
      <c r="U1079" s="247">
        <f ca="1">ROUND(IF(OR(AND($C1077=LataProjekcji,$E1077&gt;0),AND($C1077=LataProjekcji,$E1077=0,$D1078&lt;=10)),$E1078,IF($C1077&lt;LataProjekcji,IF((SUM($K1079:T1079)+$C1079)&lt;$C1078,$C1079,$C1078-SUM($K1079:T1079)),0)),0)</f>
        <v>0</v>
      </c>
      <c r="V1079" s="247">
        <f ca="1">ROUND(IF(OR(AND($C1077=LataProjekcji,$E1077&gt;0),AND($C1077=LataProjekcji,$E1077=0,$D1078&lt;=10)),$E1078,IF($C1077&lt;LataProjekcji,IF((SUM($K1079:U1079)+$C1079)&lt;$C1078,$C1079,$C1078-SUM($K1079:U1079)),0)),0)</f>
        <v>0</v>
      </c>
      <c r="W1079" s="247">
        <f ca="1">ROUND(IF(OR(AND($C1077=LataProjekcji,$E1077&gt;0),AND($C1077=LataProjekcji,$E1077=0,$D1078&lt;=10)),$E1078,IF($C1077&lt;LataProjekcji,IF((SUM($K1079:V1079)+$C1079)&lt;$C1078,$C1079,$C1078-SUM($K1079:V1079)),0)),0)</f>
        <v>0</v>
      </c>
      <c r="X1079" s="247">
        <f ca="1">ROUND(IF(OR(AND($C1077=LataProjekcji,$E1077&gt;0),AND($C1077=LataProjekcji,$E1077=0,$D1078&lt;=10)),$E1078,IF($C1077&lt;LataProjekcji,IF((SUM($K1079:W1079)+$C1079)&lt;$C1078,$C1079,$C1078-SUM($K1079:W1079)),0)),0)</f>
        <v>0</v>
      </c>
    </row>
    <row r="1080" spans="1:24" hidden="1">
      <c r="A1080" s="258"/>
      <c r="B1080" s="21" t="s">
        <v>416</v>
      </c>
      <c r="C1080" s="22"/>
      <c r="D1080" s="21"/>
      <c r="E1080" s="21"/>
      <c r="F1080" s="21"/>
      <c r="G1080" s="21"/>
      <c r="I1080" s="21"/>
      <c r="J1080" s="21"/>
      <c r="K1080" s="22">
        <f ca="1">ROUND(K1079,0)</f>
        <v>0</v>
      </c>
      <c r="L1080" s="22">
        <f t="shared" ref="L1080:X1080" ca="1" si="483">ROUND(K1080+L1079,0)</f>
        <v>0</v>
      </c>
      <c r="M1080" s="22">
        <f t="shared" ca="1" si="483"/>
        <v>0</v>
      </c>
      <c r="N1080" s="22">
        <f t="shared" ca="1" si="483"/>
        <v>0</v>
      </c>
      <c r="O1080" s="22">
        <f t="shared" ca="1" si="483"/>
        <v>0</v>
      </c>
      <c r="P1080" s="22">
        <f t="shared" ca="1" si="483"/>
        <v>0</v>
      </c>
      <c r="Q1080" s="22">
        <f t="shared" ca="1" si="483"/>
        <v>0</v>
      </c>
      <c r="R1080" s="22">
        <f t="shared" ca="1" si="483"/>
        <v>0</v>
      </c>
      <c r="S1080" s="22">
        <f t="shared" ca="1" si="483"/>
        <v>0</v>
      </c>
      <c r="T1080" s="22">
        <f t="shared" ca="1" si="483"/>
        <v>0</v>
      </c>
      <c r="U1080" s="22">
        <f t="shared" ca="1" si="483"/>
        <v>0</v>
      </c>
      <c r="V1080" s="22">
        <f t="shared" ca="1" si="483"/>
        <v>0</v>
      </c>
      <c r="W1080" s="22">
        <f t="shared" ca="1" si="483"/>
        <v>0</v>
      </c>
      <c r="X1080" s="22">
        <f t="shared" ca="1" si="483"/>
        <v>0</v>
      </c>
    </row>
    <row r="1081" spans="1:24" hidden="1">
      <c r="A1081" s="258"/>
      <c r="B1081" s="21" t="s">
        <v>406</v>
      </c>
      <c r="C1081" s="22"/>
      <c r="D1081" s="21"/>
      <c r="E1081" s="21"/>
      <c r="F1081" s="21"/>
      <c r="G1081" s="21"/>
      <c r="I1081" s="21"/>
      <c r="J1081" s="21"/>
      <c r="K1081" s="76">
        <f t="shared" ref="K1081:X1081" ca="1" si="484">IF($C1077=LataProjekcji,ROUND($C1078-K1080,0),ROUND(IF(K1079=0,0,$C1078-K1080),0))</f>
        <v>0</v>
      </c>
      <c r="L1081" s="76">
        <f t="shared" ca="1" si="484"/>
        <v>0</v>
      </c>
      <c r="M1081" s="76">
        <f t="shared" ca="1" si="484"/>
        <v>0</v>
      </c>
      <c r="N1081" s="76">
        <f t="shared" ca="1" si="484"/>
        <v>0</v>
      </c>
      <c r="O1081" s="76">
        <f t="shared" ca="1" si="484"/>
        <v>0</v>
      </c>
      <c r="P1081" s="76">
        <f t="shared" ca="1" si="484"/>
        <v>0</v>
      </c>
      <c r="Q1081" s="76">
        <f t="shared" ca="1" si="484"/>
        <v>0</v>
      </c>
      <c r="R1081" s="76">
        <f t="shared" ca="1" si="484"/>
        <v>0</v>
      </c>
      <c r="S1081" s="76">
        <f t="shared" ca="1" si="484"/>
        <v>0</v>
      </c>
      <c r="T1081" s="76">
        <f t="shared" ca="1" si="484"/>
        <v>0</v>
      </c>
      <c r="U1081" s="76">
        <f t="shared" ca="1" si="484"/>
        <v>0</v>
      </c>
      <c r="V1081" s="76">
        <f t="shared" ca="1" si="484"/>
        <v>0</v>
      </c>
      <c r="W1081" s="76">
        <f t="shared" ca="1" si="484"/>
        <v>0</v>
      </c>
      <c r="X1081" s="76">
        <f t="shared" ca="1" si="484"/>
        <v>0</v>
      </c>
    </row>
    <row r="1082" spans="1:24" hidden="1">
      <c r="A1082" s="258"/>
      <c r="B1082" s="21"/>
      <c r="C1082" s="22"/>
      <c r="D1082" s="21"/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0" t="s">
        <v>392</v>
      </c>
      <c r="C1083" s="21">
        <f>C1076+1</f>
        <v>148</v>
      </c>
      <c r="D1083" s="473">
        <f>D1076+1</f>
        <v>385</v>
      </c>
      <c r="E1083" s="21"/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414</v>
      </c>
      <c r="C1084" s="164">
        <f ca="1">IFERROR(YEAR(OFFSET($D$28,C1083,0)),0)</f>
        <v>0</v>
      </c>
      <c r="D1084" s="164">
        <f ca="1">IFERROR(MONTH(OFFSET($D$28,C1083,0)),0)</f>
        <v>0</v>
      </c>
      <c r="E1084" s="21">
        <f ca="1">12-$D1084</f>
        <v>12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406</v>
      </c>
      <c r="C1085" s="244">
        <f ca="1">IF(OFFSET($F$28,C1083,0)&lt;0,0,OFFSET($F$28,C1083,0))</f>
        <v>0</v>
      </c>
      <c r="D1085" s="22" t="str">
        <f ca="1">OFFSET($C$28,C1083,0)</f>
        <v/>
      </c>
      <c r="E1085" s="22">
        <f ca="1">IF(D1085&gt;10,ROUND(($C1086/12)*$E1084,0),$C1085)</f>
        <v>0</v>
      </c>
      <c r="F1085" s="21"/>
      <c r="G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</row>
    <row r="1086" spans="1:24" hidden="1">
      <c r="A1086" s="258"/>
      <c r="B1086" s="21" t="s">
        <v>415</v>
      </c>
      <c r="C1086" s="244">
        <f ca="1">IF(ISBLANK(OFFSET($D$28,C1083,0)),0,IF(OFFSET($C$28,C1083,0)&gt;10,ROUND(C1085*am_transport,0),IF(C1085&lt;0,0,C1085)))</f>
        <v>0</v>
      </c>
      <c r="D1086" s="21"/>
      <c r="E1086" s="21"/>
      <c r="F1086" s="21"/>
      <c r="G1086" s="21"/>
      <c r="I1086" s="21"/>
      <c r="J1086" s="473" cm="1">
        <f t="array" aca="1" ref="J1086" ca="1">OFFSET('Środki trwałe'!$C$195,'Rozliczenie dotacji'!D1083,,)</f>
        <v>0</v>
      </c>
      <c r="K1086" s="74">
        <f ca="1">ROUND(IF($C1084=LataProjekcji,$E1085,IF($C1084=LataProjekcji,$C1086,0)),0)</f>
        <v>0</v>
      </c>
      <c r="L1086" s="247">
        <f ca="1">ROUND(IF(OR(AND($C1084=LataProjekcji,$E1084&gt;0),AND($C1084=LataProjekcji,$E1084=0,$D1085&lt;=10)),$E1085,IF($C1084&lt;LataProjekcji,IF((SUM($K1086:K1086)+$C1086)&lt;$C1085,$C1086,$C1085-SUM($K1086:K1086)),0)),0)</f>
        <v>0</v>
      </c>
      <c r="M1086" s="247">
        <f ca="1">ROUND(IF(OR(AND($C1084=LataProjekcji,$E1084&gt;0),AND($C1084=LataProjekcji,$E1084=0,$D1085&lt;=10)),$E1085,IF($C1084&lt;LataProjekcji,IF((SUM($K1086:L1086)+$C1086)&lt;$C1085,$C1086,$C1085-SUM($K1086:L1086)),0)),0)</f>
        <v>0</v>
      </c>
      <c r="N1086" s="247">
        <f ca="1">ROUND(IF(OR(AND($C1084=LataProjekcji,$E1084&gt;0),AND($C1084=LataProjekcji,$E1084=0,$D1085&lt;=10)),$E1085,IF($C1084&lt;LataProjekcji,IF((SUM($K1086:M1086)+$C1086)&lt;$C1085,$C1086,$C1085-SUM($K1086:M1086)),0)),0)</f>
        <v>0</v>
      </c>
      <c r="O1086" s="247">
        <f ca="1">ROUND(IF(OR(AND($C1084=LataProjekcji,$E1084&gt;0),AND($C1084=LataProjekcji,$E1084=0,$D1085&lt;=10)),$E1085,IF($C1084&lt;LataProjekcji,IF((SUM($K1086:N1086)+$C1086)&lt;$C1085,$C1086,$C1085-SUM($K1086:N1086)),0)),0)</f>
        <v>0</v>
      </c>
      <c r="P1086" s="247">
        <f ca="1">ROUND(IF(OR(AND($C1084=LataProjekcji,$E1084&gt;0),AND($C1084=LataProjekcji,$E1084=0,$D1085&lt;=10)),$E1085,IF($C1084&lt;LataProjekcji,IF((SUM($K1086:O1086)+$C1086)&lt;$C1085,$C1086,$C1085-SUM($K1086:O1086)),0)),0)</f>
        <v>0</v>
      </c>
      <c r="Q1086" s="247">
        <f ca="1">ROUND(IF(OR(AND($C1084=LataProjekcji,$E1084&gt;0),AND($C1084=LataProjekcji,$E1084=0,$D1085&lt;=10)),$E1085,IF($C1084&lt;LataProjekcji,IF((SUM($K1086:P1086)+$C1086)&lt;$C1085,$C1086,$C1085-SUM($K1086:P1086)),0)),0)</f>
        <v>0</v>
      </c>
      <c r="R1086" s="247">
        <f ca="1">ROUND(IF(OR(AND($C1084=LataProjekcji,$E1084&gt;0),AND($C1084=LataProjekcji,$E1084=0,$D1085&lt;=10)),$E1085,IF($C1084&lt;LataProjekcji,IF((SUM($K1086:Q1086)+$C1086)&lt;$C1085,$C1086,$C1085-SUM($K1086:Q1086)),0)),0)</f>
        <v>0</v>
      </c>
      <c r="S1086" s="247">
        <f ca="1">ROUND(IF(OR(AND($C1084=LataProjekcji,$E1084&gt;0),AND($C1084=LataProjekcji,$E1084=0,$D1085&lt;=10)),$E1085,IF($C1084&lt;LataProjekcji,IF((SUM($K1086:R1086)+$C1086)&lt;$C1085,$C1086,$C1085-SUM($K1086:R1086)),0)),0)</f>
        <v>0</v>
      </c>
      <c r="T1086" s="247">
        <f ca="1">ROUND(IF(OR(AND($C1084=LataProjekcji,$E1084&gt;0),AND($C1084=LataProjekcji,$E1084=0,$D1085&lt;=10)),$E1085,IF($C1084&lt;LataProjekcji,IF((SUM($K1086:S1086)+$C1086)&lt;$C1085,$C1086,$C1085-SUM($K1086:S1086)),0)),0)</f>
        <v>0</v>
      </c>
      <c r="U1086" s="247">
        <f ca="1">ROUND(IF(OR(AND($C1084=LataProjekcji,$E1084&gt;0),AND($C1084=LataProjekcji,$E1084=0,$D1085&lt;=10)),$E1085,IF($C1084&lt;LataProjekcji,IF((SUM($K1086:T1086)+$C1086)&lt;$C1085,$C1086,$C1085-SUM($K1086:T1086)),0)),0)</f>
        <v>0</v>
      </c>
      <c r="V1086" s="247">
        <f ca="1">ROUND(IF(OR(AND($C1084=LataProjekcji,$E1084&gt;0),AND($C1084=LataProjekcji,$E1084=0,$D1085&lt;=10)),$E1085,IF($C1084&lt;LataProjekcji,IF((SUM($K1086:U1086)+$C1086)&lt;$C1085,$C1086,$C1085-SUM($K1086:U1086)),0)),0)</f>
        <v>0</v>
      </c>
      <c r="W1086" s="247">
        <f ca="1">ROUND(IF(OR(AND($C1084=LataProjekcji,$E1084&gt;0),AND($C1084=LataProjekcji,$E1084=0,$D1085&lt;=10)),$E1085,IF($C1084&lt;LataProjekcji,IF((SUM($K1086:V1086)+$C1086)&lt;$C1085,$C1086,$C1085-SUM($K1086:V1086)),0)),0)</f>
        <v>0</v>
      </c>
      <c r="X1086" s="247">
        <f ca="1">ROUND(IF(OR(AND($C1084=LataProjekcji,$E1084&gt;0),AND($C1084=LataProjekcji,$E1084=0,$D1085&lt;=10)),$E1085,IF($C1084&lt;LataProjekcji,IF((SUM($K1086:W1086)+$C1086)&lt;$C1085,$C1086,$C1085-SUM($K1086:W1086)),0)),0)</f>
        <v>0</v>
      </c>
    </row>
    <row r="1087" spans="1:24" hidden="1">
      <c r="A1087" s="258"/>
      <c r="B1087" s="21" t="s">
        <v>416</v>
      </c>
      <c r="C1087" s="22"/>
      <c r="D1087" s="21"/>
      <c r="E1087" s="21"/>
      <c r="F1087" s="21"/>
      <c r="G1087" s="21"/>
      <c r="I1087" s="21"/>
      <c r="J1087" s="21"/>
      <c r="K1087" s="22">
        <f ca="1">ROUND(K1086,0)</f>
        <v>0</v>
      </c>
      <c r="L1087" s="22">
        <f t="shared" ref="L1087:X1087" ca="1" si="485">ROUND(K1087+L1086,0)</f>
        <v>0</v>
      </c>
      <c r="M1087" s="22">
        <f t="shared" ca="1" si="485"/>
        <v>0</v>
      </c>
      <c r="N1087" s="22">
        <f t="shared" ca="1" si="485"/>
        <v>0</v>
      </c>
      <c r="O1087" s="22">
        <f t="shared" ca="1" si="485"/>
        <v>0</v>
      </c>
      <c r="P1087" s="22">
        <f t="shared" ca="1" si="485"/>
        <v>0</v>
      </c>
      <c r="Q1087" s="22">
        <f t="shared" ca="1" si="485"/>
        <v>0</v>
      </c>
      <c r="R1087" s="22">
        <f t="shared" ca="1" si="485"/>
        <v>0</v>
      </c>
      <c r="S1087" s="22">
        <f t="shared" ca="1" si="485"/>
        <v>0</v>
      </c>
      <c r="T1087" s="22">
        <f t="shared" ca="1" si="485"/>
        <v>0</v>
      </c>
      <c r="U1087" s="22">
        <f t="shared" ca="1" si="485"/>
        <v>0</v>
      </c>
      <c r="V1087" s="22">
        <f t="shared" ca="1" si="485"/>
        <v>0</v>
      </c>
      <c r="W1087" s="22">
        <f t="shared" ca="1" si="485"/>
        <v>0</v>
      </c>
      <c r="X1087" s="22">
        <f t="shared" ca="1" si="485"/>
        <v>0</v>
      </c>
    </row>
    <row r="1088" spans="1:24" hidden="1">
      <c r="A1088" s="258"/>
      <c r="B1088" s="21" t="s">
        <v>406</v>
      </c>
      <c r="C1088" s="22"/>
      <c r="D1088" s="21"/>
      <c r="E1088" s="21"/>
      <c r="F1088" s="21"/>
      <c r="G1088" s="21"/>
      <c r="I1088" s="21"/>
      <c r="J1088" s="21"/>
      <c r="K1088" s="76">
        <f t="shared" ref="K1088:X1088" ca="1" si="486">IF($C1084=LataProjekcji,ROUND($C1085-K1087,0),ROUND(IF(K1086=0,0,$C1085-K1087),0))</f>
        <v>0</v>
      </c>
      <c r="L1088" s="76">
        <f t="shared" ca="1" si="486"/>
        <v>0</v>
      </c>
      <c r="M1088" s="76">
        <f t="shared" ca="1" si="486"/>
        <v>0</v>
      </c>
      <c r="N1088" s="76">
        <f t="shared" ca="1" si="486"/>
        <v>0</v>
      </c>
      <c r="O1088" s="76">
        <f t="shared" ca="1" si="486"/>
        <v>0</v>
      </c>
      <c r="P1088" s="76">
        <f t="shared" ca="1" si="486"/>
        <v>0</v>
      </c>
      <c r="Q1088" s="76">
        <f t="shared" ca="1" si="486"/>
        <v>0</v>
      </c>
      <c r="R1088" s="76">
        <f t="shared" ca="1" si="486"/>
        <v>0</v>
      </c>
      <c r="S1088" s="76">
        <f t="shared" ca="1" si="486"/>
        <v>0</v>
      </c>
      <c r="T1088" s="76">
        <f t="shared" ca="1" si="486"/>
        <v>0</v>
      </c>
      <c r="U1088" s="76">
        <f t="shared" ca="1" si="486"/>
        <v>0</v>
      </c>
      <c r="V1088" s="76">
        <f t="shared" ca="1" si="486"/>
        <v>0</v>
      </c>
      <c r="W1088" s="76">
        <f t="shared" ca="1" si="486"/>
        <v>0</v>
      </c>
      <c r="X1088" s="76">
        <f t="shared" ca="1" si="486"/>
        <v>0</v>
      </c>
    </row>
    <row r="1089" spans="1:24" hidden="1">
      <c r="A1089" s="258"/>
      <c r="B1089" s="21"/>
      <c r="C1089" s="22"/>
      <c r="D1089" s="21"/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0" t="s">
        <v>392</v>
      </c>
      <c r="C1090" s="21">
        <f>C1083+1</f>
        <v>149</v>
      </c>
      <c r="D1090" s="473">
        <f>D1083+1</f>
        <v>386</v>
      </c>
      <c r="E1090" s="21"/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414</v>
      </c>
      <c r="C1091" s="164">
        <f ca="1">IFERROR(YEAR(OFFSET($D$28,C1090,0)),0)</f>
        <v>0</v>
      </c>
      <c r="D1091" s="164">
        <f ca="1">IFERROR(MONTH(OFFSET($D$28,C1090,0)),0)</f>
        <v>0</v>
      </c>
      <c r="E1091" s="21">
        <f ca="1">12-$D1091</f>
        <v>12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406</v>
      </c>
      <c r="C1092" s="244">
        <f ca="1">IF(OFFSET($F$28,C1090,0)&lt;0,0,OFFSET($F$28,C1090,0))</f>
        <v>0</v>
      </c>
      <c r="D1092" s="22" t="str">
        <f ca="1">OFFSET($C$28,C1090,0)</f>
        <v/>
      </c>
      <c r="E1092" s="22">
        <f ca="1">IF(D1092&gt;10,ROUND(($C1093/12)*$E1091,0),$C1092)</f>
        <v>0</v>
      </c>
      <c r="F1092" s="21"/>
      <c r="G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</row>
    <row r="1093" spans="1:24" hidden="1">
      <c r="A1093" s="258"/>
      <c r="B1093" s="21" t="s">
        <v>415</v>
      </c>
      <c r="C1093" s="244">
        <f ca="1">IF(ISBLANK(OFFSET($D$28,C1090,0)),0,IF(OFFSET($C$28,C1090,0)&gt;10,ROUND(C1092*am_transport,0),IF(C1092&lt;0,0,C1092)))</f>
        <v>0</v>
      </c>
      <c r="D1093" s="21"/>
      <c r="E1093" s="21"/>
      <c r="F1093" s="21"/>
      <c r="G1093" s="21"/>
      <c r="I1093" s="21"/>
      <c r="J1093" s="473" cm="1">
        <f t="array" aca="1" ref="J1093" ca="1">OFFSET('Środki trwałe'!$C$195,'Rozliczenie dotacji'!D1090,,)</f>
        <v>0</v>
      </c>
      <c r="K1093" s="74">
        <f ca="1">ROUND(IF($C1091=LataProjekcji,$E1092,IF($C1091=LataProjekcji,$C1093,0)),0)</f>
        <v>0</v>
      </c>
      <c r="L1093" s="247">
        <f ca="1">ROUND(IF(OR(AND($C1091=LataProjekcji,$E1091&gt;0),AND($C1091=LataProjekcji,$E1091=0,$D1092&lt;=10)),$E1092,IF($C1091&lt;LataProjekcji,IF((SUM($K1093:K1093)+$C1093)&lt;$C1092,$C1093,$C1092-SUM($K1093:K1093)),0)),0)</f>
        <v>0</v>
      </c>
      <c r="M1093" s="247">
        <f ca="1">ROUND(IF(OR(AND($C1091=LataProjekcji,$E1091&gt;0),AND($C1091=LataProjekcji,$E1091=0,$D1092&lt;=10)),$E1092,IF($C1091&lt;LataProjekcji,IF((SUM($K1093:L1093)+$C1093)&lt;$C1092,$C1093,$C1092-SUM($K1093:L1093)),0)),0)</f>
        <v>0</v>
      </c>
      <c r="N1093" s="247">
        <f ca="1">ROUND(IF(OR(AND($C1091=LataProjekcji,$E1091&gt;0),AND($C1091=LataProjekcji,$E1091=0,$D1092&lt;=10)),$E1092,IF($C1091&lt;LataProjekcji,IF((SUM($K1093:M1093)+$C1093)&lt;$C1092,$C1093,$C1092-SUM($K1093:M1093)),0)),0)</f>
        <v>0</v>
      </c>
      <c r="O1093" s="247">
        <f ca="1">ROUND(IF(OR(AND($C1091=LataProjekcji,$E1091&gt;0),AND($C1091=LataProjekcji,$E1091=0,$D1092&lt;=10)),$E1092,IF($C1091&lt;LataProjekcji,IF((SUM($K1093:N1093)+$C1093)&lt;$C1092,$C1093,$C1092-SUM($K1093:N1093)),0)),0)</f>
        <v>0</v>
      </c>
      <c r="P1093" s="247">
        <f ca="1">ROUND(IF(OR(AND($C1091=LataProjekcji,$E1091&gt;0),AND($C1091=LataProjekcji,$E1091=0,$D1092&lt;=10)),$E1092,IF($C1091&lt;LataProjekcji,IF((SUM($K1093:O1093)+$C1093)&lt;$C1092,$C1093,$C1092-SUM($K1093:O1093)),0)),0)</f>
        <v>0</v>
      </c>
      <c r="Q1093" s="247">
        <f ca="1">ROUND(IF(OR(AND($C1091=LataProjekcji,$E1091&gt;0),AND($C1091=LataProjekcji,$E1091=0,$D1092&lt;=10)),$E1092,IF($C1091&lt;LataProjekcji,IF((SUM($K1093:P1093)+$C1093)&lt;$C1092,$C1093,$C1092-SUM($K1093:P1093)),0)),0)</f>
        <v>0</v>
      </c>
      <c r="R1093" s="247">
        <f ca="1">ROUND(IF(OR(AND($C1091=LataProjekcji,$E1091&gt;0),AND($C1091=LataProjekcji,$E1091=0,$D1092&lt;=10)),$E1092,IF($C1091&lt;LataProjekcji,IF((SUM($K1093:Q1093)+$C1093)&lt;$C1092,$C1093,$C1092-SUM($K1093:Q1093)),0)),0)</f>
        <v>0</v>
      </c>
      <c r="S1093" s="247">
        <f ca="1">ROUND(IF(OR(AND($C1091=LataProjekcji,$E1091&gt;0),AND($C1091=LataProjekcji,$E1091=0,$D1092&lt;=10)),$E1092,IF($C1091&lt;LataProjekcji,IF((SUM($K1093:R1093)+$C1093)&lt;$C1092,$C1093,$C1092-SUM($K1093:R1093)),0)),0)</f>
        <v>0</v>
      </c>
      <c r="T1093" s="247">
        <f ca="1">ROUND(IF(OR(AND($C1091=LataProjekcji,$E1091&gt;0),AND($C1091=LataProjekcji,$E1091=0,$D1092&lt;=10)),$E1092,IF($C1091&lt;LataProjekcji,IF((SUM($K1093:S1093)+$C1093)&lt;$C1092,$C1093,$C1092-SUM($K1093:S1093)),0)),0)</f>
        <v>0</v>
      </c>
      <c r="U1093" s="247">
        <f ca="1">ROUND(IF(OR(AND($C1091=LataProjekcji,$E1091&gt;0),AND($C1091=LataProjekcji,$E1091=0,$D1092&lt;=10)),$E1092,IF($C1091&lt;LataProjekcji,IF((SUM($K1093:T1093)+$C1093)&lt;$C1092,$C1093,$C1092-SUM($K1093:T1093)),0)),0)</f>
        <v>0</v>
      </c>
      <c r="V1093" s="247">
        <f ca="1">ROUND(IF(OR(AND($C1091=LataProjekcji,$E1091&gt;0),AND($C1091=LataProjekcji,$E1091=0,$D1092&lt;=10)),$E1092,IF($C1091&lt;LataProjekcji,IF((SUM($K1093:U1093)+$C1093)&lt;$C1092,$C1093,$C1092-SUM($K1093:U1093)),0)),0)</f>
        <v>0</v>
      </c>
      <c r="W1093" s="247">
        <f ca="1">ROUND(IF(OR(AND($C1091=LataProjekcji,$E1091&gt;0),AND($C1091=LataProjekcji,$E1091=0,$D1092&lt;=10)),$E1092,IF($C1091&lt;LataProjekcji,IF((SUM($K1093:V1093)+$C1093)&lt;$C1092,$C1093,$C1092-SUM($K1093:V1093)),0)),0)</f>
        <v>0</v>
      </c>
      <c r="X1093" s="247">
        <f ca="1">ROUND(IF(OR(AND($C1091=LataProjekcji,$E1091&gt;0),AND($C1091=LataProjekcji,$E1091=0,$D1092&lt;=10)),$E1092,IF($C1091&lt;LataProjekcji,IF((SUM($K1093:W1093)+$C1093)&lt;$C1092,$C1093,$C1092-SUM($K1093:W1093)),0)),0)</f>
        <v>0</v>
      </c>
    </row>
    <row r="1094" spans="1:24" hidden="1">
      <c r="A1094" s="258"/>
      <c r="B1094" s="21" t="s">
        <v>416</v>
      </c>
      <c r="C1094" s="22"/>
      <c r="D1094" s="21"/>
      <c r="E1094" s="21"/>
      <c r="F1094" s="21"/>
      <c r="G1094" s="21"/>
      <c r="I1094" s="21"/>
      <c r="J1094" s="21"/>
      <c r="K1094" s="22">
        <f ca="1">ROUND(K1093,0)</f>
        <v>0</v>
      </c>
      <c r="L1094" s="22">
        <f t="shared" ref="L1094:X1094" ca="1" si="487">ROUND(K1094+L1093,0)</f>
        <v>0</v>
      </c>
      <c r="M1094" s="22">
        <f t="shared" ca="1" si="487"/>
        <v>0</v>
      </c>
      <c r="N1094" s="22">
        <f t="shared" ca="1" si="487"/>
        <v>0</v>
      </c>
      <c r="O1094" s="22">
        <f t="shared" ca="1" si="487"/>
        <v>0</v>
      </c>
      <c r="P1094" s="22">
        <f t="shared" ca="1" si="487"/>
        <v>0</v>
      </c>
      <c r="Q1094" s="22">
        <f t="shared" ca="1" si="487"/>
        <v>0</v>
      </c>
      <c r="R1094" s="22">
        <f t="shared" ca="1" si="487"/>
        <v>0</v>
      </c>
      <c r="S1094" s="22">
        <f t="shared" ca="1" si="487"/>
        <v>0</v>
      </c>
      <c r="T1094" s="22">
        <f t="shared" ca="1" si="487"/>
        <v>0</v>
      </c>
      <c r="U1094" s="22">
        <f t="shared" ca="1" si="487"/>
        <v>0</v>
      </c>
      <c r="V1094" s="22">
        <f t="shared" ca="1" si="487"/>
        <v>0</v>
      </c>
      <c r="W1094" s="22">
        <f t="shared" ca="1" si="487"/>
        <v>0</v>
      </c>
      <c r="X1094" s="22">
        <f t="shared" ca="1" si="487"/>
        <v>0</v>
      </c>
    </row>
    <row r="1095" spans="1:24" hidden="1">
      <c r="A1095" s="258"/>
      <c r="B1095" s="21" t="s">
        <v>406</v>
      </c>
      <c r="C1095" s="22"/>
      <c r="D1095" s="21"/>
      <c r="E1095" s="21"/>
      <c r="F1095" s="21"/>
      <c r="G1095" s="21"/>
      <c r="I1095" s="21"/>
      <c r="J1095" s="21"/>
      <c r="K1095" s="76">
        <f t="shared" ref="K1095:X1095" ca="1" si="488">IF($C1091=LataProjekcji,ROUND($C1092-K1094,0),ROUND(IF(K1093=0,0,$C1092-K1094),0))</f>
        <v>0</v>
      </c>
      <c r="L1095" s="76">
        <f t="shared" ca="1" si="488"/>
        <v>0</v>
      </c>
      <c r="M1095" s="76">
        <f t="shared" ca="1" si="488"/>
        <v>0</v>
      </c>
      <c r="N1095" s="76">
        <f t="shared" ca="1" si="488"/>
        <v>0</v>
      </c>
      <c r="O1095" s="76">
        <f t="shared" ca="1" si="488"/>
        <v>0</v>
      </c>
      <c r="P1095" s="76">
        <f t="shared" ca="1" si="488"/>
        <v>0</v>
      </c>
      <c r="Q1095" s="76">
        <f t="shared" ca="1" si="488"/>
        <v>0</v>
      </c>
      <c r="R1095" s="76">
        <f t="shared" ca="1" si="488"/>
        <v>0</v>
      </c>
      <c r="S1095" s="76">
        <f t="shared" ca="1" si="488"/>
        <v>0</v>
      </c>
      <c r="T1095" s="76">
        <f t="shared" ca="1" si="488"/>
        <v>0</v>
      </c>
      <c r="U1095" s="76">
        <f t="shared" ca="1" si="488"/>
        <v>0</v>
      </c>
      <c r="V1095" s="76">
        <f t="shared" ca="1" si="488"/>
        <v>0</v>
      </c>
      <c r="W1095" s="76">
        <f t="shared" ca="1" si="488"/>
        <v>0</v>
      </c>
      <c r="X1095" s="76">
        <f t="shared" ca="1" si="488"/>
        <v>0</v>
      </c>
    </row>
    <row r="1096" spans="1:24" hidden="1">
      <c r="A1096" s="258"/>
      <c r="B1096" s="20"/>
      <c r="C1096" s="21"/>
      <c r="D1096" s="21"/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0" t="s">
        <v>392</v>
      </c>
      <c r="C1097" s="21">
        <f>C1090+1</f>
        <v>150</v>
      </c>
      <c r="D1097" s="473">
        <f>D1090+1</f>
        <v>387</v>
      </c>
      <c r="E1097" s="21"/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414</v>
      </c>
      <c r="C1098" s="164">
        <f ca="1">IFERROR(YEAR(OFFSET($D$28,C1097,0)),0)</f>
        <v>0</v>
      </c>
      <c r="D1098" s="164">
        <f ca="1">IFERROR(MONTH(OFFSET($D$28,C1097,0)),0)</f>
        <v>0</v>
      </c>
      <c r="E1098" s="21">
        <f ca="1">12-$D1098</f>
        <v>12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406</v>
      </c>
      <c r="C1099" s="244">
        <f ca="1">IF(OFFSET($F$28,C1097,0)&lt;0,0,OFFSET($F$28,C1097,0))</f>
        <v>0</v>
      </c>
      <c r="D1099" s="22" t="str">
        <f ca="1">OFFSET($C$28,C1097,0)</f>
        <v/>
      </c>
      <c r="E1099" s="22">
        <f ca="1">IF(D1099&gt;10,ROUND(($C1100/12)*$E1098,0),$C1099)</f>
        <v>0</v>
      </c>
      <c r="F1099" s="21"/>
      <c r="G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258"/>
      <c r="B1100" s="21" t="s">
        <v>415</v>
      </c>
      <c r="C1100" s="244">
        <f ca="1">IF(ISBLANK(OFFSET($D$28,C1097,0)),0,IF(OFFSET($C$28,C1097,0)&gt;10,ROUND(C1099*am_transport,0),IF(C1099&lt;0,0,C1099)))</f>
        <v>0</v>
      </c>
      <c r="D1100" s="21"/>
      <c r="E1100" s="21"/>
      <c r="F1100" s="21"/>
      <c r="G1100" s="21"/>
      <c r="I1100" s="21"/>
      <c r="J1100" s="473" cm="1">
        <f t="array" aca="1" ref="J1100" ca="1">OFFSET('Środki trwałe'!$C$195,'Rozliczenie dotacji'!D1097,,)</f>
        <v>0</v>
      </c>
      <c r="K1100" s="74">
        <f ca="1">ROUND(IF($C1098=LataProjekcji,$E1099,IF($C1098=LataProjekcji,$C1100,0)),0)</f>
        <v>0</v>
      </c>
      <c r="L1100" s="247">
        <f ca="1">ROUND(IF(OR(AND($C1098=LataProjekcji,$E1098&gt;0),AND($C1098=LataProjekcji,$E1098=0,$D1099&lt;=10)),$E1099,IF($C1098&lt;LataProjekcji,IF((SUM($K1100:K1100)+$C1100)&lt;$C1099,$C1100,$C1099-SUM($K1100:K1100)),0)),0)</f>
        <v>0</v>
      </c>
      <c r="M1100" s="247">
        <f ca="1">ROUND(IF(OR(AND($C1098=LataProjekcji,$E1098&gt;0),AND($C1098=LataProjekcji,$E1098=0,$D1099&lt;=10)),$E1099,IF($C1098&lt;LataProjekcji,IF((SUM($K1100:L1100)+$C1100)&lt;$C1099,$C1100,$C1099-SUM($K1100:L1100)),0)),0)</f>
        <v>0</v>
      </c>
      <c r="N1100" s="247">
        <f ca="1">ROUND(IF(OR(AND($C1098=LataProjekcji,$E1098&gt;0),AND($C1098=LataProjekcji,$E1098=0,$D1099&lt;=10)),$E1099,IF($C1098&lt;LataProjekcji,IF((SUM($K1100:M1100)+$C1100)&lt;$C1099,$C1100,$C1099-SUM($K1100:M1100)),0)),0)</f>
        <v>0</v>
      </c>
      <c r="O1100" s="247">
        <f ca="1">ROUND(IF(OR(AND($C1098=LataProjekcji,$E1098&gt;0),AND($C1098=LataProjekcji,$E1098=0,$D1099&lt;=10)),$E1099,IF($C1098&lt;LataProjekcji,IF((SUM($K1100:N1100)+$C1100)&lt;$C1099,$C1100,$C1099-SUM($K1100:N1100)),0)),0)</f>
        <v>0</v>
      </c>
      <c r="P1100" s="247">
        <f ca="1">ROUND(IF(OR(AND($C1098=LataProjekcji,$E1098&gt;0),AND($C1098=LataProjekcji,$E1098=0,$D1099&lt;=10)),$E1099,IF($C1098&lt;LataProjekcji,IF((SUM($K1100:O1100)+$C1100)&lt;$C1099,$C1100,$C1099-SUM($K1100:O1100)),0)),0)</f>
        <v>0</v>
      </c>
      <c r="Q1100" s="247">
        <f ca="1">ROUND(IF(OR(AND($C1098=LataProjekcji,$E1098&gt;0),AND($C1098=LataProjekcji,$E1098=0,$D1099&lt;=10)),$E1099,IF($C1098&lt;LataProjekcji,IF((SUM($K1100:P1100)+$C1100)&lt;$C1099,$C1100,$C1099-SUM($K1100:P1100)),0)),0)</f>
        <v>0</v>
      </c>
      <c r="R1100" s="247">
        <f ca="1">ROUND(IF(OR(AND($C1098=LataProjekcji,$E1098&gt;0),AND($C1098=LataProjekcji,$E1098=0,$D1099&lt;=10)),$E1099,IF($C1098&lt;LataProjekcji,IF((SUM($K1100:Q1100)+$C1100)&lt;$C1099,$C1100,$C1099-SUM($K1100:Q1100)),0)),0)</f>
        <v>0</v>
      </c>
      <c r="S1100" s="247">
        <f ca="1">ROUND(IF(OR(AND($C1098=LataProjekcji,$E1098&gt;0),AND($C1098=LataProjekcji,$E1098=0,$D1099&lt;=10)),$E1099,IF($C1098&lt;LataProjekcji,IF((SUM($K1100:R1100)+$C1100)&lt;$C1099,$C1100,$C1099-SUM($K1100:R1100)),0)),0)</f>
        <v>0</v>
      </c>
      <c r="T1100" s="247">
        <f ca="1">ROUND(IF(OR(AND($C1098=LataProjekcji,$E1098&gt;0),AND($C1098=LataProjekcji,$E1098=0,$D1099&lt;=10)),$E1099,IF($C1098&lt;LataProjekcji,IF((SUM($K1100:S1100)+$C1100)&lt;$C1099,$C1100,$C1099-SUM($K1100:S1100)),0)),0)</f>
        <v>0</v>
      </c>
      <c r="U1100" s="247">
        <f ca="1">ROUND(IF(OR(AND($C1098=LataProjekcji,$E1098&gt;0),AND($C1098=LataProjekcji,$E1098=0,$D1099&lt;=10)),$E1099,IF($C1098&lt;LataProjekcji,IF((SUM($K1100:T1100)+$C1100)&lt;$C1099,$C1100,$C1099-SUM($K1100:T1100)),0)),0)</f>
        <v>0</v>
      </c>
      <c r="V1100" s="247">
        <f ca="1">ROUND(IF(OR(AND($C1098=LataProjekcji,$E1098&gt;0),AND($C1098=LataProjekcji,$E1098=0,$D1099&lt;=10)),$E1099,IF($C1098&lt;LataProjekcji,IF((SUM($K1100:U1100)+$C1100)&lt;$C1099,$C1100,$C1099-SUM($K1100:U1100)),0)),0)</f>
        <v>0</v>
      </c>
      <c r="W1100" s="247">
        <f ca="1">ROUND(IF(OR(AND($C1098=LataProjekcji,$E1098&gt;0),AND($C1098=LataProjekcji,$E1098=0,$D1099&lt;=10)),$E1099,IF($C1098&lt;LataProjekcji,IF((SUM($K1100:V1100)+$C1100)&lt;$C1099,$C1100,$C1099-SUM($K1100:V1100)),0)),0)</f>
        <v>0</v>
      </c>
      <c r="X1100" s="247">
        <f ca="1">ROUND(IF(OR(AND($C1098=LataProjekcji,$E1098&gt;0),AND($C1098=LataProjekcji,$E1098=0,$D1099&lt;=10)),$E1099,IF($C1098&lt;LataProjekcji,IF((SUM($K1100:W1100)+$C1100)&lt;$C1099,$C1100,$C1099-SUM($K1100:W1100)),0)),0)</f>
        <v>0</v>
      </c>
    </row>
    <row r="1101" spans="1:24" hidden="1">
      <c r="A1101" s="258"/>
      <c r="B1101" s="21" t="s">
        <v>416</v>
      </c>
      <c r="C1101" s="22"/>
      <c r="D1101" s="21"/>
      <c r="E1101" s="21"/>
      <c r="F1101" s="21"/>
      <c r="G1101" s="21"/>
      <c r="I1101" s="21"/>
      <c r="J1101" s="21"/>
      <c r="K1101" s="22">
        <f ca="1">ROUND(K1100,0)</f>
        <v>0</v>
      </c>
      <c r="L1101" s="22">
        <f t="shared" ref="L1101:X1101" ca="1" si="489">ROUND(K1101+L1100,0)</f>
        <v>0</v>
      </c>
      <c r="M1101" s="22">
        <f t="shared" ca="1" si="489"/>
        <v>0</v>
      </c>
      <c r="N1101" s="22">
        <f t="shared" ca="1" si="489"/>
        <v>0</v>
      </c>
      <c r="O1101" s="22">
        <f t="shared" ca="1" si="489"/>
        <v>0</v>
      </c>
      <c r="P1101" s="22">
        <f t="shared" ca="1" si="489"/>
        <v>0</v>
      </c>
      <c r="Q1101" s="22">
        <f t="shared" ca="1" si="489"/>
        <v>0</v>
      </c>
      <c r="R1101" s="22">
        <f t="shared" ca="1" si="489"/>
        <v>0</v>
      </c>
      <c r="S1101" s="22">
        <f t="shared" ca="1" si="489"/>
        <v>0</v>
      </c>
      <c r="T1101" s="22">
        <f t="shared" ca="1" si="489"/>
        <v>0</v>
      </c>
      <c r="U1101" s="22">
        <f t="shared" ca="1" si="489"/>
        <v>0</v>
      </c>
      <c r="V1101" s="22">
        <f t="shared" ca="1" si="489"/>
        <v>0</v>
      </c>
      <c r="W1101" s="22">
        <f t="shared" ca="1" si="489"/>
        <v>0</v>
      </c>
      <c r="X1101" s="22">
        <f t="shared" ca="1" si="489"/>
        <v>0</v>
      </c>
    </row>
    <row r="1102" spans="1:24" hidden="1">
      <c r="A1102" s="258"/>
      <c r="B1102" s="21" t="s">
        <v>406</v>
      </c>
      <c r="C1102" s="22"/>
      <c r="D1102" s="21"/>
      <c r="E1102" s="21"/>
      <c r="F1102" s="21"/>
      <c r="G1102" s="21"/>
      <c r="I1102" s="21"/>
      <c r="J1102" s="21"/>
      <c r="K1102" s="76">
        <f t="shared" ref="K1102:X1102" ca="1" si="490">IF($C1098=LataProjekcji,ROUND($C1099-K1101,0),ROUND(IF(K1100=0,0,$C1099-K1101),0))</f>
        <v>0</v>
      </c>
      <c r="L1102" s="76">
        <f t="shared" ca="1" si="490"/>
        <v>0</v>
      </c>
      <c r="M1102" s="76">
        <f t="shared" ca="1" si="490"/>
        <v>0</v>
      </c>
      <c r="N1102" s="76">
        <f t="shared" ca="1" si="490"/>
        <v>0</v>
      </c>
      <c r="O1102" s="76">
        <f t="shared" ca="1" si="490"/>
        <v>0</v>
      </c>
      <c r="P1102" s="76">
        <f t="shared" ca="1" si="490"/>
        <v>0</v>
      </c>
      <c r="Q1102" s="76">
        <f t="shared" ca="1" si="490"/>
        <v>0</v>
      </c>
      <c r="R1102" s="76">
        <f t="shared" ca="1" si="490"/>
        <v>0</v>
      </c>
      <c r="S1102" s="76">
        <f t="shared" ca="1" si="490"/>
        <v>0</v>
      </c>
      <c r="T1102" s="76">
        <f t="shared" ca="1" si="490"/>
        <v>0</v>
      </c>
      <c r="U1102" s="76">
        <f t="shared" ca="1" si="490"/>
        <v>0</v>
      </c>
      <c r="V1102" s="76">
        <f t="shared" ca="1" si="490"/>
        <v>0</v>
      </c>
      <c r="W1102" s="76">
        <f t="shared" ca="1" si="490"/>
        <v>0</v>
      </c>
      <c r="X1102" s="76">
        <f t="shared" ca="1" si="490"/>
        <v>0</v>
      </c>
    </row>
    <row r="1103" spans="1:24" hidden="1">
      <c r="A1103" s="258"/>
      <c r="B1103" s="21"/>
      <c r="C1103" s="22"/>
      <c r="D1103" s="21"/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0" t="s">
        <v>392</v>
      </c>
      <c r="C1104" s="21">
        <f>C1097+1</f>
        <v>151</v>
      </c>
      <c r="D1104" s="473">
        <f>D1097+1</f>
        <v>388</v>
      </c>
      <c r="E1104" s="21"/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414</v>
      </c>
      <c r="C1105" s="164">
        <f ca="1">IFERROR(YEAR(OFFSET($D$28,C1104,0)),0)</f>
        <v>0</v>
      </c>
      <c r="D1105" s="164">
        <f ca="1">IFERROR(MONTH(OFFSET($D$28,C1104,0)),0)</f>
        <v>0</v>
      </c>
      <c r="E1105" s="21">
        <f ca="1">12-$D1105</f>
        <v>12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406</v>
      </c>
      <c r="C1106" s="244">
        <f ca="1">IF(OFFSET($F$28,C1104,0)&lt;0,0,OFFSET($F$28,C1104,0))</f>
        <v>0</v>
      </c>
      <c r="D1106" s="22" t="str">
        <f ca="1">OFFSET($C$28,C1104,0)</f>
        <v/>
      </c>
      <c r="E1106" s="22">
        <f ca="1">IF(D1106&gt;10,ROUND(($C1107/12)*$E1105,0),$C1106)</f>
        <v>0</v>
      </c>
      <c r="F1106" s="21"/>
      <c r="G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258"/>
      <c r="B1107" s="21" t="s">
        <v>415</v>
      </c>
      <c r="C1107" s="244">
        <f ca="1">IF(ISBLANK(OFFSET($D$28,C1104,0)),0,IF(OFFSET($C$28,C1104,0)&gt;10,ROUND(C1106*am_transport,0),IF(C1106&lt;0,0,C1106)))</f>
        <v>0</v>
      </c>
      <c r="D1107" s="21"/>
      <c r="E1107" s="21"/>
      <c r="F1107" s="21"/>
      <c r="G1107" s="21"/>
      <c r="I1107" s="21"/>
      <c r="J1107" s="473" cm="1">
        <f t="array" aca="1" ref="J1107" ca="1">OFFSET('Środki trwałe'!$C$195,'Rozliczenie dotacji'!D1104,,)</f>
        <v>0</v>
      </c>
      <c r="K1107" s="74">
        <f ca="1">ROUND(IF($C1105=LataProjekcji,$E1106,IF($C1105=LataProjekcji,$C1107,0)),0)</f>
        <v>0</v>
      </c>
      <c r="L1107" s="247">
        <f ca="1">ROUND(IF(OR(AND($C1105=LataProjekcji,$E1105&gt;0),AND($C1105=LataProjekcji,$E1105=0,$D1106&lt;=10)),$E1106,IF($C1105&lt;LataProjekcji,IF((SUM($K1107:K1107)+$C1107)&lt;$C1106,$C1107,$C1106-SUM($K1107:K1107)),0)),0)</f>
        <v>0</v>
      </c>
      <c r="M1107" s="247">
        <f ca="1">ROUND(IF(OR(AND($C1105=LataProjekcji,$E1105&gt;0),AND($C1105=LataProjekcji,$E1105=0,$D1106&lt;=10)),$E1106,IF($C1105&lt;LataProjekcji,IF((SUM($K1107:L1107)+$C1107)&lt;$C1106,$C1107,$C1106-SUM($K1107:L1107)),0)),0)</f>
        <v>0</v>
      </c>
      <c r="N1107" s="247">
        <f ca="1">ROUND(IF(OR(AND($C1105=LataProjekcji,$E1105&gt;0),AND($C1105=LataProjekcji,$E1105=0,$D1106&lt;=10)),$E1106,IF($C1105&lt;LataProjekcji,IF((SUM($K1107:M1107)+$C1107)&lt;$C1106,$C1107,$C1106-SUM($K1107:M1107)),0)),0)</f>
        <v>0</v>
      </c>
      <c r="O1107" s="247">
        <f ca="1">ROUND(IF(OR(AND($C1105=LataProjekcji,$E1105&gt;0),AND($C1105=LataProjekcji,$E1105=0,$D1106&lt;=10)),$E1106,IF($C1105&lt;LataProjekcji,IF((SUM($K1107:N1107)+$C1107)&lt;$C1106,$C1107,$C1106-SUM($K1107:N1107)),0)),0)</f>
        <v>0</v>
      </c>
      <c r="P1107" s="247">
        <f ca="1">ROUND(IF(OR(AND($C1105=LataProjekcji,$E1105&gt;0),AND($C1105=LataProjekcji,$E1105=0,$D1106&lt;=10)),$E1106,IF($C1105&lt;LataProjekcji,IF((SUM($K1107:O1107)+$C1107)&lt;$C1106,$C1107,$C1106-SUM($K1107:O1107)),0)),0)</f>
        <v>0</v>
      </c>
      <c r="Q1107" s="247">
        <f ca="1">ROUND(IF(OR(AND($C1105=LataProjekcji,$E1105&gt;0),AND($C1105=LataProjekcji,$E1105=0,$D1106&lt;=10)),$E1106,IF($C1105&lt;LataProjekcji,IF((SUM($K1107:P1107)+$C1107)&lt;$C1106,$C1107,$C1106-SUM($K1107:P1107)),0)),0)</f>
        <v>0</v>
      </c>
      <c r="R1107" s="247">
        <f ca="1">ROUND(IF(OR(AND($C1105=LataProjekcji,$E1105&gt;0),AND($C1105=LataProjekcji,$E1105=0,$D1106&lt;=10)),$E1106,IF($C1105&lt;LataProjekcji,IF((SUM($K1107:Q1107)+$C1107)&lt;$C1106,$C1107,$C1106-SUM($K1107:Q1107)),0)),0)</f>
        <v>0</v>
      </c>
      <c r="S1107" s="247">
        <f ca="1">ROUND(IF(OR(AND($C1105=LataProjekcji,$E1105&gt;0),AND($C1105=LataProjekcji,$E1105=0,$D1106&lt;=10)),$E1106,IF($C1105&lt;LataProjekcji,IF((SUM($K1107:R1107)+$C1107)&lt;$C1106,$C1107,$C1106-SUM($K1107:R1107)),0)),0)</f>
        <v>0</v>
      </c>
      <c r="T1107" s="247">
        <f ca="1">ROUND(IF(OR(AND($C1105=LataProjekcji,$E1105&gt;0),AND($C1105=LataProjekcji,$E1105=0,$D1106&lt;=10)),$E1106,IF($C1105&lt;LataProjekcji,IF((SUM($K1107:S1107)+$C1107)&lt;$C1106,$C1107,$C1106-SUM($K1107:S1107)),0)),0)</f>
        <v>0</v>
      </c>
      <c r="U1107" s="247">
        <f ca="1">ROUND(IF(OR(AND($C1105=LataProjekcji,$E1105&gt;0),AND($C1105=LataProjekcji,$E1105=0,$D1106&lt;=10)),$E1106,IF($C1105&lt;LataProjekcji,IF((SUM($K1107:T1107)+$C1107)&lt;$C1106,$C1107,$C1106-SUM($K1107:T1107)),0)),0)</f>
        <v>0</v>
      </c>
      <c r="V1107" s="247">
        <f ca="1">ROUND(IF(OR(AND($C1105=LataProjekcji,$E1105&gt;0),AND($C1105=LataProjekcji,$E1105=0,$D1106&lt;=10)),$E1106,IF($C1105&lt;LataProjekcji,IF((SUM($K1107:U1107)+$C1107)&lt;$C1106,$C1107,$C1106-SUM($K1107:U1107)),0)),0)</f>
        <v>0</v>
      </c>
      <c r="W1107" s="247">
        <f ca="1">ROUND(IF(OR(AND($C1105=LataProjekcji,$E1105&gt;0),AND($C1105=LataProjekcji,$E1105=0,$D1106&lt;=10)),$E1106,IF($C1105&lt;LataProjekcji,IF((SUM($K1107:V1107)+$C1107)&lt;$C1106,$C1107,$C1106-SUM($K1107:V1107)),0)),0)</f>
        <v>0</v>
      </c>
      <c r="X1107" s="247">
        <f ca="1">ROUND(IF(OR(AND($C1105=LataProjekcji,$E1105&gt;0),AND($C1105=LataProjekcji,$E1105=0,$D1106&lt;=10)),$E1106,IF($C1105&lt;LataProjekcji,IF((SUM($K1107:W1107)+$C1107)&lt;$C1106,$C1107,$C1106-SUM($K1107:W1107)),0)),0)</f>
        <v>0</v>
      </c>
    </row>
    <row r="1108" spans="1:24" hidden="1">
      <c r="A1108" s="258"/>
      <c r="B1108" s="21" t="s">
        <v>416</v>
      </c>
      <c r="C1108" s="22"/>
      <c r="D1108" s="21"/>
      <c r="E1108" s="21"/>
      <c r="F1108" s="21"/>
      <c r="G1108" s="21"/>
      <c r="I1108" s="21"/>
      <c r="J1108" s="21"/>
      <c r="K1108" s="22">
        <f ca="1">ROUND(K1107,0)</f>
        <v>0</v>
      </c>
      <c r="L1108" s="22">
        <f t="shared" ref="L1108:X1108" ca="1" si="491">ROUND(K1108+L1107,0)</f>
        <v>0</v>
      </c>
      <c r="M1108" s="22">
        <f t="shared" ca="1" si="491"/>
        <v>0</v>
      </c>
      <c r="N1108" s="22">
        <f t="shared" ca="1" si="491"/>
        <v>0</v>
      </c>
      <c r="O1108" s="22">
        <f t="shared" ca="1" si="491"/>
        <v>0</v>
      </c>
      <c r="P1108" s="22">
        <f t="shared" ca="1" si="491"/>
        <v>0</v>
      </c>
      <c r="Q1108" s="22">
        <f t="shared" ca="1" si="491"/>
        <v>0</v>
      </c>
      <c r="R1108" s="22">
        <f t="shared" ca="1" si="491"/>
        <v>0</v>
      </c>
      <c r="S1108" s="22">
        <f t="shared" ca="1" si="491"/>
        <v>0</v>
      </c>
      <c r="T1108" s="22">
        <f t="shared" ca="1" si="491"/>
        <v>0</v>
      </c>
      <c r="U1108" s="22">
        <f t="shared" ca="1" si="491"/>
        <v>0</v>
      </c>
      <c r="V1108" s="22">
        <f t="shared" ca="1" si="491"/>
        <v>0</v>
      </c>
      <c r="W1108" s="22">
        <f t="shared" ca="1" si="491"/>
        <v>0</v>
      </c>
      <c r="X1108" s="22">
        <f t="shared" ca="1" si="491"/>
        <v>0</v>
      </c>
    </row>
    <row r="1109" spans="1:24" hidden="1">
      <c r="A1109" s="258"/>
      <c r="B1109" s="21" t="s">
        <v>406</v>
      </c>
      <c r="C1109" s="22"/>
      <c r="D1109" s="21"/>
      <c r="E1109" s="21"/>
      <c r="F1109" s="21"/>
      <c r="G1109" s="21"/>
      <c r="I1109" s="21"/>
      <c r="J1109" s="21"/>
      <c r="K1109" s="76">
        <f t="shared" ref="K1109:X1109" ca="1" si="492">IF($C1105=LataProjekcji,ROUND($C1106-K1108,0),ROUND(IF(K1107=0,0,$C1106-K1108),0))</f>
        <v>0</v>
      </c>
      <c r="L1109" s="76">
        <f t="shared" ca="1" si="492"/>
        <v>0</v>
      </c>
      <c r="M1109" s="76">
        <f t="shared" ca="1" si="492"/>
        <v>0</v>
      </c>
      <c r="N1109" s="76">
        <f t="shared" ca="1" si="492"/>
        <v>0</v>
      </c>
      <c r="O1109" s="76">
        <f t="shared" ca="1" si="492"/>
        <v>0</v>
      </c>
      <c r="P1109" s="76">
        <f t="shared" ca="1" si="492"/>
        <v>0</v>
      </c>
      <c r="Q1109" s="76">
        <f t="shared" ca="1" si="492"/>
        <v>0</v>
      </c>
      <c r="R1109" s="76">
        <f t="shared" ca="1" si="492"/>
        <v>0</v>
      </c>
      <c r="S1109" s="76">
        <f t="shared" ca="1" si="492"/>
        <v>0</v>
      </c>
      <c r="T1109" s="76">
        <f t="shared" ca="1" si="492"/>
        <v>0</v>
      </c>
      <c r="U1109" s="76">
        <f t="shared" ca="1" si="492"/>
        <v>0</v>
      </c>
      <c r="V1109" s="76">
        <f t="shared" ca="1" si="492"/>
        <v>0</v>
      </c>
      <c r="W1109" s="76">
        <f t="shared" ca="1" si="492"/>
        <v>0</v>
      </c>
      <c r="X1109" s="76">
        <f t="shared" ca="1" si="492"/>
        <v>0</v>
      </c>
    </row>
    <row r="1113" spans="1:24" ht="12.5" hidden="1" thickBot="1"/>
    <row r="1114" spans="1:24" ht="12.5" hidden="1" thickBot="1">
      <c r="A1114" s="258"/>
      <c r="B1114" s="20" t="s">
        <v>393</v>
      </c>
      <c r="C1114" s="249">
        <v>160</v>
      </c>
      <c r="D1114" s="472">
        <v>421</v>
      </c>
      <c r="E1114" s="21" t="s">
        <v>411</v>
      </c>
      <c r="F1114" s="48"/>
      <c r="G1114" s="50" t="s">
        <v>412</v>
      </c>
      <c r="H1114" s="320"/>
      <c r="I1114" s="21" t="s">
        <v>413</v>
      </c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</row>
    <row r="1115" spans="1:24" hidden="1">
      <c r="A1115" s="258"/>
      <c r="B1115" s="21" t="s">
        <v>414</v>
      </c>
      <c r="C1115" s="164">
        <f ca="1">IFERROR(YEAR(OFFSET($D$28,C1114,0)),0)</f>
        <v>0</v>
      </c>
      <c r="D1115" s="164">
        <f ca="1">IFERROR(MONTH(OFFSET($D$28,C1114,0)),0)</f>
        <v>0</v>
      </c>
      <c r="E1115" s="21">
        <f ca="1">12-$D1115</f>
        <v>12</v>
      </c>
      <c r="F1115" s="49"/>
      <c r="G1115" s="51">
        <f>C198-F1115</f>
        <v>0</v>
      </c>
      <c r="H1115" s="321"/>
      <c r="I1115" s="22">
        <f>C198-F1115-G1115</f>
        <v>0</v>
      </c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</row>
    <row r="1116" spans="1:24" hidden="1">
      <c r="A1116" s="258"/>
      <c r="B1116" s="21" t="s">
        <v>406</v>
      </c>
      <c r="C1116" s="244">
        <f ca="1">IF(OFFSET($F$28,C1114,0)&lt;0,0,OFFSET($F$28,C1114,0))</f>
        <v>0</v>
      </c>
      <c r="D1116" s="22" t="str">
        <f ca="1">OFFSET($C$28,C1114,0)</f>
        <v/>
      </c>
      <c r="E1116" s="22">
        <f ca="1">IF(D1116&gt;10,ROUND(($C1117/12)*$E1115,0),$C1116)</f>
        <v>0</v>
      </c>
      <c r="F1116" s="21" t="s">
        <v>426</v>
      </c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1" t="s">
        <v>415</v>
      </c>
      <c r="C1117" s="244">
        <f ca="1">IF(ISBLANK(OFFSET($D$28,C1114,0)),0,IF(OFFSET($C$28,C1114,0)&gt;10,ROUND(C1116*am_inneST,0),IF(C1116&lt;0,0,C1116)))</f>
        <v>0</v>
      </c>
      <c r="D1117" s="21"/>
      <c r="E1117" s="21"/>
      <c r="F1117" s="21"/>
      <c r="G1117" s="21"/>
      <c r="I1117" s="21"/>
      <c r="J1117" s="473" cm="1">
        <f t="array" aca="1" ref="J1117" ca="1">OFFSET('Środki trwałe'!$C$195,'Rozliczenie dotacji'!D1114,,)</f>
        <v>0</v>
      </c>
      <c r="K1117" s="74">
        <f ca="1">ROUND(IF($C1115=LataProjekcji,$E1116,IF($C1115=LataProjekcji,$C1117,0)),0)</f>
        <v>0</v>
      </c>
      <c r="L1117" s="247">
        <f ca="1">ROUND(IF(OR(AND($C1115=LataProjekcji,$E1115&gt;0),AND($C1115=LataProjekcji,$E1115=0,$D1116&lt;=10)),$E1116,IF($C1115&lt;LataProjekcji,IF((SUM($K1117:K1117)+$C1117)&lt;$C1116,$C1117,$C1116-SUM($K1117:K1117)),0)),0)</f>
        <v>0</v>
      </c>
      <c r="M1117" s="247">
        <f ca="1">ROUND(IF(OR(AND($C1115=LataProjekcji,$E1115&gt;0),AND($C1115=LataProjekcji,$E1115=0,$D1116&lt;=10)),$E1116,IF($C1115&lt;LataProjekcji,IF((SUM($K1117:L1117)+$C1117)&lt;$C1116,$C1117,$C1116-SUM($K1117:L1117)),0)),0)</f>
        <v>0</v>
      </c>
      <c r="N1117" s="247">
        <f ca="1">ROUND(IF(OR(AND($C1115=LataProjekcji,$E1115&gt;0),AND($C1115=LataProjekcji,$E1115=0,$D1116&lt;=10)),$E1116,IF($C1115&lt;LataProjekcji,IF((SUM($K1117:M1117)+$C1117)&lt;$C1116,$C1117,$C1116-SUM($K1117:M1117)),0)),0)</f>
        <v>0</v>
      </c>
      <c r="O1117" s="247">
        <f ca="1">ROUND(IF(OR(AND($C1115=LataProjekcji,$E1115&gt;0),AND($C1115=LataProjekcji,$E1115=0,$D1116&lt;=10)),$E1116,IF($C1115&lt;LataProjekcji,IF((SUM($K1117:N1117)+$C1117)&lt;$C1116,$C1117,$C1116-SUM($K1117:N1117)),0)),0)</f>
        <v>0</v>
      </c>
      <c r="P1117" s="247">
        <f ca="1">ROUND(IF(OR(AND($C1115=LataProjekcji,$E1115&gt;0),AND($C1115=LataProjekcji,$E1115=0,$D1116&lt;=10)),$E1116,IF($C1115&lt;LataProjekcji,IF((SUM($K1117:O1117)+$C1117)&lt;$C1116,$C1117,$C1116-SUM($K1117:O1117)),0)),0)</f>
        <v>0</v>
      </c>
      <c r="Q1117" s="247">
        <f ca="1">ROUND(IF(OR(AND($C1115=LataProjekcji,$E1115&gt;0),AND($C1115=LataProjekcji,$E1115=0,$D1116&lt;=10)),$E1116,IF($C1115&lt;LataProjekcji,IF((SUM($K1117:P1117)+$C1117)&lt;$C1116,$C1117,$C1116-SUM($K1117:P1117)),0)),0)</f>
        <v>0</v>
      </c>
      <c r="R1117" s="247">
        <f ca="1">ROUND(IF(OR(AND($C1115=LataProjekcji,$E1115&gt;0),AND($C1115=LataProjekcji,$E1115=0,$D1116&lt;=10)),$E1116,IF($C1115&lt;LataProjekcji,IF((SUM($K1117:Q1117)+$C1117)&lt;$C1116,$C1117,$C1116-SUM($K1117:Q1117)),0)),0)</f>
        <v>0</v>
      </c>
      <c r="S1117" s="247">
        <f ca="1">ROUND(IF(OR(AND($C1115=LataProjekcji,$E1115&gt;0),AND($C1115=LataProjekcji,$E1115=0,$D1116&lt;=10)),$E1116,IF($C1115&lt;LataProjekcji,IF((SUM($K1117:R1117)+$C1117)&lt;$C1116,$C1117,$C1116-SUM($K1117:R1117)),0)),0)</f>
        <v>0</v>
      </c>
      <c r="T1117" s="247">
        <f ca="1">ROUND(IF(OR(AND($C1115=LataProjekcji,$E1115&gt;0),AND($C1115=LataProjekcji,$E1115=0,$D1116&lt;=10)),$E1116,IF($C1115&lt;LataProjekcji,IF((SUM($K1117:S1117)+$C1117)&lt;$C1116,$C1117,$C1116-SUM($K1117:S1117)),0)),0)</f>
        <v>0</v>
      </c>
      <c r="U1117" s="247">
        <f ca="1">ROUND(IF(OR(AND($C1115=LataProjekcji,$E1115&gt;0),AND($C1115=LataProjekcji,$E1115=0,$D1116&lt;=10)),$E1116,IF($C1115&lt;LataProjekcji,IF((SUM($K1117:T1117)+$C1117)&lt;$C1116,$C1117,$C1116-SUM($K1117:T1117)),0)),0)</f>
        <v>0</v>
      </c>
      <c r="V1117" s="247">
        <f ca="1">ROUND(IF(OR(AND($C1115=LataProjekcji,$E1115&gt;0),AND($C1115=LataProjekcji,$E1115=0,$D1116&lt;=10)),$E1116,IF($C1115&lt;LataProjekcji,IF((SUM($K1117:U1117)+$C1117)&lt;$C1116,$C1117,$C1116-SUM($K1117:U1117)),0)),0)</f>
        <v>0</v>
      </c>
      <c r="W1117" s="247">
        <f ca="1">ROUND(IF(OR(AND($C1115=LataProjekcji,$E1115&gt;0),AND($C1115=LataProjekcji,$E1115=0,$D1116&lt;=10)),$E1116,IF($C1115&lt;LataProjekcji,IF((SUM($K1117:V1117)+$C1117)&lt;$C1116,$C1117,$C1116-SUM($K1117:V1117)),0)),0)</f>
        <v>0</v>
      </c>
      <c r="X1117" s="247">
        <f ca="1">ROUND(IF(OR(AND($C1115=LataProjekcji,$E1115&gt;0),AND($C1115=LataProjekcji,$E1115=0,$D1116&lt;=10)),$E1116,IF($C1115&lt;LataProjekcji,IF((SUM($K1117:W1117)+$C1117)&lt;$C1116,$C1117,$C1116-SUM($K1117:W1117)),0)),0)</f>
        <v>0</v>
      </c>
    </row>
    <row r="1118" spans="1:24" hidden="1">
      <c r="A1118" s="258"/>
      <c r="B1118" s="21" t="s">
        <v>416</v>
      </c>
      <c r="C1118" s="22"/>
      <c r="D1118" s="21"/>
      <c r="E1118" s="21"/>
      <c r="F1118" s="21"/>
      <c r="G1118" s="21"/>
      <c r="I1118" s="21"/>
      <c r="J1118" s="21"/>
      <c r="K1118" s="22">
        <f ca="1">ROUND(K1117,0)</f>
        <v>0</v>
      </c>
      <c r="L1118" s="22">
        <f t="shared" ref="L1118:X1118" ca="1" si="493">ROUND(K1118+L1117,0)</f>
        <v>0</v>
      </c>
      <c r="M1118" s="22">
        <f t="shared" ca="1" si="493"/>
        <v>0</v>
      </c>
      <c r="N1118" s="22">
        <f t="shared" ca="1" si="493"/>
        <v>0</v>
      </c>
      <c r="O1118" s="22">
        <f t="shared" ca="1" si="493"/>
        <v>0</v>
      </c>
      <c r="P1118" s="22">
        <f t="shared" ca="1" si="493"/>
        <v>0</v>
      </c>
      <c r="Q1118" s="22">
        <f t="shared" ca="1" si="493"/>
        <v>0</v>
      </c>
      <c r="R1118" s="22">
        <f t="shared" ca="1" si="493"/>
        <v>0</v>
      </c>
      <c r="S1118" s="22">
        <f t="shared" ca="1" si="493"/>
        <v>0</v>
      </c>
      <c r="T1118" s="22">
        <f t="shared" ca="1" si="493"/>
        <v>0</v>
      </c>
      <c r="U1118" s="22">
        <f t="shared" ca="1" si="493"/>
        <v>0</v>
      </c>
      <c r="V1118" s="22">
        <f t="shared" ca="1" si="493"/>
        <v>0</v>
      </c>
      <c r="W1118" s="22">
        <f t="shared" ca="1" si="493"/>
        <v>0</v>
      </c>
      <c r="X1118" s="22">
        <f t="shared" ca="1" si="493"/>
        <v>0</v>
      </c>
    </row>
    <row r="1119" spans="1:24" hidden="1">
      <c r="A1119" s="258"/>
      <c r="B1119" s="21" t="s">
        <v>406</v>
      </c>
      <c r="C1119" s="22"/>
      <c r="D1119" s="21"/>
      <c r="E1119" s="21"/>
      <c r="F1119" s="21"/>
      <c r="G1119" s="21"/>
      <c r="I1119" s="21"/>
      <c r="J1119" s="21"/>
      <c r="K1119" s="76">
        <f t="shared" ref="K1119:X1119" ca="1" si="494">IF($C1115=LataProjekcji,ROUND($C1116-K1118,0),ROUND(IF(K1117=0,0,$C1116-K1118),0))</f>
        <v>0</v>
      </c>
      <c r="L1119" s="76">
        <f t="shared" ca="1" si="494"/>
        <v>0</v>
      </c>
      <c r="M1119" s="76">
        <f t="shared" ca="1" si="494"/>
        <v>0</v>
      </c>
      <c r="N1119" s="76">
        <f t="shared" ca="1" si="494"/>
        <v>0</v>
      </c>
      <c r="O1119" s="76">
        <f t="shared" ca="1" si="494"/>
        <v>0</v>
      </c>
      <c r="P1119" s="76">
        <f t="shared" ca="1" si="494"/>
        <v>0</v>
      </c>
      <c r="Q1119" s="76">
        <f t="shared" ca="1" si="494"/>
        <v>0</v>
      </c>
      <c r="R1119" s="76">
        <f t="shared" ca="1" si="494"/>
        <v>0</v>
      </c>
      <c r="S1119" s="76">
        <f t="shared" ca="1" si="494"/>
        <v>0</v>
      </c>
      <c r="T1119" s="76">
        <f t="shared" ca="1" si="494"/>
        <v>0</v>
      </c>
      <c r="U1119" s="76">
        <f t="shared" ca="1" si="494"/>
        <v>0</v>
      </c>
      <c r="V1119" s="76">
        <f t="shared" ca="1" si="494"/>
        <v>0</v>
      </c>
      <c r="W1119" s="76">
        <f t="shared" ca="1" si="494"/>
        <v>0</v>
      </c>
      <c r="X1119" s="76">
        <f t="shared" ca="1" si="494"/>
        <v>0</v>
      </c>
    </row>
    <row r="1120" spans="1:24" hidden="1">
      <c r="A1120" s="258"/>
      <c r="B1120" s="21"/>
      <c r="C1120" s="22"/>
      <c r="D1120" s="21"/>
      <c r="E1120" s="21"/>
      <c r="F1120" s="21"/>
      <c r="G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</row>
    <row r="1121" spans="1:24" hidden="1">
      <c r="A1121" s="258"/>
      <c r="B1121" s="20" t="s">
        <v>393</v>
      </c>
      <c r="C1121" s="21">
        <f>C1114+1</f>
        <v>161</v>
      </c>
      <c r="D1121" s="473">
        <f>D1114+1</f>
        <v>422</v>
      </c>
      <c r="E1121" s="21"/>
      <c r="F1121" s="21"/>
      <c r="G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</row>
    <row r="1122" spans="1:24" hidden="1">
      <c r="A1122" s="258"/>
      <c r="B1122" s="21" t="s">
        <v>414</v>
      </c>
      <c r="C1122" s="164">
        <f ca="1">IFERROR(YEAR(OFFSET($D$28,C1121,0)),0)</f>
        <v>0</v>
      </c>
      <c r="D1122" s="164">
        <f ca="1">IFERROR(MONTH(OFFSET($D$28,C1121,0)),0)</f>
        <v>0</v>
      </c>
      <c r="E1122" s="21">
        <f ca="1">12-$D1122</f>
        <v>12</v>
      </c>
      <c r="F1122" s="21"/>
      <c r="G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</row>
    <row r="1123" spans="1:24" hidden="1">
      <c r="A1123" s="258"/>
      <c r="B1123" s="21" t="s">
        <v>406</v>
      </c>
      <c r="C1123" s="244">
        <f ca="1">IF(OFFSET($F$28,C1121,0)&lt;0,0,OFFSET($F$28,C1121,0))</f>
        <v>0</v>
      </c>
      <c r="D1123" s="22" t="str">
        <f ca="1">OFFSET($C$28,C1121,0)</f>
        <v/>
      </c>
      <c r="E1123" s="22">
        <f ca="1">IF(D1123&gt;10,ROUND(($C1124/12)*$E1122,0),$C1123)</f>
        <v>0</v>
      </c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1" t="s">
        <v>415</v>
      </c>
      <c r="C1124" s="244">
        <f ca="1">IF(ISBLANK(OFFSET($D$28,C1121,0)),0,IF(OFFSET($C$28,C1121,0)&gt;10,ROUND(C1123*am_inneST,0),IF(C1123&lt;0,0,C1123)))</f>
        <v>0</v>
      </c>
      <c r="D1124" s="21"/>
      <c r="E1124" s="21"/>
      <c r="F1124" s="21"/>
      <c r="G1124" s="21"/>
      <c r="I1124" s="21"/>
      <c r="J1124" s="473" cm="1">
        <f t="array" aca="1" ref="J1124" ca="1">OFFSET('Środki trwałe'!$C$195,'Rozliczenie dotacji'!D1121,,)</f>
        <v>0</v>
      </c>
      <c r="K1124" s="74">
        <f ca="1">ROUND(IF($C1122=LataProjekcji,$E1123,IF($C1122=LataProjekcji,$C1124,0)),0)</f>
        <v>0</v>
      </c>
      <c r="L1124" s="247">
        <f ca="1">ROUND(IF(OR(AND($C1122=LataProjekcji,$E1122&gt;0),AND($C1122=LataProjekcji,$E1122=0,$D1123&lt;=10)),$E1123,IF($C1122&lt;LataProjekcji,IF((SUM($K1124:K1124)+$C1124)&lt;$C1123,$C1124,$C1123-SUM($K1124:K1124)),0)),0)</f>
        <v>0</v>
      </c>
      <c r="M1124" s="247">
        <f ca="1">ROUND(IF(OR(AND($C1122=LataProjekcji,$E1122&gt;0),AND($C1122=LataProjekcji,$E1122=0,$D1123&lt;=10)),$E1123,IF($C1122&lt;LataProjekcji,IF((SUM($K1124:L1124)+$C1124)&lt;$C1123,$C1124,$C1123-SUM($K1124:L1124)),0)),0)</f>
        <v>0</v>
      </c>
      <c r="N1124" s="247">
        <f ca="1">ROUND(IF(OR(AND($C1122=LataProjekcji,$E1122&gt;0),AND($C1122=LataProjekcji,$E1122=0,$D1123&lt;=10)),$E1123,IF($C1122&lt;LataProjekcji,IF((SUM($K1124:M1124)+$C1124)&lt;$C1123,$C1124,$C1123-SUM($K1124:M1124)),0)),0)</f>
        <v>0</v>
      </c>
      <c r="O1124" s="247">
        <f ca="1">ROUND(IF(OR(AND($C1122=LataProjekcji,$E1122&gt;0),AND($C1122=LataProjekcji,$E1122=0,$D1123&lt;=10)),$E1123,IF($C1122&lt;LataProjekcji,IF((SUM($K1124:N1124)+$C1124)&lt;$C1123,$C1124,$C1123-SUM($K1124:N1124)),0)),0)</f>
        <v>0</v>
      </c>
      <c r="P1124" s="247">
        <f ca="1">ROUND(IF(OR(AND($C1122=LataProjekcji,$E1122&gt;0),AND($C1122=LataProjekcji,$E1122=0,$D1123&lt;=10)),$E1123,IF($C1122&lt;LataProjekcji,IF((SUM($K1124:O1124)+$C1124)&lt;$C1123,$C1124,$C1123-SUM($K1124:O1124)),0)),0)</f>
        <v>0</v>
      </c>
      <c r="Q1124" s="247">
        <f ca="1">ROUND(IF(OR(AND($C1122=LataProjekcji,$E1122&gt;0),AND($C1122=LataProjekcji,$E1122=0,$D1123&lt;=10)),$E1123,IF($C1122&lt;LataProjekcji,IF((SUM($K1124:P1124)+$C1124)&lt;$C1123,$C1124,$C1123-SUM($K1124:P1124)),0)),0)</f>
        <v>0</v>
      </c>
      <c r="R1124" s="247">
        <f ca="1">ROUND(IF(OR(AND($C1122=LataProjekcji,$E1122&gt;0),AND($C1122=LataProjekcji,$E1122=0,$D1123&lt;=10)),$E1123,IF($C1122&lt;LataProjekcji,IF((SUM($K1124:Q1124)+$C1124)&lt;$C1123,$C1124,$C1123-SUM($K1124:Q1124)),0)),0)</f>
        <v>0</v>
      </c>
      <c r="S1124" s="247">
        <f ca="1">ROUND(IF(OR(AND($C1122=LataProjekcji,$E1122&gt;0),AND($C1122=LataProjekcji,$E1122=0,$D1123&lt;=10)),$E1123,IF($C1122&lt;LataProjekcji,IF((SUM($K1124:R1124)+$C1124)&lt;$C1123,$C1124,$C1123-SUM($K1124:R1124)),0)),0)</f>
        <v>0</v>
      </c>
      <c r="T1124" s="247">
        <f ca="1">ROUND(IF(OR(AND($C1122=LataProjekcji,$E1122&gt;0),AND($C1122=LataProjekcji,$E1122=0,$D1123&lt;=10)),$E1123,IF($C1122&lt;LataProjekcji,IF((SUM($K1124:S1124)+$C1124)&lt;$C1123,$C1124,$C1123-SUM($K1124:S1124)),0)),0)</f>
        <v>0</v>
      </c>
      <c r="U1124" s="247">
        <f ca="1">ROUND(IF(OR(AND($C1122=LataProjekcji,$E1122&gt;0),AND($C1122=LataProjekcji,$E1122=0,$D1123&lt;=10)),$E1123,IF($C1122&lt;LataProjekcji,IF((SUM($K1124:T1124)+$C1124)&lt;$C1123,$C1124,$C1123-SUM($K1124:T1124)),0)),0)</f>
        <v>0</v>
      </c>
      <c r="V1124" s="247">
        <f ca="1">ROUND(IF(OR(AND($C1122=LataProjekcji,$E1122&gt;0),AND($C1122=LataProjekcji,$E1122=0,$D1123&lt;=10)),$E1123,IF($C1122&lt;LataProjekcji,IF((SUM($K1124:U1124)+$C1124)&lt;$C1123,$C1124,$C1123-SUM($K1124:U1124)),0)),0)</f>
        <v>0</v>
      </c>
      <c r="W1124" s="247">
        <f ca="1">ROUND(IF(OR(AND($C1122=LataProjekcji,$E1122&gt;0),AND($C1122=LataProjekcji,$E1122=0,$D1123&lt;=10)),$E1123,IF($C1122&lt;LataProjekcji,IF((SUM($K1124:V1124)+$C1124)&lt;$C1123,$C1124,$C1123-SUM($K1124:V1124)),0)),0)</f>
        <v>0</v>
      </c>
      <c r="X1124" s="247">
        <f ca="1">ROUND(IF(OR(AND($C1122=LataProjekcji,$E1122&gt;0),AND($C1122=LataProjekcji,$E1122=0,$D1123&lt;=10)),$E1123,IF($C1122&lt;LataProjekcji,IF((SUM($K1124:W1124)+$C1124)&lt;$C1123,$C1124,$C1123-SUM($K1124:W1124)),0)),0)</f>
        <v>0</v>
      </c>
    </row>
    <row r="1125" spans="1:24" hidden="1">
      <c r="A1125" s="258"/>
      <c r="B1125" s="21" t="s">
        <v>416</v>
      </c>
      <c r="C1125" s="22"/>
      <c r="D1125" s="21"/>
      <c r="E1125" s="21"/>
      <c r="F1125" s="21"/>
      <c r="G1125" s="21"/>
      <c r="I1125" s="21"/>
      <c r="J1125" s="21"/>
      <c r="K1125" s="22">
        <f ca="1">ROUND(K1124,0)</f>
        <v>0</v>
      </c>
      <c r="L1125" s="22">
        <f t="shared" ref="L1125:X1125" ca="1" si="495">ROUND(K1125+L1124,0)</f>
        <v>0</v>
      </c>
      <c r="M1125" s="22">
        <f t="shared" ca="1" si="495"/>
        <v>0</v>
      </c>
      <c r="N1125" s="22">
        <f t="shared" ca="1" si="495"/>
        <v>0</v>
      </c>
      <c r="O1125" s="22">
        <f t="shared" ca="1" si="495"/>
        <v>0</v>
      </c>
      <c r="P1125" s="22">
        <f t="shared" ca="1" si="495"/>
        <v>0</v>
      </c>
      <c r="Q1125" s="22">
        <f t="shared" ca="1" si="495"/>
        <v>0</v>
      </c>
      <c r="R1125" s="22">
        <f t="shared" ca="1" si="495"/>
        <v>0</v>
      </c>
      <c r="S1125" s="22">
        <f t="shared" ca="1" si="495"/>
        <v>0</v>
      </c>
      <c r="T1125" s="22">
        <f t="shared" ca="1" si="495"/>
        <v>0</v>
      </c>
      <c r="U1125" s="22">
        <f t="shared" ca="1" si="495"/>
        <v>0</v>
      </c>
      <c r="V1125" s="22">
        <f t="shared" ca="1" si="495"/>
        <v>0</v>
      </c>
      <c r="W1125" s="22">
        <f t="shared" ca="1" si="495"/>
        <v>0</v>
      </c>
      <c r="X1125" s="22">
        <f t="shared" ca="1" si="495"/>
        <v>0</v>
      </c>
    </row>
    <row r="1126" spans="1:24" hidden="1">
      <c r="A1126" s="258"/>
      <c r="B1126" s="21" t="s">
        <v>406</v>
      </c>
      <c r="C1126" s="22"/>
      <c r="D1126" s="21"/>
      <c r="E1126" s="21"/>
      <c r="F1126" s="21"/>
      <c r="G1126" s="21"/>
      <c r="I1126" s="21"/>
      <c r="J1126" s="21"/>
      <c r="K1126" s="76">
        <f t="shared" ref="K1126:X1126" ca="1" si="496">IF($C1122=LataProjekcji,ROUND($C1123-K1125,0),ROUND(IF(K1124=0,0,$C1123-K1125),0))</f>
        <v>0</v>
      </c>
      <c r="L1126" s="76">
        <f t="shared" ca="1" si="496"/>
        <v>0</v>
      </c>
      <c r="M1126" s="76">
        <f t="shared" ca="1" si="496"/>
        <v>0</v>
      </c>
      <c r="N1126" s="76">
        <f t="shared" ca="1" si="496"/>
        <v>0</v>
      </c>
      <c r="O1126" s="76">
        <f t="shared" ca="1" si="496"/>
        <v>0</v>
      </c>
      <c r="P1126" s="76">
        <f t="shared" ca="1" si="496"/>
        <v>0</v>
      </c>
      <c r="Q1126" s="76">
        <f t="shared" ca="1" si="496"/>
        <v>0</v>
      </c>
      <c r="R1126" s="76">
        <f t="shared" ca="1" si="496"/>
        <v>0</v>
      </c>
      <c r="S1126" s="76">
        <f t="shared" ca="1" si="496"/>
        <v>0</v>
      </c>
      <c r="T1126" s="76">
        <f t="shared" ca="1" si="496"/>
        <v>0</v>
      </c>
      <c r="U1126" s="76">
        <f t="shared" ca="1" si="496"/>
        <v>0</v>
      </c>
      <c r="V1126" s="76">
        <f t="shared" ca="1" si="496"/>
        <v>0</v>
      </c>
      <c r="W1126" s="76">
        <f t="shared" ca="1" si="496"/>
        <v>0</v>
      </c>
      <c r="X1126" s="76">
        <f t="shared" ca="1" si="496"/>
        <v>0</v>
      </c>
    </row>
    <row r="1127" spans="1:24" hidden="1">
      <c r="A1127" s="258"/>
      <c r="B1127" s="20"/>
      <c r="C1127" s="21"/>
      <c r="D1127" s="21"/>
      <c r="E1127" s="21"/>
      <c r="F1127" s="21"/>
      <c r="G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</row>
    <row r="1128" spans="1:24" hidden="1">
      <c r="A1128" s="258"/>
      <c r="B1128" s="20" t="s">
        <v>393</v>
      </c>
      <c r="C1128" s="21">
        <f>C1121+1</f>
        <v>162</v>
      </c>
      <c r="D1128" s="473">
        <f>D1121+1</f>
        <v>423</v>
      </c>
      <c r="E1128" s="21"/>
      <c r="F1128" s="21"/>
      <c r="G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</row>
    <row r="1129" spans="1:24" hidden="1">
      <c r="A1129" s="258"/>
      <c r="B1129" s="21" t="s">
        <v>414</v>
      </c>
      <c r="C1129" s="164">
        <f ca="1">IFERROR(YEAR(OFFSET($D$28,C1128,0)),0)</f>
        <v>0</v>
      </c>
      <c r="D1129" s="164">
        <f ca="1">IFERROR(MONTH(OFFSET($D$28,C1128,0)),0)</f>
        <v>0</v>
      </c>
      <c r="E1129" s="21">
        <f ca="1">12-$D1129</f>
        <v>12</v>
      </c>
      <c r="F1129" s="21"/>
      <c r="G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</row>
    <row r="1130" spans="1:24" hidden="1">
      <c r="A1130" s="258"/>
      <c r="B1130" s="21" t="s">
        <v>406</v>
      </c>
      <c r="C1130" s="244">
        <f ca="1">IF(OFFSET($F$28,C1128,0)&lt;0,0,OFFSET($F$28,C1128,0))</f>
        <v>0</v>
      </c>
      <c r="D1130" s="22" t="str">
        <f ca="1">OFFSET($C$28,C1128,0)</f>
        <v/>
      </c>
      <c r="E1130" s="22">
        <f ca="1">IF(D1130&gt;10,ROUND(($C1131/12)*$E1129,0),$C1130)</f>
        <v>0</v>
      </c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1" t="s">
        <v>415</v>
      </c>
      <c r="C1131" s="244">
        <f ca="1">IF(ISBLANK(OFFSET($D$28,C1128,0)),0,IF(OFFSET($C$28,C1128,0)&gt;10,ROUND(C1130*am_inneST,0),IF(C1130&lt;0,0,C1130)))</f>
        <v>0</v>
      </c>
      <c r="D1131" s="21"/>
      <c r="E1131" s="21"/>
      <c r="F1131" s="21"/>
      <c r="G1131" s="21"/>
      <c r="I1131" s="21"/>
      <c r="J1131" s="473" cm="1">
        <f t="array" aca="1" ref="J1131" ca="1">OFFSET('Środki trwałe'!$C$195,'Rozliczenie dotacji'!D1128,,)</f>
        <v>0</v>
      </c>
      <c r="K1131" s="74">
        <f ca="1">ROUND(IF($C1129=LataProjekcji,$E1130,IF($C1129=LataProjekcji,$C1131,0)),0)</f>
        <v>0</v>
      </c>
      <c r="L1131" s="247">
        <f ca="1">ROUND(IF(OR(AND($C1129=LataProjekcji,$E1129&gt;0),AND($C1129=LataProjekcji,$E1129=0,$D1130&lt;=10)),$E1130,IF($C1129&lt;LataProjekcji,IF((SUM($K1131:K1131)+$C1131)&lt;$C1130,$C1131,$C1130-SUM($K1131:K1131)),0)),0)</f>
        <v>0</v>
      </c>
      <c r="M1131" s="247">
        <f ca="1">ROUND(IF(OR(AND($C1129=LataProjekcji,$E1129&gt;0),AND($C1129=LataProjekcji,$E1129=0,$D1130&lt;=10)),$E1130,IF($C1129&lt;LataProjekcji,IF((SUM($K1131:L1131)+$C1131)&lt;$C1130,$C1131,$C1130-SUM($K1131:L1131)),0)),0)</f>
        <v>0</v>
      </c>
      <c r="N1131" s="247">
        <f ca="1">ROUND(IF(OR(AND($C1129=LataProjekcji,$E1129&gt;0),AND($C1129=LataProjekcji,$E1129=0,$D1130&lt;=10)),$E1130,IF($C1129&lt;LataProjekcji,IF((SUM($K1131:M1131)+$C1131)&lt;$C1130,$C1131,$C1130-SUM($K1131:M1131)),0)),0)</f>
        <v>0</v>
      </c>
      <c r="O1131" s="247">
        <f ca="1">ROUND(IF(OR(AND($C1129=LataProjekcji,$E1129&gt;0),AND($C1129=LataProjekcji,$E1129=0,$D1130&lt;=10)),$E1130,IF($C1129&lt;LataProjekcji,IF((SUM($K1131:N1131)+$C1131)&lt;$C1130,$C1131,$C1130-SUM($K1131:N1131)),0)),0)</f>
        <v>0</v>
      </c>
      <c r="P1131" s="247">
        <f ca="1">ROUND(IF(OR(AND($C1129=LataProjekcji,$E1129&gt;0),AND($C1129=LataProjekcji,$E1129=0,$D1130&lt;=10)),$E1130,IF($C1129&lt;LataProjekcji,IF((SUM($K1131:O1131)+$C1131)&lt;$C1130,$C1131,$C1130-SUM($K1131:O1131)),0)),0)</f>
        <v>0</v>
      </c>
      <c r="Q1131" s="247">
        <f ca="1">ROUND(IF(OR(AND($C1129=LataProjekcji,$E1129&gt;0),AND($C1129=LataProjekcji,$E1129=0,$D1130&lt;=10)),$E1130,IF($C1129&lt;LataProjekcji,IF((SUM($K1131:P1131)+$C1131)&lt;$C1130,$C1131,$C1130-SUM($K1131:P1131)),0)),0)</f>
        <v>0</v>
      </c>
      <c r="R1131" s="247">
        <f ca="1">ROUND(IF(OR(AND($C1129=LataProjekcji,$E1129&gt;0),AND($C1129=LataProjekcji,$E1129=0,$D1130&lt;=10)),$E1130,IF($C1129&lt;LataProjekcji,IF((SUM($K1131:Q1131)+$C1131)&lt;$C1130,$C1131,$C1130-SUM($K1131:Q1131)),0)),0)</f>
        <v>0</v>
      </c>
      <c r="S1131" s="247">
        <f ca="1">ROUND(IF(OR(AND($C1129=LataProjekcji,$E1129&gt;0),AND($C1129=LataProjekcji,$E1129=0,$D1130&lt;=10)),$E1130,IF($C1129&lt;LataProjekcji,IF((SUM($K1131:R1131)+$C1131)&lt;$C1130,$C1131,$C1130-SUM($K1131:R1131)),0)),0)</f>
        <v>0</v>
      </c>
      <c r="T1131" s="247">
        <f ca="1">ROUND(IF(OR(AND($C1129=LataProjekcji,$E1129&gt;0),AND($C1129=LataProjekcji,$E1129=0,$D1130&lt;=10)),$E1130,IF($C1129&lt;LataProjekcji,IF((SUM($K1131:S1131)+$C1131)&lt;$C1130,$C1131,$C1130-SUM($K1131:S1131)),0)),0)</f>
        <v>0</v>
      </c>
      <c r="U1131" s="247">
        <f ca="1">ROUND(IF(OR(AND($C1129=LataProjekcji,$E1129&gt;0),AND($C1129=LataProjekcji,$E1129=0,$D1130&lt;=10)),$E1130,IF($C1129&lt;LataProjekcji,IF((SUM($K1131:T1131)+$C1131)&lt;$C1130,$C1131,$C1130-SUM($K1131:T1131)),0)),0)</f>
        <v>0</v>
      </c>
      <c r="V1131" s="247">
        <f ca="1">ROUND(IF(OR(AND($C1129=LataProjekcji,$E1129&gt;0),AND($C1129=LataProjekcji,$E1129=0,$D1130&lt;=10)),$E1130,IF($C1129&lt;LataProjekcji,IF((SUM($K1131:U1131)+$C1131)&lt;$C1130,$C1131,$C1130-SUM($K1131:U1131)),0)),0)</f>
        <v>0</v>
      </c>
      <c r="W1131" s="247">
        <f ca="1">ROUND(IF(OR(AND($C1129=LataProjekcji,$E1129&gt;0),AND($C1129=LataProjekcji,$E1129=0,$D1130&lt;=10)),$E1130,IF($C1129&lt;LataProjekcji,IF((SUM($K1131:V1131)+$C1131)&lt;$C1130,$C1131,$C1130-SUM($K1131:V1131)),0)),0)</f>
        <v>0</v>
      </c>
      <c r="X1131" s="247">
        <f ca="1">ROUND(IF(OR(AND($C1129=LataProjekcji,$E1129&gt;0),AND($C1129=LataProjekcji,$E1129=0,$D1130&lt;=10)),$E1130,IF($C1129&lt;LataProjekcji,IF((SUM($K1131:W1131)+$C1131)&lt;$C1130,$C1131,$C1130-SUM($K1131:W1131)),0)),0)</f>
        <v>0</v>
      </c>
    </row>
    <row r="1132" spans="1:24" hidden="1">
      <c r="A1132" s="258"/>
      <c r="B1132" s="21" t="s">
        <v>416</v>
      </c>
      <c r="C1132" s="22"/>
      <c r="D1132" s="21"/>
      <c r="E1132" s="21"/>
      <c r="F1132" s="21"/>
      <c r="G1132" s="21"/>
      <c r="I1132" s="21"/>
      <c r="J1132" s="21"/>
      <c r="K1132" s="22">
        <f ca="1">ROUND(K1131,0)</f>
        <v>0</v>
      </c>
      <c r="L1132" s="22">
        <f t="shared" ref="L1132:X1132" ca="1" si="497">ROUND(K1132+L1131,0)</f>
        <v>0</v>
      </c>
      <c r="M1132" s="22">
        <f t="shared" ca="1" si="497"/>
        <v>0</v>
      </c>
      <c r="N1132" s="22">
        <f t="shared" ca="1" si="497"/>
        <v>0</v>
      </c>
      <c r="O1132" s="22">
        <f t="shared" ca="1" si="497"/>
        <v>0</v>
      </c>
      <c r="P1132" s="22">
        <f t="shared" ca="1" si="497"/>
        <v>0</v>
      </c>
      <c r="Q1132" s="22">
        <f t="shared" ca="1" si="497"/>
        <v>0</v>
      </c>
      <c r="R1132" s="22">
        <f t="shared" ca="1" si="497"/>
        <v>0</v>
      </c>
      <c r="S1132" s="22">
        <f t="shared" ca="1" si="497"/>
        <v>0</v>
      </c>
      <c r="T1132" s="22">
        <f t="shared" ca="1" si="497"/>
        <v>0</v>
      </c>
      <c r="U1132" s="22">
        <f t="shared" ca="1" si="497"/>
        <v>0</v>
      </c>
      <c r="V1132" s="22">
        <f t="shared" ca="1" si="497"/>
        <v>0</v>
      </c>
      <c r="W1132" s="22">
        <f t="shared" ca="1" si="497"/>
        <v>0</v>
      </c>
      <c r="X1132" s="22">
        <f t="shared" ca="1" si="497"/>
        <v>0</v>
      </c>
    </row>
    <row r="1133" spans="1:24" hidden="1">
      <c r="A1133" s="258"/>
      <c r="B1133" s="21" t="s">
        <v>406</v>
      </c>
      <c r="C1133" s="22"/>
      <c r="D1133" s="21"/>
      <c r="E1133" s="21"/>
      <c r="F1133" s="21"/>
      <c r="G1133" s="21"/>
      <c r="I1133" s="21"/>
      <c r="J1133" s="21"/>
      <c r="K1133" s="76">
        <f t="shared" ref="K1133:X1133" ca="1" si="498">IF($C1129=LataProjekcji,ROUND($C1130-K1132,0),ROUND(IF(K1131=0,0,$C1130-K1132),0))</f>
        <v>0</v>
      </c>
      <c r="L1133" s="76">
        <f t="shared" ca="1" si="498"/>
        <v>0</v>
      </c>
      <c r="M1133" s="76">
        <f t="shared" ca="1" si="498"/>
        <v>0</v>
      </c>
      <c r="N1133" s="76">
        <f t="shared" ca="1" si="498"/>
        <v>0</v>
      </c>
      <c r="O1133" s="76">
        <f t="shared" ca="1" si="498"/>
        <v>0</v>
      </c>
      <c r="P1133" s="76">
        <f t="shared" ca="1" si="498"/>
        <v>0</v>
      </c>
      <c r="Q1133" s="76">
        <f t="shared" ca="1" si="498"/>
        <v>0</v>
      </c>
      <c r="R1133" s="76">
        <f t="shared" ca="1" si="498"/>
        <v>0</v>
      </c>
      <c r="S1133" s="76">
        <f t="shared" ca="1" si="498"/>
        <v>0</v>
      </c>
      <c r="T1133" s="76">
        <f t="shared" ca="1" si="498"/>
        <v>0</v>
      </c>
      <c r="U1133" s="76">
        <f t="shared" ca="1" si="498"/>
        <v>0</v>
      </c>
      <c r="V1133" s="76">
        <f t="shared" ca="1" si="498"/>
        <v>0</v>
      </c>
      <c r="W1133" s="76">
        <f t="shared" ca="1" si="498"/>
        <v>0</v>
      </c>
      <c r="X1133" s="76">
        <f t="shared" ca="1" si="498"/>
        <v>0</v>
      </c>
    </row>
    <row r="1134" spans="1:24" hidden="1">
      <c r="A1134" s="258"/>
      <c r="B1134" s="21"/>
      <c r="C1134" s="22"/>
      <c r="D1134" s="21"/>
      <c r="E1134" s="21"/>
      <c r="F1134" s="21"/>
      <c r="G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</row>
    <row r="1135" spans="1:24" hidden="1">
      <c r="A1135" s="258"/>
      <c r="B1135" s="20" t="s">
        <v>393</v>
      </c>
      <c r="C1135" s="21">
        <f>C1128+1</f>
        <v>163</v>
      </c>
      <c r="D1135" s="473">
        <f>D1128+1</f>
        <v>424</v>
      </c>
      <c r="E1135" s="21"/>
      <c r="F1135" s="21"/>
      <c r="G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</row>
    <row r="1136" spans="1:24" hidden="1">
      <c r="A1136" s="258"/>
      <c r="B1136" s="21" t="s">
        <v>414</v>
      </c>
      <c r="C1136" s="164">
        <f ca="1">IFERROR(YEAR(OFFSET($D$28,C1135,0)),0)</f>
        <v>0</v>
      </c>
      <c r="D1136" s="164">
        <f ca="1">IFERROR(MONTH(OFFSET($D$28,C1135,0)),0)</f>
        <v>0</v>
      </c>
      <c r="E1136" s="21">
        <f ca="1">12-$D1136</f>
        <v>12</v>
      </c>
      <c r="F1136" s="21"/>
      <c r="G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</row>
    <row r="1137" spans="1:24" hidden="1">
      <c r="A1137" s="258"/>
      <c r="B1137" s="21" t="s">
        <v>406</v>
      </c>
      <c r="C1137" s="244">
        <f ca="1">IF(OFFSET($F$28,C1135,0)&lt;0,0,OFFSET($F$28,C1135,0))</f>
        <v>0</v>
      </c>
      <c r="D1137" s="22" t="str">
        <f ca="1">OFFSET($C$28,C1135,0)</f>
        <v/>
      </c>
      <c r="E1137" s="22">
        <f ca="1">IF(D1137&gt;10,ROUND(($C1138/12)*$E1136,0),$C1137)</f>
        <v>0</v>
      </c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1" t="s">
        <v>415</v>
      </c>
      <c r="C1138" s="244">
        <f ca="1">IF(ISBLANK(OFFSET($D$28,C1135,0)),0,IF(OFFSET($C$28,C1135,0)&gt;10,ROUND(C1137*am_inneST,0),IF(C1137&lt;0,0,C1137)))</f>
        <v>0</v>
      </c>
      <c r="D1138" s="21"/>
      <c r="E1138" s="21"/>
      <c r="F1138" s="21"/>
      <c r="G1138" s="21"/>
      <c r="I1138" s="21"/>
      <c r="J1138" s="473" cm="1">
        <f t="array" aca="1" ref="J1138" ca="1">OFFSET('Środki trwałe'!$C$195,'Rozliczenie dotacji'!D1135,,)</f>
        <v>0</v>
      </c>
      <c r="K1138" s="74">
        <f ca="1">ROUND(IF($C1136=LataProjekcji,$E1137,IF($C1136=LataProjekcji,$C1138,0)),0)</f>
        <v>0</v>
      </c>
      <c r="L1138" s="247">
        <f ca="1">ROUND(IF(OR(AND($C1136=LataProjekcji,$E1136&gt;0),AND($C1136=LataProjekcji,$E1136=0,$D1137&lt;=10)),$E1137,IF($C1136&lt;LataProjekcji,IF((SUM($K1138:K1138)+$C1138)&lt;$C1137,$C1138,$C1137-SUM($K1138:K1138)),0)),0)</f>
        <v>0</v>
      </c>
      <c r="M1138" s="247">
        <f ca="1">ROUND(IF(OR(AND($C1136=LataProjekcji,$E1136&gt;0),AND($C1136=LataProjekcji,$E1136=0,$D1137&lt;=10)),$E1137,IF($C1136&lt;LataProjekcji,IF((SUM($K1138:L1138)+$C1138)&lt;$C1137,$C1138,$C1137-SUM($K1138:L1138)),0)),0)</f>
        <v>0</v>
      </c>
      <c r="N1138" s="247">
        <f ca="1">ROUND(IF(OR(AND($C1136=LataProjekcji,$E1136&gt;0),AND($C1136=LataProjekcji,$E1136=0,$D1137&lt;=10)),$E1137,IF($C1136&lt;LataProjekcji,IF((SUM($K1138:M1138)+$C1138)&lt;$C1137,$C1138,$C1137-SUM($K1138:M1138)),0)),0)</f>
        <v>0</v>
      </c>
      <c r="O1138" s="247">
        <f ca="1">ROUND(IF(OR(AND($C1136=LataProjekcji,$E1136&gt;0),AND($C1136=LataProjekcji,$E1136=0,$D1137&lt;=10)),$E1137,IF($C1136&lt;LataProjekcji,IF((SUM($K1138:N1138)+$C1138)&lt;$C1137,$C1138,$C1137-SUM($K1138:N1138)),0)),0)</f>
        <v>0</v>
      </c>
      <c r="P1138" s="247">
        <f ca="1">ROUND(IF(OR(AND($C1136=LataProjekcji,$E1136&gt;0),AND($C1136=LataProjekcji,$E1136=0,$D1137&lt;=10)),$E1137,IF($C1136&lt;LataProjekcji,IF((SUM($K1138:O1138)+$C1138)&lt;$C1137,$C1138,$C1137-SUM($K1138:O1138)),0)),0)</f>
        <v>0</v>
      </c>
      <c r="Q1138" s="247">
        <f ca="1">ROUND(IF(OR(AND($C1136=LataProjekcji,$E1136&gt;0),AND($C1136=LataProjekcji,$E1136=0,$D1137&lt;=10)),$E1137,IF($C1136&lt;LataProjekcji,IF((SUM($K1138:P1138)+$C1138)&lt;$C1137,$C1138,$C1137-SUM($K1138:P1138)),0)),0)</f>
        <v>0</v>
      </c>
      <c r="R1138" s="247">
        <f ca="1">ROUND(IF(OR(AND($C1136=LataProjekcji,$E1136&gt;0),AND($C1136=LataProjekcji,$E1136=0,$D1137&lt;=10)),$E1137,IF($C1136&lt;LataProjekcji,IF((SUM($K1138:Q1138)+$C1138)&lt;$C1137,$C1138,$C1137-SUM($K1138:Q1138)),0)),0)</f>
        <v>0</v>
      </c>
      <c r="S1138" s="247">
        <f ca="1">ROUND(IF(OR(AND($C1136=LataProjekcji,$E1136&gt;0),AND($C1136=LataProjekcji,$E1136=0,$D1137&lt;=10)),$E1137,IF($C1136&lt;LataProjekcji,IF((SUM($K1138:R1138)+$C1138)&lt;$C1137,$C1138,$C1137-SUM($K1138:R1138)),0)),0)</f>
        <v>0</v>
      </c>
      <c r="T1138" s="247">
        <f ca="1">ROUND(IF(OR(AND($C1136=LataProjekcji,$E1136&gt;0),AND($C1136=LataProjekcji,$E1136=0,$D1137&lt;=10)),$E1137,IF($C1136&lt;LataProjekcji,IF((SUM($K1138:S1138)+$C1138)&lt;$C1137,$C1138,$C1137-SUM($K1138:S1138)),0)),0)</f>
        <v>0</v>
      </c>
      <c r="U1138" s="247">
        <f ca="1">ROUND(IF(OR(AND($C1136=LataProjekcji,$E1136&gt;0),AND($C1136=LataProjekcji,$E1136=0,$D1137&lt;=10)),$E1137,IF($C1136&lt;LataProjekcji,IF((SUM($K1138:T1138)+$C1138)&lt;$C1137,$C1138,$C1137-SUM($K1138:T1138)),0)),0)</f>
        <v>0</v>
      </c>
      <c r="V1138" s="247">
        <f ca="1">ROUND(IF(OR(AND($C1136=LataProjekcji,$E1136&gt;0),AND($C1136=LataProjekcji,$E1136=0,$D1137&lt;=10)),$E1137,IF($C1136&lt;LataProjekcji,IF((SUM($K1138:U1138)+$C1138)&lt;$C1137,$C1138,$C1137-SUM($K1138:U1138)),0)),0)</f>
        <v>0</v>
      </c>
      <c r="W1138" s="247">
        <f ca="1">ROUND(IF(OR(AND($C1136=LataProjekcji,$E1136&gt;0),AND($C1136=LataProjekcji,$E1136=0,$D1137&lt;=10)),$E1137,IF($C1136&lt;LataProjekcji,IF((SUM($K1138:V1138)+$C1138)&lt;$C1137,$C1138,$C1137-SUM($K1138:V1138)),0)),0)</f>
        <v>0</v>
      </c>
      <c r="X1138" s="247">
        <f ca="1">ROUND(IF(OR(AND($C1136=LataProjekcji,$E1136&gt;0),AND($C1136=LataProjekcji,$E1136=0,$D1137&lt;=10)),$E1137,IF($C1136&lt;LataProjekcji,IF((SUM($K1138:W1138)+$C1138)&lt;$C1137,$C1138,$C1137-SUM($K1138:W1138)),0)),0)</f>
        <v>0</v>
      </c>
    </row>
    <row r="1139" spans="1:24" hidden="1">
      <c r="A1139" s="258"/>
      <c r="B1139" s="21" t="s">
        <v>416</v>
      </c>
      <c r="C1139" s="22"/>
      <c r="D1139" s="21"/>
      <c r="E1139" s="21"/>
      <c r="F1139" s="21"/>
      <c r="G1139" s="21"/>
      <c r="I1139" s="21"/>
      <c r="J1139" s="21"/>
      <c r="K1139" s="22">
        <f ca="1">ROUND(K1138,0)</f>
        <v>0</v>
      </c>
      <c r="L1139" s="22">
        <f t="shared" ref="L1139:X1139" ca="1" si="499">ROUND(K1139+L1138,0)</f>
        <v>0</v>
      </c>
      <c r="M1139" s="22">
        <f t="shared" ca="1" si="499"/>
        <v>0</v>
      </c>
      <c r="N1139" s="22">
        <f t="shared" ca="1" si="499"/>
        <v>0</v>
      </c>
      <c r="O1139" s="22">
        <f t="shared" ca="1" si="499"/>
        <v>0</v>
      </c>
      <c r="P1139" s="22">
        <f t="shared" ca="1" si="499"/>
        <v>0</v>
      </c>
      <c r="Q1139" s="22">
        <f t="shared" ca="1" si="499"/>
        <v>0</v>
      </c>
      <c r="R1139" s="22">
        <f t="shared" ca="1" si="499"/>
        <v>0</v>
      </c>
      <c r="S1139" s="22">
        <f t="shared" ca="1" si="499"/>
        <v>0</v>
      </c>
      <c r="T1139" s="22">
        <f t="shared" ca="1" si="499"/>
        <v>0</v>
      </c>
      <c r="U1139" s="22">
        <f t="shared" ca="1" si="499"/>
        <v>0</v>
      </c>
      <c r="V1139" s="22">
        <f t="shared" ca="1" si="499"/>
        <v>0</v>
      </c>
      <c r="W1139" s="22">
        <f t="shared" ca="1" si="499"/>
        <v>0</v>
      </c>
      <c r="X1139" s="22">
        <f t="shared" ca="1" si="499"/>
        <v>0</v>
      </c>
    </row>
    <row r="1140" spans="1:24" hidden="1">
      <c r="A1140" s="258"/>
      <c r="B1140" s="21" t="s">
        <v>406</v>
      </c>
      <c r="C1140" s="22"/>
      <c r="D1140" s="21"/>
      <c r="E1140" s="21"/>
      <c r="F1140" s="21"/>
      <c r="G1140" s="21"/>
      <c r="I1140" s="21"/>
      <c r="J1140" s="21"/>
      <c r="K1140" s="76">
        <f t="shared" ref="K1140:X1140" ca="1" si="500">IF($C1136=LataProjekcji,ROUND($C1137-K1139,0),ROUND(IF(K1138=0,0,$C1137-K1139),0))</f>
        <v>0</v>
      </c>
      <c r="L1140" s="76">
        <f t="shared" ca="1" si="500"/>
        <v>0</v>
      </c>
      <c r="M1140" s="76">
        <f t="shared" ca="1" si="500"/>
        <v>0</v>
      </c>
      <c r="N1140" s="76">
        <f t="shared" ca="1" si="500"/>
        <v>0</v>
      </c>
      <c r="O1140" s="76">
        <f t="shared" ca="1" si="500"/>
        <v>0</v>
      </c>
      <c r="P1140" s="76">
        <f t="shared" ca="1" si="500"/>
        <v>0</v>
      </c>
      <c r="Q1140" s="76">
        <f t="shared" ca="1" si="500"/>
        <v>0</v>
      </c>
      <c r="R1140" s="76">
        <f t="shared" ca="1" si="500"/>
        <v>0</v>
      </c>
      <c r="S1140" s="76">
        <f t="shared" ca="1" si="500"/>
        <v>0</v>
      </c>
      <c r="T1140" s="76">
        <f t="shared" ca="1" si="500"/>
        <v>0</v>
      </c>
      <c r="U1140" s="76">
        <f t="shared" ca="1" si="500"/>
        <v>0</v>
      </c>
      <c r="V1140" s="76">
        <f t="shared" ca="1" si="500"/>
        <v>0</v>
      </c>
      <c r="W1140" s="76">
        <f t="shared" ca="1" si="500"/>
        <v>0</v>
      </c>
      <c r="X1140" s="76">
        <f t="shared" ca="1" si="500"/>
        <v>0</v>
      </c>
    </row>
    <row r="1141" spans="1:24" hidden="1">
      <c r="A1141" s="258"/>
      <c r="B1141" s="21"/>
      <c r="C1141" s="22"/>
      <c r="D1141" s="21"/>
      <c r="E1141" s="21"/>
      <c r="F1141" s="21"/>
      <c r="G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</row>
    <row r="1142" spans="1:24" hidden="1">
      <c r="A1142" s="258"/>
      <c r="B1142" s="20" t="s">
        <v>393</v>
      </c>
      <c r="C1142" s="21">
        <f>C1135+1</f>
        <v>164</v>
      </c>
      <c r="D1142" s="473">
        <f>D1135+1</f>
        <v>425</v>
      </c>
      <c r="E1142" s="21"/>
      <c r="F1142" s="21"/>
      <c r="G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</row>
    <row r="1143" spans="1:24" hidden="1">
      <c r="A1143" s="258"/>
      <c r="B1143" s="21" t="s">
        <v>414</v>
      </c>
      <c r="C1143" s="164">
        <f ca="1">IFERROR(YEAR(OFFSET($D$28,C1142,0)),0)</f>
        <v>0</v>
      </c>
      <c r="D1143" s="164">
        <f ca="1">IFERROR(MONTH(OFFSET($D$28,C1142,0)),0)</f>
        <v>0</v>
      </c>
      <c r="E1143" s="21">
        <f ca="1">12-$D1143</f>
        <v>12</v>
      </c>
      <c r="F1143" s="21"/>
      <c r="G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</row>
    <row r="1144" spans="1:24" hidden="1">
      <c r="A1144" s="258"/>
      <c r="B1144" s="21" t="s">
        <v>406</v>
      </c>
      <c r="C1144" s="244">
        <f ca="1">IF(OFFSET($F$28,C1142,0)&lt;0,0,OFFSET($F$28,C1142,0))</f>
        <v>0</v>
      </c>
      <c r="D1144" s="22" t="str">
        <f ca="1">OFFSET($C$28,C1142,0)</f>
        <v/>
      </c>
      <c r="E1144" s="22">
        <f ca="1">IF(D1144&gt;10,ROUND(($C1145/12)*$E1143,0),$C1144)</f>
        <v>0</v>
      </c>
      <c r="F1144" s="21"/>
      <c r="G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</row>
    <row r="1145" spans="1:24" hidden="1">
      <c r="A1145" s="258"/>
      <c r="B1145" s="21" t="s">
        <v>415</v>
      </c>
      <c r="C1145" s="244">
        <f ca="1">IF(ISBLANK(OFFSET($D$28,C1142,0)),0,IF(OFFSET($C$28,C1142,0)&gt;10,ROUND(C1144*am_inneST,0),IF(C1144&lt;0,0,C1144)))</f>
        <v>0</v>
      </c>
      <c r="D1145" s="21"/>
      <c r="E1145" s="21"/>
      <c r="F1145" s="21"/>
      <c r="G1145" s="21"/>
      <c r="I1145" s="21"/>
      <c r="J1145" s="473" cm="1">
        <f t="array" aca="1" ref="J1145" ca="1">OFFSET('Środki trwałe'!$C$195,'Rozliczenie dotacji'!D1142,,)</f>
        <v>0</v>
      </c>
      <c r="K1145" s="74">
        <f ca="1">ROUND(IF($C1143=LataProjekcji,$E1144,IF($C1143=LataProjekcji,$C1145,0)),0)</f>
        <v>0</v>
      </c>
      <c r="L1145" s="247">
        <f ca="1">ROUND(IF(OR(AND($C1143=LataProjekcji,$E1143&gt;0),AND($C1143=LataProjekcji,$E1143=0,$D1144&lt;=10)),$E1144,IF($C1143&lt;LataProjekcji,IF((SUM($K1145:K1145)+$C1145)&lt;$C1144,$C1145,$C1144-SUM($K1145:K1145)),0)),0)</f>
        <v>0</v>
      </c>
      <c r="M1145" s="247">
        <f ca="1">ROUND(IF(OR(AND($C1143=LataProjekcji,$E1143&gt;0),AND($C1143=LataProjekcji,$E1143=0,$D1144&lt;=10)),$E1144,IF($C1143&lt;LataProjekcji,IF((SUM($K1145:L1145)+$C1145)&lt;$C1144,$C1145,$C1144-SUM($K1145:L1145)),0)),0)</f>
        <v>0</v>
      </c>
      <c r="N1145" s="247">
        <f ca="1">ROUND(IF(OR(AND($C1143=LataProjekcji,$E1143&gt;0),AND($C1143=LataProjekcji,$E1143=0,$D1144&lt;=10)),$E1144,IF($C1143&lt;LataProjekcji,IF((SUM($K1145:M1145)+$C1145)&lt;$C1144,$C1145,$C1144-SUM($K1145:M1145)),0)),0)</f>
        <v>0</v>
      </c>
      <c r="O1145" s="247">
        <f ca="1">ROUND(IF(OR(AND($C1143=LataProjekcji,$E1143&gt;0),AND($C1143=LataProjekcji,$E1143=0,$D1144&lt;=10)),$E1144,IF($C1143&lt;LataProjekcji,IF((SUM($K1145:N1145)+$C1145)&lt;$C1144,$C1145,$C1144-SUM($K1145:N1145)),0)),0)</f>
        <v>0</v>
      </c>
      <c r="P1145" s="247">
        <f ca="1">ROUND(IF(OR(AND($C1143=LataProjekcji,$E1143&gt;0),AND($C1143=LataProjekcji,$E1143=0,$D1144&lt;=10)),$E1144,IF($C1143&lt;LataProjekcji,IF((SUM($K1145:O1145)+$C1145)&lt;$C1144,$C1145,$C1144-SUM($K1145:O1145)),0)),0)</f>
        <v>0</v>
      </c>
      <c r="Q1145" s="247">
        <f ca="1">ROUND(IF(OR(AND($C1143=LataProjekcji,$E1143&gt;0),AND($C1143=LataProjekcji,$E1143=0,$D1144&lt;=10)),$E1144,IF($C1143&lt;LataProjekcji,IF((SUM($K1145:P1145)+$C1145)&lt;$C1144,$C1145,$C1144-SUM($K1145:P1145)),0)),0)</f>
        <v>0</v>
      </c>
      <c r="R1145" s="247">
        <f ca="1">ROUND(IF(OR(AND($C1143=LataProjekcji,$E1143&gt;0),AND($C1143=LataProjekcji,$E1143=0,$D1144&lt;=10)),$E1144,IF($C1143&lt;LataProjekcji,IF((SUM($K1145:Q1145)+$C1145)&lt;$C1144,$C1145,$C1144-SUM($K1145:Q1145)),0)),0)</f>
        <v>0</v>
      </c>
      <c r="S1145" s="247">
        <f ca="1">ROUND(IF(OR(AND($C1143=LataProjekcji,$E1143&gt;0),AND($C1143=LataProjekcji,$E1143=0,$D1144&lt;=10)),$E1144,IF($C1143&lt;LataProjekcji,IF((SUM($K1145:R1145)+$C1145)&lt;$C1144,$C1145,$C1144-SUM($K1145:R1145)),0)),0)</f>
        <v>0</v>
      </c>
      <c r="T1145" s="247">
        <f ca="1">ROUND(IF(OR(AND($C1143=LataProjekcji,$E1143&gt;0),AND($C1143=LataProjekcji,$E1143=0,$D1144&lt;=10)),$E1144,IF($C1143&lt;LataProjekcji,IF((SUM($K1145:S1145)+$C1145)&lt;$C1144,$C1145,$C1144-SUM($K1145:S1145)),0)),0)</f>
        <v>0</v>
      </c>
      <c r="U1145" s="247">
        <f ca="1">ROUND(IF(OR(AND($C1143=LataProjekcji,$E1143&gt;0),AND($C1143=LataProjekcji,$E1143=0,$D1144&lt;=10)),$E1144,IF($C1143&lt;LataProjekcji,IF((SUM($K1145:T1145)+$C1145)&lt;$C1144,$C1145,$C1144-SUM($K1145:T1145)),0)),0)</f>
        <v>0</v>
      </c>
      <c r="V1145" s="247">
        <f ca="1">ROUND(IF(OR(AND($C1143=LataProjekcji,$E1143&gt;0),AND($C1143=LataProjekcji,$E1143=0,$D1144&lt;=10)),$E1144,IF($C1143&lt;LataProjekcji,IF((SUM($K1145:U1145)+$C1145)&lt;$C1144,$C1145,$C1144-SUM($K1145:U1145)),0)),0)</f>
        <v>0</v>
      </c>
      <c r="W1145" s="247">
        <f ca="1">ROUND(IF(OR(AND($C1143=LataProjekcji,$E1143&gt;0),AND($C1143=LataProjekcji,$E1143=0,$D1144&lt;=10)),$E1144,IF($C1143&lt;LataProjekcji,IF((SUM($K1145:V1145)+$C1145)&lt;$C1144,$C1145,$C1144-SUM($K1145:V1145)),0)),0)</f>
        <v>0</v>
      </c>
      <c r="X1145" s="247">
        <f ca="1">ROUND(IF(OR(AND($C1143=LataProjekcji,$E1143&gt;0),AND($C1143=LataProjekcji,$E1143=0,$D1144&lt;=10)),$E1144,IF($C1143&lt;LataProjekcji,IF((SUM($K1145:W1145)+$C1145)&lt;$C1144,$C1145,$C1144-SUM($K1145:W1145)),0)),0)</f>
        <v>0</v>
      </c>
    </row>
    <row r="1146" spans="1:24" hidden="1">
      <c r="A1146" s="258"/>
      <c r="B1146" s="21" t="s">
        <v>416</v>
      </c>
      <c r="C1146" s="22"/>
      <c r="D1146" s="21"/>
      <c r="E1146" s="21"/>
      <c r="F1146" s="21"/>
      <c r="G1146" s="21"/>
      <c r="I1146" s="21"/>
      <c r="J1146" s="21"/>
      <c r="K1146" s="22">
        <f ca="1">ROUND(K1145,0)</f>
        <v>0</v>
      </c>
      <c r="L1146" s="22">
        <f t="shared" ref="L1146:X1146" ca="1" si="501">ROUND(K1146+L1145,0)</f>
        <v>0</v>
      </c>
      <c r="M1146" s="22">
        <f t="shared" ca="1" si="501"/>
        <v>0</v>
      </c>
      <c r="N1146" s="22">
        <f t="shared" ca="1" si="501"/>
        <v>0</v>
      </c>
      <c r="O1146" s="22">
        <f t="shared" ca="1" si="501"/>
        <v>0</v>
      </c>
      <c r="P1146" s="22">
        <f t="shared" ca="1" si="501"/>
        <v>0</v>
      </c>
      <c r="Q1146" s="22">
        <f t="shared" ca="1" si="501"/>
        <v>0</v>
      </c>
      <c r="R1146" s="22">
        <f t="shared" ca="1" si="501"/>
        <v>0</v>
      </c>
      <c r="S1146" s="22">
        <f t="shared" ca="1" si="501"/>
        <v>0</v>
      </c>
      <c r="T1146" s="22">
        <f t="shared" ca="1" si="501"/>
        <v>0</v>
      </c>
      <c r="U1146" s="22">
        <f t="shared" ca="1" si="501"/>
        <v>0</v>
      </c>
      <c r="V1146" s="22">
        <f t="shared" ca="1" si="501"/>
        <v>0</v>
      </c>
      <c r="W1146" s="22">
        <f t="shared" ca="1" si="501"/>
        <v>0</v>
      </c>
      <c r="X1146" s="22">
        <f t="shared" ca="1" si="501"/>
        <v>0</v>
      </c>
    </row>
    <row r="1147" spans="1:24" hidden="1">
      <c r="A1147" s="258"/>
      <c r="B1147" s="21" t="s">
        <v>406</v>
      </c>
      <c r="C1147" s="22"/>
      <c r="D1147" s="21"/>
      <c r="E1147" s="21"/>
      <c r="F1147" s="21"/>
      <c r="G1147" s="21"/>
      <c r="I1147" s="21"/>
      <c r="J1147" s="21"/>
      <c r="K1147" s="76">
        <f t="shared" ref="K1147:X1147" ca="1" si="502">IF($C1143=LataProjekcji,ROUND($C1144-K1146,0),ROUND(IF(K1145=0,0,$C1144-K1146),0))</f>
        <v>0</v>
      </c>
      <c r="L1147" s="76">
        <f t="shared" ca="1" si="502"/>
        <v>0</v>
      </c>
      <c r="M1147" s="76">
        <f t="shared" ca="1" si="502"/>
        <v>0</v>
      </c>
      <c r="N1147" s="76">
        <f t="shared" ca="1" si="502"/>
        <v>0</v>
      </c>
      <c r="O1147" s="76">
        <f t="shared" ca="1" si="502"/>
        <v>0</v>
      </c>
      <c r="P1147" s="76">
        <f t="shared" ca="1" si="502"/>
        <v>0</v>
      </c>
      <c r="Q1147" s="76">
        <f t="shared" ca="1" si="502"/>
        <v>0</v>
      </c>
      <c r="R1147" s="76">
        <f t="shared" ca="1" si="502"/>
        <v>0</v>
      </c>
      <c r="S1147" s="76">
        <f t="shared" ca="1" si="502"/>
        <v>0</v>
      </c>
      <c r="T1147" s="76">
        <f t="shared" ca="1" si="502"/>
        <v>0</v>
      </c>
      <c r="U1147" s="76">
        <f t="shared" ca="1" si="502"/>
        <v>0</v>
      </c>
      <c r="V1147" s="76">
        <f t="shared" ca="1" si="502"/>
        <v>0</v>
      </c>
      <c r="W1147" s="76">
        <f t="shared" ca="1" si="502"/>
        <v>0</v>
      </c>
      <c r="X1147" s="76">
        <f t="shared" ca="1" si="502"/>
        <v>0</v>
      </c>
    </row>
    <row r="1148" spans="1:24" hidden="1">
      <c r="A1148" s="258"/>
      <c r="B1148" s="20"/>
      <c r="C1148" s="21"/>
      <c r="D1148" s="21"/>
      <c r="E1148" s="21"/>
      <c r="F1148" s="21"/>
      <c r="G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0" t="s">
        <v>393</v>
      </c>
      <c r="C1149" s="21">
        <f>C1142+1</f>
        <v>165</v>
      </c>
      <c r="D1149" s="473">
        <f>D1142+1</f>
        <v>426</v>
      </c>
      <c r="E1149" s="21"/>
      <c r="F1149" s="21"/>
      <c r="G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414</v>
      </c>
      <c r="C1150" s="164">
        <f ca="1">IFERROR(YEAR(OFFSET($D$28,C1149,0)),0)</f>
        <v>0</v>
      </c>
      <c r="D1150" s="164">
        <f ca="1">IFERROR(MONTH(OFFSET($D$28,C1149,0)),0)</f>
        <v>0</v>
      </c>
      <c r="E1150" s="21">
        <f ca="1">12-$D1150</f>
        <v>12</v>
      </c>
      <c r="F1150" s="21"/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406</v>
      </c>
      <c r="C1151" s="244">
        <f ca="1">IF(OFFSET($F$28,C1149,0)&lt;0,0,OFFSET($F$28,C1149,0))</f>
        <v>0</v>
      </c>
      <c r="D1151" s="22" t="str">
        <f ca="1">OFFSET($C$28,C1149,0)</f>
        <v/>
      </c>
      <c r="E1151" s="22">
        <f ca="1">IF(D1151&gt;10,ROUND(($C1152/12)*$E1150,0),$C1151)</f>
        <v>0</v>
      </c>
      <c r="F1151" s="21"/>
      <c r="G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</row>
    <row r="1152" spans="1:24" hidden="1">
      <c r="A1152" s="258"/>
      <c r="B1152" s="21" t="s">
        <v>415</v>
      </c>
      <c r="C1152" s="244">
        <f ca="1">IF(ISBLANK(OFFSET($D$28,C1149,0)),0,IF(OFFSET($C$28,C1149,0)&gt;10,ROUND(C1151*am_inneST,0),IF(C1151&lt;0,0,C1151)))</f>
        <v>0</v>
      </c>
      <c r="D1152" s="21"/>
      <c r="E1152" s="21"/>
      <c r="F1152" s="21"/>
      <c r="G1152" s="21"/>
      <c r="I1152" s="21"/>
      <c r="J1152" s="473" cm="1">
        <f t="array" aca="1" ref="J1152" ca="1">OFFSET('Środki trwałe'!$C$195,'Rozliczenie dotacji'!D1149,,)</f>
        <v>0</v>
      </c>
      <c r="K1152" s="74">
        <f ca="1">ROUND(IF($C1150=LataProjekcji,$E1151,IF($C1150=LataProjekcji,$C1152,0)),0)</f>
        <v>0</v>
      </c>
      <c r="L1152" s="247">
        <f ca="1">ROUND(IF(OR(AND($C1150=LataProjekcji,$E1150&gt;0),AND($C1150=LataProjekcji,$E1150=0,$D1151&lt;=10)),$E1151,IF($C1150&lt;LataProjekcji,IF((SUM($K1152:K1152)+$C1152)&lt;$C1151,$C1152,$C1151-SUM($K1152:K1152)),0)),0)</f>
        <v>0</v>
      </c>
      <c r="M1152" s="247">
        <f ca="1">ROUND(IF(OR(AND($C1150=LataProjekcji,$E1150&gt;0),AND($C1150=LataProjekcji,$E1150=0,$D1151&lt;=10)),$E1151,IF($C1150&lt;LataProjekcji,IF((SUM($K1152:L1152)+$C1152)&lt;$C1151,$C1152,$C1151-SUM($K1152:L1152)),0)),0)</f>
        <v>0</v>
      </c>
      <c r="N1152" s="247">
        <f ca="1">ROUND(IF(OR(AND($C1150=LataProjekcji,$E1150&gt;0),AND($C1150=LataProjekcji,$E1150=0,$D1151&lt;=10)),$E1151,IF($C1150&lt;LataProjekcji,IF((SUM($K1152:M1152)+$C1152)&lt;$C1151,$C1152,$C1151-SUM($K1152:M1152)),0)),0)</f>
        <v>0</v>
      </c>
      <c r="O1152" s="247">
        <f ca="1">ROUND(IF(OR(AND($C1150=LataProjekcji,$E1150&gt;0),AND($C1150=LataProjekcji,$E1150=0,$D1151&lt;=10)),$E1151,IF($C1150&lt;LataProjekcji,IF((SUM($K1152:N1152)+$C1152)&lt;$C1151,$C1152,$C1151-SUM($K1152:N1152)),0)),0)</f>
        <v>0</v>
      </c>
      <c r="P1152" s="247">
        <f ca="1">ROUND(IF(OR(AND($C1150=LataProjekcji,$E1150&gt;0),AND($C1150=LataProjekcji,$E1150=0,$D1151&lt;=10)),$E1151,IF($C1150&lt;LataProjekcji,IF((SUM($K1152:O1152)+$C1152)&lt;$C1151,$C1152,$C1151-SUM($K1152:O1152)),0)),0)</f>
        <v>0</v>
      </c>
      <c r="Q1152" s="247">
        <f ca="1">ROUND(IF(OR(AND($C1150=LataProjekcji,$E1150&gt;0),AND($C1150=LataProjekcji,$E1150=0,$D1151&lt;=10)),$E1151,IF($C1150&lt;LataProjekcji,IF((SUM($K1152:P1152)+$C1152)&lt;$C1151,$C1152,$C1151-SUM($K1152:P1152)),0)),0)</f>
        <v>0</v>
      </c>
      <c r="R1152" s="247">
        <f ca="1">ROUND(IF(OR(AND($C1150=LataProjekcji,$E1150&gt;0),AND($C1150=LataProjekcji,$E1150=0,$D1151&lt;=10)),$E1151,IF($C1150&lt;LataProjekcji,IF((SUM($K1152:Q1152)+$C1152)&lt;$C1151,$C1152,$C1151-SUM($K1152:Q1152)),0)),0)</f>
        <v>0</v>
      </c>
      <c r="S1152" s="247">
        <f ca="1">ROUND(IF(OR(AND($C1150=LataProjekcji,$E1150&gt;0),AND($C1150=LataProjekcji,$E1150=0,$D1151&lt;=10)),$E1151,IF($C1150&lt;LataProjekcji,IF((SUM($K1152:R1152)+$C1152)&lt;$C1151,$C1152,$C1151-SUM($K1152:R1152)),0)),0)</f>
        <v>0</v>
      </c>
      <c r="T1152" s="247">
        <f ca="1">ROUND(IF(OR(AND($C1150=LataProjekcji,$E1150&gt;0),AND($C1150=LataProjekcji,$E1150=0,$D1151&lt;=10)),$E1151,IF($C1150&lt;LataProjekcji,IF((SUM($K1152:S1152)+$C1152)&lt;$C1151,$C1152,$C1151-SUM($K1152:S1152)),0)),0)</f>
        <v>0</v>
      </c>
      <c r="U1152" s="247">
        <f ca="1">ROUND(IF(OR(AND($C1150=LataProjekcji,$E1150&gt;0),AND($C1150=LataProjekcji,$E1150=0,$D1151&lt;=10)),$E1151,IF($C1150&lt;LataProjekcji,IF((SUM($K1152:T1152)+$C1152)&lt;$C1151,$C1152,$C1151-SUM($K1152:T1152)),0)),0)</f>
        <v>0</v>
      </c>
      <c r="V1152" s="247">
        <f ca="1">ROUND(IF(OR(AND($C1150=LataProjekcji,$E1150&gt;0),AND($C1150=LataProjekcji,$E1150=0,$D1151&lt;=10)),$E1151,IF($C1150&lt;LataProjekcji,IF((SUM($K1152:U1152)+$C1152)&lt;$C1151,$C1152,$C1151-SUM($K1152:U1152)),0)),0)</f>
        <v>0</v>
      </c>
      <c r="W1152" s="247">
        <f ca="1">ROUND(IF(OR(AND($C1150=LataProjekcji,$E1150&gt;0),AND($C1150=LataProjekcji,$E1150=0,$D1151&lt;=10)),$E1151,IF($C1150&lt;LataProjekcji,IF((SUM($K1152:V1152)+$C1152)&lt;$C1151,$C1152,$C1151-SUM($K1152:V1152)),0)),0)</f>
        <v>0</v>
      </c>
      <c r="X1152" s="247">
        <f ca="1">ROUND(IF(OR(AND($C1150=LataProjekcji,$E1150&gt;0),AND($C1150=LataProjekcji,$E1150=0,$D1151&lt;=10)),$E1151,IF($C1150&lt;LataProjekcji,IF((SUM($K1152:W1152)+$C1152)&lt;$C1151,$C1152,$C1151-SUM($K1152:W1152)),0)),0)</f>
        <v>0</v>
      </c>
    </row>
    <row r="1153" spans="1:24" hidden="1">
      <c r="A1153" s="258"/>
      <c r="B1153" s="21" t="s">
        <v>416</v>
      </c>
      <c r="C1153" s="22"/>
      <c r="D1153" s="21"/>
      <c r="E1153" s="21"/>
      <c r="F1153" s="21"/>
      <c r="G1153" s="21"/>
      <c r="I1153" s="21"/>
      <c r="J1153" s="21"/>
      <c r="K1153" s="22">
        <f ca="1">ROUND(K1152,0)</f>
        <v>0</v>
      </c>
      <c r="L1153" s="22">
        <f t="shared" ref="L1153:X1153" ca="1" si="503">ROUND(K1153+L1152,0)</f>
        <v>0</v>
      </c>
      <c r="M1153" s="22">
        <f t="shared" ca="1" si="503"/>
        <v>0</v>
      </c>
      <c r="N1153" s="22">
        <f t="shared" ca="1" si="503"/>
        <v>0</v>
      </c>
      <c r="O1153" s="22">
        <f t="shared" ca="1" si="503"/>
        <v>0</v>
      </c>
      <c r="P1153" s="22">
        <f t="shared" ca="1" si="503"/>
        <v>0</v>
      </c>
      <c r="Q1153" s="22">
        <f t="shared" ca="1" si="503"/>
        <v>0</v>
      </c>
      <c r="R1153" s="22">
        <f t="shared" ca="1" si="503"/>
        <v>0</v>
      </c>
      <c r="S1153" s="22">
        <f t="shared" ca="1" si="503"/>
        <v>0</v>
      </c>
      <c r="T1153" s="22">
        <f t="shared" ca="1" si="503"/>
        <v>0</v>
      </c>
      <c r="U1153" s="22">
        <f t="shared" ca="1" si="503"/>
        <v>0</v>
      </c>
      <c r="V1153" s="22">
        <f t="shared" ca="1" si="503"/>
        <v>0</v>
      </c>
      <c r="W1153" s="22">
        <f t="shared" ca="1" si="503"/>
        <v>0</v>
      </c>
      <c r="X1153" s="22">
        <f t="shared" ca="1" si="503"/>
        <v>0</v>
      </c>
    </row>
    <row r="1154" spans="1:24" hidden="1">
      <c r="A1154" s="258"/>
      <c r="B1154" s="21" t="s">
        <v>406</v>
      </c>
      <c r="C1154" s="22"/>
      <c r="D1154" s="21"/>
      <c r="E1154" s="21"/>
      <c r="F1154" s="21"/>
      <c r="G1154" s="21"/>
      <c r="I1154" s="21"/>
      <c r="J1154" s="21"/>
      <c r="K1154" s="76">
        <f t="shared" ref="K1154:X1154" ca="1" si="504">IF($C1150=LataProjekcji,ROUND($C1151-K1153,0),ROUND(IF(K1152=0,0,$C1151-K1153),0))</f>
        <v>0</v>
      </c>
      <c r="L1154" s="76">
        <f t="shared" ca="1" si="504"/>
        <v>0</v>
      </c>
      <c r="M1154" s="76">
        <f t="shared" ca="1" si="504"/>
        <v>0</v>
      </c>
      <c r="N1154" s="76">
        <f t="shared" ca="1" si="504"/>
        <v>0</v>
      </c>
      <c r="O1154" s="76">
        <f t="shared" ca="1" si="504"/>
        <v>0</v>
      </c>
      <c r="P1154" s="76">
        <f t="shared" ca="1" si="504"/>
        <v>0</v>
      </c>
      <c r="Q1154" s="76">
        <f t="shared" ca="1" si="504"/>
        <v>0</v>
      </c>
      <c r="R1154" s="76">
        <f t="shared" ca="1" si="504"/>
        <v>0</v>
      </c>
      <c r="S1154" s="76">
        <f t="shared" ca="1" si="504"/>
        <v>0</v>
      </c>
      <c r="T1154" s="76">
        <f t="shared" ca="1" si="504"/>
        <v>0</v>
      </c>
      <c r="U1154" s="76">
        <f t="shared" ca="1" si="504"/>
        <v>0</v>
      </c>
      <c r="V1154" s="76">
        <f t="shared" ca="1" si="504"/>
        <v>0</v>
      </c>
      <c r="W1154" s="76">
        <f t="shared" ca="1" si="504"/>
        <v>0</v>
      </c>
      <c r="X1154" s="76">
        <f t="shared" ca="1" si="504"/>
        <v>0</v>
      </c>
    </row>
    <row r="1155" spans="1:24" hidden="1">
      <c r="A1155" s="258"/>
      <c r="B1155" s="21"/>
      <c r="C1155" s="22"/>
      <c r="D1155" s="21"/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0" t="s">
        <v>393</v>
      </c>
      <c r="C1156" s="21">
        <f>C1149+1</f>
        <v>166</v>
      </c>
      <c r="D1156" s="473">
        <f>D1149+1</f>
        <v>427</v>
      </c>
      <c r="E1156" s="21"/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414</v>
      </c>
      <c r="C1157" s="164">
        <f ca="1">IFERROR(YEAR(OFFSET($D$28,C1156,0)),0)</f>
        <v>0</v>
      </c>
      <c r="D1157" s="164">
        <f ca="1">IFERROR(MONTH(OFFSET($D$28,C1156,0)),0)</f>
        <v>0</v>
      </c>
      <c r="E1157" s="21">
        <f ca="1">12-$D1157</f>
        <v>12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406</v>
      </c>
      <c r="C1158" s="244">
        <f ca="1">IF(OFFSET($F$28,C1156,0)&lt;0,0,OFFSET($F$28,C1156,0))</f>
        <v>0</v>
      </c>
      <c r="D1158" s="22" t="str">
        <f ca="1">OFFSET($C$28,C1156,0)</f>
        <v/>
      </c>
      <c r="E1158" s="22">
        <f ca="1">IF(D1158&gt;10,ROUND(($C1159/12)*$E1157,0),$C1158)</f>
        <v>0</v>
      </c>
      <c r="F1158" s="21"/>
      <c r="G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</row>
    <row r="1159" spans="1:24" hidden="1">
      <c r="A1159" s="258"/>
      <c r="B1159" s="21" t="s">
        <v>415</v>
      </c>
      <c r="C1159" s="244">
        <f ca="1">IF(ISBLANK(OFFSET($D$28,C1156,0)),0,IF(OFFSET($C$28,C1156,0)&gt;10,ROUND(C1158*am_inneST,0),IF(C1158&lt;0,0,C1158)))</f>
        <v>0</v>
      </c>
      <c r="D1159" s="21"/>
      <c r="E1159" s="21"/>
      <c r="F1159" s="21"/>
      <c r="G1159" s="21"/>
      <c r="I1159" s="21"/>
      <c r="J1159" s="473" cm="1">
        <f t="array" aca="1" ref="J1159" ca="1">OFFSET('Środki trwałe'!$C$195,'Rozliczenie dotacji'!D1156,,)</f>
        <v>0</v>
      </c>
      <c r="K1159" s="74">
        <f ca="1">ROUND(IF($C1157=LataProjekcji,$E1158,IF($C1157=LataProjekcji,$C1159,0)),0)</f>
        <v>0</v>
      </c>
      <c r="L1159" s="247">
        <f ca="1">ROUND(IF(OR(AND($C1157=LataProjekcji,$E1157&gt;0),AND($C1157=LataProjekcji,$E1157=0,$D1158&lt;=10)),$E1158,IF($C1157&lt;LataProjekcji,IF((SUM($K1159:K1159)+$C1159)&lt;$C1158,$C1159,$C1158-SUM($K1159:K1159)),0)),0)</f>
        <v>0</v>
      </c>
      <c r="M1159" s="247">
        <f ca="1">ROUND(IF(OR(AND($C1157=LataProjekcji,$E1157&gt;0),AND($C1157=LataProjekcji,$E1157=0,$D1158&lt;=10)),$E1158,IF($C1157&lt;LataProjekcji,IF((SUM($K1159:L1159)+$C1159)&lt;$C1158,$C1159,$C1158-SUM($K1159:L1159)),0)),0)</f>
        <v>0</v>
      </c>
      <c r="N1159" s="247">
        <f ca="1">ROUND(IF(OR(AND($C1157=LataProjekcji,$E1157&gt;0),AND($C1157=LataProjekcji,$E1157=0,$D1158&lt;=10)),$E1158,IF($C1157&lt;LataProjekcji,IF((SUM($K1159:M1159)+$C1159)&lt;$C1158,$C1159,$C1158-SUM($K1159:M1159)),0)),0)</f>
        <v>0</v>
      </c>
      <c r="O1159" s="247">
        <f ca="1">ROUND(IF(OR(AND($C1157=LataProjekcji,$E1157&gt;0),AND($C1157=LataProjekcji,$E1157=0,$D1158&lt;=10)),$E1158,IF($C1157&lt;LataProjekcji,IF((SUM($K1159:N1159)+$C1159)&lt;$C1158,$C1159,$C1158-SUM($K1159:N1159)),0)),0)</f>
        <v>0</v>
      </c>
      <c r="P1159" s="247">
        <f ca="1">ROUND(IF(OR(AND($C1157=LataProjekcji,$E1157&gt;0),AND($C1157=LataProjekcji,$E1157=0,$D1158&lt;=10)),$E1158,IF($C1157&lt;LataProjekcji,IF((SUM($K1159:O1159)+$C1159)&lt;$C1158,$C1159,$C1158-SUM($K1159:O1159)),0)),0)</f>
        <v>0</v>
      </c>
      <c r="Q1159" s="247">
        <f ca="1">ROUND(IF(OR(AND($C1157=LataProjekcji,$E1157&gt;0),AND($C1157=LataProjekcji,$E1157=0,$D1158&lt;=10)),$E1158,IF($C1157&lt;LataProjekcji,IF((SUM($K1159:P1159)+$C1159)&lt;$C1158,$C1159,$C1158-SUM($K1159:P1159)),0)),0)</f>
        <v>0</v>
      </c>
      <c r="R1159" s="247">
        <f ca="1">ROUND(IF(OR(AND($C1157=LataProjekcji,$E1157&gt;0),AND($C1157=LataProjekcji,$E1157=0,$D1158&lt;=10)),$E1158,IF($C1157&lt;LataProjekcji,IF((SUM($K1159:Q1159)+$C1159)&lt;$C1158,$C1159,$C1158-SUM($K1159:Q1159)),0)),0)</f>
        <v>0</v>
      </c>
      <c r="S1159" s="247">
        <f ca="1">ROUND(IF(OR(AND($C1157=LataProjekcji,$E1157&gt;0),AND($C1157=LataProjekcji,$E1157=0,$D1158&lt;=10)),$E1158,IF($C1157&lt;LataProjekcji,IF((SUM($K1159:R1159)+$C1159)&lt;$C1158,$C1159,$C1158-SUM($K1159:R1159)),0)),0)</f>
        <v>0</v>
      </c>
      <c r="T1159" s="247">
        <f ca="1">ROUND(IF(OR(AND($C1157=LataProjekcji,$E1157&gt;0),AND($C1157=LataProjekcji,$E1157=0,$D1158&lt;=10)),$E1158,IF($C1157&lt;LataProjekcji,IF((SUM($K1159:S1159)+$C1159)&lt;$C1158,$C1159,$C1158-SUM($K1159:S1159)),0)),0)</f>
        <v>0</v>
      </c>
      <c r="U1159" s="247">
        <f ca="1">ROUND(IF(OR(AND($C1157=LataProjekcji,$E1157&gt;0),AND($C1157=LataProjekcji,$E1157=0,$D1158&lt;=10)),$E1158,IF($C1157&lt;LataProjekcji,IF((SUM($K1159:T1159)+$C1159)&lt;$C1158,$C1159,$C1158-SUM($K1159:T1159)),0)),0)</f>
        <v>0</v>
      </c>
      <c r="V1159" s="247">
        <f ca="1">ROUND(IF(OR(AND($C1157=LataProjekcji,$E1157&gt;0),AND($C1157=LataProjekcji,$E1157=0,$D1158&lt;=10)),$E1158,IF($C1157&lt;LataProjekcji,IF((SUM($K1159:U1159)+$C1159)&lt;$C1158,$C1159,$C1158-SUM($K1159:U1159)),0)),0)</f>
        <v>0</v>
      </c>
      <c r="W1159" s="247">
        <f ca="1">ROUND(IF(OR(AND($C1157=LataProjekcji,$E1157&gt;0),AND($C1157=LataProjekcji,$E1157=0,$D1158&lt;=10)),$E1158,IF($C1157&lt;LataProjekcji,IF((SUM($K1159:V1159)+$C1159)&lt;$C1158,$C1159,$C1158-SUM($K1159:V1159)),0)),0)</f>
        <v>0</v>
      </c>
      <c r="X1159" s="247">
        <f ca="1">ROUND(IF(OR(AND($C1157=LataProjekcji,$E1157&gt;0),AND($C1157=LataProjekcji,$E1157=0,$D1158&lt;=10)),$E1158,IF($C1157&lt;LataProjekcji,IF((SUM($K1159:W1159)+$C1159)&lt;$C1158,$C1159,$C1158-SUM($K1159:W1159)),0)),0)</f>
        <v>0</v>
      </c>
    </row>
    <row r="1160" spans="1:24" hidden="1">
      <c r="A1160" s="258"/>
      <c r="B1160" s="21" t="s">
        <v>416</v>
      </c>
      <c r="C1160" s="22"/>
      <c r="D1160" s="21"/>
      <c r="E1160" s="21"/>
      <c r="F1160" s="21"/>
      <c r="G1160" s="21"/>
      <c r="I1160" s="21"/>
      <c r="J1160" s="21"/>
      <c r="K1160" s="22">
        <f ca="1">ROUND(K1159,0)</f>
        <v>0</v>
      </c>
      <c r="L1160" s="22">
        <f t="shared" ref="L1160:X1160" ca="1" si="505">ROUND(K1160+L1159,0)</f>
        <v>0</v>
      </c>
      <c r="M1160" s="22">
        <f t="shared" ca="1" si="505"/>
        <v>0</v>
      </c>
      <c r="N1160" s="22">
        <f t="shared" ca="1" si="505"/>
        <v>0</v>
      </c>
      <c r="O1160" s="22">
        <f t="shared" ca="1" si="505"/>
        <v>0</v>
      </c>
      <c r="P1160" s="22">
        <f t="shared" ca="1" si="505"/>
        <v>0</v>
      </c>
      <c r="Q1160" s="22">
        <f t="shared" ca="1" si="505"/>
        <v>0</v>
      </c>
      <c r="R1160" s="22">
        <f t="shared" ca="1" si="505"/>
        <v>0</v>
      </c>
      <c r="S1160" s="22">
        <f t="shared" ca="1" si="505"/>
        <v>0</v>
      </c>
      <c r="T1160" s="22">
        <f t="shared" ca="1" si="505"/>
        <v>0</v>
      </c>
      <c r="U1160" s="22">
        <f t="shared" ca="1" si="505"/>
        <v>0</v>
      </c>
      <c r="V1160" s="22">
        <f t="shared" ca="1" si="505"/>
        <v>0</v>
      </c>
      <c r="W1160" s="22">
        <f t="shared" ca="1" si="505"/>
        <v>0</v>
      </c>
      <c r="X1160" s="22">
        <f t="shared" ca="1" si="505"/>
        <v>0</v>
      </c>
    </row>
    <row r="1161" spans="1:24" hidden="1">
      <c r="A1161" s="258"/>
      <c r="B1161" s="21" t="s">
        <v>406</v>
      </c>
      <c r="C1161" s="22"/>
      <c r="D1161" s="21"/>
      <c r="E1161" s="21"/>
      <c r="F1161" s="21"/>
      <c r="G1161" s="21"/>
      <c r="I1161" s="21"/>
      <c r="J1161" s="21"/>
      <c r="K1161" s="76">
        <f t="shared" ref="K1161:X1161" ca="1" si="506">IF($C1157=LataProjekcji,ROUND($C1158-K1160,0),ROUND(IF(K1159=0,0,$C1158-K1160),0))</f>
        <v>0</v>
      </c>
      <c r="L1161" s="76">
        <f t="shared" ca="1" si="506"/>
        <v>0</v>
      </c>
      <c r="M1161" s="76">
        <f t="shared" ca="1" si="506"/>
        <v>0</v>
      </c>
      <c r="N1161" s="76">
        <f t="shared" ca="1" si="506"/>
        <v>0</v>
      </c>
      <c r="O1161" s="76">
        <f t="shared" ca="1" si="506"/>
        <v>0</v>
      </c>
      <c r="P1161" s="76">
        <f t="shared" ca="1" si="506"/>
        <v>0</v>
      </c>
      <c r="Q1161" s="76">
        <f t="shared" ca="1" si="506"/>
        <v>0</v>
      </c>
      <c r="R1161" s="76">
        <f t="shared" ca="1" si="506"/>
        <v>0</v>
      </c>
      <c r="S1161" s="76">
        <f t="shared" ca="1" si="506"/>
        <v>0</v>
      </c>
      <c r="T1161" s="76">
        <f t="shared" ca="1" si="506"/>
        <v>0</v>
      </c>
      <c r="U1161" s="76">
        <f t="shared" ca="1" si="506"/>
        <v>0</v>
      </c>
      <c r="V1161" s="76">
        <f t="shared" ca="1" si="506"/>
        <v>0</v>
      </c>
      <c r="W1161" s="76">
        <f t="shared" ca="1" si="506"/>
        <v>0</v>
      </c>
      <c r="X1161" s="76">
        <f t="shared" ca="1" si="506"/>
        <v>0</v>
      </c>
    </row>
    <row r="1162" spans="1:24" hidden="1">
      <c r="A1162" s="258"/>
      <c r="B1162" s="21"/>
      <c r="C1162" s="22"/>
      <c r="D1162" s="21"/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0" t="s">
        <v>393</v>
      </c>
      <c r="C1163" s="21">
        <f>C1156+1</f>
        <v>167</v>
      </c>
      <c r="D1163" s="473">
        <f>D1156+1</f>
        <v>428</v>
      </c>
      <c r="E1163" s="21"/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414</v>
      </c>
      <c r="C1164" s="164">
        <f ca="1">IFERROR(YEAR(OFFSET($D$28,C1163,0)),0)</f>
        <v>0</v>
      </c>
      <c r="D1164" s="164">
        <f ca="1">IFERROR(MONTH(OFFSET($D$28,C1163,0)),0)</f>
        <v>0</v>
      </c>
      <c r="E1164" s="21">
        <f ca="1">12-$D1164</f>
        <v>12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406</v>
      </c>
      <c r="C1165" s="244">
        <f ca="1">IF(OFFSET($F$28,C1163,0)&lt;0,0,OFFSET($F$28,C1163,0))</f>
        <v>0</v>
      </c>
      <c r="D1165" s="22" t="str">
        <f ca="1">OFFSET($C$28,C1163,0)</f>
        <v/>
      </c>
      <c r="E1165" s="22">
        <f ca="1">IF(D1165&gt;10,ROUND(($C1166/12)*$E1164,0),$C1165)</f>
        <v>0</v>
      </c>
      <c r="F1165" s="21"/>
      <c r="G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</row>
    <row r="1166" spans="1:24" hidden="1">
      <c r="A1166" s="258"/>
      <c r="B1166" s="21" t="s">
        <v>415</v>
      </c>
      <c r="C1166" s="244">
        <f ca="1">IF(ISBLANK(OFFSET($D$28,C1163,0)),0,IF(OFFSET($C$28,C1163,0)&gt;10,ROUND(C1165*am_inneST,0),IF(C1165&lt;0,0,C1165)))</f>
        <v>0</v>
      </c>
      <c r="D1166" s="21"/>
      <c r="E1166" s="21"/>
      <c r="F1166" s="21"/>
      <c r="G1166" s="21"/>
      <c r="I1166" s="21"/>
      <c r="J1166" s="473" cm="1">
        <f t="array" aca="1" ref="J1166" ca="1">OFFSET('Środki trwałe'!$C$195,'Rozliczenie dotacji'!D1163,,)</f>
        <v>0</v>
      </c>
      <c r="K1166" s="74">
        <f ca="1">ROUND(IF($C1164=LataProjekcji,$E1165,IF($C1164=LataProjekcji,$C1166,0)),0)</f>
        <v>0</v>
      </c>
      <c r="L1166" s="247">
        <f ca="1">ROUND(IF(OR(AND($C1164=LataProjekcji,$E1164&gt;0),AND($C1164=LataProjekcji,$E1164=0,$D1165&lt;=10)),$E1165,IF($C1164&lt;LataProjekcji,IF((SUM($K1166:K1166)+$C1166)&lt;$C1165,$C1166,$C1165-SUM($K1166:K1166)),0)),0)</f>
        <v>0</v>
      </c>
      <c r="M1166" s="247">
        <f ca="1">ROUND(IF(OR(AND($C1164=LataProjekcji,$E1164&gt;0),AND($C1164=LataProjekcji,$E1164=0,$D1165&lt;=10)),$E1165,IF($C1164&lt;LataProjekcji,IF((SUM($K1166:L1166)+$C1166)&lt;$C1165,$C1166,$C1165-SUM($K1166:L1166)),0)),0)</f>
        <v>0</v>
      </c>
      <c r="N1166" s="247">
        <f ca="1">ROUND(IF(OR(AND($C1164=LataProjekcji,$E1164&gt;0),AND($C1164=LataProjekcji,$E1164=0,$D1165&lt;=10)),$E1165,IF($C1164&lt;LataProjekcji,IF((SUM($K1166:M1166)+$C1166)&lt;$C1165,$C1166,$C1165-SUM($K1166:M1166)),0)),0)</f>
        <v>0</v>
      </c>
      <c r="O1166" s="247">
        <f ca="1">ROUND(IF(OR(AND($C1164=LataProjekcji,$E1164&gt;0),AND($C1164=LataProjekcji,$E1164=0,$D1165&lt;=10)),$E1165,IF($C1164&lt;LataProjekcji,IF((SUM($K1166:N1166)+$C1166)&lt;$C1165,$C1166,$C1165-SUM($K1166:N1166)),0)),0)</f>
        <v>0</v>
      </c>
      <c r="P1166" s="247">
        <f ca="1">ROUND(IF(OR(AND($C1164=LataProjekcji,$E1164&gt;0),AND($C1164=LataProjekcji,$E1164=0,$D1165&lt;=10)),$E1165,IF($C1164&lt;LataProjekcji,IF((SUM($K1166:O1166)+$C1166)&lt;$C1165,$C1166,$C1165-SUM($K1166:O1166)),0)),0)</f>
        <v>0</v>
      </c>
      <c r="Q1166" s="247">
        <f ca="1">ROUND(IF(OR(AND($C1164=LataProjekcji,$E1164&gt;0),AND($C1164=LataProjekcji,$E1164=0,$D1165&lt;=10)),$E1165,IF($C1164&lt;LataProjekcji,IF((SUM($K1166:P1166)+$C1166)&lt;$C1165,$C1166,$C1165-SUM($K1166:P1166)),0)),0)</f>
        <v>0</v>
      </c>
      <c r="R1166" s="247">
        <f ca="1">ROUND(IF(OR(AND($C1164=LataProjekcji,$E1164&gt;0),AND($C1164=LataProjekcji,$E1164=0,$D1165&lt;=10)),$E1165,IF($C1164&lt;LataProjekcji,IF((SUM($K1166:Q1166)+$C1166)&lt;$C1165,$C1166,$C1165-SUM($K1166:Q1166)),0)),0)</f>
        <v>0</v>
      </c>
      <c r="S1166" s="247">
        <f ca="1">ROUND(IF(OR(AND($C1164=LataProjekcji,$E1164&gt;0),AND($C1164=LataProjekcji,$E1164=0,$D1165&lt;=10)),$E1165,IF($C1164&lt;LataProjekcji,IF((SUM($K1166:R1166)+$C1166)&lt;$C1165,$C1166,$C1165-SUM($K1166:R1166)),0)),0)</f>
        <v>0</v>
      </c>
      <c r="T1166" s="247">
        <f ca="1">ROUND(IF(OR(AND($C1164=LataProjekcji,$E1164&gt;0),AND($C1164=LataProjekcji,$E1164=0,$D1165&lt;=10)),$E1165,IF($C1164&lt;LataProjekcji,IF((SUM($K1166:S1166)+$C1166)&lt;$C1165,$C1166,$C1165-SUM($K1166:S1166)),0)),0)</f>
        <v>0</v>
      </c>
      <c r="U1166" s="247">
        <f ca="1">ROUND(IF(OR(AND($C1164=LataProjekcji,$E1164&gt;0),AND($C1164=LataProjekcji,$E1164=0,$D1165&lt;=10)),$E1165,IF($C1164&lt;LataProjekcji,IF((SUM($K1166:T1166)+$C1166)&lt;$C1165,$C1166,$C1165-SUM($K1166:T1166)),0)),0)</f>
        <v>0</v>
      </c>
      <c r="V1166" s="247">
        <f ca="1">ROUND(IF(OR(AND($C1164=LataProjekcji,$E1164&gt;0),AND($C1164=LataProjekcji,$E1164=0,$D1165&lt;=10)),$E1165,IF($C1164&lt;LataProjekcji,IF((SUM($K1166:U1166)+$C1166)&lt;$C1165,$C1166,$C1165-SUM($K1166:U1166)),0)),0)</f>
        <v>0</v>
      </c>
      <c r="W1166" s="247">
        <f ca="1">ROUND(IF(OR(AND($C1164=LataProjekcji,$E1164&gt;0),AND($C1164=LataProjekcji,$E1164=0,$D1165&lt;=10)),$E1165,IF($C1164&lt;LataProjekcji,IF((SUM($K1166:V1166)+$C1166)&lt;$C1165,$C1166,$C1165-SUM($K1166:V1166)),0)),0)</f>
        <v>0</v>
      </c>
      <c r="X1166" s="247">
        <f ca="1">ROUND(IF(OR(AND($C1164=LataProjekcji,$E1164&gt;0),AND($C1164=LataProjekcji,$E1164=0,$D1165&lt;=10)),$E1165,IF($C1164&lt;LataProjekcji,IF((SUM($K1166:W1166)+$C1166)&lt;$C1165,$C1166,$C1165-SUM($K1166:W1166)),0)),0)</f>
        <v>0</v>
      </c>
    </row>
    <row r="1167" spans="1:24" hidden="1">
      <c r="A1167" s="258"/>
      <c r="B1167" s="21" t="s">
        <v>416</v>
      </c>
      <c r="C1167" s="22"/>
      <c r="D1167" s="21"/>
      <c r="E1167" s="21"/>
      <c r="F1167" s="21"/>
      <c r="G1167" s="21"/>
      <c r="I1167" s="21"/>
      <c r="J1167" s="21"/>
      <c r="K1167" s="22">
        <f ca="1">ROUND(K1166,0)</f>
        <v>0</v>
      </c>
      <c r="L1167" s="22">
        <f t="shared" ref="L1167:X1167" ca="1" si="507">ROUND(K1167+L1166,0)</f>
        <v>0</v>
      </c>
      <c r="M1167" s="22">
        <f t="shared" ca="1" si="507"/>
        <v>0</v>
      </c>
      <c r="N1167" s="22">
        <f t="shared" ca="1" si="507"/>
        <v>0</v>
      </c>
      <c r="O1167" s="22">
        <f t="shared" ca="1" si="507"/>
        <v>0</v>
      </c>
      <c r="P1167" s="22">
        <f t="shared" ca="1" si="507"/>
        <v>0</v>
      </c>
      <c r="Q1167" s="22">
        <f t="shared" ca="1" si="507"/>
        <v>0</v>
      </c>
      <c r="R1167" s="22">
        <f t="shared" ca="1" si="507"/>
        <v>0</v>
      </c>
      <c r="S1167" s="22">
        <f t="shared" ca="1" si="507"/>
        <v>0</v>
      </c>
      <c r="T1167" s="22">
        <f t="shared" ca="1" si="507"/>
        <v>0</v>
      </c>
      <c r="U1167" s="22">
        <f t="shared" ca="1" si="507"/>
        <v>0</v>
      </c>
      <c r="V1167" s="22">
        <f t="shared" ca="1" si="507"/>
        <v>0</v>
      </c>
      <c r="W1167" s="22">
        <f t="shared" ca="1" si="507"/>
        <v>0</v>
      </c>
      <c r="X1167" s="22">
        <f t="shared" ca="1" si="507"/>
        <v>0</v>
      </c>
    </row>
    <row r="1168" spans="1:24" hidden="1">
      <c r="A1168" s="258"/>
      <c r="B1168" s="21" t="s">
        <v>406</v>
      </c>
      <c r="C1168" s="22"/>
      <c r="D1168" s="21"/>
      <c r="E1168" s="21"/>
      <c r="F1168" s="21"/>
      <c r="G1168" s="21"/>
      <c r="I1168" s="21"/>
      <c r="J1168" s="21"/>
      <c r="K1168" s="76">
        <f t="shared" ref="K1168:X1168" ca="1" si="508">IF($C1164=LataProjekcji,ROUND($C1165-K1167,0),ROUND(IF(K1166=0,0,$C1165-K1167),0))</f>
        <v>0</v>
      </c>
      <c r="L1168" s="76">
        <f t="shared" ca="1" si="508"/>
        <v>0</v>
      </c>
      <c r="M1168" s="76">
        <f t="shared" ca="1" si="508"/>
        <v>0</v>
      </c>
      <c r="N1168" s="76">
        <f t="shared" ca="1" si="508"/>
        <v>0</v>
      </c>
      <c r="O1168" s="76">
        <f t="shared" ca="1" si="508"/>
        <v>0</v>
      </c>
      <c r="P1168" s="76">
        <f t="shared" ca="1" si="508"/>
        <v>0</v>
      </c>
      <c r="Q1168" s="76">
        <f t="shared" ca="1" si="508"/>
        <v>0</v>
      </c>
      <c r="R1168" s="76">
        <f t="shared" ca="1" si="508"/>
        <v>0</v>
      </c>
      <c r="S1168" s="76">
        <f t="shared" ca="1" si="508"/>
        <v>0</v>
      </c>
      <c r="T1168" s="76">
        <f t="shared" ca="1" si="508"/>
        <v>0</v>
      </c>
      <c r="U1168" s="76">
        <f t="shared" ca="1" si="508"/>
        <v>0</v>
      </c>
      <c r="V1168" s="76">
        <f t="shared" ca="1" si="508"/>
        <v>0</v>
      </c>
      <c r="W1168" s="76">
        <f t="shared" ca="1" si="508"/>
        <v>0</v>
      </c>
      <c r="X1168" s="76">
        <f t="shared" ca="1" si="508"/>
        <v>0</v>
      </c>
    </row>
    <row r="1169" spans="1:24" hidden="1">
      <c r="A1169" s="258"/>
      <c r="B1169" s="20"/>
      <c r="C1169" s="21"/>
      <c r="D1169" s="21"/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0" t="s">
        <v>393</v>
      </c>
      <c r="C1170" s="21">
        <f>C1163+1</f>
        <v>168</v>
      </c>
      <c r="D1170" s="473">
        <f>D1163+1</f>
        <v>429</v>
      </c>
      <c r="E1170" s="21"/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414</v>
      </c>
      <c r="C1171" s="164">
        <f ca="1">IFERROR(YEAR(OFFSET($D$28,C1170,0)),0)</f>
        <v>0</v>
      </c>
      <c r="D1171" s="164">
        <f ca="1">IFERROR(MONTH(OFFSET($D$28,C1170,0)),0)</f>
        <v>0</v>
      </c>
      <c r="E1171" s="21">
        <f ca="1">12-$D1171</f>
        <v>12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406</v>
      </c>
      <c r="C1172" s="244">
        <f ca="1">IF(OFFSET($F$28,C1170,0)&lt;0,0,OFFSET($F$28,C1170,0))</f>
        <v>0</v>
      </c>
      <c r="D1172" s="22" t="str">
        <f ca="1">OFFSET($C$28,C1170,0)</f>
        <v/>
      </c>
      <c r="E1172" s="22">
        <f ca="1">IF(D1172&gt;10,ROUND(($C1173/12)*$E1171,0),$C1172)</f>
        <v>0</v>
      </c>
      <c r="F1172" s="21"/>
      <c r="G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</row>
    <row r="1173" spans="1:24" hidden="1">
      <c r="A1173" s="258"/>
      <c r="B1173" s="21" t="s">
        <v>415</v>
      </c>
      <c r="C1173" s="244">
        <f ca="1">IF(ISBLANK(OFFSET($D$28,C1170,0)),0,IF(OFFSET($C$28,C1170,0)&gt;10,ROUND(C1172*am_inneST,0),IF(C1172&lt;0,0,C1172)))</f>
        <v>0</v>
      </c>
      <c r="D1173" s="21"/>
      <c r="E1173" s="21"/>
      <c r="F1173" s="21"/>
      <c r="G1173" s="21"/>
      <c r="I1173" s="21"/>
      <c r="J1173" s="473" cm="1">
        <f t="array" aca="1" ref="J1173" ca="1">OFFSET('Środki trwałe'!$C$195,'Rozliczenie dotacji'!D1170,,)</f>
        <v>0</v>
      </c>
      <c r="K1173" s="74">
        <f ca="1">ROUND(IF($C1171=LataProjekcji,$E1172,IF($C1171=LataProjekcji,$C1173,0)),0)</f>
        <v>0</v>
      </c>
      <c r="L1173" s="247">
        <f ca="1">ROUND(IF(OR(AND($C1171=LataProjekcji,$E1171&gt;0),AND($C1171=LataProjekcji,$E1171=0,$D1172&lt;=10)),$E1172,IF($C1171&lt;LataProjekcji,IF((SUM($K1173:K1173)+$C1173)&lt;$C1172,$C1173,$C1172-SUM($K1173:K1173)),0)),0)</f>
        <v>0</v>
      </c>
      <c r="M1173" s="247">
        <f ca="1">ROUND(IF(OR(AND($C1171=LataProjekcji,$E1171&gt;0),AND($C1171=LataProjekcji,$E1171=0,$D1172&lt;=10)),$E1172,IF($C1171&lt;LataProjekcji,IF((SUM($K1173:L1173)+$C1173)&lt;$C1172,$C1173,$C1172-SUM($K1173:L1173)),0)),0)</f>
        <v>0</v>
      </c>
      <c r="N1173" s="247">
        <f ca="1">ROUND(IF(OR(AND($C1171=LataProjekcji,$E1171&gt;0),AND($C1171=LataProjekcji,$E1171=0,$D1172&lt;=10)),$E1172,IF($C1171&lt;LataProjekcji,IF((SUM($K1173:M1173)+$C1173)&lt;$C1172,$C1173,$C1172-SUM($K1173:M1173)),0)),0)</f>
        <v>0</v>
      </c>
      <c r="O1173" s="247">
        <f ca="1">ROUND(IF(OR(AND($C1171=LataProjekcji,$E1171&gt;0),AND($C1171=LataProjekcji,$E1171=0,$D1172&lt;=10)),$E1172,IF($C1171&lt;LataProjekcji,IF((SUM($K1173:N1173)+$C1173)&lt;$C1172,$C1173,$C1172-SUM($K1173:N1173)),0)),0)</f>
        <v>0</v>
      </c>
      <c r="P1173" s="247">
        <f ca="1">ROUND(IF(OR(AND($C1171=LataProjekcji,$E1171&gt;0),AND($C1171=LataProjekcji,$E1171=0,$D1172&lt;=10)),$E1172,IF($C1171&lt;LataProjekcji,IF((SUM($K1173:O1173)+$C1173)&lt;$C1172,$C1173,$C1172-SUM($K1173:O1173)),0)),0)</f>
        <v>0</v>
      </c>
      <c r="Q1173" s="247">
        <f ca="1">ROUND(IF(OR(AND($C1171=LataProjekcji,$E1171&gt;0),AND($C1171=LataProjekcji,$E1171=0,$D1172&lt;=10)),$E1172,IF($C1171&lt;LataProjekcji,IF((SUM($K1173:P1173)+$C1173)&lt;$C1172,$C1173,$C1172-SUM($K1173:P1173)),0)),0)</f>
        <v>0</v>
      </c>
      <c r="R1173" s="247">
        <f ca="1">ROUND(IF(OR(AND($C1171=LataProjekcji,$E1171&gt;0),AND($C1171=LataProjekcji,$E1171=0,$D1172&lt;=10)),$E1172,IF($C1171&lt;LataProjekcji,IF((SUM($K1173:Q1173)+$C1173)&lt;$C1172,$C1173,$C1172-SUM($K1173:Q1173)),0)),0)</f>
        <v>0</v>
      </c>
      <c r="S1173" s="247">
        <f ca="1">ROUND(IF(OR(AND($C1171=LataProjekcji,$E1171&gt;0),AND($C1171=LataProjekcji,$E1171=0,$D1172&lt;=10)),$E1172,IF($C1171&lt;LataProjekcji,IF((SUM($K1173:R1173)+$C1173)&lt;$C1172,$C1173,$C1172-SUM($K1173:R1173)),0)),0)</f>
        <v>0</v>
      </c>
      <c r="T1173" s="247">
        <f ca="1">ROUND(IF(OR(AND($C1171=LataProjekcji,$E1171&gt;0),AND($C1171=LataProjekcji,$E1171=0,$D1172&lt;=10)),$E1172,IF($C1171&lt;LataProjekcji,IF((SUM($K1173:S1173)+$C1173)&lt;$C1172,$C1173,$C1172-SUM($K1173:S1173)),0)),0)</f>
        <v>0</v>
      </c>
      <c r="U1173" s="247">
        <f ca="1">ROUND(IF(OR(AND($C1171=LataProjekcji,$E1171&gt;0),AND($C1171=LataProjekcji,$E1171=0,$D1172&lt;=10)),$E1172,IF($C1171&lt;LataProjekcji,IF((SUM($K1173:T1173)+$C1173)&lt;$C1172,$C1173,$C1172-SUM($K1173:T1173)),0)),0)</f>
        <v>0</v>
      </c>
      <c r="V1173" s="247">
        <f ca="1">ROUND(IF(OR(AND($C1171=LataProjekcji,$E1171&gt;0),AND($C1171=LataProjekcji,$E1171=0,$D1172&lt;=10)),$E1172,IF($C1171&lt;LataProjekcji,IF((SUM($K1173:U1173)+$C1173)&lt;$C1172,$C1173,$C1172-SUM($K1173:U1173)),0)),0)</f>
        <v>0</v>
      </c>
      <c r="W1173" s="247">
        <f ca="1">ROUND(IF(OR(AND($C1171=LataProjekcji,$E1171&gt;0),AND($C1171=LataProjekcji,$E1171=0,$D1172&lt;=10)),$E1172,IF($C1171&lt;LataProjekcji,IF((SUM($K1173:V1173)+$C1173)&lt;$C1172,$C1173,$C1172-SUM($K1173:V1173)),0)),0)</f>
        <v>0</v>
      </c>
      <c r="X1173" s="247">
        <f ca="1">ROUND(IF(OR(AND($C1171=LataProjekcji,$E1171&gt;0),AND($C1171=LataProjekcji,$E1171=0,$D1172&lt;=10)),$E1172,IF($C1171&lt;LataProjekcji,IF((SUM($K1173:W1173)+$C1173)&lt;$C1172,$C1173,$C1172-SUM($K1173:W1173)),0)),0)</f>
        <v>0</v>
      </c>
    </row>
    <row r="1174" spans="1:24" hidden="1">
      <c r="A1174" s="258"/>
      <c r="B1174" s="21" t="s">
        <v>416</v>
      </c>
      <c r="C1174" s="22"/>
      <c r="D1174" s="21"/>
      <c r="E1174" s="21"/>
      <c r="F1174" s="21"/>
      <c r="G1174" s="21"/>
      <c r="I1174" s="21"/>
      <c r="J1174" s="21"/>
      <c r="K1174" s="22">
        <f ca="1">ROUND(K1173,0)</f>
        <v>0</v>
      </c>
      <c r="L1174" s="22">
        <f t="shared" ref="L1174:X1174" ca="1" si="509">ROUND(K1174+L1173,0)</f>
        <v>0</v>
      </c>
      <c r="M1174" s="22">
        <f t="shared" ca="1" si="509"/>
        <v>0</v>
      </c>
      <c r="N1174" s="22">
        <f t="shared" ca="1" si="509"/>
        <v>0</v>
      </c>
      <c r="O1174" s="22">
        <f t="shared" ca="1" si="509"/>
        <v>0</v>
      </c>
      <c r="P1174" s="22">
        <f t="shared" ca="1" si="509"/>
        <v>0</v>
      </c>
      <c r="Q1174" s="22">
        <f t="shared" ca="1" si="509"/>
        <v>0</v>
      </c>
      <c r="R1174" s="22">
        <f t="shared" ca="1" si="509"/>
        <v>0</v>
      </c>
      <c r="S1174" s="22">
        <f t="shared" ca="1" si="509"/>
        <v>0</v>
      </c>
      <c r="T1174" s="22">
        <f t="shared" ca="1" si="509"/>
        <v>0</v>
      </c>
      <c r="U1174" s="22">
        <f t="shared" ca="1" si="509"/>
        <v>0</v>
      </c>
      <c r="V1174" s="22">
        <f t="shared" ca="1" si="509"/>
        <v>0</v>
      </c>
      <c r="W1174" s="22">
        <f t="shared" ca="1" si="509"/>
        <v>0</v>
      </c>
      <c r="X1174" s="22">
        <f t="shared" ca="1" si="509"/>
        <v>0</v>
      </c>
    </row>
    <row r="1175" spans="1:24" hidden="1">
      <c r="A1175" s="258"/>
      <c r="B1175" s="21" t="s">
        <v>406</v>
      </c>
      <c r="C1175" s="22"/>
      <c r="D1175" s="21"/>
      <c r="E1175" s="21"/>
      <c r="F1175" s="21"/>
      <c r="G1175" s="21"/>
      <c r="I1175" s="21"/>
      <c r="J1175" s="21"/>
      <c r="K1175" s="76">
        <f t="shared" ref="K1175:X1175" ca="1" si="510">IF($C1171=LataProjekcji,ROUND($C1172-K1174,0),ROUND(IF(K1173=0,0,$C1172-K1174),0))</f>
        <v>0</v>
      </c>
      <c r="L1175" s="76">
        <f t="shared" ca="1" si="510"/>
        <v>0</v>
      </c>
      <c r="M1175" s="76">
        <f t="shared" ca="1" si="510"/>
        <v>0</v>
      </c>
      <c r="N1175" s="76">
        <f t="shared" ca="1" si="510"/>
        <v>0</v>
      </c>
      <c r="O1175" s="76">
        <f t="shared" ca="1" si="510"/>
        <v>0</v>
      </c>
      <c r="P1175" s="76">
        <f t="shared" ca="1" si="510"/>
        <v>0</v>
      </c>
      <c r="Q1175" s="76">
        <f t="shared" ca="1" si="510"/>
        <v>0</v>
      </c>
      <c r="R1175" s="76">
        <f t="shared" ca="1" si="510"/>
        <v>0</v>
      </c>
      <c r="S1175" s="76">
        <f t="shared" ca="1" si="510"/>
        <v>0</v>
      </c>
      <c r="T1175" s="76">
        <f t="shared" ca="1" si="510"/>
        <v>0</v>
      </c>
      <c r="U1175" s="76">
        <f t="shared" ca="1" si="510"/>
        <v>0</v>
      </c>
      <c r="V1175" s="76">
        <f t="shared" ca="1" si="510"/>
        <v>0</v>
      </c>
      <c r="W1175" s="76">
        <f t="shared" ca="1" si="510"/>
        <v>0</v>
      </c>
      <c r="X1175" s="76">
        <f t="shared" ca="1" si="510"/>
        <v>0</v>
      </c>
    </row>
    <row r="1176" spans="1:24" hidden="1">
      <c r="A1176" s="258"/>
      <c r="B1176" s="21"/>
      <c r="C1176" s="22"/>
      <c r="D1176" s="21"/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0" t="s">
        <v>393</v>
      </c>
      <c r="C1177" s="21">
        <f>C1170+1</f>
        <v>169</v>
      </c>
      <c r="D1177" s="473">
        <f>D1170+1</f>
        <v>430</v>
      </c>
      <c r="E1177" s="21"/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414</v>
      </c>
      <c r="C1178" s="164">
        <f ca="1">IFERROR(YEAR(OFFSET($D$28,C1177,0)),0)</f>
        <v>0</v>
      </c>
      <c r="D1178" s="164">
        <f ca="1">IFERROR(MONTH(OFFSET($D$28,C1177,0)),0)</f>
        <v>0</v>
      </c>
      <c r="E1178" s="21">
        <f ca="1">12-$D1178</f>
        <v>12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406</v>
      </c>
      <c r="C1179" s="244">
        <f ca="1">IF(OFFSET($F$28,C1177,0)&lt;0,0,OFFSET($F$28,C1177,0))</f>
        <v>0</v>
      </c>
      <c r="D1179" s="22" t="str">
        <f ca="1">OFFSET($C$28,C1177,0)</f>
        <v/>
      </c>
      <c r="E1179" s="22">
        <f ca="1">IF(D1179&gt;10,ROUND(($C1180/12)*$E1178,0),$C1179)</f>
        <v>0</v>
      </c>
      <c r="F1179" s="21"/>
      <c r="G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</row>
    <row r="1180" spans="1:24" hidden="1">
      <c r="A1180" s="258"/>
      <c r="B1180" s="21" t="s">
        <v>415</v>
      </c>
      <c r="C1180" s="244">
        <f ca="1">IF(ISBLANK(OFFSET($D$28,C1177,0)),0,IF(OFFSET($C$28,C1177,0)&gt;10,ROUND(C1179*am_inneST,0),IF(C1179&lt;0,0,C1179)))</f>
        <v>0</v>
      </c>
      <c r="D1180" s="21"/>
      <c r="E1180" s="21"/>
      <c r="F1180" s="21"/>
      <c r="G1180" s="21"/>
      <c r="I1180" s="21"/>
      <c r="J1180" s="473" cm="1">
        <f t="array" aca="1" ref="J1180" ca="1">OFFSET('Środki trwałe'!$C$195,'Rozliczenie dotacji'!D1177,,)</f>
        <v>0</v>
      </c>
      <c r="K1180" s="74">
        <f ca="1">ROUND(IF($C1178=LataProjekcji,$E1179,IF($C1178=LataProjekcji,$C1180,0)),0)</f>
        <v>0</v>
      </c>
      <c r="L1180" s="247">
        <f ca="1">ROUND(IF(OR(AND($C1178=LataProjekcji,$E1178&gt;0),AND($C1178=LataProjekcji,$E1178=0,$D1179&lt;=10)),$E1179,IF($C1178&lt;LataProjekcji,IF((SUM($K1180:K1180)+$C1180)&lt;$C1179,$C1180,$C1179-SUM($K1180:K1180)),0)),0)</f>
        <v>0</v>
      </c>
      <c r="M1180" s="247">
        <f ca="1">ROUND(IF(OR(AND($C1178=LataProjekcji,$E1178&gt;0),AND($C1178=LataProjekcji,$E1178=0,$D1179&lt;=10)),$E1179,IF($C1178&lt;LataProjekcji,IF((SUM($K1180:L1180)+$C1180)&lt;$C1179,$C1180,$C1179-SUM($K1180:L1180)),0)),0)</f>
        <v>0</v>
      </c>
      <c r="N1180" s="247">
        <f ca="1">ROUND(IF(OR(AND($C1178=LataProjekcji,$E1178&gt;0),AND($C1178=LataProjekcji,$E1178=0,$D1179&lt;=10)),$E1179,IF($C1178&lt;LataProjekcji,IF((SUM($K1180:M1180)+$C1180)&lt;$C1179,$C1180,$C1179-SUM($K1180:M1180)),0)),0)</f>
        <v>0</v>
      </c>
      <c r="O1180" s="247">
        <f ca="1">ROUND(IF(OR(AND($C1178=LataProjekcji,$E1178&gt;0),AND($C1178=LataProjekcji,$E1178=0,$D1179&lt;=10)),$E1179,IF($C1178&lt;LataProjekcji,IF((SUM($K1180:N1180)+$C1180)&lt;$C1179,$C1180,$C1179-SUM($K1180:N1180)),0)),0)</f>
        <v>0</v>
      </c>
      <c r="P1180" s="247">
        <f ca="1">ROUND(IF(OR(AND($C1178=LataProjekcji,$E1178&gt;0),AND($C1178=LataProjekcji,$E1178=0,$D1179&lt;=10)),$E1179,IF($C1178&lt;LataProjekcji,IF((SUM($K1180:O1180)+$C1180)&lt;$C1179,$C1180,$C1179-SUM($K1180:O1180)),0)),0)</f>
        <v>0</v>
      </c>
      <c r="Q1180" s="247">
        <f ca="1">ROUND(IF(OR(AND($C1178=LataProjekcji,$E1178&gt;0),AND($C1178=LataProjekcji,$E1178=0,$D1179&lt;=10)),$E1179,IF($C1178&lt;LataProjekcji,IF((SUM($K1180:P1180)+$C1180)&lt;$C1179,$C1180,$C1179-SUM($K1180:P1180)),0)),0)</f>
        <v>0</v>
      </c>
      <c r="R1180" s="247">
        <f ca="1">ROUND(IF(OR(AND($C1178=LataProjekcji,$E1178&gt;0),AND($C1178=LataProjekcji,$E1178=0,$D1179&lt;=10)),$E1179,IF($C1178&lt;LataProjekcji,IF((SUM($K1180:Q1180)+$C1180)&lt;$C1179,$C1180,$C1179-SUM($K1180:Q1180)),0)),0)</f>
        <v>0</v>
      </c>
      <c r="S1180" s="247">
        <f ca="1">ROUND(IF(OR(AND($C1178=LataProjekcji,$E1178&gt;0),AND($C1178=LataProjekcji,$E1178=0,$D1179&lt;=10)),$E1179,IF($C1178&lt;LataProjekcji,IF((SUM($K1180:R1180)+$C1180)&lt;$C1179,$C1180,$C1179-SUM($K1180:R1180)),0)),0)</f>
        <v>0</v>
      </c>
      <c r="T1180" s="247">
        <f ca="1">ROUND(IF(OR(AND($C1178=LataProjekcji,$E1178&gt;0),AND($C1178=LataProjekcji,$E1178=0,$D1179&lt;=10)),$E1179,IF($C1178&lt;LataProjekcji,IF((SUM($K1180:S1180)+$C1180)&lt;$C1179,$C1180,$C1179-SUM($K1180:S1180)),0)),0)</f>
        <v>0</v>
      </c>
      <c r="U1180" s="247">
        <f ca="1">ROUND(IF(OR(AND($C1178=LataProjekcji,$E1178&gt;0),AND($C1178=LataProjekcji,$E1178=0,$D1179&lt;=10)),$E1179,IF($C1178&lt;LataProjekcji,IF((SUM($K1180:T1180)+$C1180)&lt;$C1179,$C1180,$C1179-SUM($K1180:T1180)),0)),0)</f>
        <v>0</v>
      </c>
      <c r="V1180" s="247">
        <f ca="1">ROUND(IF(OR(AND($C1178=LataProjekcji,$E1178&gt;0),AND($C1178=LataProjekcji,$E1178=0,$D1179&lt;=10)),$E1179,IF($C1178&lt;LataProjekcji,IF((SUM($K1180:U1180)+$C1180)&lt;$C1179,$C1180,$C1179-SUM($K1180:U1180)),0)),0)</f>
        <v>0</v>
      </c>
      <c r="W1180" s="247">
        <f ca="1">ROUND(IF(OR(AND($C1178=LataProjekcji,$E1178&gt;0),AND($C1178=LataProjekcji,$E1178=0,$D1179&lt;=10)),$E1179,IF($C1178&lt;LataProjekcji,IF((SUM($K1180:V1180)+$C1180)&lt;$C1179,$C1180,$C1179-SUM($K1180:V1180)),0)),0)</f>
        <v>0</v>
      </c>
      <c r="X1180" s="247">
        <f ca="1">ROUND(IF(OR(AND($C1178=LataProjekcji,$E1178&gt;0),AND($C1178=LataProjekcji,$E1178=0,$D1179&lt;=10)),$E1179,IF($C1178&lt;LataProjekcji,IF((SUM($K1180:W1180)+$C1180)&lt;$C1179,$C1180,$C1179-SUM($K1180:W1180)),0)),0)</f>
        <v>0</v>
      </c>
    </row>
    <row r="1181" spans="1:24" hidden="1">
      <c r="A1181" s="258"/>
      <c r="B1181" s="21" t="s">
        <v>416</v>
      </c>
      <c r="C1181" s="22"/>
      <c r="D1181" s="21"/>
      <c r="E1181" s="21"/>
      <c r="F1181" s="21"/>
      <c r="G1181" s="21"/>
      <c r="I1181" s="21"/>
      <c r="J1181" s="21"/>
      <c r="K1181" s="22">
        <f ca="1">ROUND(K1180,0)</f>
        <v>0</v>
      </c>
      <c r="L1181" s="22">
        <f t="shared" ref="L1181:X1181" ca="1" si="511">ROUND(K1181+L1180,0)</f>
        <v>0</v>
      </c>
      <c r="M1181" s="22">
        <f t="shared" ca="1" si="511"/>
        <v>0</v>
      </c>
      <c r="N1181" s="22">
        <f t="shared" ca="1" si="511"/>
        <v>0</v>
      </c>
      <c r="O1181" s="22">
        <f t="shared" ca="1" si="511"/>
        <v>0</v>
      </c>
      <c r="P1181" s="22">
        <f t="shared" ca="1" si="511"/>
        <v>0</v>
      </c>
      <c r="Q1181" s="22">
        <f t="shared" ca="1" si="511"/>
        <v>0</v>
      </c>
      <c r="R1181" s="22">
        <f t="shared" ca="1" si="511"/>
        <v>0</v>
      </c>
      <c r="S1181" s="22">
        <f t="shared" ca="1" si="511"/>
        <v>0</v>
      </c>
      <c r="T1181" s="22">
        <f t="shared" ca="1" si="511"/>
        <v>0</v>
      </c>
      <c r="U1181" s="22">
        <f t="shared" ca="1" si="511"/>
        <v>0</v>
      </c>
      <c r="V1181" s="22">
        <f t="shared" ca="1" si="511"/>
        <v>0</v>
      </c>
      <c r="W1181" s="22">
        <f t="shared" ca="1" si="511"/>
        <v>0</v>
      </c>
      <c r="X1181" s="22">
        <f t="shared" ca="1" si="511"/>
        <v>0</v>
      </c>
    </row>
    <row r="1182" spans="1:24" hidden="1">
      <c r="A1182" s="258"/>
      <c r="B1182" s="21" t="s">
        <v>406</v>
      </c>
      <c r="C1182" s="22"/>
      <c r="D1182" s="21"/>
      <c r="E1182" s="21"/>
      <c r="F1182" s="21"/>
      <c r="G1182" s="21"/>
      <c r="I1182" s="21"/>
      <c r="J1182" s="21"/>
      <c r="K1182" s="76">
        <f t="shared" ref="K1182:X1182" ca="1" si="512">IF($C1178=LataProjekcji,ROUND($C1179-K1181,0),ROUND(IF(K1180=0,0,$C1179-K1181),0))</f>
        <v>0</v>
      </c>
      <c r="L1182" s="76">
        <f t="shared" ca="1" si="512"/>
        <v>0</v>
      </c>
      <c r="M1182" s="76">
        <f t="shared" ca="1" si="512"/>
        <v>0</v>
      </c>
      <c r="N1182" s="76">
        <f t="shared" ca="1" si="512"/>
        <v>0</v>
      </c>
      <c r="O1182" s="76">
        <f t="shared" ca="1" si="512"/>
        <v>0</v>
      </c>
      <c r="P1182" s="76">
        <f t="shared" ca="1" si="512"/>
        <v>0</v>
      </c>
      <c r="Q1182" s="76">
        <f t="shared" ca="1" si="512"/>
        <v>0</v>
      </c>
      <c r="R1182" s="76">
        <f t="shared" ca="1" si="512"/>
        <v>0</v>
      </c>
      <c r="S1182" s="76">
        <f t="shared" ca="1" si="512"/>
        <v>0</v>
      </c>
      <c r="T1182" s="76">
        <f t="shared" ca="1" si="512"/>
        <v>0</v>
      </c>
      <c r="U1182" s="76">
        <f t="shared" ca="1" si="512"/>
        <v>0</v>
      </c>
      <c r="V1182" s="76">
        <f t="shared" ca="1" si="512"/>
        <v>0</v>
      </c>
      <c r="W1182" s="76">
        <f t="shared" ca="1" si="512"/>
        <v>0</v>
      </c>
      <c r="X1182" s="76">
        <f t="shared" ca="1" si="512"/>
        <v>0</v>
      </c>
    </row>
    <row r="1183" spans="1:24" hidden="1">
      <c r="A1183" s="326"/>
      <c r="B1183" s="7"/>
      <c r="C1183" s="13"/>
    </row>
    <row r="1188" spans="1:24" hidden="1">
      <c r="A1188" s="164"/>
      <c r="B1188" s="7" t="s">
        <v>463</v>
      </c>
      <c r="K1188" s="496" t="str">
        <f>K25</f>
        <v>Uzupełnij dane</v>
      </c>
      <c r="L1188" s="496" t="str">
        <f t="shared" ref="L1188:X1188" si="513">L25</f>
        <v/>
      </c>
      <c r="M1188" s="496" t="str">
        <f t="shared" si="513"/>
        <v/>
      </c>
      <c r="N1188" s="496" t="str">
        <f t="shared" si="513"/>
        <v/>
      </c>
      <c r="O1188" s="496" t="str">
        <f t="shared" si="513"/>
        <v/>
      </c>
      <c r="P1188" s="496" t="str">
        <f t="shared" si="513"/>
        <v/>
      </c>
      <c r="Q1188" s="496" t="str">
        <f t="shared" si="513"/>
        <v/>
      </c>
      <c r="R1188" s="496" t="str">
        <f t="shared" si="513"/>
        <v/>
      </c>
      <c r="S1188" s="496" t="str">
        <f t="shared" si="513"/>
        <v/>
      </c>
      <c r="T1188" s="496" t="str">
        <f t="shared" si="513"/>
        <v/>
      </c>
      <c r="U1188" s="496" t="str">
        <f t="shared" si="513"/>
        <v/>
      </c>
      <c r="V1188" s="496" t="str">
        <f t="shared" si="513"/>
        <v/>
      </c>
      <c r="W1188" s="496" t="str">
        <f t="shared" si="513"/>
        <v/>
      </c>
      <c r="X1188" s="496" t="str">
        <f t="shared" si="513"/>
        <v/>
      </c>
    </row>
    <row r="1189" spans="1:24" hidden="1">
      <c r="A1189" s="164"/>
      <c r="B1189" s="14" t="s">
        <v>395</v>
      </c>
      <c r="C1189" s="15"/>
      <c r="D1189" s="15"/>
      <c r="E1189" s="15"/>
      <c r="F1189" s="15"/>
      <c r="G1189" s="15"/>
      <c r="H1189" s="324"/>
      <c r="I1189" s="15"/>
      <c r="J1189" s="15"/>
      <c r="K1189" s="16">
        <f ca="1">ROUND(SUM(K1190:K1191),0)</f>
        <v>0</v>
      </c>
      <c r="L1189" s="16">
        <f t="shared" ref="L1189:X1189" ca="1" si="514">ROUND(SUM(L1190:L1191),0)</f>
        <v>0</v>
      </c>
      <c r="M1189" s="16">
        <f t="shared" ca="1" si="514"/>
        <v>0</v>
      </c>
      <c r="N1189" s="16">
        <f t="shared" ca="1" si="514"/>
        <v>0</v>
      </c>
      <c r="O1189" s="16">
        <f t="shared" ca="1" si="514"/>
        <v>0</v>
      </c>
      <c r="P1189" s="16">
        <f t="shared" ca="1" si="514"/>
        <v>0</v>
      </c>
      <c r="Q1189" s="16">
        <f t="shared" ca="1" si="514"/>
        <v>0</v>
      </c>
      <c r="R1189" s="16">
        <f t="shared" ca="1" si="514"/>
        <v>0</v>
      </c>
      <c r="S1189" s="16">
        <f t="shared" ca="1" si="514"/>
        <v>0</v>
      </c>
      <c r="T1189" s="16">
        <f t="shared" ca="1" si="514"/>
        <v>0</v>
      </c>
      <c r="U1189" s="16">
        <f t="shared" ca="1" si="514"/>
        <v>0</v>
      </c>
      <c r="V1189" s="16">
        <f t="shared" ca="1" si="514"/>
        <v>0</v>
      </c>
      <c r="W1189" s="16">
        <f t="shared" ca="1" si="514"/>
        <v>0</v>
      </c>
      <c r="X1189" s="16">
        <f t="shared" ca="1" si="514"/>
        <v>0</v>
      </c>
    </row>
    <row r="1190" spans="1:24" hidden="1">
      <c r="A1190" s="164"/>
      <c r="B1190" s="8" t="s">
        <v>396</v>
      </c>
      <c r="K1190" s="5">
        <f t="shared" ref="K1190:X1190" ca="1" si="515">ROUND(K54,0)</f>
        <v>0</v>
      </c>
      <c r="L1190" s="5">
        <f t="shared" ca="1" si="515"/>
        <v>0</v>
      </c>
      <c r="M1190" s="5">
        <f t="shared" ca="1" si="515"/>
        <v>0</v>
      </c>
      <c r="N1190" s="5">
        <f t="shared" ca="1" si="515"/>
        <v>0</v>
      </c>
      <c r="O1190" s="5">
        <f t="shared" ca="1" si="515"/>
        <v>0</v>
      </c>
      <c r="P1190" s="5">
        <f t="shared" ca="1" si="515"/>
        <v>0</v>
      </c>
      <c r="Q1190" s="5">
        <f t="shared" ca="1" si="515"/>
        <v>0</v>
      </c>
      <c r="R1190" s="5">
        <f t="shared" ca="1" si="515"/>
        <v>0</v>
      </c>
      <c r="S1190" s="5">
        <f t="shared" ca="1" si="515"/>
        <v>0</v>
      </c>
      <c r="T1190" s="5">
        <f t="shared" ca="1" si="515"/>
        <v>0</v>
      </c>
      <c r="U1190" s="5">
        <f t="shared" ca="1" si="515"/>
        <v>0</v>
      </c>
      <c r="V1190" s="5">
        <f t="shared" ca="1" si="515"/>
        <v>0</v>
      </c>
      <c r="W1190" s="5">
        <f t="shared" ca="1" si="515"/>
        <v>0</v>
      </c>
      <c r="X1190" s="5">
        <f t="shared" ca="1" si="515"/>
        <v>0</v>
      </c>
    </row>
    <row r="1191" spans="1:24" hidden="1">
      <c r="A1191" s="164"/>
      <c r="B1191" s="8" t="s">
        <v>398</v>
      </c>
      <c r="K1191" s="5">
        <f t="shared" ref="K1191:X1191" ca="1" si="516">ROUND(K77,0)</f>
        <v>0</v>
      </c>
      <c r="L1191" s="5">
        <f t="shared" ca="1" si="516"/>
        <v>0</v>
      </c>
      <c r="M1191" s="5">
        <f t="shared" ca="1" si="516"/>
        <v>0</v>
      </c>
      <c r="N1191" s="5">
        <f t="shared" ca="1" si="516"/>
        <v>0</v>
      </c>
      <c r="O1191" s="5">
        <f t="shared" ca="1" si="516"/>
        <v>0</v>
      </c>
      <c r="P1191" s="5">
        <f t="shared" ca="1" si="516"/>
        <v>0</v>
      </c>
      <c r="Q1191" s="5">
        <f t="shared" ca="1" si="516"/>
        <v>0</v>
      </c>
      <c r="R1191" s="5">
        <f t="shared" ca="1" si="516"/>
        <v>0</v>
      </c>
      <c r="S1191" s="5">
        <f t="shared" ca="1" si="516"/>
        <v>0</v>
      </c>
      <c r="T1191" s="5">
        <f t="shared" ca="1" si="516"/>
        <v>0</v>
      </c>
      <c r="U1191" s="5">
        <f t="shared" ca="1" si="516"/>
        <v>0</v>
      </c>
      <c r="V1191" s="5">
        <f t="shared" ca="1" si="516"/>
        <v>0</v>
      </c>
      <c r="W1191" s="5">
        <f t="shared" ca="1" si="516"/>
        <v>0</v>
      </c>
      <c r="X1191" s="5">
        <f t="shared" ca="1" si="516"/>
        <v>0</v>
      </c>
    </row>
    <row r="1192" spans="1:24" hidden="1">
      <c r="A1192" s="164"/>
      <c r="B1192" s="14" t="s">
        <v>399</v>
      </c>
      <c r="C1192" s="15"/>
      <c r="D1192" s="15"/>
      <c r="E1192" s="15"/>
      <c r="F1192" s="15"/>
      <c r="G1192" s="15"/>
      <c r="H1192" s="324"/>
      <c r="I1192" s="15"/>
      <c r="J1192" s="15"/>
      <c r="K1192" s="16">
        <f ca="1">ROUND(SUM(K1193:K1197),0)</f>
        <v>0</v>
      </c>
      <c r="L1192" s="16">
        <f t="shared" ref="L1192:X1192" ca="1" si="517">ROUND(SUM(L1193:L1197),0)</f>
        <v>0</v>
      </c>
      <c r="M1192" s="16">
        <f t="shared" ca="1" si="517"/>
        <v>0</v>
      </c>
      <c r="N1192" s="16">
        <f t="shared" ca="1" si="517"/>
        <v>0</v>
      </c>
      <c r="O1192" s="16">
        <f t="shared" ca="1" si="517"/>
        <v>0</v>
      </c>
      <c r="P1192" s="16">
        <f t="shared" ca="1" si="517"/>
        <v>0</v>
      </c>
      <c r="Q1192" s="16">
        <f t="shared" ca="1" si="517"/>
        <v>0</v>
      </c>
      <c r="R1192" s="16">
        <f t="shared" ca="1" si="517"/>
        <v>0</v>
      </c>
      <c r="S1192" s="16">
        <f t="shared" ca="1" si="517"/>
        <v>0</v>
      </c>
      <c r="T1192" s="16">
        <f t="shared" ca="1" si="517"/>
        <v>0</v>
      </c>
      <c r="U1192" s="16">
        <f t="shared" ca="1" si="517"/>
        <v>0</v>
      </c>
      <c r="V1192" s="16">
        <f t="shared" ca="1" si="517"/>
        <v>0</v>
      </c>
      <c r="W1192" s="16">
        <f t="shared" ca="1" si="517"/>
        <v>0</v>
      </c>
      <c r="X1192" s="16">
        <f t="shared" ca="1" si="517"/>
        <v>0</v>
      </c>
    </row>
    <row r="1193" spans="1:24" hidden="1">
      <c r="A1193" s="164"/>
      <c r="B1193" s="8" t="s">
        <v>400</v>
      </c>
      <c r="K1193" s="5">
        <f t="shared" ref="K1193:X1193" ca="1" si="518">ROUND(K90,0)</f>
        <v>0</v>
      </c>
      <c r="L1193" s="5">
        <f t="shared" ca="1" si="518"/>
        <v>0</v>
      </c>
      <c r="M1193" s="5">
        <f t="shared" ca="1" si="518"/>
        <v>0</v>
      </c>
      <c r="N1193" s="5">
        <f t="shared" ca="1" si="518"/>
        <v>0</v>
      </c>
      <c r="O1193" s="5">
        <f t="shared" ca="1" si="518"/>
        <v>0</v>
      </c>
      <c r="P1193" s="5">
        <f t="shared" ca="1" si="518"/>
        <v>0</v>
      </c>
      <c r="Q1193" s="5">
        <f t="shared" ca="1" si="518"/>
        <v>0</v>
      </c>
      <c r="R1193" s="5">
        <f t="shared" ca="1" si="518"/>
        <v>0</v>
      </c>
      <c r="S1193" s="5">
        <f t="shared" ca="1" si="518"/>
        <v>0</v>
      </c>
      <c r="T1193" s="5">
        <f t="shared" ca="1" si="518"/>
        <v>0</v>
      </c>
      <c r="U1193" s="5">
        <f t="shared" ca="1" si="518"/>
        <v>0</v>
      </c>
      <c r="V1193" s="5">
        <f t="shared" ca="1" si="518"/>
        <v>0</v>
      </c>
      <c r="W1193" s="5">
        <f t="shared" ca="1" si="518"/>
        <v>0</v>
      </c>
      <c r="X1193" s="5">
        <f t="shared" ca="1" si="518"/>
        <v>0</v>
      </c>
    </row>
    <row r="1194" spans="1:24" hidden="1">
      <c r="A1194" s="164"/>
      <c r="B1194" s="8" t="s">
        <v>401</v>
      </c>
      <c r="K1194" s="5">
        <f t="shared" ref="K1194:X1194" ca="1" si="519">ROUND(K113,0)</f>
        <v>0</v>
      </c>
      <c r="L1194" s="5">
        <f t="shared" ca="1" si="519"/>
        <v>0</v>
      </c>
      <c r="M1194" s="5">
        <f t="shared" ca="1" si="519"/>
        <v>0</v>
      </c>
      <c r="N1194" s="5">
        <f t="shared" ca="1" si="519"/>
        <v>0</v>
      </c>
      <c r="O1194" s="5">
        <f t="shared" ca="1" si="519"/>
        <v>0</v>
      </c>
      <c r="P1194" s="5">
        <f t="shared" ca="1" si="519"/>
        <v>0</v>
      </c>
      <c r="Q1194" s="5">
        <f t="shared" ca="1" si="519"/>
        <v>0</v>
      </c>
      <c r="R1194" s="5">
        <f t="shared" ca="1" si="519"/>
        <v>0</v>
      </c>
      <c r="S1194" s="5">
        <f t="shared" ca="1" si="519"/>
        <v>0</v>
      </c>
      <c r="T1194" s="5">
        <f t="shared" ca="1" si="519"/>
        <v>0</v>
      </c>
      <c r="U1194" s="5">
        <f t="shared" ca="1" si="519"/>
        <v>0</v>
      </c>
      <c r="V1194" s="5">
        <f t="shared" ca="1" si="519"/>
        <v>0</v>
      </c>
      <c r="W1194" s="5">
        <f t="shared" ca="1" si="519"/>
        <v>0</v>
      </c>
      <c r="X1194" s="5">
        <f t="shared" ca="1" si="519"/>
        <v>0</v>
      </c>
    </row>
    <row r="1195" spans="1:24" hidden="1">
      <c r="A1195" s="164"/>
      <c r="B1195" s="8" t="s">
        <v>402</v>
      </c>
      <c r="K1195" s="5">
        <f t="shared" ref="K1195:X1195" ca="1" si="520">ROUND(K166,0)</f>
        <v>0</v>
      </c>
      <c r="L1195" s="5">
        <f t="shared" ca="1" si="520"/>
        <v>0</v>
      </c>
      <c r="M1195" s="5">
        <f t="shared" ca="1" si="520"/>
        <v>0</v>
      </c>
      <c r="N1195" s="5">
        <f t="shared" ca="1" si="520"/>
        <v>0</v>
      </c>
      <c r="O1195" s="5">
        <f t="shared" ca="1" si="520"/>
        <v>0</v>
      </c>
      <c r="P1195" s="5">
        <f t="shared" ca="1" si="520"/>
        <v>0</v>
      </c>
      <c r="Q1195" s="5">
        <f t="shared" ca="1" si="520"/>
        <v>0</v>
      </c>
      <c r="R1195" s="5">
        <f t="shared" ca="1" si="520"/>
        <v>0</v>
      </c>
      <c r="S1195" s="5">
        <f t="shared" ca="1" si="520"/>
        <v>0</v>
      </c>
      <c r="T1195" s="5">
        <f t="shared" ca="1" si="520"/>
        <v>0</v>
      </c>
      <c r="U1195" s="5">
        <f t="shared" ca="1" si="520"/>
        <v>0</v>
      </c>
      <c r="V1195" s="5">
        <f t="shared" ca="1" si="520"/>
        <v>0</v>
      </c>
      <c r="W1195" s="5">
        <f t="shared" ca="1" si="520"/>
        <v>0</v>
      </c>
      <c r="X1195" s="5">
        <f t="shared" ca="1" si="520"/>
        <v>0</v>
      </c>
    </row>
    <row r="1196" spans="1:24" hidden="1">
      <c r="A1196" s="164"/>
      <c r="B1196" s="8" t="s">
        <v>403</v>
      </c>
      <c r="K1196" s="5">
        <f t="shared" ref="K1196:X1196" ca="1" si="521">ROUND(K184,0)</f>
        <v>0</v>
      </c>
      <c r="L1196" s="5">
        <f t="shared" ca="1" si="521"/>
        <v>0</v>
      </c>
      <c r="M1196" s="5">
        <f t="shared" ca="1" si="521"/>
        <v>0</v>
      </c>
      <c r="N1196" s="5">
        <f t="shared" ca="1" si="521"/>
        <v>0</v>
      </c>
      <c r="O1196" s="5">
        <f t="shared" ca="1" si="521"/>
        <v>0</v>
      </c>
      <c r="P1196" s="5">
        <f t="shared" ca="1" si="521"/>
        <v>0</v>
      </c>
      <c r="Q1196" s="5">
        <f t="shared" ca="1" si="521"/>
        <v>0</v>
      </c>
      <c r="R1196" s="5">
        <f t="shared" ca="1" si="521"/>
        <v>0</v>
      </c>
      <c r="S1196" s="5">
        <f t="shared" ca="1" si="521"/>
        <v>0</v>
      </c>
      <c r="T1196" s="5">
        <f t="shared" ca="1" si="521"/>
        <v>0</v>
      </c>
      <c r="U1196" s="5">
        <f t="shared" ca="1" si="521"/>
        <v>0</v>
      </c>
      <c r="V1196" s="5">
        <f t="shared" ca="1" si="521"/>
        <v>0</v>
      </c>
      <c r="W1196" s="5">
        <f t="shared" ca="1" si="521"/>
        <v>0</v>
      </c>
      <c r="X1196" s="5">
        <f t="shared" ca="1" si="521"/>
        <v>0</v>
      </c>
    </row>
    <row r="1197" spans="1:24" hidden="1">
      <c r="A1197" s="164"/>
      <c r="B1197" s="8" t="s">
        <v>404</v>
      </c>
      <c r="K1197" s="5">
        <f t="shared" ref="K1197:X1197" ca="1" si="522">ROUND(K202,0)</f>
        <v>0</v>
      </c>
      <c r="L1197" s="5">
        <f t="shared" ca="1" si="522"/>
        <v>0</v>
      </c>
      <c r="M1197" s="5">
        <f t="shared" ca="1" si="522"/>
        <v>0</v>
      </c>
      <c r="N1197" s="5">
        <f t="shared" ca="1" si="522"/>
        <v>0</v>
      </c>
      <c r="O1197" s="5">
        <f t="shared" ca="1" si="522"/>
        <v>0</v>
      </c>
      <c r="P1197" s="5">
        <f t="shared" ca="1" si="522"/>
        <v>0</v>
      </c>
      <c r="Q1197" s="5">
        <f t="shared" ca="1" si="522"/>
        <v>0</v>
      </c>
      <c r="R1197" s="5">
        <f t="shared" ca="1" si="522"/>
        <v>0</v>
      </c>
      <c r="S1197" s="5">
        <f t="shared" ca="1" si="522"/>
        <v>0</v>
      </c>
      <c r="T1197" s="5">
        <f t="shared" ca="1" si="522"/>
        <v>0</v>
      </c>
      <c r="U1197" s="5">
        <f t="shared" ca="1" si="522"/>
        <v>0</v>
      </c>
      <c r="V1197" s="5">
        <f t="shared" ca="1" si="522"/>
        <v>0</v>
      </c>
      <c r="W1197" s="5">
        <f t="shared" ca="1" si="522"/>
        <v>0</v>
      </c>
      <c r="X1197" s="5">
        <f t="shared" ca="1" si="522"/>
        <v>0</v>
      </c>
    </row>
    <row r="1198" spans="1:24" hidden="1">
      <c r="A1198" s="164"/>
    </row>
    <row r="1199" spans="1:24" hidden="1">
      <c r="A1199" s="164"/>
    </row>
    <row r="1200" spans="1:24" hidden="1">
      <c r="A1200" s="164"/>
      <c r="B1200" s="7" t="s">
        <v>464</v>
      </c>
    </row>
    <row r="1201" spans="1:24" hidden="1">
      <c r="A1201" s="164"/>
      <c r="B1201" s="14" t="s">
        <v>395</v>
      </c>
      <c r="K1201" s="16">
        <f ca="1">ROUND(SUM(K1202:K1203),0)</f>
        <v>0</v>
      </c>
      <c r="L1201" s="16">
        <f t="shared" ref="L1201:X1201" ca="1" si="523">ROUND(SUM(L1202:L1203),0)</f>
        <v>0</v>
      </c>
      <c r="M1201" s="16">
        <f t="shared" ca="1" si="523"/>
        <v>0</v>
      </c>
      <c r="N1201" s="16">
        <f t="shared" ca="1" si="523"/>
        <v>0</v>
      </c>
      <c r="O1201" s="16">
        <f t="shared" ca="1" si="523"/>
        <v>0</v>
      </c>
      <c r="P1201" s="16">
        <f t="shared" ca="1" si="523"/>
        <v>0</v>
      </c>
      <c r="Q1201" s="16">
        <f t="shared" ca="1" si="523"/>
        <v>0</v>
      </c>
      <c r="R1201" s="16">
        <f t="shared" ca="1" si="523"/>
        <v>0</v>
      </c>
      <c r="S1201" s="16">
        <f t="shared" ca="1" si="523"/>
        <v>0</v>
      </c>
      <c r="T1201" s="16">
        <f t="shared" ca="1" si="523"/>
        <v>0</v>
      </c>
      <c r="U1201" s="16">
        <f t="shared" ca="1" si="523"/>
        <v>0</v>
      </c>
      <c r="V1201" s="16">
        <f t="shared" ca="1" si="523"/>
        <v>0</v>
      </c>
      <c r="W1201" s="16">
        <f t="shared" ca="1" si="523"/>
        <v>0</v>
      </c>
      <c r="X1201" s="16">
        <f t="shared" ca="1" si="523"/>
        <v>0</v>
      </c>
    </row>
    <row r="1202" spans="1:24" hidden="1">
      <c r="A1202" s="164"/>
      <c r="B1202" s="8" t="s">
        <v>396</v>
      </c>
      <c r="K1202" s="5">
        <f t="shared" ref="K1202:X1202" ca="1" si="524">ROUND(K50,0)</f>
        <v>0</v>
      </c>
      <c r="L1202" s="5">
        <f t="shared" ca="1" si="524"/>
        <v>0</v>
      </c>
      <c r="M1202" s="5">
        <f t="shared" ca="1" si="524"/>
        <v>0</v>
      </c>
      <c r="N1202" s="5">
        <f t="shared" ca="1" si="524"/>
        <v>0</v>
      </c>
      <c r="O1202" s="5">
        <f t="shared" ca="1" si="524"/>
        <v>0</v>
      </c>
      <c r="P1202" s="5">
        <f t="shared" ca="1" si="524"/>
        <v>0</v>
      </c>
      <c r="Q1202" s="5">
        <f t="shared" ca="1" si="524"/>
        <v>0</v>
      </c>
      <c r="R1202" s="5">
        <f t="shared" ca="1" si="524"/>
        <v>0</v>
      </c>
      <c r="S1202" s="5">
        <f t="shared" ca="1" si="524"/>
        <v>0</v>
      </c>
      <c r="T1202" s="5">
        <f t="shared" ca="1" si="524"/>
        <v>0</v>
      </c>
      <c r="U1202" s="5">
        <f t="shared" ca="1" si="524"/>
        <v>0</v>
      </c>
      <c r="V1202" s="5">
        <f t="shared" ca="1" si="524"/>
        <v>0</v>
      </c>
      <c r="W1202" s="5">
        <f t="shared" ca="1" si="524"/>
        <v>0</v>
      </c>
      <c r="X1202" s="5">
        <f t="shared" ca="1" si="524"/>
        <v>0</v>
      </c>
    </row>
    <row r="1203" spans="1:24" hidden="1">
      <c r="A1203" s="164"/>
      <c r="B1203" s="8" t="s">
        <v>398</v>
      </c>
      <c r="K1203" s="5">
        <f t="shared" ref="K1203:X1203" si="525">ROUND(K73,0)</f>
        <v>0</v>
      </c>
      <c r="L1203" s="5">
        <f t="shared" si="525"/>
        <v>0</v>
      </c>
      <c r="M1203" s="5">
        <f t="shared" si="525"/>
        <v>0</v>
      </c>
      <c r="N1203" s="5">
        <f t="shared" si="525"/>
        <v>0</v>
      </c>
      <c r="O1203" s="5">
        <f t="shared" si="525"/>
        <v>0</v>
      </c>
      <c r="P1203" s="5">
        <f t="shared" si="525"/>
        <v>0</v>
      </c>
      <c r="Q1203" s="5">
        <f t="shared" si="525"/>
        <v>0</v>
      </c>
      <c r="R1203" s="5">
        <f t="shared" si="525"/>
        <v>0</v>
      </c>
      <c r="S1203" s="5">
        <f t="shared" si="525"/>
        <v>0</v>
      </c>
      <c r="T1203" s="5">
        <f t="shared" si="525"/>
        <v>0</v>
      </c>
      <c r="U1203" s="5">
        <f t="shared" si="525"/>
        <v>0</v>
      </c>
      <c r="V1203" s="5">
        <f t="shared" si="525"/>
        <v>0</v>
      </c>
      <c r="W1203" s="5">
        <f t="shared" si="525"/>
        <v>0</v>
      </c>
      <c r="X1203" s="5">
        <f t="shared" si="525"/>
        <v>0</v>
      </c>
    </row>
    <row r="1204" spans="1:24" hidden="1">
      <c r="A1204" s="164"/>
      <c r="B1204" s="14" t="s">
        <v>399</v>
      </c>
      <c r="K1204" s="16">
        <f>ROUND(SUM(K1205:K1209),0)</f>
        <v>0</v>
      </c>
      <c r="L1204" s="16">
        <f t="shared" ref="L1204:X1204" si="526">ROUND(SUM(L1205:L1209),0)</f>
        <v>0</v>
      </c>
      <c r="M1204" s="16">
        <f t="shared" si="526"/>
        <v>0</v>
      </c>
      <c r="N1204" s="16">
        <f t="shared" si="526"/>
        <v>0</v>
      </c>
      <c r="O1204" s="16">
        <f t="shared" si="526"/>
        <v>0</v>
      </c>
      <c r="P1204" s="16">
        <f t="shared" si="526"/>
        <v>0</v>
      </c>
      <c r="Q1204" s="16">
        <f t="shared" si="526"/>
        <v>0</v>
      </c>
      <c r="R1204" s="16">
        <f t="shared" si="526"/>
        <v>0</v>
      </c>
      <c r="S1204" s="16">
        <f t="shared" si="526"/>
        <v>0</v>
      </c>
      <c r="T1204" s="16">
        <f t="shared" si="526"/>
        <v>0</v>
      </c>
      <c r="U1204" s="16">
        <f t="shared" si="526"/>
        <v>0</v>
      </c>
      <c r="V1204" s="16">
        <f t="shared" si="526"/>
        <v>0</v>
      </c>
      <c r="W1204" s="16">
        <f t="shared" si="526"/>
        <v>0</v>
      </c>
      <c r="X1204" s="16">
        <f t="shared" si="526"/>
        <v>0</v>
      </c>
    </row>
    <row r="1205" spans="1:24" hidden="1">
      <c r="A1205" s="164"/>
      <c r="B1205" s="8" t="s">
        <v>400</v>
      </c>
      <c r="K1205" s="5">
        <f t="shared" ref="K1205:X1205" si="527">ROUND(K86,0)</f>
        <v>0</v>
      </c>
      <c r="L1205" s="5">
        <f t="shared" si="527"/>
        <v>0</v>
      </c>
      <c r="M1205" s="5">
        <f t="shared" si="527"/>
        <v>0</v>
      </c>
      <c r="N1205" s="5">
        <f t="shared" si="527"/>
        <v>0</v>
      </c>
      <c r="O1205" s="5">
        <f t="shared" si="527"/>
        <v>0</v>
      </c>
      <c r="P1205" s="5">
        <f t="shared" si="527"/>
        <v>0</v>
      </c>
      <c r="Q1205" s="5">
        <f t="shared" si="527"/>
        <v>0</v>
      </c>
      <c r="R1205" s="5">
        <f t="shared" si="527"/>
        <v>0</v>
      </c>
      <c r="S1205" s="5">
        <f t="shared" si="527"/>
        <v>0</v>
      </c>
      <c r="T1205" s="5">
        <f t="shared" si="527"/>
        <v>0</v>
      </c>
      <c r="U1205" s="5">
        <f t="shared" si="527"/>
        <v>0</v>
      </c>
      <c r="V1205" s="5">
        <f t="shared" si="527"/>
        <v>0</v>
      </c>
      <c r="W1205" s="5">
        <f t="shared" si="527"/>
        <v>0</v>
      </c>
      <c r="X1205" s="5">
        <f t="shared" si="527"/>
        <v>0</v>
      </c>
    </row>
    <row r="1206" spans="1:24" hidden="1">
      <c r="A1206" s="164"/>
      <c r="B1206" s="8" t="s">
        <v>401</v>
      </c>
      <c r="K1206" s="5">
        <f t="shared" ref="K1206:X1206" si="528">ROUND(K109,)</f>
        <v>0</v>
      </c>
      <c r="L1206" s="5">
        <f t="shared" si="528"/>
        <v>0</v>
      </c>
      <c r="M1206" s="5">
        <f t="shared" si="528"/>
        <v>0</v>
      </c>
      <c r="N1206" s="5">
        <f t="shared" si="528"/>
        <v>0</v>
      </c>
      <c r="O1206" s="5">
        <f t="shared" si="528"/>
        <v>0</v>
      </c>
      <c r="P1206" s="5">
        <f t="shared" si="528"/>
        <v>0</v>
      </c>
      <c r="Q1206" s="5">
        <f t="shared" si="528"/>
        <v>0</v>
      </c>
      <c r="R1206" s="5">
        <f t="shared" si="528"/>
        <v>0</v>
      </c>
      <c r="S1206" s="5">
        <f t="shared" si="528"/>
        <v>0</v>
      </c>
      <c r="T1206" s="5">
        <f t="shared" si="528"/>
        <v>0</v>
      </c>
      <c r="U1206" s="5">
        <f t="shared" si="528"/>
        <v>0</v>
      </c>
      <c r="V1206" s="5">
        <f t="shared" si="528"/>
        <v>0</v>
      </c>
      <c r="W1206" s="5">
        <f t="shared" si="528"/>
        <v>0</v>
      </c>
      <c r="X1206" s="5">
        <f t="shared" si="528"/>
        <v>0</v>
      </c>
    </row>
    <row r="1207" spans="1:24" hidden="1">
      <c r="A1207" s="164"/>
      <c r="B1207" s="8" t="s">
        <v>402</v>
      </c>
      <c r="K1207" s="5">
        <f t="shared" ref="K1207:X1207" si="529">ROUND(K162,0)</f>
        <v>0</v>
      </c>
      <c r="L1207" s="5">
        <f t="shared" si="529"/>
        <v>0</v>
      </c>
      <c r="M1207" s="5">
        <f t="shared" si="529"/>
        <v>0</v>
      </c>
      <c r="N1207" s="5">
        <f t="shared" si="529"/>
        <v>0</v>
      </c>
      <c r="O1207" s="5">
        <f t="shared" si="529"/>
        <v>0</v>
      </c>
      <c r="P1207" s="5">
        <f t="shared" si="529"/>
        <v>0</v>
      </c>
      <c r="Q1207" s="5">
        <f t="shared" si="529"/>
        <v>0</v>
      </c>
      <c r="R1207" s="5">
        <f t="shared" si="529"/>
        <v>0</v>
      </c>
      <c r="S1207" s="5">
        <f t="shared" si="529"/>
        <v>0</v>
      </c>
      <c r="T1207" s="5">
        <f t="shared" si="529"/>
        <v>0</v>
      </c>
      <c r="U1207" s="5">
        <f t="shared" si="529"/>
        <v>0</v>
      </c>
      <c r="V1207" s="5">
        <f t="shared" si="529"/>
        <v>0</v>
      </c>
      <c r="W1207" s="5">
        <f t="shared" si="529"/>
        <v>0</v>
      </c>
      <c r="X1207" s="5">
        <f t="shared" si="529"/>
        <v>0</v>
      </c>
    </row>
    <row r="1208" spans="1:24" hidden="1">
      <c r="A1208" s="164"/>
      <c r="B1208" s="8" t="s">
        <v>403</v>
      </c>
      <c r="K1208" s="5">
        <f t="shared" ref="K1208:X1208" si="530">ROUND(K180,0)</f>
        <v>0</v>
      </c>
      <c r="L1208" s="5">
        <f t="shared" si="530"/>
        <v>0</v>
      </c>
      <c r="M1208" s="5">
        <f t="shared" si="530"/>
        <v>0</v>
      </c>
      <c r="N1208" s="5">
        <f t="shared" si="530"/>
        <v>0</v>
      </c>
      <c r="O1208" s="5">
        <f t="shared" si="530"/>
        <v>0</v>
      </c>
      <c r="P1208" s="5">
        <f t="shared" si="530"/>
        <v>0</v>
      </c>
      <c r="Q1208" s="5">
        <f t="shared" si="530"/>
        <v>0</v>
      </c>
      <c r="R1208" s="5">
        <f t="shared" si="530"/>
        <v>0</v>
      </c>
      <c r="S1208" s="5">
        <f t="shared" si="530"/>
        <v>0</v>
      </c>
      <c r="T1208" s="5">
        <f t="shared" si="530"/>
        <v>0</v>
      </c>
      <c r="U1208" s="5">
        <f t="shared" si="530"/>
        <v>0</v>
      </c>
      <c r="V1208" s="5">
        <f t="shared" si="530"/>
        <v>0</v>
      </c>
      <c r="W1208" s="5">
        <f t="shared" si="530"/>
        <v>0</v>
      </c>
      <c r="X1208" s="5">
        <f t="shared" si="530"/>
        <v>0</v>
      </c>
    </row>
    <row r="1209" spans="1:24" hidden="1">
      <c r="A1209" s="164"/>
      <c r="B1209" s="8" t="s">
        <v>404</v>
      </c>
      <c r="K1209" s="5">
        <f t="shared" ref="K1209:X1209" si="531">ROUND(K198,0)</f>
        <v>0</v>
      </c>
      <c r="L1209" s="5">
        <f t="shared" si="531"/>
        <v>0</v>
      </c>
      <c r="M1209" s="5">
        <f t="shared" si="531"/>
        <v>0</v>
      </c>
      <c r="N1209" s="5">
        <f t="shared" si="531"/>
        <v>0</v>
      </c>
      <c r="O1209" s="5">
        <f t="shared" si="531"/>
        <v>0</v>
      </c>
      <c r="P1209" s="5">
        <f t="shared" si="531"/>
        <v>0</v>
      </c>
      <c r="Q1209" s="5">
        <f t="shared" si="531"/>
        <v>0</v>
      </c>
      <c r="R1209" s="5">
        <f t="shared" si="531"/>
        <v>0</v>
      </c>
      <c r="S1209" s="5">
        <f t="shared" si="531"/>
        <v>0</v>
      </c>
      <c r="T1209" s="5">
        <f t="shared" si="531"/>
        <v>0</v>
      </c>
      <c r="U1209" s="5">
        <f t="shared" si="531"/>
        <v>0</v>
      </c>
      <c r="V1209" s="5">
        <f t="shared" si="531"/>
        <v>0</v>
      </c>
      <c r="W1209" s="5">
        <f t="shared" si="531"/>
        <v>0</v>
      </c>
      <c r="X1209" s="5">
        <f t="shared" si="531"/>
        <v>0</v>
      </c>
    </row>
    <row r="1210" spans="1:24" hidden="1">
      <c r="A1210" s="164"/>
      <c r="B1210" s="7" t="s">
        <v>465</v>
      </c>
      <c r="K1210" s="13">
        <f ca="1">ROUND(K1204+K1201,0)</f>
        <v>0</v>
      </c>
      <c r="L1210" s="13">
        <f t="shared" ref="L1210:X1210" ca="1" si="532">ROUND(L1204+L1201,0)</f>
        <v>0</v>
      </c>
      <c r="M1210" s="13">
        <f t="shared" ca="1" si="532"/>
        <v>0</v>
      </c>
      <c r="N1210" s="13">
        <f t="shared" ca="1" si="532"/>
        <v>0</v>
      </c>
      <c r="O1210" s="13">
        <f t="shared" ca="1" si="532"/>
        <v>0</v>
      </c>
      <c r="P1210" s="13">
        <f t="shared" ca="1" si="532"/>
        <v>0</v>
      </c>
      <c r="Q1210" s="13">
        <f t="shared" ca="1" si="532"/>
        <v>0</v>
      </c>
      <c r="R1210" s="13">
        <f t="shared" ca="1" si="532"/>
        <v>0</v>
      </c>
      <c r="S1210" s="13">
        <f t="shared" ca="1" si="532"/>
        <v>0</v>
      </c>
      <c r="T1210" s="13">
        <f t="shared" ca="1" si="532"/>
        <v>0</v>
      </c>
      <c r="U1210" s="13">
        <f t="shared" ca="1" si="532"/>
        <v>0</v>
      </c>
      <c r="V1210" s="13">
        <f t="shared" ca="1" si="532"/>
        <v>0</v>
      </c>
      <c r="W1210" s="13">
        <f t="shared" ca="1" si="532"/>
        <v>0</v>
      </c>
      <c r="X1210" s="13">
        <f t="shared" ca="1" si="532"/>
        <v>0</v>
      </c>
    </row>
    <row r="1211" spans="1:24" hidden="1">
      <c r="A1211" s="164"/>
      <c r="B1211" s="7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</row>
    <row r="1212" spans="1:24" hidden="1">
      <c r="A1212" s="164"/>
      <c r="B1212" s="7" t="s">
        <v>466</v>
      </c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</row>
    <row r="1213" spans="1:24" hidden="1">
      <c r="A1213" s="164"/>
      <c r="B1213" s="8" t="s">
        <v>467</v>
      </c>
      <c r="K1213" s="5">
        <f ca="1">K1201</f>
        <v>0</v>
      </c>
      <c r="L1213" s="5">
        <f t="shared" ref="L1213:X1213" ca="1" si="533">L1201</f>
        <v>0</v>
      </c>
      <c r="M1213" s="5">
        <f t="shared" ca="1" si="533"/>
        <v>0</v>
      </c>
      <c r="N1213" s="5">
        <f t="shared" ca="1" si="533"/>
        <v>0</v>
      </c>
      <c r="O1213" s="5">
        <f t="shared" ca="1" si="533"/>
        <v>0</v>
      </c>
      <c r="P1213" s="5">
        <f t="shared" ca="1" si="533"/>
        <v>0</v>
      </c>
      <c r="Q1213" s="5">
        <f t="shared" ca="1" si="533"/>
        <v>0</v>
      </c>
      <c r="R1213" s="5">
        <f t="shared" ca="1" si="533"/>
        <v>0</v>
      </c>
      <c r="S1213" s="5">
        <f t="shared" ca="1" si="533"/>
        <v>0</v>
      </c>
      <c r="T1213" s="5">
        <f t="shared" ca="1" si="533"/>
        <v>0</v>
      </c>
      <c r="U1213" s="5">
        <f t="shared" ca="1" si="533"/>
        <v>0</v>
      </c>
      <c r="V1213" s="5">
        <f t="shared" ca="1" si="533"/>
        <v>0</v>
      </c>
      <c r="W1213" s="5">
        <f t="shared" ca="1" si="533"/>
        <v>0</v>
      </c>
      <c r="X1213" s="5">
        <f t="shared" ca="1" si="533"/>
        <v>0</v>
      </c>
    </row>
    <row r="1214" spans="1:24" hidden="1">
      <c r="A1214" s="164"/>
      <c r="B1214" s="8" t="s">
        <v>468</v>
      </c>
      <c r="K1214" s="5">
        <f t="shared" ref="K1214:X1214" si="534">K1204</f>
        <v>0</v>
      </c>
      <c r="L1214" s="5">
        <f t="shared" si="534"/>
        <v>0</v>
      </c>
      <c r="M1214" s="5">
        <f t="shared" si="534"/>
        <v>0</v>
      </c>
      <c r="N1214" s="5">
        <f t="shared" si="534"/>
        <v>0</v>
      </c>
      <c r="O1214" s="5">
        <f t="shared" si="534"/>
        <v>0</v>
      </c>
      <c r="P1214" s="5">
        <f t="shared" si="534"/>
        <v>0</v>
      </c>
      <c r="Q1214" s="5">
        <f t="shared" si="534"/>
        <v>0</v>
      </c>
      <c r="R1214" s="5">
        <f t="shared" si="534"/>
        <v>0</v>
      </c>
      <c r="S1214" s="5">
        <f t="shared" si="534"/>
        <v>0</v>
      </c>
      <c r="T1214" s="5">
        <f t="shared" si="534"/>
        <v>0</v>
      </c>
      <c r="U1214" s="5">
        <f t="shared" si="534"/>
        <v>0</v>
      </c>
      <c r="V1214" s="5">
        <f t="shared" si="534"/>
        <v>0</v>
      </c>
      <c r="W1214" s="5">
        <f t="shared" si="534"/>
        <v>0</v>
      </c>
      <c r="X1214" s="5">
        <f t="shared" si="534"/>
        <v>0</v>
      </c>
    </row>
    <row r="1215" spans="1:24" hidden="1">
      <c r="A1215" s="164"/>
      <c r="B1215" s="8" t="s">
        <v>469</v>
      </c>
      <c r="K1215" s="5">
        <f t="shared" ref="K1215:X1215" si="535">K250</f>
        <v>0</v>
      </c>
      <c r="L1215" s="5">
        <f t="shared" si="535"/>
        <v>0</v>
      </c>
      <c r="M1215" s="5">
        <f t="shared" si="535"/>
        <v>0</v>
      </c>
      <c r="N1215" s="5">
        <f t="shared" si="535"/>
        <v>0</v>
      </c>
      <c r="O1215" s="5">
        <f t="shared" si="535"/>
        <v>0</v>
      </c>
      <c r="P1215" s="5">
        <f t="shared" si="535"/>
        <v>0</v>
      </c>
      <c r="Q1215" s="5">
        <f t="shared" si="535"/>
        <v>0</v>
      </c>
      <c r="R1215" s="5">
        <f t="shared" si="535"/>
        <v>0</v>
      </c>
      <c r="S1215" s="5">
        <f t="shared" si="535"/>
        <v>0</v>
      </c>
      <c r="T1215" s="5">
        <f t="shared" si="535"/>
        <v>0</v>
      </c>
      <c r="U1215" s="5">
        <f t="shared" si="535"/>
        <v>0</v>
      </c>
      <c r="V1215" s="5">
        <f t="shared" si="535"/>
        <v>0</v>
      </c>
      <c r="W1215" s="5">
        <f t="shared" si="535"/>
        <v>0</v>
      </c>
      <c r="X1215" s="5">
        <f t="shared" si="535"/>
        <v>0</v>
      </c>
    </row>
    <row r="1216" spans="1:24" hidden="1">
      <c r="A1216" s="164"/>
      <c r="B1216" s="7" t="s">
        <v>335</v>
      </c>
      <c r="K1216" s="13">
        <f ca="1">SUM(K1213:K1215)</f>
        <v>0</v>
      </c>
      <c r="L1216" s="13">
        <f t="shared" ref="L1216:X1216" ca="1" si="536">SUM(L1213:L1215)</f>
        <v>0</v>
      </c>
      <c r="M1216" s="13">
        <f t="shared" ca="1" si="536"/>
        <v>0</v>
      </c>
      <c r="N1216" s="13">
        <f ca="1">SUM(N1213:N1215)</f>
        <v>0</v>
      </c>
      <c r="O1216" s="13">
        <f t="shared" ca="1" si="536"/>
        <v>0</v>
      </c>
      <c r="P1216" s="13">
        <f t="shared" ca="1" si="536"/>
        <v>0</v>
      </c>
      <c r="Q1216" s="13">
        <f t="shared" ca="1" si="536"/>
        <v>0</v>
      </c>
      <c r="R1216" s="13">
        <f t="shared" ca="1" si="536"/>
        <v>0</v>
      </c>
      <c r="S1216" s="13">
        <f t="shared" ca="1" si="536"/>
        <v>0</v>
      </c>
      <c r="T1216" s="13">
        <f t="shared" ca="1" si="536"/>
        <v>0</v>
      </c>
      <c r="U1216" s="13">
        <f t="shared" ca="1" si="536"/>
        <v>0</v>
      </c>
      <c r="V1216" s="13">
        <f t="shared" ca="1" si="536"/>
        <v>0</v>
      </c>
      <c r="W1216" s="13">
        <f t="shared" ca="1" si="536"/>
        <v>0</v>
      </c>
      <c r="X1216" s="13">
        <f t="shared" ca="1" si="536"/>
        <v>0</v>
      </c>
    </row>
    <row r="1217" spans="1:24" hidden="1">
      <c r="A1217" s="258"/>
      <c r="B1217" s="7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</row>
    <row r="1218" spans="1:24" hidden="1">
      <c r="A1218" s="258"/>
      <c r="B1218" s="7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</row>
    <row r="1222" spans="1:24" hidden="1">
      <c r="G1222" s="1" t="s">
        <v>784</v>
      </c>
      <c r="K1222" s="2" t="str">
        <f>K1188</f>
        <v>Uzupełnij dane</v>
      </c>
      <c r="L1222" s="2" t="str">
        <f t="shared" ref="L1222:X1222" si="537">L1188</f>
        <v/>
      </c>
      <c r="M1222" s="2" t="str">
        <f t="shared" si="537"/>
        <v/>
      </c>
      <c r="N1222" s="2" t="str">
        <f t="shared" si="537"/>
        <v/>
      </c>
      <c r="O1222" s="2" t="str">
        <f t="shared" si="537"/>
        <v/>
      </c>
      <c r="P1222" s="2" t="str">
        <f t="shared" si="537"/>
        <v/>
      </c>
      <c r="Q1222" s="2" t="str">
        <f t="shared" si="537"/>
        <v/>
      </c>
      <c r="R1222" s="2" t="str">
        <f t="shared" si="537"/>
        <v/>
      </c>
      <c r="S1222" s="2" t="str">
        <f t="shared" si="537"/>
        <v/>
      </c>
      <c r="T1222" s="2" t="str">
        <f t="shared" si="537"/>
        <v/>
      </c>
      <c r="U1222" s="2" t="str">
        <f t="shared" si="537"/>
        <v/>
      </c>
      <c r="V1222" s="2" t="str">
        <f t="shared" si="537"/>
        <v/>
      </c>
      <c r="W1222" s="2" t="str">
        <f t="shared" si="537"/>
        <v/>
      </c>
      <c r="X1222" s="2" t="str">
        <f t="shared" si="537"/>
        <v/>
      </c>
    </row>
    <row r="1223" spans="1:24" hidden="1">
      <c r="J1223" s="1" t="s">
        <v>103</v>
      </c>
      <c r="K1223" s="5" cm="1">
        <f t="array" ref="K1223">IF(K$1222&lt;=Koniec,SUMPRODUCT(ISNUMBER(MATCH(mod_dot_st_npv,$J1223,0))*('Koszty operacyjne'!$K$114:$X$114=Moduły!C$77),mod_dot_st_npv_war),0)</f>
        <v>0</v>
      </c>
      <c r="L1223" s="5" cm="1">
        <f t="array" aca="1" ref="L1223" ca="1">IF(L$1222&lt;=Koniec,SUMPRODUCT(ISNUMBER(MATCH(mod_dot_st_npv,$J1223,0))*('Koszty operacyjne'!$K$114:$X$114=Moduły!D$77),mod_dot_st_npv_war),0)</f>
        <v>0</v>
      </c>
      <c r="M1223" s="5" cm="1">
        <f t="array" aca="1" ref="M1223" ca="1">IF(M$1222&lt;=Koniec,SUMPRODUCT(ISNUMBER(MATCH(mod_dot_st_npv,$J1223,0))*('Koszty operacyjne'!$K$114:$X$114=Moduły!E$77),mod_dot_st_npv_war),0)</f>
        <v>0</v>
      </c>
      <c r="N1223" s="5" cm="1">
        <f t="array" aca="1" ref="N1223" ca="1">IF(N$1222&lt;=Koniec,SUMPRODUCT(ISNUMBER(MATCH(mod_dot_st_npv,$J1223,0))*('Koszty operacyjne'!$K$114:$X$114=Moduły!F$77),mod_dot_st_npv_war),0)</f>
        <v>0</v>
      </c>
      <c r="O1223" s="5" cm="1">
        <f t="array" aca="1" ref="O1223" ca="1">IF(O$1222&lt;=Koniec,SUMPRODUCT(ISNUMBER(MATCH(mod_dot_st_npv,$J1223,0))*('Koszty operacyjne'!$K$114:$X$114=Moduły!G$77),mod_dot_st_npv_war),0)</f>
        <v>0</v>
      </c>
      <c r="P1223" s="5" cm="1">
        <f t="array" aca="1" ref="P1223" ca="1">IF(P$1222&lt;=Koniec,SUMPRODUCT(ISNUMBER(MATCH(mod_dot_st_npv,$J1223,0))*('Koszty operacyjne'!$K$114:$X$114=Moduły!H$77),mod_dot_st_npv_war),0)</f>
        <v>0</v>
      </c>
      <c r="Q1223" s="5" cm="1">
        <f t="array" aca="1" ref="Q1223" ca="1">IF(Q$1222&lt;=Koniec,SUMPRODUCT(ISNUMBER(MATCH(mod_dot_st_npv,$J1223,0))*('Koszty operacyjne'!$K$114:$X$114=Moduły!I$77),mod_dot_st_npv_war),0)</f>
        <v>0</v>
      </c>
      <c r="R1223" s="5" cm="1">
        <f t="array" aca="1" ref="R1223" ca="1">IF(R$1222&lt;=Koniec,SUMPRODUCT(ISNUMBER(MATCH(mod_dot_st_npv,$J1223,0))*('Koszty operacyjne'!$K$114:$X$114=Moduły!J$77),mod_dot_st_npv_war),0)</f>
        <v>0</v>
      </c>
      <c r="S1223" s="5" cm="1">
        <f t="array" aca="1" ref="S1223" ca="1">IF(S$1222&lt;=Koniec,SUMPRODUCT(ISNUMBER(MATCH(mod_dot_st_npv,$J1223,0))*('Koszty operacyjne'!$K$114:$X$114=Moduły!K$77),mod_dot_st_npv_war),0)</f>
        <v>0</v>
      </c>
      <c r="T1223" s="5" cm="1">
        <f t="array" aca="1" ref="T1223" ca="1">IF(T$1222&lt;=Koniec,SUMPRODUCT(ISNUMBER(MATCH(mod_dot_st_npv,$J1223,0))*('Koszty operacyjne'!$K$114:$X$114=Moduły!L$77),mod_dot_st_npv_war),0)</f>
        <v>0</v>
      </c>
      <c r="U1223" s="5" cm="1">
        <f t="array" aca="1" ref="U1223" ca="1">IF(U$1222&lt;=Koniec,SUMPRODUCT(ISNUMBER(MATCH(mod_dot_st_npv,$J1223,0))*('Koszty operacyjne'!$K$114:$X$114=Moduły!M$77),mod_dot_st_npv_war),0)</f>
        <v>0</v>
      </c>
      <c r="V1223" s="5" cm="1">
        <f t="array" aca="1" ref="V1223" ca="1">IF(V$1222&lt;=Koniec,SUMPRODUCT(ISNUMBER(MATCH(mod_dot_st_npv,$J1223,0))*('Koszty operacyjne'!$K$114:$X$114=Moduły!N$77),mod_dot_st_npv_war),0)</f>
        <v>0</v>
      </c>
      <c r="W1223" s="5" cm="1">
        <f t="array" aca="1" ref="W1223" ca="1">IF(W$1222&lt;=Koniec,SUMPRODUCT(ISNUMBER(MATCH(mod_dot_st_npv,$J1223,0))*('Koszty operacyjne'!$K$114:$X$114=Moduły!O$77),mod_dot_st_npv_war),0)</f>
        <v>0</v>
      </c>
      <c r="X1223" s="5" cm="1">
        <f t="array" aca="1" ref="X1223" ca="1">IF(X$1222&lt;=Koniec,SUMPRODUCT(ISNUMBER(MATCH(mod_dot_st_npv,$J1223,0))*('Koszty operacyjne'!$K$114:$X$114=Moduły!P$77),mod_dot_st_npv_war),0)</f>
        <v>0</v>
      </c>
    </row>
    <row r="1224" spans="1:24" hidden="1">
      <c r="J1224" s="1" t="s">
        <v>761</v>
      </c>
      <c r="K1224" s="5" cm="1">
        <f t="array" ref="K1224">IF(K$1222&lt;=Koniec,SUMPRODUCT(ISNUMBER(MATCH(mod_dot_st_npv,$J1224,0))*('Koszty operacyjne'!$K$114:$X$114=Moduły!C$77),mod_dot_st_npv_war),0)</f>
        <v>0</v>
      </c>
      <c r="L1224" s="5" cm="1">
        <f t="array" aca="1" ref="L1224" ca="1">IF(L$1222&lt;=Koniec,SUMPRODUCT(ISNUMBER(MATCH(mod_dot_st_npv,$J1224,0))*('Koszty operacyjne'!$K$114:$X$114=Moduły!D$77),mod_dot_st_npv_war),0)</f>
        <v>0</v>
      </c>
      <c r="M1224" s="5" cm="1">
        <f t="array" aca="1" ref="M1224" ca="1">IF(M$1222&lt;=Koniec,SUMPRODUCT(ISNUMBER(MATCH(mod_dot_st_npv,$J1224,0))*('Koszty operacyjne'!$K$114:$X$114=Moduły!E$77),mod_dot_st_npv_war),0)</f>
        <v>0</v>
      </c>
      <c r="N1224" s="5" cm="1">
        <f t="array" aca="1" ref="N1224" ca="1">IF(N$1222&lt;=Koniec,SUMPRODUCT(ISNUMBER(MATCH(mod_dot_st_npv,$J1224,0))*('Koszty operacyjne'!$K$114:$X$114=Moduły!F$77),mod_dot_st_npv_war),0)</f>
        <v>0</v>
      </c>
      <c r="O1224" s="5" cm="1">
        <f t="array" aca="1" ref="O1224" ca="1">IF(O$1222&lt;=Koniec,SUMPRODUCT(ISNUMBER(MATCH(mod_dot_st_npv,$J1224,0))*('Koszty operacyjne'!$K$114:$X$114=Moduły!G$77),mod_dot_st_npv_war),0)</f>
        <v>0</v>
      </c>
      <c r="P1224" s="5" cm="1">
        <f t="array" aca="1" ref="P1224" ca="1">IF(P$1222&lt;=Koniec,SUMPRODUCT(ISNUMBER(MATCH(mod_dot_st_npv,$J1224,0))*('Koszty operacyjne'!$K$114:$X$114=Moduły!H$77),mod_dot_st_npv_war),0)</f>
        <v>0</v>
      </c>
      <c r="Q1224" s="5" cm="1">
        <f t="array" aca="1" ref="Q1224" ca="1">IF(Q$1222&lt;=Koniec,SUMPRODUCT(ISNUMBER(MATCH(mod_dot_st_npv,$J1224,0))*('Koszty operacyjne'!$K$114:$X$114=Moduły!I$77),mod_dot_st_npv_war),0)</f>
        <v>0</v>
      </c>
      <c r="R1224" s="5" cm="1">
        <f t="array" aca="1" ref="R1224" ca="1">IF(R$1222&lt;=Koniec,SUMPRODUCT(ISNUMBER(MATCH(mod_dot_st_npv,$J1224,0))*('Koszty operacyjne'!$K$114:$X$114=Moduły!J$77),mod_dot_st_npv_war),0)</f>
        <v>0</v>
      </c>
      <c r="S1224" s="5" cm="1">
        <f t="array" aca="1" ref="S1224" ca="1">IF(S$1222&lt;=Koniec,SUMPRODUCT(ISNUMBER(MATCH(mod_dot_st_npv,$J1224,0))*('Koszty operacyjne'!$K$114:$X$114=Moduły!K$77),mod_dot_st_npv_war),0)</f>
        <v>0</v>
      </c>
      <c r="T1224" s="5" cm="1">
        <f t="array" aca="1" ref="T1224" ca="1">IF(T$1222&lt;=Koniec,SUMPRODUCT(ISNUMBER(MATCH(mod_dot_st_npv,$J1224,0))*('Koszty operacyjne'!$K$114:$X$114=Moduły!L$77),mod_dot_st_npv_war),0)</f>
        <v>0</v>
      </c>
      <c r="U1224" s="5" cm="1">
        <f t="array" aca="1" ref="U1224" ca="1">IF(U$1222&lt;=Koniec,SUMPRODUCT(ISNUMBER(MATCH(mod_dot_st_npv,$J1224,0))*('Koszty operacyjne'!$K$114:$X$114=Moduły!M$77),mod_dot_st_npv_war),0)</f>
        <v>0</v>
      </c>
      <c r="V1224" s="5" cm="1">
        <f t="array" aca="1" ref="V1224" ca="1">IF(V$1222&lt;=Koniec,SUMPRODUCT(ISNUMBER(MATCH(mod_dot_st_npv,$J1224,0))*('Koszty operacyjne'!$K$114:$X$114=Moduły!N$77),mod_dot_st_npv_war),0)</f>
        <v>0</v>
      </c>
      <c r="W1224" s="5" cm="1">
        <f t="array" aca="1" ref="W1224" ca="1">IF(W$1222&lt;=Koniec,SUMPRODUCT(ISNUMBER(MATCH(mod_dot_st_npv,$J1224,0))*('Koszty operacyjne'!$K$114:$X$114=Moduły!O$77),mod_dot_st_npv_war),0)</f>
        <v>0</v>
      </c>
      <c r="X1224" s="5" cm="1">
        <f t="array" aca="1" ref="X1224" ca="1">IF(X$1222&lt;=Koniec,SUMPRODUCT(ISNUMBER(MATCH(mod_dot_st_npv,$J1224,0))*('Koszty operacyjne'!$K$114:$X$114=Moduły!P$77),mod_dot_st_npv_war),0)</f>
        <v>0</v>
      </c>
    </row>
    <row r="1225" spans="1:24" hidden="1">
      <c r="J1225" s="1" t="s">
        <v>113</v>
      </c>
      <c r="K1225" s="5" cm="1">
        <f t="array" ref="K1225">IF(K$1222&lt;=Koniec,SUMPRODUCT(ISNUMBER(MATCH(mod_dot_st_npv,$J1225,0))*('Koszty operacyjne'!$K$114:$X$114=Moduły!C$77),mod_dot_st_npv_war),0)</f>
        <v>0</v>
      </c>
      <c r="L1225" s="5" cm="1">
        <f t="array" aca="1" ref="L1225" ca="1">IF(L$1222&lt;=Koniec,SUMPRODUCT(ISNUMBER(MATCH(mod_dot_st_npv,$J1225,0))*('Koszty operacyjne'!$K$114:$X$114=Moduły!D$77),mod_dot_st_npv_war),0)</f>
        <v>0</v>
      </c>
      <c r="M1225" s="5" cm="1">
        <f t="array" aca="1" ref="M1225" ca="1">IF(M$1222&lt;=Koniec,SUMPRODUCT(ISNUMBER(MATCH(mod_dot_st_npv,$J1225,0))*('Koszty operacyjne'!$K$114:$X$114=Moduły!E$77),mod_dot_st_npv_war),0)</f>
        <v>0</v>
      </c>
      <c r="N1225" s="5" cm="1">
        <f t="array" aca="1" ref="N1225" ca="1">IF(N$1222&lt;=Koniec,SUMPRODUCT(ISNUMBER(MATCH(mod_dot_st_npv,$J1225,0))*('Koszty operacyjne'!$K$114:$X$114=Moduły!F$77),mod_dot_st_npv_war),0)</f>
        <v>0</v>
      </c>
      <c r="O1225" s="5" cm="1">
        <f t="array" aca="1" ref="O1225" ca="1">IF(O$1222&lt;=Koniec,SUMPRODUCT(ISNUMBER(MATCH(mod_dot_st_npv,$J1225,0))*('Koszty operacyjne'!$K$114:$X$114=Moduły!G$77),mod_dot_st_npv_war),0)</f>
        <v>0</v>
      </c>
      <c r="P1225" s="5" cm="1">
        <f t="array" aca="1" ref="P1225" ca="1">IF(P$1222&lt;=Koniec,SUMPRODUCT(ISNUMBER(MATCH(mod_dot_st_npv,$J1225,0))*('Koszty operacyjne'!$K$114:$X$114=Moduły!H$77),mod_dot_st_npv_war),0)</f>
        <v>0</v>
      </c>
      <c r="Q1225" s="5" cm="1">
        <f t="array" aca="1" ref="Q1225" ca="1">IF(Q$1222&lt;=Koniec,SUMPRODUCT(ISNUMBER(MATCH(mod_dot_st_npv,$J1225,0))*('Koszty operacyjne'!$K$114:$X$114=Moduły!I$77),mod_dot_st_npv_war),0)</f>
        <v>0</v>
      </c>
      <c r="R1225" s="5" cm="1">
        <f t="array" aca="1" ref="R1225" ca="1">IF(R$1222&lt;=Koniec,SUMPRODUCT(ISNUMBER(MATCH(mod_dot_st_npv,$J1225,0))*('Koszty operacyjne'!$K$114:$X$114=Moduły!J$77),mod_dot_st_npv_war),0)</f>
        <v>0</v>
      </c>
      <c r="S1225" s="5" cm="1">
        <f t="array" aca="1" ref="S1225" ca="1">IF(S$1222&lt;=Koniec,SUMPRODUCT(ISNUMBER(MATCH(mod_dot_st_npv,$J1225,0))*('Koszty operacyjne'!$K$114:$X$114=Moduły!K$77),mod_dot_st_npv_war),0)</f>
        <v>0</v>
      </c>
      <c r="T1225" s="5" cm="1">
        <f t="array" aca="1" ref="T1225" ca="1">IF(T$1222&lt;=Koniec,SUMPRODUCT(ISNUMBER(MATCH(mod_dot_st_npv,$J1225,0))*('Koszty operacyjne'!$K$114:$X$114=Moduły!L$77),mod_dot_st_npv_war),0)</f>
        <v>0</v>
      </c>
      <c r="U1225" s="5" cm="1">
        <f t="array" aca="1" ref="U1225" ca="1">IF(U$1222&lt;=Koniec,SUMPRODUCT(ISNUMBER(MATCH(mod_dot_st_npv,$J1225,0))*('Koszty operacyjne'!$K$114:$X$114=Moduły!M$77),mod_dot_st_npv_war),0)</f>
        <v>0</v>
      </c>
      <c r="V1225" s="5" cm="1">
        <f t="array" aca="1" ref="V1225" ca="1">IF(V$1222&lt;=Koniec,SUMPRODUCT(ISNUMBER(MATCH(mod_dot_st_npv,$J1225,0))*('Koszty operacyjne'!$K$114:$X$114=Moduły!N$77),mod_dot_st_npv_war),0)</f>
        <v>0</v>
      </c>
      <c r="W1225" s="5" cm="1">
        <f t="array" aca="1" ref="W1225" ca="1">IF(W$1222&lt;=Koniec,SUMPRODUCT(ISNUMBER(MATCH(mod_dot_st_npv,$J1225,0))*('Koszty operacyjne'!$K$114:$X$114=Moduły!O$77),mod_dot_st_npv_war),0)</f>
        <v>0</v>
      </c>
      <c r="X1225" s="5" cm="1">
        <f t="array" aca="1" ref="X1225" ca="1">IF(X$1222&lt;=Koniec,SUMPRODUCT(ISNUMBER(MATCH(mod_dot_st_npv,$J1225,0))*('Koszty operacyjne'!$K$114:$X$114=Moduły!P$77),mod_dot_st_npv_war),0)</f>
        <v>0</v>
      </c>
    </row>
    <row r="1226" spans="1:24" hidden="1">
      <c r="J1226" s="1" t="s">
        <v>114</v>
      </c>
      <c r="K1226" s="5" cm="1">
        <f t="array" ref="K1226">IF(K$1222&lt;=Koniec,SUMPRODUCT(ISNUMBER(MATCH(mod_dot_st_npv,$J1226,0))*('Koszty operacyjne'!$K$114:$X$114=Moduły!C$77),mod_dot_st_npv_war),0)</f>
        <v>0</v>
      </c>
      <c r="L1226" s="5" cm="1">
        <f t="array" aca="1" ref="L1226" ca="1">IF(L$1222&lt;=Koniec,SUMPRODUCT(ISNUMBER(MATCH(mod_dot_st_npv,$J1226,0))*('Koszty operacyjne'!$K$114:$X$114=Moduły!D$77),mod_dot_st_npv_war),0)</f>
        <v>0</v>
      </c>
      <c r="M1226" s="5" cm="1">
        <f t="array" aca="1" ref="M1226" ca="1">IF(M$1222&lt;=Koniec,SUMPRODUCT(ISNUMBER(MATCH(mod_dot_st_npv,$J1226,0))*('Koszty operacyjne'!$K$114:$X$114=Moduły!E$77),mod_dot_st_npv_war),0)</f>
        <v>0</v>
      </c>
      <c r="N1226" s="5" cm="1">
        <f t="array" aca="1" ref="N1226" ca="1">IF(N$1222&lt;=Koniec,SUMPRODUCT(ISNUMBER(MATCH(mod_dot_st_npv,$J1226,0))*('Koszty operacyjne'!$K$114:$X$114=Moduły!F$77),mod_dot_st_npv_war),0)</f>
        <v>0</v>
      </c>
      <c r="O1226" s="5" cm="1">
        <f t="array" aca="1" ref="O1226" ca="1">IF(O$1222&lt;=Koniec,SUMPRODUCT(ISNUMBER(MATCH(mod_dot_st_npv,$J1226,0))*('Koszty operacyjne'!$K$114:$X$114=Moduły!G$77),mod_dot_st_npv_war),0)</f>
        <v>0</v>
      </c>
      <c r="P1226" s="5" cm="1">
        <f t="array" aca="1" ref="P1226" ca="1">IF(P$1222&lt;=Koniec,SUMPRODUCT(ISNUMBER(MATCH(mod_dot_st_npv,$J1226,0))*('Koszty operacyjne'!$K$114:$X$114=Moduły!H$77),mod_dot_st_npv_war),0)</f>
        <v>0</v>
      </c>
      <c r="Q1226" s="5" cm="1">
        <f t="array" aca="1" ref="Q1226" ca="1">IF(Q$1222&lt;=Koniec,SUMPRODUCT(ISNUMBER(MATCH(mod_dot_st_npv,$J1226,0))*('Koszty operacyjne'!$K$114:$X$114=Moduły!I$77),mod_dot_st_npv_war),0)</f>
        <v>0</v>
      </c>
      <c r="R1226" s="5" cm="1">
        <f t="array" aca="1" ref="R1226" ca="1">IF(R$1222&lt;=Koniec,SUMPRODUCT(ISNUMBER(MATCH(mod_dot_st_npv,$J1226,0))*('Koszty operacyjne'!$K$114:$X$114=Moduły!J$77),mod_dot_st_npv_war),0)</f>
        <v>0</v>
      </c>
      <c r="S1226" s="5" cm="1">
        <f t="array" aca="1" ref="S1226" ca="1">IF(S$1222&lt;=Koniec,SUMPRODUCT(ISNUMBER(MATCH(mod_dot_st_npv,$J1226,0))*('Koszty operacyjne'!$K$114:$X$114=Moduły!K$77),mod_dot_st_npv_war),0)</f>
        <v>0</v>
      </c>
      <c r="T1226" s="5" cm="1">
        <f t="array" aca="1" ref="T1226" ca="1">IF(T$1222&lt;=Koniec,SUMPRODUCT(ISNUMBER(MATCH(mod_dot_st_npv,$J1226,0))*('Koszty operacyjne'!$K$114:$X$114=Moduły!L$77),mod_dot_st_npv_war),0)</f>
        <v>0</v>
      </c>
      <c r="U1226" s="5" cm="1">
        <f t="array" aca="1" ref="U1226" ca="1">IF(U$1222&lt;=Koniec,SUMPRODUCT(ISNUMBER(MATCH(mod_dot_st_npv,$J1226,0))*('Koszty operacyjne'!$K$114:$X$114=Moduły!M$77),mod_dot_st_npv_war),0)</f>
        <v>0</v>
      </c>
      <c r="V1226" s="5" cm="1">
        <f t="array" aca="1" ref="V1226" ca="1">IF(V$1222&lt;=Koniec,SUMPRODUCT(ISNUMBER(MATCH(mod_dot_st_npv,$J1226,0))*('Koszty operacyjne'!$K$114:$X$114=Moduły!N$77),mod_dot_st_npv_war),0)</f>
        <v>0</v>
      </c>
      <c r="W1226" s="5" cm="1">
        <f t="array" aca="1" ref="W1226" ca="1">IF(W$1222&lt;=Koniec,SUMPRODUCT(ISNUMBER(MATCH(mod_dot_st_npv,$J1226,0))*('Koszty operacyjne'!$K$114:$X$114=Moduły!O$77),mod_dot_st_npv_war),0)</f>
        <v>0</v>
      </c>
      <c r="X1226" s="5" cm="1">
        <f t="array" aca="1" ref="X1226" ca="1">IF(X$1222&lt;=Koniec,SUMPRODUCT(ISNUMBER(MATCH(mod_dot_st_npv,$J1226,0))*('Koszty operacyjne'!$K$114:$X$114=Moduły!P$77),mod_dot_st_npv_war),0)</f>
        <v>0</v>
      </c>
    </row>
    <row r="1227" spans="1:24" hidden="1">
      <c r="J1227" s="1" t="s">
        <v>115</v>
      </c>
      <c r="K1227" s="5" cm="1">
        <f t="array" ref="K1227">IF(K$1222&lt;=Koniec,SUMPRODUCT(ISNUMBER(MATCH(mod_dot_st_npv,$J1227,0))*('Koszty operacyjne'!$K$114:$X$114=Moduły!C$77),mod_dot_st_npv_war),0)</f>
        <v>0</v>
      </c>
      <c r="L1227" s="5" cm="1">
        <f t="array" aca="1" ref="L1227" ca="1">IF(L$1222&lt;=Koniec,SUMPRODUCT(ISNUMBER(MATCH(mod_dot_st_npv,$J1227,0))*('Koszty operacyjne'!$K$114:$X$114=Moduły!D$77),mod_dot_st_npv_war),0)</f>
        <v>0</v>
      </c>
      <c r="M1227" s="5" cm="1">
        <f t="array" aca="1" ref="M1227" ca="1">IF(M$1222&lt;=Koniec,SUMPRODUCT(ISNUMBER(MATCH(mod_dot_st_npv,$J1227,0))*('Koszty operacyjne'!$K$114:$X$114=Moduły!E$77),mod_dot_st_npv_war),0)</f>
        <v>0</v>
      </c>
      <c r="N1227" s="5" cm="1">
        <f t="array" aca="1" ref="N1227" ca="1">IF(N$1222&lt;=Koniec,SUMPRODUCT(ISNUMBER(MATCH(mod_dot_st_npv,$J1227,0))*('Koszty operacyjne'!$K$114:$X$114=Moduły!F$77),mod_dot_st_npv_war),0)</f>
        <v>0</v>
      </c>
      <c r="O1227" s="5" cm="1">
        <f t="array" aca="1" ref="O1227" ca="1">IF(O$1222&lt;=Koniec,SUMPRODUCT(ISNUMBER(MATCH(mod_dot_st_npv,$J1227,0))*('Koszty operacyjne'!$K$114:$X$114=Moduły!G$77),mod_dot_st_npv_war),0)</f>
        <v>0</v>
      </c>
      <c r="P1227" s="5" cm="1">
        <f t="array" aca="1" ref="P1227" ca="1">IF(P$1222&lt;=Koniec,SUMPRODUCT(ISNUMBER(MATCH(mod_dot_st_npv,$J1227,0))*('Koszty operacyjne'!$K$114:$X$114=Moduły!H$77),mod_dot_st_npv_war),0)</f>
        <v>0</v>
      </c>
      <c r="Q1227" s="5" cm="1">
        <f t="array" aca="1" ref="Q1227" ca="1">IF(Q$1222&lt;=Koniec,SUMPRODUCT(ISNUMBER(MATCH(mod_dot_st_npv,$J1227,0))*('Koszty operacyjne'!$K$114:$X$114=Moduły!I$77),mod_dot_st_npv_war),0)</f>
        <v>0</v>
      </c>
      <c r="R1227" s="5" cm="1">
        <f t="array" aca="1" ref="R1227" ca="1">IF(R$1222&lt;=Koniec,SUMPRODUCT(ISNUMBER(MATCH(mod_dot_st_npv,$J1227,0))*('Koszty operacyjne'!$K$114:$X$114=Moduły!J$77),mod_dot_st_npv_war),0)</f>
        <v>0</v>
      </c>
      <c r="S1227" s="5" cm="1">
        <f t="array" aca="1" ref="S1227" ca="1">IF(S$1222&lt;=Koniec,SUMPRODUCT(ISNUMBER(MATCH(mod_dot_st_npv,$J1227,0))*('Koszty operacyjne'!$K$114:$X$114=Moduły!K$77),mod_dot_st_npv_war),0)</f>
        <v>0</v>
      </c>
      <c r="T1227" s="5" cm="1">
        <f t="array" aca="1" ref="T1227" ca="1">IF(T$1222&lt;=Koniec,SUMPRODUCT(ISNUMBER(MATCH(mod_dot_st_npv,$J1227,0))*('Koszty operacyjne'!$K$114:$X$114=Moduły!L$77),mod_dot_st_npv_war),0)</f>
        <v>0</v>
      </c>
      <c r="U1227" s="5" cm="1">
        <f t="array" aca="1" ref="U1227" ca="1">IF(U$1222&lt;=Koniec,SUMPRODUCT(ISNUMBER(MATCH(mod_dot_st_npv,$J1227,0))*('Koszty operacyjne'!$K$114:$X$114=Moduły!M$77),mod_dot_st_npv_war),0)</f>
        <v>0</v>
      </c>
      <c r="V1227" s="5" cm="1">
        <f t="array" aca="1" ref="V1227" ca="1">IF(V$1222&lt;=Koniec,SUMPRODUCT(ISNUMBER(MATCH(mod_dot_st_npv,$J1227,0))*('Koszty operacyjne'!$K$114:$X$114=Moduły!N$77),mod_dot_st_npv_war),0)</f>
        <v>0</v>
      </c>
      <c r="W1227" s="5" cm="1">
        <f t="array" aca="1" ref="W1227" ca="1">IF(W$1222&lt;=Koniec,SUMPRODUCT(ISNUMBER(MATCH(mod_dot_st_npv,$J1227,0))*('Koszty operacyjne'!$K$114:$X$114=Moduły!O$77),mod_dot_st_npv_war),0)</f>
        <v>0</v>
      </c>
      <c r="X1227" s="5" cm="1">
        <f t="array" aca="1" ref="X1227" ca="1">IF(X$1222&lt;=Koniec,SUMPRODUCT(ISNUMBER(MATCH(mod_dot_st_npv,$J1227,0))*('Koszty operacyjne'!$K$114:$X$114=Moduły!P$77),mod_dot_st_npv_war),0)</f>
        <v>0</v>
      </c>
    </row>
    <row r="1228" spans="1:24" hidden="1">
      <c r="J1228" s="1" t="s">
        <v>116</v>
      </c>
      <c r="K1228" s="5" cm="1">
        <f t="array" ref="K1228">IF(K$1222&lt;=Koniec,SUMPRODUCT(ISNUMBER(MATCH(mod_dot_st_npv,$J1228,0))*('Koszty operacyjne'!$K$114:$X$114=Moduły!C$77),mod_dot_st_npv_war),0)</f>
        <v>0</v>
      </c>
      <c r="L1228" s="5" cm="1">
        <f t="array" aca="1" ref="L1228" ca="1">IF(L$1222&lt;=Koniec,SUMPRODUCT(ISNUMBER(MATCH(mod_dot_st_npv,$J1228,0))*('Koszty operacyjne'!$K$114:$X$114=Moduły!D$77),mod_dot_st_npv_war),0)</f>
        <v>0</v>
      </c>
      <c r="M1228" s="5" cm="1">
        <f t="array" aca="1" ref="M1228" ca="1">IF(M$1222&lt;=Koniec,SUMPRODUCT(ISNUMBER(MATCH(mod_dot_st_npv,$J1228,0))*('Koszty operacyjne'!$K$114:$X$114=Moduły!E$77),mod_dot_st_npv_war),0)</f>
        <v>0</v>
      </c>
      <c r="N1228" s="5" cm="1">
        <f t="array" aca="1" ref="N1228" ca="1">IF(N$1222&lt;=Koniec,SUMPRODUCT(ISNUMBER(MATCH(mod_dot_st_npv,$J1228,0))*('Koszty operacyjne'!$K$114:$X$114=Moduły!F$77),mod_dot_st_npv_war),0)</f>
        <v>0</v>
      </c>
      <c r="O1228" s="5" cm="1">
        <f t="array" aca="1" ref="O1228" ca="1">IF(O$1222&lt;=Koniec,SUMPRODUCT(ISNUMBER(MATCH(mod_dot_st_npv,$J1228,0))*('Koszty operacyjne'!$K$114:$X$114=Moduły!G$77),mod_dot_st_npv_war),0)</f>
        <v>0</v>
      </c>
      <c r="P1228" s="5" cm="1">
        <f t="array" aca="1" ref="P1228" ca="1">IF(P$1222&lt;=Koniec,SUMPRODUCT(ISNUMBER(MATCH(mod_dot_st_npv,$J1228,0))*('Koszty operacyjne'!$K$114:$X$114=Moduły!H$77),mod_dot_st_npv_war),0)</f>
        <v>0</v>
      </c>
      <c r="Q1228" s="5" cm="1">
        <f t="array" aca="1" ref="Q1228" ca="1">IF(Q$1222&lt;=Koniec,SUMPRODUCT(ISNUMBER(MATCH(mod_dot_st_npv,$J1228,0))*('Koszty operacyjne'!$K$114:$X$114=Moduły!I$77),mod_dot_st_npv_war),0)</f>
        <v>0</v>
      </c>
      <c r="R1228" s="5" cm="1">
        <f t="array" aca="1" ref="R1228" ca="1">IF(R$1222&lt;=Koniec,SUMPRODUCT(ISNUMBER(MATCH(mod_dot_st_npv,$J1228,0))*('Koszty operacyjne'!$K$114:$X$114=Moduły!J$77),mod_dot_st_npv_war),0)</f>
        <v>0</v>
      </c>
      <c r="S1228" s="5" cm="1">
        <f t="array" aca="1" ref="S1228" ca="1">IF(S$1222&lt;=Koniec,SUMPRODUCT(ISNUMBER(MATCH(mod_dot_st_npv,$J1228,0))*('Koszty operacyjne'!$K$114:$X$114=Moduły!K$77),mod_dot_st_npv_war),0)</f>
        <v>0</v>
      </c>
      <c r="T1228" s="5" cm="1">
        <f t="array" aca="1" ref="T1228" ca="1">IF(T$1222&lt;=Koniec,SUMPRODUCT(ISNUMBER(MATCH(mod_dot_st_npv,$J1228,0))*('Koszty operacyjne'!$K$114:$X$114=Moduły!L$77),mod_dot_st_npv_war),0)</f>
        <v>0</v>
      </c>
      <c r="U1228" s="5" cm="1">
        <f t="array" aca="1" ref="U1228" ca="1">IF(U$1222&lt;=Koniec,SUMPRODUCT(ISNUMBER(MATCH(mod_dot_st_npv,$J1228,0))*('Koszty operacyjne'!$K$114:$X$114=Moduły!M$77),mod_dot_st_npv_war),0)</f>
        <v>0</v>
      </c>
      <c r="V1228" s="5" cm="1">
        <f t="array" aca="1" ref="V1228" ca="1">IF(V$1222&lt;=Koniec,SUMPRODUCT(ISNUMBER(MATCH(mod_dot_st_npv,$J1228,0))*('Koszty operacyjne'!$K$114:$X$114=Moduły!N$77),mod_dot_st_npv_war),0)</f>
        <v>0</v>
      </c>
      <c r="W1228" s="5" cm="1">
        <f t="array" aca="1" ref="W1228" ca="1">IF(W$1222&lt;=Koniec,SUMPRODUCT(ISNUMBER(MATCH(mod_dot_st_npv,$J1228,0))*('Koszty operacyjne'!$K$114:$X$114=Moduły!O$77),mod_dot_st_npv_war),0)</f>
        <v>0</v>
      </c>
      <c r="X1228" s="5" cm="1">
        <f t="array" aca="1" ref="X1228" ca="1">IF(X$1222&lt;=Koniec,SUMPRODUCT(ISNUMBER(MATCH(mod_dot_st_npv,$J1228,0))*('Koszty operacyjne'!$K$114:$X$114=Moduły!P$77),mod_dot_st_npv_war),0)</f>
        <v>0</v>
      </c>
    </row>
    <row r="1229" spans="1:24" hidden="1">
      <c r="J1229" s="1" t="s">
        <v>117</v>
      </c>
      <c r="K1229" s="5" cm="1">
        <f t="array" ref="K1229">IF(K$1222&lt;=Koniec,SUMPRODUCT(ISNUMBER(MATCH(mod_dot_st_npv,$J1229,0))*('Koszty operacyjne'!$K$114:$X$114=Moduły!C$77),mod_dot_st_npv_war),0)</f>
        <v>0</v>
      </c>
      <c r="L1229" s="5" cm="1">
        <f t="array" aca="1" ref="L1229" ca="1">IF(L$1222&lt;=Koniec,SUMPRODUCT(ISNUMBER(MATCH(mod_dot_st_npv,$J1229,0))*('Koszty operacyjne'!$K$114:$X$114=Moduły!D$77),mod_dot_st_npv_war),0)</f>
        <v>0</v>
      </c>
      <c r="M1229" s="5" cm="1">
        <f t="array" aca="1" ref="M1229" ca="1">IF(M$1222&lt;=Koniec,SUMPRODUCT(ISNUMBER(MATCH(mod_dot_st_npv,$J1229,0))*('Koszty operacyjne'!$K$114:$X$114=Moduły!E$77),mod_dot_st_npv_war),0)</f>
        <v>0</v>
      </c>
      <c r="N1229" s="5" cm="1">
        <f t="array" aca="1" ref="N1229" ca="1">IF(N$1222&lt;=Koniec,SUMPRODUCT(ISNUMBER(MATCH(mod_dot_st_npv,$J1229,0))*('Koszty operacyjne'!$K$114:$X$114=Moduły!F$77),mod_dot_st_npv_war),0)</f>
        <v>0</v>
      </c>
      <c r="O1229" s="5" cm="1">
        <f t="array" aca="1" ref="O1229" ca="1">IF(O$1222&lt;=Koniec,SUMPRODUCT(ISNUMBER(MATCH(mod_dot_st_npv,$J1229,0))*('Koszty operacyjne'!$K$114:$X$114=Moduły!G$77),mod_dot_st_npv_war),0)</f>
        <v>0</v>
      </c>
      <c r="P1229" s="5" cm="1">
        <f t="array" aca="1" ref="P1229" ca="1">IF(P$1222&lt;=Koniec,SUMPRODUCT(ISNUMBER(MATCH(mod_dot_st_npv,$J1229,0))*('Koszty operacyjne'!$K$114:$X$114=Moduły!H$77),mod_dot_st_npv_war),0)</f>
        <v>0</v>
      </c>
      <c r="Q1229" s="5" cm="1">
        <f t="array" aca="1" ref="Q1229" ca="1">IF(Q$1222&lt;=Koniec,SUMPRODUCT(ISNUMBER(MATCH(mod_dot_st_npv,$J1229,0))*('Koszty operacyjne'!$K$114:$X$114=Moduły!I$77),mod_dot_st_npv_war),0)</f>
        <v>0</v>
      </c>
      <c r="R1229" s="5" cm="1">
        <f t="array" aca="1" ref="R1229" ca="1">IF(R$1222&lt;=Koniec,SUMPRODUCT(ISNUMBER(MATCH(mod_dot_st_npv,$J1229,0))*('Koszty operacyjne'!$K$114:$X$114=Moduły!J$77),mod_dot_st_npv_war),0)</f>
        <v>0</v>
      </c>
      <c r="S1229" s="5" cm="1">
        <f t="array" aca="1" ref="S1229" ca="1">IF(S$1222&lt;=Koniec,SUMPRODUCT(ISNUMBER(MATCH(mod_dot_st_npv,$J1229,0))*('Koszty operacyjne'!$K$114:$X$114=Moduły!K$77),mod_dot_st_npv_war),0)</f>
        <v>0</v>
      </c>
      <c r="T1229" s="5" cm="1">
        <f t="array" aca="1" ref="T1229" ca="1">IF(T$1222&lt;=Koniec,SUMPRODUCT(ISNUMBER(MATCH(mod_dot_st_npv,$J1229,0))*('Koszty operacyjne'!$K$114:$X$114=Moduły!L$77),mod_dot_st_npv_war),0)</f>
        <v>0</v>
      </c>
      <c r="U1229" s="5" cm="1">
        <f t="array" aca="1" ref="U1229" ca="1">IF(U$1222&lt;=Koniec,SUMPRODUCT(ISNUMBER(MATCH(mod_dot_st_npv,$J1229,0))*('Koszty operacyjne'!$K$114:$X$114=Moduły!M$77),mod_dot_st_npv_war),0)</f>
        <v>0</v>
      </c>
      <c r="V1229" s="5" cm="1">
        <f t="array" aca="1" ref="V1229" ca="1">IF(V$1222&lt;=Koniec,SUMPRODUCT(ISNUMBER(MATCH(mod_dot_st_npv,$J1229,0))*('Koszty operacyjne'!$K$114:$X$114=Moduły!N$77),mod_dot_st_npv_war),0)</f>
        <v>0</v>
      </c>
      <c r="W1229" s="5" cm="1">
        <f t="array" aca="1" ref="W1229" ca="1">IF(W$1222&lt;=Koniec,SUMPRODUCT(ISNUMBER(MATCH(mod_dot_st_npv,$J1229,0))*('Koszty operacyjne'!$K$114:$X$114=Moduły!O$77),mod_dot_st_npv_war),0)</f>
        <v>0</v>
      </c>
      <c r="X1229" s="5" cm="1">
        <f t="array" aca="1" ref="X1229" ca="1">IF(X$1222&lt;=Koniec,SUMPRODUCT(ISNUMBER(MATCH(mod_dot_st_npv,$J1229,0))*('Koszty operacyjne'!$K$114:$X$114=Moduły!P$77),mod_dot_st_npv_war),0)</f>
        <v>0</v>
      </c>
    </row>
    <row r="1235" spans="7:24" hidden="1">
      <c r="G1235" s="1" t="s">
        <v>785</v>
      </c>
      <c r="K1235" s="2" t="str">
        <f>K1222</f>
        <v>Uzupełnij dane</v>
      </c>
      <c r="L1235" s="2" t="str">
        <f t="shared" ref="L1235:X1235" si="538">L1222</f>
        <v/>
      </c>
      <c r="M1235" s="2" t="str">
        <f t="shared" si="538"/>
        <v/>
      </c>
      <c r="N1235" s="2" t="str">
        <f t="shared" si="538"/>
        <v/>
      </c>
      <c r="O1235" s="2" t="str">
        <f t="shared" si="538"/>
        <v/>
      </c>
      <c r="P1235" s="2" t="str">
        <f t="shared" si="538"/>
        <v/>
      </c>
      <c r="Q1235" s="2" t="str">
        <f t="shared" si="538"/>
        <v/>
      </c>
      <c r="R1235" s="2" t="str">
        <f t="shared" si="538"/>
        <v/>
      </c>
      <c r="S1235" s="2" t="str">
        <f t="shared" si="538"/>
        <v/>
      </c>
      <c r="T1235" s="2" t="str">
        <f t="shared" si="538"/>
        <v/>
      </c>
      <c r="U1235" s="2" t="str">
        <f t="shared" si="538"/>
        <v/>
      </c>
      <c r="V1235" s="2" t="str">
        <f t="shared" si="538"/>
        <v/>
      </c>
      <c r="W1235" s="2" t="str">
        <f t="shared" si="538"/>
        <v/>
      </c>
      <c r="X1235" s="2" t="str">
        <f t="shared" si="538"/>
        <v/>
      </c>
    </row>
    <row r="1236" spans="7:24" hidden="1">
      <c r="J1236" s="1" t="s">
        <v>103</v>
      </c>
      <c r="K1236" s="5" cm="1">
        <f t="array" ref="K1236">IF(K$1222&lt;=Koniec,SUMPRODUCT(ISNUMBER(MATCH($J$104:$J$108,$J1236,0))*('Koszty operacyjne'!$K$114:$X$114=Moduły!C$77),$K$104:$X$108),0)+IF(K$1222&lt;=Koniec,SUMPRODUCT(ISNUMBER(MATCH($J$157:$J$161,$J1236,0))*('Koszty operacyjne'!$K$114:$X$114=Moduły!C$77),$K$157:$X$161),0)</f>
        <v>0</v>
      </c>
      <c r="L1236" s="5" cm="1">
        <f t="array" ref="L1236">IF(L$1222&lt;=Koniec,SUMPRODUCT(ISNUMBER(MATCH($J$104:$J$108,$J1236,0))*('Koszty operacyjne'!$K$114:$X$114=Moduły!D$77),$K$104:$X$108),0)+IF(L$1222&lt;=Koniec,SUMPRODUCT(ISNUMBER(MATCH($J$157:$J$161,$J1236,0))*('Koszty operacyjne'!$K$114:$X$114=Moduły!D$77),$K$157:$X$161),0)</f>
        <v>0</v>
      </c>
      <c r="M1236" s="5" cm="1">
        <f t="array" ref="M1236">IF(M$1222&lt;=Koniec,SUMPRODUCT(ISNUMBER(MATCH($J$104:$J$108,$J1236,0))*('Koszty operacyjne'!$K$114:$X$114=Moduły!E$77),$K$104:$X$108),0)+IF(M$1222&lt;=Koniec,SUMPRODUCT(ISNUMBER(MATCH($J$157:$J$161,$J1236,0))*('Koszty operacyjne'!$K$114:$X$114=Moduły!E$77),$K$157:$X$161),0)</f>
        <v>0</v>
      </c>
      <c r="N1236" s="5" cm="1">
        <f t="array" ref="N1236">IF(N$1222&lt;=Koniec,SUMPRODUCT(ISNUMBER(MATCH($J$104:$J$108,$J1236,0))*('Koszty operacyjne'!$K$114:$X$114=Moduły!F$77),$K$104:$X$108),0)+IF(N$1222&lt;=Koniec,SUMPRODUCT(ISNUMBER(MATCH($J$157:$J$161,$J1236,0))*('Koszty operacyjne'!$K$114:$X$114=Moduły!F$77),$K$157:$X$161),0)</f>
        <v>0</v>
      </c>
      <c r="O1236" s="5" cm="1">
        <f t="array" ref="O1236">IF(O$1222&lt;=Koniec,SUMPRODUCT(ISNUMBER(MATCH($J$104:$J$108,$J1236,0))*('Koszty operacyjne'!$K$114:$X$114=Moduły!G$77),$K$104:$X$108),0)+IF(O$1222&lt;=Koniec,SUMPRODUCT(ISNUMBER(MATCH($J$157:$J$161,$J1236,0))*('Koszty operacyjne'!$K$114:$X$114=Moduły!G$77),$K$157:$X$161),0)</f>
        <v>0</v>
      </c>
      <c r="P1236" s="5" cm="1">
        <f t="array" ref="P1236">IF(P$1222&lt;=Koniec,SUMPRODUCT(ISNUMBER(MATCH($J$104:$J$108,$J1236,0))*('Koszty operacyjne'!$K$114:$X$114=Moduły!H$77),$K$104:$X$108),0)+IF(P$1222&lt;=Koniec,SUMPRODUCT(ISNUMBER(MATCH($J$157:$J$161,$J1236,0))*('Koszty operacyjne'!$K$114:$X$114=Moduły!H$77),$K$157:$X$161),0)</f>
        <v>0</v>
      </c>
      <c r="Q1236" s="5" cm="1">
        <f t="array" ref="Q1236">IF(Q$1222&lt;=Koniec,SUMPRODUCT(ISNUMBER(MATCH($J$104:$J$108,$J1236,0))*('Koszty operacyjne'!$K$114:$X$114=Moduły!I$77),$K$104:$X$108),0)+IF(Q$1222&lt;=Koniec,SUMPRODUCT(ISNUMBER(MATCH($J$157:$J$161,$J1236,0))*('Koszty operacyjne'!$K$114:$X$114=Moduły!I$77),$K$157:$X$161),0)</f>
        <v>0</v>
      </c>
      <c r="R1236" s="5" cm="1">
        <f t="array" ref="R1236">IF(R$1222&lt;=Koniec,SUMPRODUCT(ISNUMBER(MATCH($J$104:$J$108,$J1236,0))*('Koszty operacyjne'!$K$114:$X$114=Moduły!J$77),$K$104:$X$108),0)+IF(R$1222&lt;=Koniec,SUMPRODUCT(ISNUMBER(MATCH($J$157:$J$161,$J1236,0))*('Koszty operacyjne'!$K$114:$X$114=Moduły!J$77),$K$157:$X$161),0)</f>
        <v>0</v>
      </c>
      <c r="S1236" s="5" cm="1">
        <f t="array" ref="S1236">IF(S$1222&lt;=Koniec,SUMPRODUCT(ISNUMBER(MATCH($J$104:$J$108,$J1236,0))*('Koszty operacyjne'!$K$114:$X$114=Moduły!K$77),$K$104:$X$108),0)+IF(S$1222&lt;=Koniec,SUMPRODUCT(ISNUMBER(MATCH($J$157:$J$161,$J1236,0))*('Koszty operacyjne'!$K$114:$X$114=Moduły!K$77),$K$157:$X$161),0)</f>
        <v>0</v>
      </c>
      <c r="T1236" s="5" cm="1">
        <f t="array" ref="T1236">IF(T$1222&lt;=Koniec,SUMPRODUCT(ISNUMBER(MATCH($J$104:$J$108,$J1236,0))*('Koszty operacyjne'!$K$114:$X$114=Moduły!L$77),$K$104:$X$108),0)+IF(T$1222&lt;=Koniec,SUMPRODUCT(ISNUMBER(MATCH($J$157:$J$161,$J1236,0))*('Koszty operacyjne'!$K$114:$X$114=Moduły!L$77),$K$157:$X$161),0)</f>
        <v>0</v>
      </c>
      <c r="U1236" s="5" cm="1">
        <f t="array" ref="U1236">IF(U$1222&lt;=Koniec,SUMPRODUCT(ISNUMBER(MATCH($J$104:$J$108,$J1236,0))*('Koszty operacyjne'!$K$114:$X$114=Moduły!M$77),$K$104:$X$108),0)+IF(U$1222&lt;=Koniec,SUMPRODUCT(ISNUMBER(MATCH($J$157:$J$161,$J1236,0))*('Koszty operacyjne'!$K$114:$X$114=Moduły!M$77),$K$157:$X$161),0)</f>
        <v>0</v>
      </c>
      <c r="V1236" s="5" cm="1">
        <f t="array" ref="V1236">IF(V$1222&lt;=Koniec,SUMPRODUCT(ISNUMBER(MATCH($J$104:$J$108,$J1236,0))*('Koszty operacyjne'!$K$114:$X$114=Moduły!N$77),$K$104:$X$108),0)+IF(V$1222&lt;=Koniec,SUMPRODUCT(ISNUMBER(MATCH($J$157:$J$161,$J1236,0))*('Koszty operacyjne'!$K$114:$X$114=Moduły!N$77),$K$157:$X$161),0)</f>
        <v>0</v>
      </c>
      <c r="W1236" s="5" cm="1">
        <f t="array" ref="W1236">IF(W$1222&lt;=Koniec,SUMPRODUCT(ISNUMBER(MATCH($J$104:$J$108,$J1236,0))*('Koszty operacyjne'!$K$114:$X$114=Moduły!O$77),$K$104:$X$108),0)+IF(W$1222&lt;=Koniec,SUMPRODUCT(ISNUMBER(MATCH($J$157:$J$161,$J1236,0))*('Koszty operacyjne'!$K$114:$X$114=Moduły!O$77),$K$157:$X$161),0)</f>
        <v>0</v>
      </c>
      <c r="X1236" s="5" cm="1">
        <f t="array" ref="X1236">IF(X$1222&lt;=Koniec,SUMPRODUCT(ISNUMBER(MATCH($J$104:$J$108,$J1236,0))*('Koszty operacyjne'!$K$114:$X$114=Moduły!P$77),$K$104:$X$108),0)+IF(X$1222&lt;=Koniec,SUMPRODUCT(ISNUMBER(MATCH($J$157:$J$161,$J1236,0))*('Koszty operacyjne'!$K$114:$X$114=Moduły!P$77),$K$157:$X$161),0)</f>
        <v>0</v>
      </c>
    </row>
    <row r="1237" spans="7:24" hidden="1">
      <c r="J1237" s="1" t="s">
        <v>761</v>
      </c>
      <c r="K1237" s="5" cm="1">
        <f t="array" ref="K1237">IF(K$1222&lt;=Koniec,SUMPRODUCT(ISNUMBER(MATCH($J$104:$J$108,$J1237,0))*('Koszty operacyjne'!$K$114:$X$114=Moduły!C$77),$K$104:$X$108),0)+IF(K$1222&lt;=Koniec,SUMPRODUCT(ISNUMBER(MATCH($J$157:$J$161,$J1237,0))*('Koszty operacyjne'!$K$114:$X$114=Moduły!C$77),$K$157:$X$161),0)</f>
        <v>0</v>
      </c>
      <c r="L1237" s="5" cm="1">
        <f t="array" ref="L1237">IF(L$1222&lt;=Koniec,SUMPRODUCT(ISNUMBER(MATCH($J$104:$J$108,$J1237,0))*('Koszty operacyjne'!$K$114:$X$114=Moduły!D$77),$K$104:$X$108),0)+IF(L$1222&lt;=Koniec,SUMPRODUCT(ISNUMBER(MATCH($J$157:$J$161,$J1237,0))*('Koszty operacyjne'!$K$114:$X$114=Moduły!D$77),$K$157:$X$161),0)</f>
        <v>0</v>
      </c>
      <c r="M1237" s="5" cm="1">
        <f t="array" ref="M1237">IF(M$1222&lt;=Koniec,SUMPRODUCT(ISNUMBER(MATCH($J$104:$J$108,$J1237,0))*('Koszty operacyjne'!$K$114:$X$114=Moduły!E$77),$K$104:$X$108),0)+IF(M$1222&lt;=Koniec,SUMPRODUCT(ISNUMBER(MATCH($J$157:$J$161,$J1237,0))*('Koszty operacyjne'!$K$114:$X$114=Moduły!E$77),$K$157:$X$161),0)</f>
        <v>0</v>
      </c>
      <c r="N1237" s="5" cm="1">
        <f t="array" ref="N1237">IF(N$1222&lt;=Koniec,SUMPRODUCT(ISNUMBER(MATCH($J$104:$J$108,$J1237,0))*('Koszty operacyjne'!$K$114:$X$114=Moduły!F$77),$K$104:$X$108),0)+IF(N$1222&lt;=Koniec,SUMPRODUCT(ISNUMBER(MATCH($J$157:$J$161,$J1237,0))*('Koszty operacyjne'!$K$114:$X$114=Moduły!F$77),$K$157:$X$161),0)</f>
        <v>0</v>
      </c>
      <c r="O1237" s="5" cm="1">
        <f t="array" ref="O1237">IF(O$1222&lt;=Koniec,SUMPRODUCT(ISNUMBER(MATCH($J$104:$J$108,$J1237,0))*('Koszty operacyjne'!$K$114:$X$114=Moduły!G$77),$K$104:$X$108),0)+IF(O$1222&lt;=Koniec,SUMPRODUCT(ISNUMBER(MATCH($J$157:$J$161,$J1237,0))*('Koszty operacyjne'!$K$114:$X$114=Moduły!G$77),$K$157:$X$161),0)</f>
        <v>0</v>
      </c>
      <c r="P1237" s="5" cm="1">
        <f t="array" ref="P1237">IF(P$1222&lt;=Koniec,SUMPRODUCT(ISNUMBER(MATCH($J$104:$J$108,$J1237,0))*('Koszty operacyjne'!$K$114:$X$114=Moduły!H$77),$K$104:$X$108),0)+IF(P$1222&lt;=Koniec,SUMPRODUCT(ISNUMBER(MATCH($J$157:$J$161,$J1237,0))*('Koszty operacyjne'!$K$114:$X$114=Moduły!H$77),$K$157:$X$161),0)</f>
        <v>0</v>
      </c>
      <c r="Q1237" s="5" cm="1">
        <f t="array" ref="Q1237">IF(Q$1222&lt;=Koniec,SUMPRODUCT(ISNUMBER(MATCH($J$104:$J$108,$J1237,0))*('Koszty operacyjne'!$K$114:$X$114=Moduły!I$77),$K$104:$X$108),0)+IF(Q$1222&lt;=Koniec,SUMPRODUCT(ISNUMBER(MATCH($J$157:$J$161,$J1237,0))*('Koszty operacyjne'!$K$114:$X$114=Moduły!I$77),$K$157:$X$161),0)</f>
        <v>0</v>
      </c>
      <c r="R1237" s="5" cm="1">
        <f t="array" ref="R1237">IF(R$1222&lt;=Koniec,SUMPRODUCT(ISNUMBER(MATCH($J$104:$J$108,$J1237,0))*('Koszty operacyjne'!$K$114:$X$114=Moduły!J$77),$K$104:$X$108),0)+IF(R$1222&lt;=Koniec,SUMPRODUCT(ISNUMBER(MATCH($J$157:$J$161,$J1237,0))*('Koszty operacyjne'!$K$114:$X$114=Moduły!J$77),$K$157:$X$161),0)</f>
        <v>0</v>
      </c>
      <c r="S1237" s="5" cm="1">
        <f t="array" ref="S1237">IF(S$1222&lt;=Koniec,SUMPRODUCT(ISNUMBER(MATCH($J$104:$J$108,$J1237,0))*('Koszty operacyjne'!$K$114:$X$114=Moduły!K$77),$K$104:$X$108),0)+IF(S$1222&lt;=Koniec,SUMPRODUCT(ISNUMBER(MATCH($J$157:$J$161,$J1237,0))*('Koszty operacyjne'!$K$114:$X$114=Moduły!K$77),$K$157:$X$161),0)</f>
        <v>0</v>
      </c>
      <c r="T1237" s="5" cm="1">
        <f t="array" ref="T1237">IF(T$1222&lt;=Koniec,SUMPRODUCT(ISNUMBER(MATCH($J$104:$J$108,$J1237,0))*('Koszty operacyjne'!$K$114:$X$114=Moduły!L$77),$K$104:$X$108),0)+IF(T$1222&lt;=Koniec,SUMPRODUCT(ISNUMBER(MATCH($J$157:$J$161,$J1237,0))*('Koszty operacyjne'!$K$114:$X$114=Moduły!L$77),$K$157:$X$161),0)</f>
        <v>0</v>
      </c>
      <c r="U1237" s="5" cm="1">
        <f t="array" ref="U1237">IF(U$1222&lt;=Koniec,SUMPRODUCT(ISNUMBER(MATCH($J$104:$J$108,$J1237,0))*('Koszty operacyjne'!$K$114:$X$114=Moduły!M$77),$K$104:$X$108),0)+IF(U$1222&lt;=Koniec,SUMPRODUCT(ISNUMBER(MATCH($J$157:$J$161,$J1237,0))*('Koszty operacyjne'!$K$114:$X$114=Moduły!M$77),$K$157:$X$161),0)</f>
        <v>0</v>
      </c>
      <c r="V1237" s="5" cm="1">
        <f t="array" ref="V1237">IF(V$1222&lt;=Koniec,SUMPRODUCT(ISNUMBER(MATCH($J$104:$J$108,$J1237,0))*('Koszty operacyjne'!$K$114:$X$114=Moduły!N$77),$K$104:$X$108),0)+IF(V$1222&lt;=Koniec,SUMPRODUCT(ISNUMBER(MATCH($J$157:$J$161,$J1237,0))*('Koszty operacyjne'!$K$114:$X$114=Moduły!N$77),$K$157:$X$161),0)</f>
        <v>0</v>
      </c>
      <c r="W1237" s="5" cm="1">
        <f t="array" ref="W1237">IF(W$1222&lt;=Koniec,SUMPRODUCT(ISNUMBER(MATCH($J$104:$J$108,$J1237,0))*('Koszty operacyjne'!$K$114:$X$114=Moduły!O$77),$K$104:$X$108),0)+IF(W$1222&lt;=Koniec,SUMPRODUCT(ISNUMBER(MATCH($J$157:$J$161,$J1237,0))*('Koszty operacyjne'!$K$114:$X$114=Moduły!O$77),$K$157:$X$161),0)</f>
        <v>0</v>
      </c>
      <c r="X1237" s="5" cm="1">
        <f t="array" ref="X1237">IF(X$1222&lt;=Koniec,SUMPRODUCT(ISNUMBER(MATCH($J$104:$J$108,$J1237,0))*('Koszty operacyjne'!$K$114:$X$114=Moduły!P$77),$K$104:$X$108),0)+IF(X$1222&lt;=Koniec,SUMPRODUCT(ISNUMBER(MATCH($J$157:$J$161,$J1237,0))*('Koszty operacyjne'!$K$114:$X$114=Moduły!P$77),$K$157:$X$161),0)</f>
        <v>0</v>
      </c>
    </row>
    <row r="1238" spans="7:24" hidden="1">
      <c r="J1238" s="1" t="s">
        <v>113</v>
      </c>
      <c r="K1238" s="5" cm="1">
        <f t="array" ref="K1238">IF(K$1222&lt;=Koniec,SUMPRODUCT(ISNUMBER(MATCH($J$104:$J$108,$J1238,0))*('Koszty operacyjne'!$K$114:$X$114=Moduły!C$77),$K$104:$X$108),0)+IF(K$1222&lt;=Koniec,SUMPRODUCT(ISNUMBER(MATCH($J$157:$J$161,$J1238,0))*('Koszty operacyjne'!$K$114:$X$114=Moduły!C$77),$K$157:$X$161),0)</f>
        <v>0</v>
      </c>
      <c r="L1238" s="5" cm="1">
        <f t="array" ref="L1238">IF(L$1222&lt;=Koniec,SUMPRODUCT(ISNUMBER(MATCH($J$104:$J$108,$J1238,0))*('Koszty operacyjne'!$K$114:$X$114=Moduły!D$77),$K$104:$X$108),0)+IF(L$1222&lt;=Koniec,SUMPRODUCT(ISNUMBER(MATCH($J$157:$J$161,$J1238,0))*('Koszty operacyjne'!$K$114:$X$114=Moduły!D$77),$K$157:$X$161),0)</f>
        <v>0</v>
      </c>
      <c r="M1238" s="5" cm="1">
        <f t="array" ref="M1238">IF(M$1222&lt;=Koniec,SUMPRODUCT(ISNUMBER(MATCH($J$104:$J$108,$J1238,0))*('Koszty operacyjne'!$K$114:$X$114=Moduły!E$77),$K$104:$X$108),0)+IF(M$1222&lt;=Koniec,SUMPRODUCT(ISNUMBER(MATCH($J$157:$J$161,$J1238,0))*('Koszty operacyjne'!$K$114:$X$114=Moduły!E$77),$K$157:$X$161),0)</f>
        <v>0</v>
      </c>
      <c r="N1238" s="5" cm="1">
        <f t="array" ref="N1238">IF(N$1222&lt;=Koniec,SUMPRODUCT(ISNUMBER(MATCH($J$104:$J$108,$J1238,0))*('Koszty operacyjne'!$K$114:$X$114=Moduły!F$77),$K$104:$X$108),0)+IF(N$1222&lt;=Koniec,SUMPRODUCT(ISNUMBER(MATCH($J$157:$J$161,$J1238,0))*('Koszty operacyjne'!$K$114:$X$114=Moduły!F$77),$K$157:$X$161),0)</f>
        <v>0</v>
      </c>
      <c r="O1238" s="5" cm="1">
        <f t="array" ref="O1238">IF(O$1222&lt;=Koniec,SUMPRODUCT(ISNUMBER(MATCH($J$104:$J$108,$J1238,0))*('Koszty operacyjne'!$K$114:$X$114=Moduły!G$77),$K$104:$X$108),0)+IF(O$1222&lt;=Koniec,SUMPRODUCT(ISNUMBER(MATCH($J$157:$J$161,$J1238,0))*('Koszty operacyjne'!$K$114:$X$114=Moduły!G$77),$K$157:$X$161),0)</f>
        <v>0</v>
      </c>
      <c r="P1238" s="5" cm="1">
        <f t="array" ref="P1238">IF(P$1222&lt;=Koniec,SUMPRODUCT(ISNUMBER(MATCH($J$104:$J$108,$J1238,0))*('Koszty operacyjne'!$K$114:$X$114=Moduły!H$77),$K$104:$X$108),0)+IF(P$1222&lt;=Koniec,SUMPRODUCT(ISNUMBER(MATCH($J$157:$J$161,$J1238,0))*('Koszty operacyjne'!$K$114:$X$114=Moduły!H$77),$K$157:$X$161),0)</f>
        <v>0</v>
      </c>
      <c r="Q1238" s="5" cm="1">
        <f t="array" ref="Q1238">IF(Q$1222&lt;=Koniec,SUMPRODUCT(ISNUMBER(MATCH($J$104:$J$108,$J1238,0))*('Koszty operacyjne'!$K$114:$X$114=Moduły!I$77),$K$104:$X$108),0)+IF(Q$1222&lt;=Koniec,SUMPRODUCT(ISNUMBER(MATCH($J$157:$J$161,$J1238,0))*('Koszty operacyjne'!$K$114:$X$114=Moduły!I$77),$K$157:$X$161),0)</f>
        <v>0</v>
      </c>
      <c r="R1238" s="5" cm="1">
        <f t="array" ref="R1238">IF(R$1222&lt;=Koniec,SUMPRODUCT(ISNUMBER(MATCH($J$104:$J$108,$J1238,0))*('Koszty operacyjne'!$K$114:$X$114=Moduły!J$77),$K$104:$X$108),0)+IF(R$1222&lt;=Koniec,SUMPRODUCT(ISNUMBER(MATCH($J$157:$J$161,$J1238,0))*('Koszty operacyjne'!$K$114:$X$114=Moduły!J$77),$K$157:$X$161),0)</f>
        <v>0</v>
      </c>
      <c r="S1238" s="5" cm="1">
        <f t="array" ref="S1238">IF(S$1222&lt;=Koniec,SUMPRODUCT(ISNUMBER(MATCH($J$104:$J$108,$J1238,0))*('Koszty operacyjne'!$K$114:$X$114=Moduły!K$77),$K$104:$X$108),0)+IF(S$1222&lt;=Koniec,SUMPRODUCT(ISNUMBER(MATCH($J$157:$J$161,$J1238,0))*('Koszty operacyjne'!$K$114:$X$114=Moduły!K$77),$K$157:$X$161),0)</f>
        <v>0</v>
      </c>
      <c r="T1238" s="5" cm="1">
        <f t="array" ref="T1238">IF(T$1222&lt;=Koniec,SUMPRODUCT(ISNUMBER(MATCH($J$104:$J$108,$J1238,0))*('Koszty operacyjne'!$K$114:$X$114=Moduły!L$77),$K$104:$X$108),0)+IF(T$1222&lt;=Koniec,SUMPRODUCT(ISNUMBER(MATCH($J$157:$J$161,$J1238,0))*('Koszty operacyjne'!$K$114:$X$114=Moduły!L$77),$K$157:$X$161),0)</f>
        <v>0</v>
      </c>
      <c r="U1238" s="5" cm="1">
        <f t="array" ref="U1238">IF(U$1222&lt;=Koniec,SUMPRODUCT(ISNUMBER(MATCH($J$104:$J$108,$J1238,0))*('Koszty operacyjne'!$K$114:$X$114=Moduły!M$77),$K$104:$X$108),0)+IF(U$1222&lt;=Koniec,SUMPRODUCT(ISNUMBER(MATCH($J$157:$J$161,$J1238,0))*('Koszty operacyjne'!$K$114:$X$114=Moduły!M$77),$K$157:$X$161),0)</f>
        <v>0</v>
      </c>
      <c r="V1238" s="5" cm="1">
        <f t="array" ref="V1238">IF(V$1222&lt;=Koniec,SUMPRODUCT(ISNUMBER(MATCH($J$104:$J$108,$J1238,0))*('Koszty operacyjne'!$K$114:$X$114=Moduły!N$77),$K$104:$X$108),0)+IF(V$1222&lt;=Koniec,SUMPRODUCT(ISNUMBER(MATCH($J$157:$J$161,$J1238,0))*('Koszty operacyjne'!$K$114:$X$114=Moduły!N$77),$K$157:$X$161),0)</f>
        <v>0</v>
      </c>
      <c r="W1238" s="5" cm="1">
        <f t="array" ref="W1238">IF(W$1222&lt;=Koniec,SUMPRODUCT(ISNUMBER(MATCH($J$104:$J$108,$J1238,0))*('Koszty operacyjne'!$K$114:$X$114=Moduły!O$77),$K$104:$X$108),0)+IF(W$1222&lt;=Koniec,SUMPRODUCT(ISNUMBER(MATCH($J$157:$J$161,$J1238,0))*('Koszty operacyjne'!$K$114:$X$114=Moduły!O$77),$K$157:$X$161),0)</f>
        <v>0</v>
      </c>
      <c r="X1238" s="5" cm="1">
        <f t="array" ref="X1238">IF(X$1222&lt;=Koniec,SUMPRODUCT(ISNUMBER(MATCH($J$104:$J$108,$J1238,0))*('Koszty operacyjne'!$K$114:$X$114=Moduły!P$77),$K$104:$X$108),0)+IF(X$1222&lt;=Koniec,SUMPRODUCT(ISNUMBER(MATCH($J$157:$J$161,$J1238,0))*('Koszty operacyjne'!$K$114:$X$114=Moduły!P$77),$K$157:$X$161),0)</f>
        <v>0</v>
      </c>
    </row>
    <row r="1239" spans="7:24" hidden="1">
      <c r="J1239" s="1" t="s">
        <v>114</v>
      </c>
      <c r="K1239" s="5" cm="1">
        <f t="array" ref="K1239">IF(K$1222&lt;=Koniec,SUMPRODUCT(ISNUMBER(MATCH($J$104:$J$108,$J1239,0))*('Koszty operacyjne'!$K$114:$X$114=Moduły!C$77),$K$104:$X$108),0)+IF(K$1222&lt;=Koniec,SUMPRODUCT(ISNUMBER(MATCH($J$157:$J$161,$J1239,0))*('Koszty operacyjne'!$K$114:$X$114=Moduły!C$77),$K$157:$X$161),0)</f>
        <v>0</v>
      </c>
      <c r="L1239" s="5" cm="1">
        <f t="array" ref="L1239">IF(L$1222&lt;=Koniec,SUMPRODUCT(ISNUMBER(MATCH($J$104:$J$108,$J1239,0))*('Koszty operacyjne'!$K$114:$X$114=Moduły!D$77),$K$104:$X$108),0)+IF(L$1222&lt;=Koniec,SUMPRODUCT(ISNUMBER(MATCH($J$157:$J$161,$J1239,0))*('Koszty operacyjne'!$K$114:$X$114=Moduły!D$77),$K$157:$X$161),0)</f>
        <v>0</v>
      </c>
      <c r="M1239" s="5" cm="1">
        <f t="array" ref="M1239">IF(M$1222&lt;=Koniec,SUMPRODUCT(ISNUMBER(MATCH($J$104:$J$108,$J1239,0))*('Koszty operacyjne'!$K$114:$X$114=Moduły!E$77),$K$104:$X$108),0)+IF(M$1222&lt;=Koniec,SUMPRODUCT(ISNUMBER(MATCH($J$157:$J$161,$J1239,0))*('Koszty operacyjne'!$K$114:$X$114=Moduły!E$77),$K$157:$X$161),0)</f>
        <v>0</v>
      </c>
      <c r="N1239" s="5" cm="1">
        <f t="array" ref="N1239">IF(N$1222&lt;=Koniec,SUMPRODUCT(ISNUMBER(MATCH($J$104:$J$108,$J1239,0))*('Koszty operacyjne'!$K$114:$X$114=Moduły!F$77),$K$104:$X$108),0)+IF(N$1222&lt;=Koniec,SUMPRODUCT(ISNUMBER(MATCH($J$157:$J$161,$J1239,0))*('Koszty operacyjne'!$K$114:$X$114=Moduły!F$77),$K$157:$X$161),0)</f>
        <v>0</v>
      </c>
      <c r="O1239" s="5" cm="1">
        <f t="array" ref="O1239">IF(O$1222&lt;=Koniec,SUMPRODUCT(ISNUMBER(MATCH($J$104:$J$108,$J1239,0))*('Koszty operacyjne'!$K$114:$X$114=Moduły!G$77),$K$104:$X$108),0)+IF(O$1222&lt;=Koniec,SUMPRODUCT(ISNUMBER(MATCH($J$157:$J$161,$J1239,0))*('Koszty operacyjne'!$K$114:$X$114=Moduły!G$77),$K$157:$X$161),0)</f>
        <v>0</v>
      </c>
      <c r="P1239" s="5" cm="1">
        <f t="array" ref="P1239">IF(P$1222&lt;=Koniec,SUMPRODUCT(ISNUMBER(MATCH($J$104:$J$108,$J1239,0))*('Koszty operacyjne'!$K$114:$X$114=Moduły!H$77),$K$104:$X$108),0)+IF(P$1222&lt;=Koniec,SUMPRODUCT(ISNUMBER(MATCH($J$157:$J$161,$J1239,0))*('Koszty operacyjne'!$K$114:$X$114=Moduły!H$77),$K$157:$X$161),0)</f>
        <v>0</v>
      </c>
      <c r="Q1239" s="5" cm="1">
        <f t="array" ref="Q1239">IF(Q$1222&lt;=Koniec,SUMPRODUCT(ISNUMBER(MATCH($J$104:$J$108,$J1239,0))*('Koszty operacyjne'!$K$114:$X$114=Moduły!I$77),$K$104:$X$108),0)+IF(Q$1222&lt;=Koniec,SUMPRODUCT(ISNUMBER(MATCH($J$157:$J$161,$J1239,0))*('Koszty operacyjne'!$K$114:$X$114=Moduły!I$77),$K$157:$X$161),0)</f>
        <v>0</v>
      </c>
      <c r="R1239" s="5" cm="1">
        <f t="array" ref="R1239">IF(R$1222&lt;=Koniec,SUMPRODUCT(ISNUMBER(MATCH($J$104:$J$108,$J1239,0))*('Koszty operacyjne'!$K$114:$X$114=Moduły!J$77),$K$104:$X$108),0)+IF(R$1222&lt;=Koniec,SUMPRODUCT(ISNUMBER(MATCH($J$157:$J$161,$J1239,0))*('Koszty operacyjne'!$K$114:$X$114=Moduły!J$77),$K$157:$X$161),0)</f>
        <v>0</v>
      </c>
      <c r="S1239" s="5" cm="1">
        <f t="array" ref="S1239">IF(S$1222&lt;=Koniec,SUMPRODUCT(ISNUMBER(MATCH($J$104:$J$108,$J1239,0))*('Koszty operacyjne'!$K$114:$X$114=Moduły!K$77),$K$104:$X$108),0)+IF(S$1222&lt;=Koniec,SUMPRODUCT(ISNUMBER(MATCH($J$157:$J$161,$J1239,0))*('Koszty operacyjne'!$K$114:$X$114=Moduły!K$77),$K$157:$X$161),0)</f>
        <v>0</v>
      </c>
      <c r="T1239" s="5" cm="1">
        <f t="array" ref="T1239">IF(T$1222&lt;=Koniec,SUMPRODUCT(ISNUMBER(MATCH($J$104:$J$108,$J1239,0))*('Koszty operacyjne'!$K$114:$X$114=Moduły!L$77),$K$104:$X$108),0)+IF(T$1222&lt;=Koniec,SUMPRODUCT(ISNUMBER(MATCH($J$157:$J$161,$J1239,0))*('Koszty operacyjne'!$K$114:$X$114=Moduły!L$77),$K$157:$X$161),0)</f>
        <v>0</v>
      </c>
      <c r="U1239" s="5" cm="1">
        <f t="array" ref="U1239">IF(U$1222&lt;=Koniec,SUMPRODUCT(ISNUMBER(MATCH($J$104:$J$108,$J1239,0))*('Koszty operacyjne'!$K$114:$X$114=Moduły!M$77),$K$104:$X$108),0)+IF(U$1222&lt;=Koniec,SUMPRODUCT(ISNUMBER(MATCH($J$157:$J$161,$J1239,0))*('Koszty operacyjne'!$K$114:$X$114=Moduły!M$77),$K$157:$X$161),0)</f>
        <v>0</v>
      </c>
      <c r="V1239" s="5" cm="1">
        <f t="array" ref="V1239">IF(V$1222&lt;=Koniec,SUMPRODUCT(ISNUMBER(MATCH($J$104:$J$108,$J1239,0))*('Koszty operacyjne'!$K$114:$X$114=Moduły!N$77),$K$104:$X$108),0)+IF(V$1222&lt;=Koniec,SUMPRODUCT(ISNUMBER(MATCH($J$157:$J$161,$J1239,0))*('Koszty operacyjne'!$K$114:$X$114=Moduły!N$77),$K$157:$X$161),0)</f>
        <v>0</v>
      </c>
      <c r="W1239" s="5" cm="1">
        <f t="array" ref="W1239">IF(W$1222&lt;=Koniec,SUMPRODUCT(ISNUMBER(MATCH($J$104:$J$108,$J1239,0))*('Koszty operacyjne'!$K$114:$X$114=Moduły!O$77),$K$104:$X$108),0)+IF(W$1222&lt;=Koniec,SUMPRODUCT(ISNUMBER(MATCH($J$157:$J$161,$J1239,0))*('Koszty operacyjne'!$K$114:$X$114=Moduły!O$77),$K$157:$X$161),0)</f>
        <v>0</v>
      </c>
      <c r="X1239" s="5" cm="1">
        <f t="array" ref="X1239">IF(X$1222&lt;=Koniec,SUMPRODUCT(ISNUMBER(MATCH($J$104:$J$108,$J1239,0))*('Koszty operacyjne'!$K$114:$X$114=Moduły!P$77),$K$104:$X$108),0)+IF(X$1222&lt;=Koniec,SUMPRODUCT(ISNUMBER(MATCH($J$157:$J$161,$J1239,0))*('Koszty operacyjne'!$K$114:$X$114=Moduły!P$77),$K$157:$X$161),0)</f>
        <v>0</v>
      </c>
    </row>
    <row r="1240" spans="7:24" hidden="1">
      <c r="J1240" s="1" t="s">
        <v>115</v>
      </c>
      <c r="K1240" s="5" cm="1">
        <f t="array" ref="K1240">IF(K$1222&lt;=Koniec,SUMPRODUCT(ISNUMBER(MATCH($J$104:$J$108,$J1240,0))*('Koszty operacyjne'!$K$114:$X$114=Moduły!C$77),$K$104:$X$108),0)+IF(K$1222&lt;=Koniec,SUMPRODUCT(ISNUMBER(MATCH($J$157:$J$161,$J1240,0))*('Koszty operacyjne'!$K$114:$X$114=Moduły!C$77),$K$157:$X$161),0)</f>
        <v>0</v>
      </c>
      <c r="L1240" s="5" cm="1">
        <f t="array" ref="L1240">IF(L$1222&lt;=Koniec,SUMPRODUCT(ISNUMBER(MATCH($J$104:$J$108,$J1240,0))*('Koszty operacyjne'!$K$114:$X$114=Moduły!D$77),$K$104:$X$108),0)+IF(L$1222&lt;=Koniec,SUMPRODUCT(ISNUMBER(MATCH($J$157:$J$161,$J1240,0))*('Koszty operacyjne'!$K$114:$X$114=Moduły!D$77),$K$157:$X$161),0)</f>
        <v>0</v>
      </c>
      <c r="M1240" s="5" cm="1">
        <f t="array" ref="M1240">IF(M$1222&lt;=Koniec,SUMPRODUCT(ISNUMBER(MATCH($J$104:$J$108,$J1240,0))*('Koszty operacyjne'!$K$114:$X$114=Moduły!E$77),$K$104:$X$108),0)+IF(M$1222&lt;=Koniec,SUMPRODUCT(ISNUMBER(MATCH($J$157:$J$161,$J1240,0))*('Koszty operacyjne'!$K$114:$X$114=Moduły!E$77),$K$157:$X$161),0)</f>
        <v>0</v>
      </c>
      <c r="N1240" s="5" cm="1">
        <f t="array" ref="N1240">IF(N$1222&lt;=Koniec,SUMPRODUCT(ISNUMBER(MATCH($J$104:$J$108,$J1240,0))*('Koszty operacyjne'!$K$114:$X$114=Moduły!F$77),$K$104:$X$108),0)+IF(N$1222&lt;=Koniec,SUMPRODUCT(ISNUMBER(MATCH($J$157:$J$161,$J1240,0))*('Koszty operacyjne'!$K$114:$X$114=Moduły!F$77),$K$157:$X$161),0)</f>
        <v>0</v>
      </c>
      <c r="O1240" s="5" cm="1">
        <f t="array" ref="O1240">IF(O$1222&lt;=Koniec,SUMPRODUCT(ISNUMBER(MATCH($J$104:$J$108,$J1240,0))*('Koszty operacyjne'!$K$114:$X$114=Moduły!G$77),$K$104:$X$108),0)+IF(O$1222&lt;=Koniec,SUMPRODUCT(ISNUMBER(MATCH($J$157:$J$161,$J1240,0))*('Koszty operacyjne'!$K$114:$X$114=Moduły!G$77),$K$157:$X$161),0)</f>
        <v>0</v>
      </c>
      <c r="P1240" s="5" cm="1">
        <f t="array" ref="P1240">IF(P$1222&lt;=Koniec,SUMPRODUCT(ISNUMBER(MATCH($J$104:$J$108,$J1240,0))*('Koszty operacyjne'!$K$114:$X$114=Moduły!H$77),$K$104:$X$108),0)+IF(P$1222&lt;=Koniec,SUMPRODUCT(ISNUMBER(MATCH($J$157:$J$161,$J1240,0))*('Koszty operacyjne'!$K$114:$X$114=Moduły!H$77),$K$157:$X$161),0)</f>
        <v>0</v>
      </c>
      <c r="Q1240" s="5" cm="1">
        <f t="array" ref="Q1240">IF(Q$1222&lt;=Koniec,SUMPRODUCT(ISNUMBER(MATCH($J$104:$J$108,$J1240,0))*('Koszty operacyjne'!$K$114:$X$114=Moduły!I$77),$K$104:$X$108),0)+IF(Q$1222&lt;=Koniec,SUMPRODUCT(ISNUMBER(MATCH($J$157:$J$161,$J1240,0))*('Koszty operacyjne'!$K$114:$X$114=Moduły!I$77),$K$157:$X$161),0)</f>
        <v>0</v>
      </c>
      <c r="R1240" s="5" cm="1">
        <f t="array" ref="R1240">IF(R$1222&lt;=Koniec,SUMPRODUCT(ISNUMBER(MATCH($J$104:$J$108,$J1240,0))*('Koszty operacyjne'!$K$114:$X$114=Moduły!J$77),$K$104:$X$108),0)+IF(R$1222&lt;=Koniec,SUMPRODUCT(ISNUMBER(MATCH($J$157:$J$161,$J1240,0))*('Koszty operacyjne'!$K$114:$X$114=Moduły!J$77),$K$157:$X$161),0)</f>
        <v>0</v>
      </c>
      <c r="S1240" s="5" cm="1">
        <f t="array" ref="S1240">IF(S$1222&lt;=Koniec,SUMPRODUCT(ISNUMBER(MATCH($J$104:$J$108,$J1240,0))*('Koszty operacyjne'!$K$114:$X$114=Moduły!K$77),$K$104:$X$108),0)+IF(S$1222&lt;=Koniec,SUMPRODUCT(ISNUMBER(MATCH($J$157:$J$161,$J1240,0))*('Koszty operacyjne'!$K$114:$X$114=Moduły!K$77),$K$157:$X$161),0)</f>
        <v>0</v>
      </c>
      <c r="T1240" s="5" cm="1">
        <f t="array" ref="T1240">IF(T$1222&lt;=Koniec,SUMPRODUCT(ISNUMBER(MATCH($J$104:$J$108,$J1240,0))*('Koszty operacyjne'!$K$114:$X$114=Moduły!L$77),$K$104:$X$108),0)+IF(T$1222&lt;=Koniec,SUMPRODUCT(ISNUMBER(MATCH($J$157:$J$161,$J1240,0))*('Koszty operacyjne'!$K$114:$X$114=Moduły!L$77),$K$157:$X$161),0)</f>
        <v>0</v>
      </c>
      <c r="U1240" s="5" cm="1">
        <f t="array" ref="U1240">IF(U$1222&lt;=Koniec,SUMPRODUCT(ISNUMBER(MATCH($J$104:$J$108,$J1240,0))*('Koszty operacyjne'!$K$114:$X$114=Moduły!M$77),$K$104:$X$108),0)+IF(U$1222&lt;=Koniec,SUMPRODUCT(ISNUMBER(MATCH($J$157:$J$161,$J1240,0))*('Koszty operacyjne'!$K$114:$X$114=Moduły!M$77),$K$157:$X$161),0)</f>
        <v>0</v>
      </c>
      <c r="V1240" s="5" cm="1">
        <f t="array" ref="V1240">IF(V$1222&lt;=Koniec,SUMPRODUCT(ISNUMBER(MATCH($J$104:$J$108,$J1240,0))*('Koszty operacyjne'!$K$114:$X$114=Moduły!N$77),$K$104:$X$108),0)+IF(V$1222&lt;=Koniec,SUMPRODUCT(ISNUMBER(MATCH($J$157:$J$161,$J1240,0))*('Koszty operacyjne'!$K$114:$X$114=Moduły!N$77),$K$157:$X$161),0)</f>
        <v>0</v>
      </c>
      <c r="W1240" s="5" cm="1">
        <f t="array" ref="W1240">IF(W$1222&lt;=Koniec,SUMPRODUCT(ISNUMBER(MATCH($J$104:$J$108,$J1240,0))*('Koszty operacyjne'!$K$114:$X$114=Moduły!O$77),$K$104:$X$108),0)+IF(W$1222&lt;=Koniec,SUMPRODUCT(ISNUMBER(MATCH($J$157:$J$161,$J1240,0))*('Koszty operacyjne'!$K$114:$X$114=Moduły!O$77),$K$157:$X$161),0)</f>
        <v>0</v>
      </c>
      <c r="X1240" s="5" cm="1">
        <f t="array" ref="X1240">IF(X$1222&lt;=Koniec,SUMPRODUCT(ISNUMBER(MATCH($J$104:$J$108,$J1240,0))*('Koszty operacyjne'!$K$114:$X$114=Moduły!P$77),$K$104:$X$108),0)+IF(X$1222&lt;=Koniec,SUMPRODUCT(ISNUMBER(MATCH($J$157:$J$161,$J1240,0))*('Koszty operacyjne'!$K$114:$X$114=Moduły!P$77),$K$157:$X$161),0)</f>
        <v>0</v>
      </c>
    </row>
    <row r="1241" spans="7:24" hidden="1">
      <c r="J1241" s="1" t="s">
        <v>116</v>
      </c>
      <c r="K1241" s="5" cm="1">
        <f t="array" ref="K1241">IF(K$1222&lt;=Koniec,SUMPRODUCT(ISNUMBER(MATCH($J$104:$J$108,$J1241,0))*('Koszty operacyjne'!$K$114:$X$114=Moduły!C$77),$K$104:$X$108),0)+IF(K$1222&lt;=Koniec,SUMPRODUCT(ISNUMBER(MATCH($J$157:$J$161,$J1241,0))*('Koszty operacyjne'!$K$114:$X$114=Moduły!C$77),$K$157:$X$161),0)</f>
        <v>0</v>
      </c>
      <c r="L1241" s="5" cm="1">
        <f t="array" ref="L1241">IF(L$1222&lt;=Koniec,SUMPRODUCT(ISNUMBER(MATCH($J$104:$J$108,$J1241,0))*('Koszty operacyjne'!$K$114:$X$114=Moduły!D$77),$K$104:$X$108),0)+IF(L$1222&lt;=Koniec,SUMPRODUCT(ISNUMBER(MATCH($J$157:$J$161,$J1241,0))*('Koszty operacyjne'!$K$114:$X$114=Moduły!D$77),$K$157:$X$161),0)</f>
        <v>0</v>
      </c>
      <c r="M1241" s="5" cm="1">
        <f t="array" ref="M1241">IF(M$1222&lt;=Koniec,SUMPRODUCT(ISNUMBER(MATCH($J$104:$J$108,$J1241,0))*('Koszty operacyjne'!$K$114:$X$114=Moduły!E$77),$K$104:$X$108),0)+IF(M$1222&lt;=Koniec,SUMPRODUCT(ISNUMBER(MATCH($J$157:$J$161,$J1241,0))*('Koszty operacyjne'!$K$114:$X$114=Moduły!E$77),$K$157:$X$161),0)</f>
        <v>0</v>
      </c>
      <c r="N1241" s="5" cm="1">
        <f t="array" ref="N1241">IF(N$1222&lt;=Koniec,SUMPRODUCT(ISNUMBER(MATCH($J$104:$J$108,$J1241,0))*('Koszty operacyjne'!$K$114:$X$114=Moduły!F$77),$K$104:$X$108),0)+IF(N$1222&lt;=Koniec,SUMPRODUCT(ISNUMBER(MATCH($J$157:$J$161,$J1241,0))*('Koszty operacyjne'!$K$114:$X$114=Moduły!F$77),$K$157:$X$161),0)</f>
        <v>0</v>
      </c>
      <c r="O1241" s="5" cm="1">
        <f t="array" ref="O1241">IF(O$1222&lt;=Koniec,SUMPRODUCT(ISNUMBER(MATCH($J$104:$J$108,$J1241,0))*('Koszty operacyjne'!$K$114:$X$114=Moduły!G$77),$K$104:$X$108),0)+IF(O$1222&lt;=Koniec,SUMPRODUCT(ISNUMBER(MATCH($J$157:$J$161,$J1241,0))*('Koszty operacyjne'!$K$114:$X$114=Moduły!G$77),$K$157:$X$161),0)</f>
        <v>0</v>
      </c>
      <c r="P1241" s="5" cm="1">
        <f t="array" ref="P1241">IF(P$1222&lt;=Koniec,SUMPRODUCT(ISNUMBER(MATCH($J$104:$J$108,$J1241,0))*('Koszty operacyjne'!$K$114:$X$114=Moduły!H$77),$K$104:$X$108),0)+IF(P$1222&lt;=Koniec,SUMPRODUCT(ISNUMBER(MATCH($J$157:$J$161,$J1241,0))*('Koszty operacyjne'!$K$114:$X$114=Moduły!H$77),$K$157:$X$161),0)</f>
        <v>0</v>
      </c>
      <c r="Q1241" s="5" cm="1">
        <f t="array" ref="Q1241">IF(Q$1222&lt;=Koniec,SUMPRODUCT(ISNUMBER(MATCH($J$104:$J$108,$J1241,0))*('Koszty operacyjne'!$K$114:$X$114=Moduły!I$77),$K$104:$X$108),0)+IF(Q$1222&lt;=Koniec,SUMPRODUCT(ISNUMBER(MATCH($J$157:$J$161,$J1241,0))*('Koszty operacyjne'!$K$114:$X$114=Moduły!I$77),$K$157:$X$161),0)</f>
        <v>0</v>
      </c>
      <c r="R1241" s="5" cm="1">
        <f t="array" ref="R1241">IF(R$1222&lt;=Koniec,SUMPRODUCT(ISNUMBER(MATCH($J$104:$J$108,$J1241,0))*('Koszty operacyjne'!$K$114:$X$114=Moduły!J$77),$K$104:$X$108),0)+IF(R$1222&lt;=Koniec,SUMPRODUCT(ISNUMBER(MATCH($J$157:$J$161,$J1241,0))*('Koszty operacyjne'!$K$114:$X$114=Moduły!J$77),$K$157:$X$161),0)</f>
        <v>0</v>
      </c>
      <c r="S1241" s="5" cm="1">
        <f t="array" ref="S1241">IF(S$1222&lt;=Koniec,SUMPRODUCT(ISNUMBER(MATCH($J$104:$J$108,$J1241,0))*('Koszty operacyjne'!$K$114:$X$114=Moduły!K$77),$K$104:$X$108),0)+IF(S$1222&lt;=Koniec,SUMPRODUCT(ISNUMBER(MATCH($J$157:$J$161,$J1241,0))*('Koszty operacyjne'!$K$114:$X$114=Moduły!K$77),$K$157:$X$161),0)</f>
        <v>0</v>
      </c>
      <c r="T1241" s="5" cm="1">
        <f t="array" ref="T1241">IF(T$1222&lt;=Koniec,SUMPRODUCT(ISNUMBER(MATCH($J$104:$J$108,$J1241,0))*('Koszty operacyjne'!$K$114:$X$114=Moduły!L$77),$K$104:$X$108),0)+IF(T$1222&lt;=Koniec,SUMPRODUCT(ISNUMBER(MATCH($J$157:$J$161,$J1241,0))*('Koszty operacyjne'!$K$114:$X$114=Moduły!L$77),$K$157:$X$161),0)</f>
        <v>0</v>
      </c>
      <c r="U1241" s="5" cm="1">
        <f t="array" ref="U1241">IF(U$1222&lt;=Koniec,SUMPRODUCT(ISNUMBER(MATCH($J$104:$J$108,$J1241,0))*('Koszty operacyjne'!$K$114:$X$114=Moduły!M$77),$K$104:$X$108),0)+IF(U$1222&lt;=Koniec,SUMPRODUCT(ISNUMBER(MATCH($J$157:$J$161,$J1241,0))*('Koszty operacyjne'!$K$114:$X$114=Moduły!M$77),$K$157:$X$161),0)</f>
        <v>0</v>
      </c>
      <c r="V1241" s="5" cm="1">
        <f t="array" ref="V1241">IF(V$1222&lt;=Koniec,SUMPRODUCT(ISNUMBER(MATCH($J$104:$J$108,$J1241,0))*('Koszty operacyjne'!$K$114:$X$114=Moduły!N$77),$K$104:$X$108),0)+IF(V$1222&lt;=Koniec,SUMPRODUCT(ISNUMBER(MATCH($J$157:$J$161,$J1241,0))*('Koszty operacyjne'!$K$114:$X$114=Moduły!N$77),$K$157:$X$161),0)</f>
        <v>0</v>
      </c>
      <c r="W1241" s="5" cm="1">
        <f t="array" ref="W1241">IF(W$1222&lt;=Koniec,SUMPRODUCT(ISNUMBER(MATCH($J$104:$J$108,$J1241,0))*('Koszty operacyjne'!$K$114:$X$114=Moduły!O$77),$K$104:$X$108),0)+IF(W$1222&lt;=Koniec,SUMPRODUCT(ISNUMBER(MATCH($J$157:$J$161,$J1241,0))*('Koszty operacyjne'!$K$114:$X$114=Moduły!O$77),$K$157:$X$161),0)</f>
        <v>0</v>
      </c>
      <c r="X1241" s="5" cm="1">
        <f t="array" ref="X1241">IF(X$1222&lt;=Koniec,SUMPRODUCT(ISNUMBER(MATCH($J$104:$J$108,$J1241,0))*('Koszty operacyjne'!$K$114:$X$114=Moduły!P$77),$K$104:$X$108),0)+IF(X$1222&lt;=Koniec,SUMPRODUCT(ISNUMBER(MATCH($J$157:$J$161,$J1241,0))*('Koszty operacyjne'!$K$114:$X$114=Moduły!P$77),$K$157:$X$161),0)</f>
        <v>0</v>
      </c>
    </row>
    <row r="1242" spans="7:24" hidden="1">
      <c r="J1242" s="1" t="s">
        <v>117</v>
      </c>
      <c r="K1242" s="5" cm="1">
        <f t="array" ref="K1242">IF(K$1222&lt;=Koniec,SUMPRODUCT(ISNUMBER(MATCH($J$104:$J$108,$J1242,0))*('Koszty operacyjne'!$K$114:$X$114=Moduły!C$77),$K$104:$X$108),0)+IF(K$1222&lt;=Koniec,SUMPRODUCT(ISNUMBER(MATCH($J$157:$J$161,$J1242,0))*('Koszty operacyjne'!$K$114:$X$114=Moduły!C$77),$K$157:$X$161),0)</f>
        <v>0</v>
      </c>
      <c r="L1242" s="5" cm="1">
        <f t="array" ref="L1242">IF(L$1222&lt;=Koniec,SUMPRODUCT(ISNUMBER(MATCH($J$104:$J$108,$J1242,0))*('Koszty operacyjne'!$K$114:$X$114=Moduły!D$77),$K$104:$X$108),0)+IF(L$1222&lt;=Koniec,SUMPRODUCT(ISNUMBER(MATCH($J$157:$J$161,$J1242,0))*('Koszty operacyjne'!$K$114:$X$114=Moduły!D$77),$K$157:$X$161),0)</f>
        <v>0</v>
      </c>
      <c r="M1242" s="5" cm="1">
        <f t="array" ref="M1242">IF(M$1222&lt;=Koniec,SUMPRODUCT(ISNUMBER(MATCH($J$104:$J$108,$J1242,0))*('Koszty operacyjne'!$K$114:$X$114=Moduły!E$77),$K$104:$X$108),0)+IF(M$1222&lt;=Koniec,SUMPRODUCT(ISNUMBER(MATCH($J$157:$J$161,$J1242,0))*('Koszty operacyjne'!$K$114:$X$114=Moduły!E$77),$K$157:$X$161),0)</f>
        <v>0</v>
      </c>
      <c r="N1242" s="5" cm="1">
        <f t="array" ref="N1242">IF(N$1222&lt;=Koniec,SUMPRODUCT(ISNUMBER(MATCH($J$104:$J$108,$J1242,0))*('Koszty operacyjne'!$K$114:$X$114=Moduły!F$77),$K$104:$X$108),0)+IF(N$1222&lt;=Koniec,SUMPRODUCT(ISNUMBER(MATCH($J$157:$J$161,$J1242,0))*('Koszty operacyjne'!$K$114:$X$114=Moduły!F$77),$K$157:$X$161),0)</f>
        <v>0</v>
      </c>
      <c r="O1242" s="5" cm="1">
        <f t="array" ref="O1242">IF(O$1222&lt;=Koniec,SUMPRODUCT(ISNUMBER(MATCH($J$104:$J$108,$J1242,0))*('Koszty operacyjne'!$K$114:$X$114=Moduły!G$77),$K$104:$X$108),0)+IF(O$1222&lt;=Koniec,SUMPRODUCT(ISNUMBER(MATCH($J$157:$J$161,$J1242,0))*('Koszty operacyjne'!$K$114:$X$114=Moduły!G$77),$K$157:$X$161),0)</f>
        <v>0</v>
      </c>
      <c r="P1242" s="5" cm="1">
        <f t="array" ref="P1242">IF(P$1222&lt;=Koniec,SUMPRODUCT(ISNUMBER(MATCH($J$104:$J$108,$J1242,0))*('Koszty operacyjne'!$K$114:$X$114=Moduły!H$77),$K$104:$X$108),0)+IF(P$1222&lt;=Koniec,SUMPRODUCT(ISNUMBER(MATCH($J$157:$J$161,$J1242,0))*('Koszty operacyjne'!$K$114:$X$114=Moduły!H$77),$K$157:$X$161),0)</f>
        <v>0</v>
      </c>
      <c r="Q1242" s="5" cm="1">
        <f t="array" ref="Q1242">IF(Q$1222&lt;=Koniec,SUMPRODUCT(ISNUMBER(MATCH($J$104:$J$108,$J1242,0))*('Koszty operacyjne'!$K$114:$X$114=Moduły!I$77),$K$104:$X$108),0)+IF(Q$1222&lt;=Koniec,SUMPRODUCT(ISNUMBER(MATCH($J$157:$J$161,$J1242,0))*('Koszty operacyjne'!$K$114:$X$114=Moduły!I$77),$K$157:$X$161),0)</f>
        <v>0</v>
      </c>
      <c r="R1242" s="5" cm="1">
        <f t="array" ref="R1242">IF(R$1222&lt;=Koniec,SUMPRODUCT(ISNUMBER(MATCH($J$104:$J$108,$J1242,0))*('Koszty operacyjne'!$K$114:$X$114=Moduły!J$77),$K$104:$X$108),0)+IF(R$1222&lt;=Koniec,SUMPRODUCT(ISNUMBER(MATCH($J$157:$J$161,$J1242,0))*('Koszty operacyjne'!$K$114:$X$114=Moduły!J$77),$K$157:$X$161),0)</f>
        <v>0</v>
      </c>
      <c r="S1242" s="5" cm="1">
        <f t="array" ref="S1242">IF(S$1222&lt;=Koniec,SUMPRODUCT(ISNUMBER(MATCH($J$104:$J$108,$J1242,0))*('Koszty operacyjne'!$K$114:$X$114=Moduły!K$77),$K$104:$X$108),0)+IF(S$1222&lt;=Koniec,SUMPRODUCT(ISNUMBER(MATCH($J$157:$J$161,$J1242,0))*('Koszty operacyjne'!$K$114:$X$114=Moduły!K$77),$K$157:$X$161),0)</f>
        <v>0</v>
      </c>
      <c r="T1242" s="5" cm="1">
        <f t="array" ref="T1242">IF(T$1222&lt;=Koniec,SUMPRODUCT(ISNUMBER(MATCH($J$104:$J$108,$J1242,0))*('Koszty operacyjne'!$K$114:$X$114=Moduły!L$77),$K$104:$X$108),0)+IF(T$1222&lt;=Koniec,SUMPRODUCT(ISNUMBER(MATCH($J$157:$J$161,$J1242,0))*('Koszty operacyjne'!$K$114:$X$114=Moduły!L$77),$K$157:$X$161),0)</f>
        <v>0</v>
      </c>
      <c r="U1242" s="5" cm="1">
        <f t="array" ref="U1242">IF(U$1222&lt;=Koniec,SUMPRODUCT(ISNUMBER(MATCH($J$104:$J$108,$J1242,0))*('Koszty operacyjne'!$K$114:$X$114=Moduły!M$77),$K$104:$X$108),0)+IF(U$1222&lt;=Koniec,SUMPRODUCT(ISNUMBER(MATCH($J$157:$J$161,$J1242,0))*('Koszty operacyjne'!$K$114:$X$114=Moduły!M$77),$K$157:$X$161),0)</f>
        <v>0</v>
      </c>
      <c r="V1242" s="5" cm="1">
        <f t="array" ref="V1242">IF(V$1222&lt;=Koniec,SUMPRODUCT(ISNUMBER(MATCH($J$104:$J$108,$J1242,0))*('Koszty operacyjne'!$K$114:$X$114=Moduły!N$77),$K$104:$X$108),0)+IF(V$1222&lt;=Koniec,SUMPRODUCT(ISNUMBER(MATCH($J$157:$J$161,$J1242,0))*('Koszty operacyjne'!$K$114:$X$114=Moduły!N$77),$K$157:$X$161),0)</f>
        <v>0</v>
      </c>
      <c r="W1242" s="5" cm="1">
        <f t="array" ref="W1242">IF(W$1222&lt;=Koniec,SUMPRODUCT(ISNUMBER(MATCH($J$104:$J$108,$J1242,0))*('Koszty operacyjne'!$K$114:$X$114=Moduły!O$77),$K$104:$X$108),0)+IF(W$1222&lt;=Koniec,SUMPRODUCT(ISNUMBER(MATCH($J$157:$J$161,$J1242,0))*('Koszty operacyjne'!$K$114:$X$114=Moduły!O$77),$K$157:$X$161),0)</f>
        <v>0</v>
      </c>
      <c r="X1242" s="5" cm="1">
        <f t="array" ref="X1242">IF(X$1222&lt;=Koniec,SUMPRODUCT(ISNUMBER(MATCH($J$104:$J$108,$J1242,0))*('Koszty operacyjne'!$K$114:$X$114=Moduły!P$77),$K$104:$X$108),0)+IF(X$1222&lt;=Koniec,SUMPRODUCT(ISNUMBER(MATCH($J$157:$J$161,$J1242,0))*('Koszty operacyjne'!$K$114:$X$114=Moduły!P$77),$K$157:$X$161),0)</f>
        <v>0</v>
      </c>
    </row>
    <row r="1243" spans="7:24" hidden="1">
      <c r="J1243" s="7" t="s">
        <v>335</v>
      </c>
      <c r="K1243" s="13">
        <f>ROUND(SUM(K1236:K1242),0)</f>
        <v>0</v>
      </c>
      <c r="L1243" s="13">
        <f t="shared" ref="L1243:X1243" si="539">ROUND(SUM(L1236:L1242),0)</f>
        <v>0</v>
      </c>
      <c r="M1243" s="13">
        <f t="shared" si="539"/>
        <v>0</v>
      </c>
      <c r="N1243" s="13">
        <f t="shared" si="539"/>
        <v>0</v>
      </c>
      <c r="O1243" s="13">
        <f t="shared" si="539"/>
        <v>0</v>
      </c>
      <c r="P1243" s="13">
        <f t="shared" si="539"/>
        <v>0</v>
      </c>
      <c r="Q1243" s="13">
        <f t="shared" si="539"/>
        <v>0</v>
      </c>
      <c r="R1243" s="13">
        <f t="shared" si="539"/>
        <v>0</v>
      </c>
      <c r="S1243" s="13">
        <f t="shared" si="539"/>
        <v>0</v>
      </c>
      <c r="T1243" s="13">
        <f t="shared" si="539"/>
        <v>0</v>
      </c>
      <c r="U1243" s="13">
        <f t="shared" si="539"/>
        <v>0</v>
      </c>
      <c r="V1243" s="13">
        <f t="shared" si="539"/>
        <v>0</v>
      </c>
      <c r="W1243" s="13">
        <f t="shared" si="539"/>
        <v>0</v>
      </c>
      <c r="X1243" s="13">
        <f t="shared" si="539"/>
        <v>0</v>
      </c>
    </row>
    <row r="1248" spans="7:24" hidden="1">
      <c r="G1248" s="1" t="s">
        <v>786</v>
      </c>
      <c r="K1248" s="2" t="str">
        <f>K1235</f>
        <v>Uzupełnij dane</v>
      </c>
      <c r="L1248" s="2" t="str">
        <f t="shared" ref="L1248:X1248" si="540">L1235</f>
        <v/>
      </c>
      <c r="M1248" s="2" t="str">
        <f t="shared" si="540"/>
        <v/>
      </c>
      <c r="N1248" s="2" t="str">
        <f t="shared" si="540"/>
        <v/>
      </c>
      <c r="O1248" s="2" t="str">
        <f t="shared" si="540"/>
        <v/>
      </c>
      <c r="P1248" s="2" t="str">
        <f t="shared" si="540"/>
        <v/>
      </c>
      <c r="Q1248" s="2" t="str">
        <f t="shared" si="540"/>
        <v/>
      </c>
      <c r="R1248" s="2" t="str">
        <f t="shared" si="540"/>
        <v/>
      </c>
      <c r="S1248" s="2" t="str">
        <f t="shared" si="540"/>
        <v/>
      </c>
      <c r="T1248" s="2" t="str">
        <f t="shared" si="540"/>
        <v/>
      </c>
      <c r="U1248" s="2" t="str">
        <f t="shared" si="540"/>
        <v/>
      </c>
      <c r="V1248" s="2" t="str">
        <f t="shared" si="540"/>
        <v/>
      </c>
      <c r="W1248" s="2" t="str">
        <f t="shared" si="540"/>
        <v/>
      </c>
      <c r="X1248" s="2" t="str">
        <f t="shared" si="540"/>
        <v/>
      </c>
    </row>
    <row r="1249" spans="10:24" hidden="1">
      <c r="J1249" s="1" t="s">
        <v>103</v>
      </c>
      <c r="K1249" s="5">
        <f>ROUND(K1223-K1236,0)</f>
        <v>0</v>
      </c>
      <c r="L1249" s="5">
        <f t="shared" ref="L1249:X1249" ca="1" si="541">ROUND(L1223-L1236,0)</f>
        <v>0</v>
      </c>
      <c r="M1249" s="5">
        <f t="shared" ca="1" si="541"/>
        <v>0</v>
      </c>
      <c r="N1249" s="5">
        <f t="shared" ca="1" si="541"/>
        <v>0</v>
      </c>
      <c r="O1249" s="5">
        <f t="shared" ca="1" si="541"/>
        <v>0</v>
      </c>
      <c r="P1249" s="5">
        <f t="shared" ca="1" si="541"/>
        <v>0</v>
      </c>
      <c r="Q1249" s="5">
        <f t="shared" ca="1" si="541"/>
        <v>0</v>
      </c>
      <c r="R1249" s="5">
        <f t="shared" ca="1" si="541"/>
        <v>0</v>
      </c>
      <c r="S1249" s="5">
        <f t="shared" ca="1" si="541"/>
        <v>0</v>
      </c>
      <c r="T1249" s="5">
        <f t="shared" ca="1" si="541"/>
        <v>0</v>
      </c>
      <c r="U1249" s="5">
        <f t="shared" ca="1" si="541"/>
        <v>0</v>
      </c>
      <c r="V1249" s="5">
        <f t="shared" ca="1" si="541"/>
        <v>0</v>
      </c>
      <c r="W1249" s="5">
        <f t="shared" ca="1" si="541"/>
        <v>0</v>
      </c>
      <c r="X1249" s="5">
        <f t="shared" ca="1" si="541"/>
        <v>0</v>
      </c>
    </row>
    <row r="1250" spans="10:24" hidden="1">
      <c r="J1250" s="1" t="s">
        <v>761</v>
      </c>
      <c r="K1250" s="5">
        <f t="shared" ref="K1250:X1255" si="542">ROUND(K1224-K1237,0)</f>
        <v>0</v>
      </c>
      <c r="L1250" s="5">
        <f t="shared" ca="1" si="542"/>
        <v>0</v>
      </c>
      <c r="M1250" s="5">
        <f t="shared" ca="1" si="542"/>
        <v>0</v>
      </c>
      <c r="N1250" s="5">
        <f t="shared" ca="1" si="542"/>
        <v>0</v>
      </c>
      <c r="O1250" s="5">
        <f t="shared" ca="1" si="542"/>
        <v>0</v>
      </c>
      <c r="P1250" s="5">
        <f t="shared" ca="1" si="542"/>
        <v>0</v>
      </c>
      <c r="Q1250" s="5">
        <f t="shared" ca="1" si="542"/>
        <v>0</v>
      </c>
      <c r="R1250" s="5">
        <f t="shared" ca="1" si="542"/>
        <v>0</v>
      </c>
      <c r="S1250" s="5">
        <f t="shared" ca="1" si="542"/>
        <v>0</v>
      </c>
      <c r="T1250" s="5">
        <f t="shared" ca="1" si="542"/>
        <v>0</v>
      </c>
      <c r="U1250" s="5">
        <f t="shared" ca="1" si="542"/>
        <v>0</v>
      </c>
      <c r="V1250" s="5">
        <f t="shared" ca="1" si="542"/>
        <v>0</v>
      </c>
      <c r="W1250" s="5">
        <f t="shared" ca="1" si="542"/>
        <v>0</v>
      </c>
      <c r="X1250" s="5">
        <f t="shared" ca="1" si="542"/>
        <v>0</v>
      </c>
    </row>
    <row r="1251" spans="10:24" hidden="1">
      <c r="J1251" s="1" t="s">
        <v>113</v>
      </c>
      <c r="K1251" s="5">
        <f t="shared" si="542"/>
        <v>0</v>
      </c>
      <c r="L1251" s="5">
        <f t="shared" ca="1" si="542"/>
        <v>0</v>
      </c>
      <c r="M1251" s="5">
        <f t="shared" ca="1" si="542"/>
        <v>0</v>
      </c>
      <c r="N1251" s="5">
        <f t="shared" ca="1" si="542"/>
        <v>0</v>
      </c>
      <c r="O1251" s="5">
        <f t="shared" ca="1" si="542"/>
        <v>0</v>
      </c>
      <c r="P1251" s="5">
        <f t="shared" ca="1" si="542"/>
        <v>0</v>
      </c>
      <c r="Q1251" s="5">
        <f t="shared" ca="1" si="542"/>
        <v>0</v>
      </c>
      <c r="R1251" s="5">
        <f t="shared" ca="1" si="542"/>
        <v>0</v>
      </c>
      <c r="S1251" s="5">
        <f t="shared" ca="1" si="542"/>
        <v>0</v>
      </c>
      <c r="T1251" s="5">
        <f t="shared" ca="1" si="542"/>
        <v>0</v>
      </c>
      <c r="U1251" s="5">
        <f t="shared" ca="1" si="542"/>
        <v>0</v>
      </c>
      <c r="V1251" s="5">
        <f t="shared" ca="1" si="542"/>
        <v>0</v>
      </c>
      <c r="W1251" s="5">
        <f t="shared" ca="1" si="542"/>
        <v>0</v>
      </c>
      <c r="X1251" s="5">
        <f t="shared" ca="1" si="542"/>
        <v>0</v>
      </c>
    </row>
    <row r="1252" spans="10:24" hidden="1">
      <c r="J1252" s="1" t="s">
        <v>114</v>
      </c>
      <c r="K1252" s="5">
        <f t="shared" si="542"/>
        <v>0</v>
      </c>
      <c r="L1252" s="5">
        <f t="shared" ca="1" si="542"/>
        <v>0</v>
      </c>
      <c r="M1252" s="5">
        <f t="shared" ca="1" si="542"/>
        <v>0</v>
      </c>
      <c r="N1252" s="5">
        <f t="shared" ca="1" si="542"/>
        <v>0</v>
      </c>
      <c r="O1252" s="5">
        <f t="shared" ca="1" si="542"/>
        <v>0</v>
      </c>
      <c r="P1252" s="5">
        <f t="shared" ca="1" si="542"/>
        <v>0</v>
      </c>
      <c r="Q1252" s="5">
        <f t="shared" ca="1" si="542"/>
        <v>0</v>
      </c>
      <c r="R1252" s="5">
        <f t="shared" ca="1" si="542"/>
        <v>0</v>
      </c>
      <c r="S1252" s="5">
        <f t="shared" ca="1" si="542"/>
        <v>0</v>
      </c>
      <c r="T1252" s="5">
        <f t="shared" ca="1" si="542"/>
        <v>0</v>
      </c>
      <c r="U1252" s="5">
        <f t="shared" ca="1" si="542"/>
        <v>0</v>
      </c>
      <c r="V1252" s="5">
        <f t="shared" ca="1" si="542"/>
        <v>0</v>
      </c>
      <c r="W1252" s="5">
        <f t="shared" ca="1" si="542"/>
        <v>0</v>
      </c>
      <c r="X1252" s="5">
        <f t="shared" ca="1" si="542"/>
        <v>0</v>
      </c>
    </row>
    <row r="1253" spans="10:24" hidden="1">
      <c r="J1253" s="1" t="s">
        <v>115</v>
      </c>
      <c r="K1253" s="5">
        <f t="shared" si="542"/>
        <v>0</v>
      </c>
      <c r="L1253" s="5">
        <f t="shared" ca="1" si="542"/>
        <v>0</v>
      </c>
      <c r="M1253" s="5">
        <f t="shared" ca="1" si="542"/>
        <v>0</v>
      </c>
      <c r="N1253" s="5">
        <f t="shared" ca="1" si="542"/>
        <v>0</v>
      </c>
      <c r="O1253" s="5">
        <f t="shared" ca="1" si="542"/>
        <v>0</v>
      </c>
      <c r="P1253" s="5">
        <f t="shared" ca="1" si="542"/>
        <v>0</v>
      </c>
      <c r="Q1253" s="5">
        <f t="shared" ca="1" si="542"/>
        <v>0</v>
      </c>
      <c r="R1253" s="5">
        <f t="shared" ca="1" si="542"/>
        <v>0</v>
      </c>
      <c r="S1253" s="5">
        <f t="shared" ca="1" si="542"/>
        <v>0</v>
      </c>
      <c r="T1253" s="5">
        <f t="shared" ca="1" si="542"/>
        <v>0</v>
      </c>
      <c r="U1253" s="5">
        <f t="shared" ca="1" si="542"/>
        <v>0</v>
      </c>
      <c r="V1253" s="5">
        <f t="shared" ca="1" si="542"/>
        <v>0</v>
      </c>
      <c r="W1253" s="5">
        <f t="shared" ca="1" si="542"/>
        <v>0</v>
      </c>
      <c r="X1253" s="5">
        <f t="shared" ca="1" si="542"/>
        <v>0</v>
      </c>
    </row>
    <row r="1254" spans="10:24" hidden="1">
      <c r="J1254" s="1" t="s">
        <v>116</v>
      </c>
      <c r="K1254" s="5">
        <f t="shared" si="542"/>
        <v>0</v>
      </c>
      <c r="L1254" s="5">
        <f t="shared" ca="1" si="542"/>
        <v>0</v>
      </c>
      <c r="M1254" s="5">
        <f t="shared" ca="1" si="542"/>
        <v>0</v>
      </c>
      <c r="N1254" s="5">
        <f t="shared" ca="1" si="542"/>
        <v>0</v>
      </c>
      <c r="O1254" s="5">
        <f t="shared" ca="1" si="542"/>
        <v>0</v>
      </c>
      <c r="P1254" s="5">
        <f t="shared" ca="1" si="542"/>
        <v>0</v>
      </c>
      <c r="Q1254" s="5">
        <f t="shared" ca="1" si="542"/>
        <v>0</v>
      </c>
      <c r="R1254" s="5">
        <f t="shared" ca="1" si="542"/>
        <v>0</v>
      </c>
      <c r="S1254" s="5">
        <f t="shared" ca="1" si="542"/>
        <v>0</v>
      </c>
      <c r="T1254" s="5">
        <f t="shared" ca="1" si="542"/>
        <v>0</v>
      </c>
      <c r="U1254" s="5">
        <f t="shared" ca="1" si="542"/>
        <v>0</v>
      </c>
      <c r="V1254" s="5">
        <f t="shared" ca="1" si="542"/>
        <v>0</v>
      </c>
      <c r="W1254" s="5">
        <f t="shared" ca="1" si="542"/>
        <v>0</v>
      </c>
      <c r="X1254" s="5">
        <f t="shared" ca="1" si="542"/>
        <v>0</v>
      </c>
    </row>
    <row r="1255" spans="10:24" hidden="1">
      <c r="J1255" s="1" t="s">
        <v>117</v>
      </c>
      <c r="K1255" s="5">
        <f t="shared" si="542"/>
        <v>0</v>
      </c>
      <c r="L1255" s="5">
        <f t="shared" ca="1" si="542"/>
        <v>0</v>
      </c>
      <c r="M1255" s="5">
        <f t="shared" ca="1" si="542"/>
        <v>0</v>
      </c>
      <c r="N1255" s="5">
        <f t="shared" ca="1" si="542"/>
        <v>0</v>
      </c>
      <c r="O1255" s="5">
        <f t="shared" ca="1" si="542"/>
        <v>0</v>
      </c>
      <c r="P1255" s="5">
        <f t="shared" ca="1" si="542"/>
        <v>0</v>
      </c>
      <c r="Q1255" s="5">
        <f t="shared" ca="1" si="542"/>
        <v>0</v>
      </c>
      <c r="R1255" s="5">
        <f t="shared" ca="1" si="542"/>
        <v>0</v>
      </c>
      <c r="S1255" s="5">
        <f t="shared" ca="1" si="542"/>
        <v>0</v>
      </c>
      <c r="T1255" s="5">
        <f t="shared" ca="1" si="542"/>
        <v>0</v>
      </c>
      <c r="U1255" s="5">
        <f t="shared" ca="1" si="542"/>
        <v>0</v>
      </c>
      <c r="V1255" s="5">
        <f t="shared" ca="1" si="542"/>
        <v>0</v>
      </c>
      <c r="W1255" s="5">
        <f t="shared" ca="1" si="542"/>
        <v>0</v>
      </c>
      <c r="X1255" s="5">
        <f t="shared" ca="1" si="542"/>
        <v>0</v>
      </c>
    </row>
    <row r="1256" spans="10:24" hidden="1">
      <c r="J1256" s="7" t="s">
        <v>335</v>
      </c>
      <c r="K1256" s="13">
        <f>ROUND(SUM(K1249:K1255),0)</f>
        <v>0</v>
      </c>
      <c r="L1256" s="13">
        <f t="shared" ref="L1256" ca="1" si="543">ROUND(SUM(L1249:L1255),0)</f>
        <v>0</v>
      </c>
      <c r="M1256" s="13">
        <f t="shared" ref="M1256" ca="1" si="544">ROUND(SUM(M1249:M1255),0)</f>
        <v>0</v>
      </c>
      <c r="N1256" s="13">
        <f t="shared" ref="N1256" ca="1" si="545">ROUND(SUM(N1249:N1255),0)</f>
        <v>0</v>
      </c>
      <c r="O1256" s="13">
        <f t="shared" ref="O1256" ca="1" si="546">ROUND(SUM(O1249:O1255),0)</f>
        <v>0</v>
      </c>
      <c r="P1256" s="13">
        <f t="shared" ref="P1256" ca="1" si="547">ROUND(SUM(P1249:P1255),0)</f>
        <v>0</v>
      </c>
      <c r="Q1256" s="13">
        <f t="shared" ref="Q1256" ca="1" si="548">ROUND(SUM(Q1249:Q1255),0)</f>
        <v>0</v>
      </c>
      <c r="R1256" s="13">
        <f t="shared" ref="R1256" ca="1" si="549">ROUND(SUM(R1249:R1255),0)</f>
        <v>0</v>
      </c>
      <c r="S1256" s="13">
        <f t="shared" ref="S1256" ca="1" si="550">ROUND(SUM(S1249:S1255),0)</f>
        <v>0</v>
      </c>
      <c r="T1256" s="13">
        <f t="shared" ref="T1256" ca="1" si="551">ROUND(SUM(T1249:T1255),0)</f>
        <v>0</v>
      </c>
      <c r="U1256" s="13">
        <f t="shared" ref="U1256" ca="1" si="552">ROUND(SUM(U1249:U1255),0)</f>
        <v>0</v>
      </c>
      <c r="V1256" s="13">
        <f t="shared" ref="V1256" ca="1" si="553">ROUND(SUM(V1249:V1255),0)</f>
        <v>0</v>
      </c>
      <c r="W1256" s="13">
        <f t="shared" ref="W1256" ca="1" si="554">ROUND(SUM(W1249:W1255),0)</f>
        <v>0</v>
      </c>
      <c r="X1256" s="13">
        <f t="shared" ref="X1256" ca="1" si="555">ROUND(SUM(X1249:X1255),0)</f>
        <v>0</v>
      </c>
    </row>
  </sheetData>
  <sheetProtection algorithmName="SHA-512" hashValue="DVEsJzAndYlcQ92BkxY7UssTNE+QDKZjj/5wWMRae7GTfrgAdQ/zSckZ7TTh2zGUzdOifJN3o5byFCU+ttY29Q==" saltValue="fL6piq1E5PKcUOa56/6KdQ==" spinCount="100000" sheet="1" objects="1" scenarios="1"/>
  <mergeCells count="1">
    <mergeCell ref="B2:X3"/>
  </mergeCells>
  <conditionalFormatting sqref="F28:F29">
    <cfRule type="cellIs" dxfId="122" priority="68" operator="equal">
      <formula>0</formula>
    </cfRule>
  </conditionalFormatting>
  <conditionalFormatting sqref="E28">
    <cfRule type="cellIs" dxfId="121" priority="67" operator="equal">
      <formula>0</formula>
    </cfRule>
  </conditionalFormatting>
  <conditionalFormatting sqref="F58:F72">
    <cfRule type="cellIs" dxfId="120" priority="66" operator="equal">
      <formula>0</formula>
    </cfRule>
  </conditionalFormatting>
  <conditionalFormatting sqref="E58:E72">
    <cfRule type="cellIs" dxfId="119" priority="65" operator="equal">
      <formula>0</formula>
    </cfRule>
  </conditionalFormatting>
  <conditionalFormatting sqref="F81:F85">
    <cfRule type="cellIs" dxfId="118" priority="64" operator="equal">
      <formula>0</formula>
    </cfRule>
  </conditionalFormatting>
  <conditionalFormatting sqref="F117:F155">
    <cfRule type="cellIs" dxfId="117" priority="62" operator="equal">
      <formula>0</formula>
    </cfRule>
  </conditionalFormatting>
  <conditionalFormatting sqref="E118:E155">
    <cfRule type="cellIs" dxfId="116" priority="61" operator="equal">
      <formula>0</formula>
    </cfRule>
  </conditionalFormatting>
  <conditionalFormatting sqref="F170:F179">
    <cfRule type="cellIs" dxfId="115" priority="60" operator="equal">
      <formula>0</formula>
    </cfRule>
  </conditionalFormatting>
  <conditionalFormatting sqref="E171:E179">
    <cfRule type="cellIs" dxfId="114" priority="59" operator="equal">
      <formula>0</formula>
    </cfRule>
  </conditionalFormatting>
  <conditionalFormatting sqref="F188:F197">
    <cfRule type="cellIs" dxfId="113" priority="58" operator="equal">
      <formula>0</formula>
    </cfRule>
  </conditionalFormatting>
  <conditionalFormatting sqref="E189:E197">
    <cfRule type="cellIs" dxfId="112" priority="57" operator="equal">
      <formula>0</formula>
    </cfRule>
  </conditionalFormatting>
  <conditionalFormatting sqref="F94:F103">
    <cfRule type="cellIs" dxfId="111" priority="56" operator="equal">
      <formula>0</formula>
    </cfRule>
  </conditionalFormatting>
  <conditionalFormatting sqref="C104:C108">
    <cfRule type="cellIs" dxfId="110" priority="40" operator="equal">
      <formula>0</formula>
    </cfRule>
  </conditionalFormatting>
  <conditionalFormatting sqref="F104">
    <cfRule type="cellIs" dxfId="109" priority="50" operator="equal">
      <formula>0</formula>
    </cfRule>
  </conditionalFormatting>
  <conditionalFormatting sqref="F105">
    <cfRule type="cellIs" dxfId="108" priority="48" operator="equal">
      <formula>0</formula>
    </cfRule>
  </conditionalFormatting>
  <conditionalFormatting sqref="F106">
    <cfRule type="cellIs" dxfId="107" priority="46" operator="equal">
      <formula>0</formula>
    </cfRule>
  </conditionalFormatting>
  <conditionalFormatting sqref="F107">
    <cfRule type="cellIs" dxfId="106" priority="44" operator="equal">
      <formula>0</formula>
    </cfRule>
  </conditionalFormatting>
  <conditionalFormatting sqref="F108">
    <cfRule type="cellIs" dxfId="105" priority="42" operator="equal">
      <formula>0</formula>
    </cfRule>
  </conditionalFormatting>
  <conditionalFormatting sqref="B104:B108">
    <cfRule type="containsText" dxfId="104" priority="39" operator="containsText" text="zrealizowane">
      <formula>NOT(ISERROR(SEARCH("zrealizowane",B104)))</formula>
    </cfRule>
  </conditionalFormatting>
  <conditionalFormatting sqref="F158:F161">
    <cfRule type="cellIs" dxfId="103" priority="38" operator="equal">
      <formula>0</formula>
    </cfRule>
  </conditionalFormatting>
  <conditionalFormatting sqref="E158:E161">
    <cfRule type="cellIs" dxfId="102" priority="37" operator="equal">
      <formula>0</formula>
    </cfRule>
  </conditionalFormatting>
  <conditionalFormatting sqref="F156">
    <cfRule type="cellIs" dxfId="101" priority="36" operator="equal">
      <formula>0</formula>
    </cfRule>
  </conditionalFormatting>
  <conditionalFormatting sqref="E156:E161">
    <cfRule type="cellIs" dxfId="100" priority="35" operator="equal">
      <formula>0</formula>
    </cfRule>
  </conditionalFormatting>
  <conditionalFormatting sqref="F157">
    <cfRule type="cellIs" dxfId="99" priority="34" operator="equal">
      <formula>0</formula>
    </cfRule>
  </conditionalFormatting>
  <conditionalFormatting sqref="E157">
    <cfRule type="cellIs" dxfId="98" priority="33" operator="equal">
      <formula>0</formula>
    </cfRule>
  </conditionalFormatting>
  <conditionalFormatting sqref="C157:C161">
    <cfRule type="cellIs" dxfId="97" priority="32" operator="equal">
      <formula>0</formula>
    </cfRule>
  </conditionalFormatting>
  <conditionalFormatting sqref="B157:B161">
    <cfRule type="containsText" dxfId="96" priority="31" operator="containsText" text="zrealizowane">
      <formula>NOT(ISERROR(SEARCH("zrealizowane",B157)))</formula>
    </cfRule>
  </conditionalFormatting>
  <conditionalFormatting sqref="E81:E85">
    <cfRule type="cellIs" dxfId="95" priority="30" operator="equal">
      <formula>0</formula>
    </cfRule>
  </conditionalFormatting>
  <conditionalFormatting sqref="E94:E108">
    <cfRule type="cellIs" dxfId="94" priority="29" operator="equal">
      <formula>0</formula>
    </cfRule>
  </conditionalFormatting>
  <conditionalFormatting sqref="E117">
    <cfRule type="cellIs" dxfId="93" priority="28" operator="equal">
      <formula>0</formula>
    </cfRule>
  </conditionalFormatting>
  <conditionalFormatting sqref="E170">
    <cfRule type="cellIs" dxfId="92" priority="27" operator="equal">
      <formula>0</formula>
    </cfRule>
  </conditionalFormatting>
  <conditionalFormatting sqref="E188">
    <cfRule type="cellIs" dxfId="91" priority="26" operator="equal">
      <formula>0</formula>
    </cfRule>
  </conditionalFormatting>
  <conditionalFormatting sqref="G58:G72">
    <cfRule type="expression" dxfId="90" priority="25">
      <formula>G58=0</formula>
    </cfRule>
  </conditionalFormatting>
  <conditionalFormatting sqref="G81:G85">
    <cfRule type="expression" dxfId="89" priority="24">
      <formula>G81=0</formula>
    </cfRule>
  </conditionalFormatting>
  <conditionalFormatting sqref="G94:G108">
    <cfRule type="expression" dxfId="88" priority="23">
      <formula>G94=0</formula>
    </cfRule>
  </conditionalFormatting>
  <conditionalFormatting sqref="G117:G161">
    <cfRule type="expression" dxfId="87" priority="22">
      <formula>G117=0</formula>
    </cfRule>
  </conditionalFormatting>
  <conditionalFormatting sqref="G170:G179">
    <cfRule type="expression" dxfId="86" priority="21">
      <formula>G170=0</formula>
    </cfRule>
  </conditionalFormatting>
  <conditionalFormatting sqref="G188:G197">
    <cfRule type="expression" dxfId="85" priority="20">
      <formula>G188=0</formula>
    </cfRule>
  </conditionalFormatting>
  <conditionalFormatting sqref="E29:E49">
    <cfRule type="cellIs" dxfId="84" priority="8" operator="equal">
      <formula>0</formula>
    </cfRule>
  </conditionalFormatting>
  <conditionalFormatting sqref="F30:F49">
    <cfRule type="cellIs" dxfId="83" priority="7" operator="equal">
      <formula>0</formula>
    </cfRule>
  </conditionalFormatting>
  <conditionalFormatting sqref="G28:G49">
    <cfRule type="expression" dxfId="82" priority="5">
      <formula>G28=0</formula>
    </cfRule>
  </conditionalFormatting>
  <conditionalFormatting sqref="C206:C245 G206:G245">
    <cfRule type="cellIs" dxfId="81" priority="4" operator="equal">
      <formula>0</formula>
    </cfRule>
  </conditionalFormatting>
  <conditionalFormatting sqref="K15:X19">
    <cfRule type="expression" dxfId="80" priority="2">
      <formula>AND(K$12&gt;Koniec_Projekt,K$12&lt;=Koniec)</formula>
    </cfRule>
    <cfRule type="expression" dxfId="79" priority="3">
      <formula>K$12&lt;=Koniec</formula>
    </cfRule>
  </conditionalFormatting>
  <conditionalFormatting sqref="K28:X49 K58:X72 K81:X85 K94:X108 K117:X161 K170:X179 K188:X197 K206:X245">
    <cfRule type="cellIs" dxfId="78" priority="1" operator="equal">
      <formula>0</formula>
    </cfRule>
  </conditionalFormatting>
  <dataValidations disablePrompts="1" count="3">
    <dataValidation operator="equal" allowBlank="1" showInputMessage="1" showErrorMessage="1" sqref="D206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06:H245" xr:uid="{45C31C15-535A-407D-8CA1-E480DACBE9DC}">
      <formula1>AND(H206&gt;0,H206&lt;=1,$F206="tak",$G206="nie")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06:F245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6" min="1" max="23" man="1"/>
    <brk id="79" min="1" max="23" man="1"/>
    <brk id="115" min="1" max="23" man="1"/>
    <brk id="168" min="1" max="23" man="1"/>
    <brk id="204" min="1" max="23" man="1"/>
    <brk id="246" min="1" max="23" man="1"/>
    <brk id="259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165100</xdr:colOff>
                    <xdr:row>3</xdr:row>
                    <xdr:rowOff>88900</xdr:rowOff>
                  </from>
                  <to>
                    <xdr:col>13</xdr:col>
                    <xdr:colOff>177800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45.6640625" style="1" bestFit="1" customWidth="1"/>
    <col min="3" max="6" width="9.33203125" style="1" hidden="1" customWidth="1"/>
    <col min="7" max="24" width="12.88671875" style="1" customWidth="1"/>
    <col min="25" max="25" width="2.88671875" style="1" customWidth="1"/>
    <col min="26" max="16384" width="9.3320312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470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471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472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473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474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667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475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473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474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667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476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477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472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478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474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479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475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478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474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479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480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481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472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482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474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667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475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482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474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667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483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484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485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5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471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472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473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474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667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476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477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472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478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474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479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480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481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472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482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474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667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483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484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485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5">
      <c r="B96" s="34" t="s">
        <v>486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471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472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473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474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667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476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477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472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478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474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487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480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481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472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482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474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667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483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484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485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5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471</v>
      </c>
      <c r="C193" s="21"/>
      <c r="D193" s="21"/>
      <c r="E193" s="21"/>
      <c r="F193" s="21"/>
      <c r="G193" s="301">
        <v>1</v>
      </c>
    </row>
    <row r="194" spans="2:24" hidden="1">
      <c r="B194" s="21" t="s">
        <v>477</v>
      </c>
      <c r="C194" s="21"/>
      <c r="D194" s="21"/>
      <c r="E194" s="21"/>
      <c r="F194" s="21"/>
      <c r="G194" s="301">
        <v>1</v>
      </c>
    </row>
    <row r="195" spans="2:24" hidden="1">
      <c r="B195" s="21" t="s">
        <v>481</v>
      </c>
      <c r="C195" s="21"/>
      <c r="D195" s="21"/>
      <c r="E195" s="21"/>
      <c r="F195" s="21"/>
      <c r="G195" s="301">
        <v>1</v>
      </c>
    </row>
    <row r="198" spans="2:24" hidden="1">
      <c r="B198" s="1" t="s">
        <v>488</v>
      </c>
    </row>
    <row r="199" spans="2:24" hidden="1">
      <c r="B199" s="1" t="s">
        <v>489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490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491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FqPhqWlpkmKNky5Bniit+P1mgG3t78wcRcD37OPUD6HTRmHnGCgZQlxN2a50N8hYmZqe6eGpjPnaP4obnYBFg==" saltValue="UH/KWuzylES22dGtm1vUjw==" spinCount="100000" sheet="1" objects="1" scenarios="1"/>
  <mergeCells count="1">
    <mergeCell ref="B2:X3"/>
  </mergeCells>
  <conditionalFormatting sqref="K22:X22 K37:X37 K52:X52">
    <cfRule type="expression" dxfId="77" priority="2">
      <formula>K$12&lt;=Koniec</formula>
    </cfRule>
  </conditionalFormatting>
  <conditionalFormatting sqref="K22:U22 K37:U37 K52:U52">
    <cfRule type="expression" dxfId="76" priority="1">
      <formula>AND(K$12&gt;Koniec_Projekt,K$12&lt;=Koniec)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171450</xdr:colOff>
                    <xdr:row>14</xdr:row>
                    <xdr:rowOff>158750</xdr:rowOff>
                  </from>
                  <to>
                    <xdr:col>1</xdr:col>
                    <xdr:colOff>1136650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1403350</xdr:colOff>
                    <xdr:row>14</xdr:row>
                    <xdr:rowOff>158750</xdr:rowOff>
                  </from>
                  <to>
                    <xdr:col>1</xdr:col>
                    <xdr:colOff>2241550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171450</xdr:colOff>
                    <xdr:row>29</xdr:row>
                    <xdr:rowOff>171450</xdr:rowOff>
                  </from>
                  <to>
                    <xdr:col>1</xdr:col>
                    <xdr:colOff>1136650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171450</xdr:rowOff>
                  </from>
                  <to>
                    <xdr:col>1</xdr:col>
                    <xdr:colOff>2241550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107950</xdr:colOff>
                    <xdr:row>14</xdr:row>
                    <xdr:rowOff>38100</xdr:rowOff>
                  </from>
                  <to>
                    <xdr:col>1</xdr:col>
                    <xdr:colOff>2508250</xdr:colOff>
                    <xdr:row>14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107950</xdr:colOff>
                    <xdr:row>29</xdr:row>
                    <xdr:rowOff>38100</xdr:rowOff>
                  </from>
                  <to>
                    <xdr:col>1</xdr:col>
                    <xdr:colOff>2508250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171450</xdr:colOff>
                    <xdr:row>44</xdr:row>
                    <xdr:rowOff>184150</xdr:rowOff>
                  </from>
                  <to>
                    <xdr:col>1</xdr:col>
                    <xdr:colOff>1136650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184150</xdr:rowOff>
                  </from>
                  <to>
                    <xdr:col>1</xdr:col>
                    <xdr:colOff>2241550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107950</xdr:colOff>
                    <xdr:row>44</xdr:row>
                    <xdr:rowOff>50800</xdr:rowOff>
                  </from>
                  <to>
                    <xdr:col>1</xdr:col>
                    <xdr:colOff>2508250</xdr:colOff>
                    <xdr:row>44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165100</xdr:colOff>
                    <xdr:row>3</xdr:row>
                    <xdr:rowOff>88900</xdr:rowOff>
                  </from>
                  <to>
                    <xdr:col>16</xdr:col>
                    <xdr:colOff>400050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00"/>
  <sheetViews>
    <sheetView showGridLines="0" zoomScaleNormal="100" workbookViewId="0"/>
  </sheetViews>
  <sheetFormatPr defaultColWidth="0" defaultRowHeight="12" zeroHeight="1"/>
  <cols>
    <col min="1" max="1" width="2.88671875" style="1" customWidth="1"/>
    <col min="2" max="2" width="73.88671875" style="1" bestFit="1" customWidth="1"/>
    <col min="3" max="8" width="9.109375" style="1" hidden="1" customWidth="1"/>
    <col min="9" max="9" width="9.109375" style="254" hidden="1" customWidth="1"/>
    <col min="10" max="24" width="12.88671875" style="1" customWidth="1"/>
    <col min="25" max="25" width="2.88671875" style="1" customWidth="1"/>
    <col min="26" max="16384" width="9.109375" style="1" hidden="1"/>
  </cols>
  <sheetData>
    <row r="1" spans="2:24"/>
    <row r="2" spans="2:24" ht="12" customHeight="1">
      <c r="B2" s="563" t="str">
        <f>Założenia!B2</f>
        <v>Wstaw nazwę firmy oraz tytuł projektu w zakładce Dane Firmy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</row>
    <row r="3" spans="2:24" ht="12" customHeight="1"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492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493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5" thickBot="1">
      <c r="B16" s="52" t="s">
        <v>494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5" thickBot="1">
      <c r="B17" s="52" t="s">
        <v>495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496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497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498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499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500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501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502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503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504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505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506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507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508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509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504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505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510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507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794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795</v>
      </c>
      <c r="C47" s="52"/>
      <c r="D47" s="52"/>
      <c r="E47" s="52"/>
      <c r="F47" s="52"/>
      <c r="G47" s="52"/>
      <c r="H47" s="52"/>
      <c r="I47" s="52"/>
      <c r="J47" s="52"/>
      <c r="K47" s="33">
        <f>K46-L44</f>
        <v>0</v>
      </c>
      <c r="L47" s="33">
        <f t="shared" ref="L47:X47" si="14">L46-M44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800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5" thickBot="1">
      <c r="B51" s="232" t="s">
        <v>511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5" thickBot="1">
      <c r="B52" s="101" t="s">
        <v>504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505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510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507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794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795</v>
      </c>
      <c r="C57" s="52"/>
      <c r="D57" s="52"/>
      <c r="E57" s="52"/>
      <c r="F57" s="52"/>
      <c r="G57" s="52"/>
      <c r="H57" s="52"/>
      <c r="I57" s="52"/>
      <c r="J57" s="52"/>
      <c r="K57" s="33">
        <f>K56-L54</f>
        <v>0</v>
      </c>
      <c r="L57" s="33">
        <f t="shared" ref="L57" si="19">L56-M54</f>
        <v>0</v>
      </c>
      <c r="M57" s="33">
        <f t="shared" ref="M57" si="20">M56-N54</f>
        <v>0</v>
      </c>
      <c r="N57" s="33">
        <f t="shared" ref="N57" si="21">N56-O54</f>
        <v>0</v>
      </c>
      <c r="O57" s="33">
        <f t="shared" ref="O57" si="22">O56-P54</f>
        <v>0</v>
      </c>
      <c r="P57" s="33">
        <f t="shared" ref="P57" si="23">P56-Q54</f>
        <v>0</v>
      </c>
      <c r="Q57" s="33">
        <f t="shared" ref="Q57" si="24">Q56-R54</f>
        <v>0</v>
      </c>
      <c r="R57" s="33">
        <f t="shared" ref="R57" si="25">R56-S54</f>
        <v>0</v>
      </c>
      <c r="S57" s="33">
        <f t="shared" ref="S57" si="26">S56-T54</f>
        <v>0</v>
      </c>
      <c r="T57" s="33">
        <f t="shared" ref="T57" si="27">T56-U54</f>
        <v>0</v>
      </c>
      <c r="U57" s="33">
        <f t="shared" ref="U57" si="28">U56-V54</f>
        <v>0</v>
      </c>
      <c r="V57" s="33">
        <f t="shared" ref="V57" si="29">V56-W54</f>
        <v>0</v>
      </c>
      <c r="W57" s="33">
        <f t="shared" ref="W57" si="30">W56-X54</f>
        <v>0</v>
      </c>
      <c r="X57" s="33">
        <f t="shared" ref="X57" si="31">X56-Y54</f>
        <v>0</v>
      </c>
    </row>
    <row r="58" spans="2:24">
      <c r="B58" s="87" t="s">
        <v>800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32">ROUND(((M57+L57)/2)*M55,0)</f>
        <v>0</v>
      </c>
      <c r="N58" s="86">
        <f t="shared" si="32"/>
        <v>0</v>
      </c>
      <c r="O58" s="86">
        <f t="shared" si="32"/>
        <v>0</v>
      </c>
      <c r="P58" s="86">
        <f t="shared" si="32"/>
        <v>0</v>
      </c>
      <c r="Q58" s="86">
        <f t="shared" si="32"/>
        <v>0</v>
      </c>
      <c r="R58" s="86">
        <f t="shared" si="32"/>
        <v>0</v>
      </c>
      <c r="S58" s="86">
        <f t="shared" si="32"/>
        <v>0</v>
      </c>
      <c r="T58" s="86">
        <f t="shared" si="32"/>
        <v>0</v>
      </c>
      <c r="U58" s="86">
        <f t="shared" si="32"/>
        <v>0</v>
      </c>
      <c r="V58" s="86">
        <f t="shared" si="32"/>
        <v>0</v>
      </c>
      <c r="W58" s="86">
        <f t="shared" si="32"/>
        <v>0</v>
      </c>
      <c r="X58" s="86">
        <f t="shared" si="32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5" thickBot="1">
      <c r="B61" s="232" t="s">
        <v>512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33">LataProjekcji</f>
        <v>Uzupełnij dane</v>
      </c>
      <c r="L61" s="234" t="str">
        <f t="shared" si="33"/>
        <v/>
      </c>
      <c r="M61" s="234" t="str">
        <f t="shared" si="33"/>
        <v/>
      </c>
      <c r="N61" s="234" t="str">
        <f t="shared" si="33"/>
        <v/>
      </c>
      <c r="O61" s="234" t="str">
        <f t="shared" si="33"/>
        <v/>
      </c>
      <c r="P61" s="234" t="str">
        <f t="shared" si="33"/>
        <v/>
      </c>
      <c r="Q61" s="234" t="str">
        <f t="shared" si="33"/>
        <v/>
      </c>
      <c r="R61" s="234" t="str">
        <f t="shared" si="33"/>
        <v/>
      </c>
      <c r="S61" s="234" t="str">
        <f t="shared" si="33"/>
        <v/>
      </c>
      <c r="T61" s="234" t="str">
        <f t="shared" si="33"/>
        <v/>
      </c>
      <c r="U61" s="234" t="str">
        <f t="shared" si="33"/>
        <v/>
      </c>
      <c r="V61" s="234" t="str">
        <f t="shared" si="33"/>
        <v/>
      </c>
      <c r="W61" s="234" t="str">
        <f t="shared" si="33"/>
        <v/>
      </c>
      <c r="X61" s="234" t="str">
        <f t="shared" si="33"/>
        <v/>
      </c>
    </row>
    <row r="62" spans="2:24" ht="12.5" thickBot="1">
      <c r="B62" s="101" t="s">
        <v>504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34">IF(L62+L63-L64&lt;0,0,L62+L63-L64)</f>
        <v>0</v>
      </c>
      <c r="N62" s="102">
        <f t="shared" si="34"/>
        <v>0</v>
      </c>
      <c r="O62" s="102">
        <f t="shared" si="34"/>
        <v>0</v>
      </c>
      <c r="P62" s="102">
        <f t="shared" si="34"/>
        <v>0</v>
      </c>
      <c r="Q62" s="102">
        <f t="shared" si="34"/>
        <v>0</v>
      </c>
      <c r="R62" s="102">
        <f t="shared" si="34"/>
        <v>0</v>
      </c>
      <c r="S62" s="102">
        <f t="shared" si="34"/>
        <v>0</v>
      </c>
      <c r="T62" s="102">
        <f t="shared" si="34"/>
        <v>0</v>
      </c>
      <c r="U62" s="102">
        <f t="shared" si="34"/>
        <v>0</v>
      </c>
      <c r="V62" s="102">
        <f t="shared" si="34"/>
        <v>0</v>
      </c>
      <c r="W62" s="102">
        <f t="shared" si="34"/>
        <v>0</v>
      </c>
      <c r="X62" s="102">
        <f t="shared" si="34"/>
        <v>0</v>
      </c>
    </row>
    <row r="63" spans="2:24">
      <c r="B63" s="52" t="s">
        <v>505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510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507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508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35">K62+K63-K64+L54+L44</f>
        <v>0</v>
      </c>
      <c r="L66" s="33">
        <f t="shared" si="35"/>
        <v>0</v>
      </c>
      <c r="M66" s="33">
        <f t="shared" si="35"/>
        <v>0</v>
      </c>
      <c r="N66" s="33">
        <f t="shared" si="35"/>
        <v>0</v>
      </c>
      <c r="O66" s="33">
        <f t="shared" si="35"/>
        <v>0</v>
      </c>
      <c r="P66" s="33">
        <f t="shared" si="35"/>
        <v>0</v>
      </c>
      <c r="Q66" s="33">
        <f t="shared" si="35"/>
        <v>0</v>
      </c>
      <c r="R66" s="33">
        <f t="shared" si="35"/>
        <v>0</v>
      </c>
      <c r="S66" s="33">
        <f t="shared" si="35"/>
        <v>0</v>
      </c>
      <c r="T66" s="33">
        <f t="shared" si="35"/>
        <v>0</v>
      </c>
      <c r="U66" s="33">
        <f t="shared" si="35"/>
        <v>0</v>
      </c>
      <c r="V66" s="33">
        <f t="shared" si="35"/>
        <v>0</v>
      </c>
      <c r="W66" s="33">
        <f t="shared" si="35"/>
        <v>0</v>
      </c>
      <c r="X66" s="33">
        <f t="shared" si="35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36">ROUND(((L66+K66)/2)*L65,0)</f>
        <v>0</v>
      </c>
      <c r="M67" s="86">
        <f t="shared" si="36"/>
        <v>0</v>
      </c>
      <c r="N67" s="86">
        <f t="shared" si="36"/>
        <v>0</v>
      </c>
      <c r="O67" s="86">
        <f t="shared" si="36"/>
        <v>0</v>
      </c>
      <c r="P67" s="86">
        <f t="shared" si="36"/>
        <v>0</v>
      </c>
      <c r="Q67" s="86">
        <f t="shared" si="36"/>
        <v>0</v>
      </c>
      <c r="R67" s="86">
        <f t="shared" si="36"/>
        <v>0</v>
      </c>
      <c r="S67" s="86">
        <f t="shared" si="36"/>
        <v>0</v>
      </c>
      <c r="T67" s="86">
        <f t="shared" si="36"/>
        <v>0</v>
      </c>
      <c r="U67" s="86">
        <f t="shared" si="36"/>
        <v>0</v>
      </c>
      <c r="V67" s="86">
        <f t="shared" si="36"/>
        <v>0</v>
      </c>
      <c r="W67" s="86">
        <f t="shared" si="36"/>
        <v>0</v>
      </c>
      <c r="X67" s="86">
        <f t="shared" si="36"/>
        <v>0</v>
      </c>
    </row>
    <row r="68" spans="2:24"/>
    <row r="69" spans="2:24"/>
    <row r="70" spans="2:24" ht="14.5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37">LataProjekcji</f>
        <v>Uzupełnij dane</v>
      </c>
      <c r="L70" s="32" t="str">
        <f t="shared" si="37"/>
        <v/>
      </c>
      <c r="M70" s="32" t="str">
        <f t="shared" si="37"/>
        <v/>
      </c>
      <c r="N70" s="32" t="str">
        <f t="shared" si="37"/>
        <v/>
      </c>
      <c r="O70" s="32" t="str">
        <f t="shared" si="37"/>
        <v/>
      </c>
      <c r="P70" s="32" t="str">
        <f t="shared" si="37"/>
        <v/>
      </c>
      <c r="Q70" s="32" t="str">
        <f t="shared" si="37"/>
        <v/>
      </c>
      <c r="R70" s="32" t="str">
        <f t="shared" si="37"/>
        <v/>
      </c>
      <c r="S70" s="32" t="str">
        <f t="shared" si="37"/>
        <v/>
      </c>
      <c r="T70" s="32" t="str">
        <f t="shared" si="37"/>
        <v/>
      </c>
      <c r="U70" s="32" t="str">
        <f t="shared" si="37"/>
        <v/>
      </c>
      <c r="V70" s="32" t="str">
        <f t="shared" si="37"/>
        <v/>
      </c>
      <c r="W70" s="32" t="str">
        <f t="shared" si="37"/>
        <v/>
      </c>
      <c r="X70" s="32" t="str">
        <f t="shared" si="37"/>
        <v/>
      </c>
    </row>
    <row r="71" spans="2:24"/>
    <row r="72" spans="2:24">
      <c r="B72" s="235" t="s">
        <v>492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493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38">K75</f>
        <v>0</v>
      </c>
      <c r="M73" s="94">
        <f t="shared" si="38"/>
        <v>0</v>
      </c>
      <c r="N73" s="94">
        <f t="shared" si="38"/>
        <v>0</v>
      </c>
      <c r="O73" s="94">
        <f t="shared" si="38"/>
        <v>0</v>
      </c>
      <c r="P73" s="94">
        <f t="shared" si="38"/>
        <v>0</v>
      </c>
      <c r="Q73" s="94">
        <f t="shared" si="38"/>
        <v>0</v>
      </c>
      <c r="R73" s="94">
        <f t="shared" si="38"/>
        <v>0</v>
      </c>
      <c r="S73" s="94">
        <f t="shared" si="38"/>
        <v>0</v>
      </c>
      <c r="T73" s="94">
        <f t="shared" si="38"/>
        <v>0</v>
      </c>
      <c r="U73" s="94">
        <f t="shared" si="38"/>
        <v>0</v>
      </c>
      <c r="V73" s="94">
        <f t="shared" si="38"/>
        <v>0</v>
      </c>
      <c r="W73" s="94">
        <f t="shared" si="38"/>
        <v>0</v>
      </c>
      <c r="X73" s="94">
        <f t="shared" si="38"/>
        <v>0</v>
      </c>
    </row>
    <row r="74" spans="2:24">
      <c r="B74" s="52" t="s">
        <v>494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495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39">L73+L74</f>
        <v>0</v>
      </c>
      <c r="M75" s="33">
        <f t="shared" si="39"/>
        <v>0</v>
      </c>
      <c r="N75" s="33">
        <f t="shared" si="39"/>
        <v>0</v>
      </c>
      <c r="O75" s="33">
        <f t="shared" si="39"/>
        <v>0</v>
      </c>
      <c r="P75" s="33">
        <f t="shared" si="39"/>
        <v>0</v>
      </c>
      <c r="Q75" s="33">
        <f t="shared" si="39"/>
        <v>0</v>
      </c>
      <c r="R75" s="33">
        <f t="shared" si="39"/>
        <v>0</v>
      </c>
      <c r="S75" s="33">
        <f t="shared" si="39"/>
        <v>0</v>
      </c>
      <c r="T75" s="33">
        <f t="shared" si="39"/>
        <v>0</v>
      </c>
      <c r="U75" s="33">
        <f t="shared" si="39"/>
        <v>0</v>
      </c>
      <c r="V75" s="33">
        <f t="shared" si="39"/>
        <v>0</v>
      </c>
      <c r="W75" s="33">
        <f t="shared" si="39"/>
        <v>0</v>
      </c>
      <c r="X75" s="33">
        <f t="shared" si="39"/>
        <v>0</v>
      </c>
    </row>
    <row r="76" spans="2:24"/>
    <row r="77" spans="2:24"/>
    <row r="78" spans="2:24">
      <c r="B78" s="235" t="s">
        <v>513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514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666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515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40">M81+N80</f>
        <v>0</v>
      </c>
      <c r="O81" s="33">
        <f t="shared" ca="1" si="40"/>
        <v>0</v>
      </c>
      <c r="P81" s="33">
        <f t="shared" ca="1" si="40"/>
        <v>0</v>
      </c>
      <c r="Q81" s="33">
        <f t="shared" ca="1" si="40"/>
        <v>0</v>
      </c>
      <c r="R81" s="33">
        <f t="shared" ca="1" si="40"/>
        <v>0</v>
      </c>
      <c r="S81" s="33">
        <f t="shared" ca="1" si="40"/>
        <v>0</v>
      </c>
      <c r="T81" s="33">
        <f t="shared" ca="1" si="40"/>
        <v>0</v>
      </c>
      <c r="U81" s="33">
        <f t="shared" ca="1" si="40"/>
        <v>0</v>
      </c>
      <c r="V81" s="33">
        <f t="shared" ca="1" si="40"/>
        <v>0</v>
      </c>
      <c r="W81" s="33">
        <f t="shared" ca="1" si="40"/>
        <v>0</v>
      </c>
      <c r="X81" s="33">
        <f t="shared" ca="1" si="40"/>
        <v>0</v>
      </c>
    </row>
    <row r="82" spans="2:24"/>
    <row r="83" spans="2:24"/>
    <row r="84" spans="2:24">
      <c r="B84" s="235" t="s">
        <v>496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41">LataProjekcji</f>
        <v>Uzupełnij dane</v>
      </c>
      <c r="L84" s="231" t="str">
        <f t="shared" si="41"/>
        <v/>
      </c>
      <c r="M84" s="231" t="str">
        <f t="shared" si="41"/>
        <v/>
      </c>
      <c r="N84" s="231" t="str">
        <f t="shared" si="41"/>
        <v/>
      </c>
      <c r="O84" s="231" t="str">
        <f t="shared" si="41"/>
        <v/>
      </c>
      <c r="P84" s="231" t="str">
        <f t="shared" si="41"/>
        <v/>
      </c>
      <c r="Q84" s="231" t="str">
        <f t="shared" si="41"/>
        <v/>
      </c>
      <c r="R84" s="231" t="str">
        <f t="shared" si="41"/>
        <v/>
      </c>
      <c r="S84" s="231" t="str">
        <f t="shared" si="41"/>
        <v/>
      </c>
      <c r="T84" s="231" t="str">
        <f t="shared" si="41"/>
        <v/>
      </c>
      <c r="U84" s="231" t="str">
        <f t="shared" si="41"/>
        <v/>
      </c>
      <c r="V84" s="231" t="str">
        <f t="shared" si="41"/>
        <v/>
      </c>
      <c r="W84" s="231" t="str">
        <f t="shared" si="41"/>
        <v/>
      </c>
      <c r="X84" s="231" t="str">
        <f t="shared" si="41"/>
        <v/>
      </c>
    </row>
    <row r="85" spans="2:24">
      <c r="B85" s="19" t="s">
        <v>497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498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499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42">L87+M85-M86</f>
        <v>0</v>
      </c>
      <c r="N87" s="33">
        <f t="shared" ca="1" si="42"/>
        <v>0</v>
      </c>
      <c r="O87" s="33">
        <f t="shared" ca="1" si="42"/>
        <v>0</v>
      </c>
      <c r="P87" s="33">
        <f t="shared" ca="1" si="42"/>
        <v>0</v>
      </c>
      <c r="Q87" s="33">
        <f t="shared" ca="1" si="42"/>
        <v>0</v>
      </c>
      <c r="R87" s="33">
        <f t="shared" ca="1" si="42"/>
        <v>0</v>
      </c>
      <c r="S87" s="33">
        <f t="shared" ca="1" si="42"/>
        <v>0</v>
      </c>
      <c r="T87" s="33">
        <f t="shared" ca="1" si="42"/>
        <v>0</v>
      </c>
      <c r="U87" s="33">
        <f t="shared" ca="1" si="42"/>
        <v>0</v>
      </c>
      <c r="V87" s="33">
        <f t="shared" ca="1" si="42"/>
        <v>0</v>
      </c>
      <c r="W87" s="33">
        <f t="shared" ca="1" si="42"/>
        <v>0</v>
      </c>
      <c r="X87" s="33">
        <f t="shared" ca="1" si="42"/>
        <v>0</v>
      </c>
    </row>
    <row r="88" spans="2:24"/>
    <row r="89" spans="2:24"/>
    <row r="90" spans="2:24">
      <c r="B90" s="235" t="s">
        <v>500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43">LataProjekcji</f>
        <v>Uzupełnij dane</v>
      </c>
      <c r="L90" s="231" t="str">
        <f t="shared" si="43"/>
        <v/>
      </c>
      <c r="M90" s="231" t="str">
        <f t="shared" si="43"/>
        <v/>
      </c>
      <c r="N90" s="231" t="str">
        <f t="shared" si="43"/>
        <v/>
      </c>
      <c r="O90" s="231" t="str">
        <f t="shared" si="43"/>
        <v/>
      </c>
      <c r="P90" s="231" t="str">
        <f t="shared" si="43"/>
        <v/>
      </c>
      <c r="Q90" s="231" t="str">
        <f t="shared" si="43"/>
        <v/>
      </c>
      <c r="R90" s="231" t="str">
        <f t="shared" si="43"/>
        <v/>
      </c>
      <c r="S90" s="231" t="str">
        <f t="shared" si="43"/>
        <v/>
      </c>
      <c r="T90" s="231" t="str">
        <f t="shared" si="43"/>
        <v/>
      </c>
      <c r="U90" s="231" t="str">
        <f t="shared" si="43"/>
        <v/>
      </c>
      <c r="V90" s="231" t="str">
        <f t="shared" si="43"/>
        <v/>
      </c>
      <c r="W90" s="231" t="str">
        <f t="shared" si="43"/>
        <v/>
      </c>
      <c r="X90" s="231" t="str">
        <f t="shared" si="43"/>
        <v/>
      </c>
    </row>
    <row r="91" spans="2:24">
      <c r="B91" s="101" t="s">
        <v>501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502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44">ROUND(M92*((M91+L91)/2),0)</f>
        <v>0</v>
      </c>
      <c r="N93" s="299">
        <f t="shared" ca="1" si="44"/>
        <v>0</v>
      </c>
      <c r="O93" s="299">
        <f t="shared" ca="1" si="44"/>
        <v>0</v>
      </c>
      <c r="P93" s="299">
        <f t="shared" ca="1" si="44"/>
        <v>0</v>
      </c>
      <c r="Q93" s="299">
        <f t="shared" ca="1" si="44"/>
        <v>0</v>
      </c>
      <c r="R93" s="299">
        <f t="shared" ca="1" si="44"/>
        <v>0</v>
      </c>
      <c r="S93" s="299">
        <f t="shared" ca="1" si="44"/>
        <v>0</v>
      </c>
      <c r="T93" s="299">
        <f t="shared" ca="1" si="44"/>
        <v>0</v>
      </c>
      <c r="U93" s="299">
        <f t="shared" ca="1" si="44"/>
        <v>0</v>
      </c>
      <c r="V93" s="299">
        <f t="shared" ca="1" si="44"/>
        <v>0</v>
      </c>
      <c r="W93" s="299">
        <f t="shared" ca="1" si="44"/>
        <v>0</v>
      </c>
      <c r="X93" s="299">
        <f t="shared" ca="1" si="44"/>
        <v>0</v>
      </c>
    </row>
    <row r="94" spans="2:24"/>
    <row r="95" spans="2:24"/>
    <row r="96" spans="2:24">
      <c r="B96" s="235" t="s">
        <v>503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45">LataProjekcji</f>
        <v>Uzupełnij dane</v>
      </c>
      <c r="L96" s="231" t="str">
        <f t="shared" si="45"/>
        <v/>
      </c>
      <c r="M96" s="231" t="str">
        <f t="shared" si="45"/>
        <v/>
      </c>
      <c r="N96" s="231" t="str">
        <f t="shared" si="45"/>
        <v/>
      </c>
      <c r="O96" s="231" t="str">
        <f t="shared" si="45"/>
        <v/>
      </c>
      <c r="P96" s="231" t="str">
        <f t="shared" si="45"/>
        <v/>
      </c>
      <c r="Q96" s="231" t="str">
        <f t="shared" si="45"/>
        <v/>
      </c>
      <c r="R96" s="231" t="str">
        <f t="shared" si="45"/>
        <v/>
      </c>
      <c r="S96" s="231" t="str">
        <f t="shared" si="45"/>
        <v/>
      </c>
      <c r="T96" s="231" t="str">
        <f t="shared" si="45"/>
        <v/>
      </c>
      <c r="U96" s="231" t="str">
        <f t="shared" si="45"/>
        <v/>
      </c>
      <c r="V96" s="231" t="str">
        <f t="shared" si="45"/>
        <v/>
      </c>
      <c r="W96" s="231" t="str">
        <f t="shared" si="45"/>
        <v/>
      </c>
      <c r="X96" s="231" t="str">
        <f t="shared" si="45"/>
        <v/>
      </c>
    </row>
    <row r="97" spans="2:24">
      <c r="B97" s="101" t="s">
        <v>504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46">K101</f>
        <v>0</v>
      </c>
      <c r="M97" s="102">
        <f t="shared" si="46"/>
        <v>0</v>
      </c>
      <c r="N97" s="102">
        <f t="shared" si="46"/>
        <v>0</v>
      </c>
      <c r="O97" s="102">
        <f t="shared" si="46"/>
        <v>0</v>
      </c>
      <c r="P97" s="102">
        <f t="shared" si="46"/>
        <v>0</v>
      </c>
      <c r="Q97" s="102">
        <f t="shared" si="46"/>
        <v>0</v>
      </c>
      <c r="R97" s="102">
        <f t="shared" si="46"/>
        <v>0</v>
      </c>
      <c r="S97" s="102">
        <f t="shared" si="46"/>
        <v>0</v>
      </c>
      <c r="T97" s="102">
        <f t="shared" si="46"/>
        <v>0</v>
      </c>
      <c r="U97" s="102">
        <f t="shared" si="46"/>
        <v>0</v>
      </c>
      <c r="V97" s="102">
        <f t="shared" si="46"/>
        <v>0</v>
      </c>
      <c r="W97" s="102">
        <f t="shared" si="46"/>
        <v>0</v>
      </c>
      <c r="X97" s="102">
        <f t="shared" si="46"/>
        <v>0</v>
      </c>
    </row>
    <row r="98" spans="2:24">
      <c r="B98" s="52" t="s">
        <v>505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506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507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508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47">L97+L98-L99</f>
        <v>0</v>
      </c>
      <c r="M101" s="183">
        <f t="shared" si="47"/>
        <v>0</v>
      </c>
      <c r="N101" s="183">
        <f t="shared" si="47"/>
        <v>0</v>
      </c>
      <c r="O101" s="183">
        <f t="shared" si="47"/>
        <v>0</v>
      </c>
      <c r="P101" s="183">
        <f t="shared" si="47"/>
        <v>0</v>
      </c>
      <c r="Q101" s="183">
        <f t="shared" si="47"/>
        <v>0</v>
      </c>
      <c r="R101" s="183">
        <f t="shared" si="47"/>
        <v>0</v>
      </c>
      <c r="S101" s="183">
        <f t="shared" si="47"/>
        <v>0</v>
      </c>
      <c r="T101" s="183">
        <f t="shared" si="47"/>
        <v>0</v>
      </c>
      <c r="U101" s="183">
        <f t="shared" si="47"/>
        <v>0</v>
      </c>
      <c r="V101" s="183">
        <f t="shared" si="47"/>
        <v>0</v>
      </c>
      <c r="W101" s="183">
        <f t="shared" si="47"/>
        <v>0</v>
      </c>
      <c r="X101" s="183">
        <f t="shared" si="47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48">ROUND(((M101+L101)/2)*M100,0)</f>
        <v>0</v>
      </c>
      <c r="N102" s="299">
        <f t="shared" si="48"/>
        <v>0</v>
      </c>
      <c r="O102" s="299">
        <f t="shared" si="48"/>
        <v>0</v>
      </c>
      <c r="P102" s="299">
        <f t="shared" si="48"/>
        <v>0</v>
      </c>
      <c r="Q102" s="299">
        <f t="shared" si="48"/>
        <v>0</v>
      </c>
      <c r="R102" s="299">
        <f t="shared" si="48"/>
        <v>0</v>
      </c>
      <c r="S102" s="299">
        <f t="shared" si="48"/>
        <v>0</v>
      </c>
      <c r="T102" s="299">
        <f t="shared" si="48"/>
        <v>0</v>
      </c>
      <c r="U102" s="299">
        <f t="shared" si="48"/>
        <v>0</v>
      </c>
      <c r="V102" s="299">
        <f t="shared" si="48"/>
        <v>0</v>
      </c>
      <c r="W102" s="299">
        <f t="shared" si="48"/>
        <v>0</v>
      </c>
      <c r="X102" s="299">
        <f t="shared" si="48"/>
        <v>0</v>
      </c>
    </row>
    <row r="103" spans="2:24"/>
    <row r="104" spans="2:24"/>
    <row r="105" spans="2:24">
      <c r="B105" s="235" t="s">
        <v>509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49">LataProjekcji</f>
        <v>Uzupełnij dane</v>
      </c>
      <c r="L105" s="231" t="str">
        <f t="shared" si="49"/>
        <v/>
      </c>
      <c r="M105" s="231" t="str">
        <f t="shared" si="49"/>
        <v/>
      </c>
      <c r="N105" s="231" t="str">
        <f t="shared" si="49"/>
        <v/>
      </c>
      <c r="O105" s="231" t="str">
        <f t="shared" si="49"/>
        <v/>
      </c>
      <c r="P105" s="231" t="str">
        <f t="shared" si="49"/>
        <v/>
      </c>
      <c r="Q105" s="231" t="str">
        <f t="shared" si="49"/>
        <v/>
      </c>
      <c r="R105" s="231" t="str">
        <f t="shared" si="49"/>
        <v/>
      </c>
      <c r="S105" s="231" t="str">
        <f t="shared" si="49"/>
        <v/>
      </c>
      <c r="T105" s="231" t="str">
        <f t="shared" si="49"/>
        <v/>
      </c>
      <c r="U105" s="231" t="str">
        <f t="shared" si="49"/>
        <v/>
      </c>
      <c r="V105" s="231" t="str">
        <f t="shared" si="49"/>
        <v/>
      </c>
      <c r="W105" s="231" t="str">
        <f t="shared" si="49"/>
        <v/>
      </c>
      <c r="X105" s="231" t="str">
        <f t="shared" si="49"/>
        <v/>
      </c>
    </row>
    <row r="106" spans="2:24">
      <c r="B106" s="101" t="s">
        <v>504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50">IF(L110&lt;0,0,L110)</f>
        <v>0</v>
      </c>
      <c r="N106" s="102">
        <f t="shared" si="50"/>
        <v>0</v>
      </c>
      <c r="O106" s="102">
        <f t="shared" si="50"/>
        <v>0</v>
      </c>
      <c r="P106" s="102">
        <f t="shared" si="50"/>
        <v>0</v>
      </c>
      <c r="Q106" s="102">
        <f t="shared" si="50"/>
        <v>0</v>
      </c>
      <c r="R106" s="102">
        <f t="shared" si="50"/>
        <v>0</v>
      </c>
      <c r="S106" s="102">
        <f t="shared" si="50"/>
        <v>0</v>
      </c>
      <c r="T106" s="102">
        <f t="shared" si="50"/>
        <v>0</v>
      </c>
      <c r="U106" s="102">
        <f t="shared" si="50"/>
        <v>0</v>
      </c>
      <c r="V106" s="102">
        <f t="shared" si="50"/>
        <v>0</v>
      </c>
      <c r="W106" s="102">
        <f t="shared" si="50"/>
        <v>0</v>
      </c>
      <c r="X106" s="102">
        <f t="shared" si="50"/>
        <v>0</v>
      </c>
    </row>
    <row r="107" spans="2:24">
      <c r="B107" s="52" t="s">
        <v>505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510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507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508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51">L106+L107-L108</f>
        <v>0</v>
      </c>
      <c r="M110" s="183">
        <f t="shared" si="51"/>
        <v>0</v>
      </c>
      <c r="N110" s="183">
        <f t="shared" si="51"/>
        <v>0</v>
      </c>
      <c r="O110" s="183">
        <f t="shared" si="51"/>
        <v>0</v>
      </c>
      <c r="P110" s="183">
        <f t="shared" si="51"/>
        <v>0</v>
      </c>
      <c r="Q110" s="183">
        <f t="shared" si="51"/>
        <v>0</v>
      </c>
      <c r="R110" s="183">
        <f t="shared" si="51"/>
        <v>0</v>
      </c>
      <c r="S110" s="183">
        <f t="shared" si="51"/>
        <v>0</v>
      </c>
      <c r="T110" s="183">
        <f t="shared" si="51"/>
        <v>0</v>
      </c>
      <c r="U110" s="183">
        <f t="shared" si="51"/>
        <v>0</v>
      </c>
      <c r="V110" s="183">
        <f t="shared" si="51"/>
        <v>0</v>
      </c>
      <c r="W110" s="183">
        <f t="shared" si="51"/>
        <v>0</v>
      </c>
      <c r="X110" s="183">
        <f t="shared" si="51"/>
        <v>0</v>
      </c>
    </row>
    <row r="111" spans="2:24">
      <c r="B111" s="52" t="s">
        <v>795</v>
      </c>
      <c r="C111" s="52"/>
      <c r="D111" s="52"/>
      <c r="E111" s="52"/>
      <c r="F111" s="52"/>
      <c r="G111" s="52"/>
      <c r="H111" s="52"/>
      <c r="I111" s="52"/>
      <c r="J111" s="52"/>
      <c r="K111" s="183">
        <f>K110-L108</f>
        <v>0</v>
      </c>
      <c r="L111" s="183">
        <f t="shared" ref="L111" si="52">L110-M108</f>
        <v>0</v>
      </c>
      <c r="M111" s="183">
        <f t="shared" ref="M111" si="53">M110-N108</f>
        <v>0</v>
      </c>
      <c r="N111" s="183">
        <f t="shared" ref="N111" si="54">N110-O108</f>
        <v>0</v>
      </c>
      <c r="O111" s="183">
        <f t="shared" ref="O111" si="55">O110-P108</f>
        <v>0</v>
      </c>
      <c r="P111" s="183">
        <f t="shared" ref="P111" si="56">P110-Q108</f>
        <v>0</v>
      </c>
      <c r="Q111" s="183">
        <f t="shared" ref="Q111" si="57">Q110-R108</f>
        <v>0</v>
      </c>
      <c r="R111" s="183">
        <f t="shared" ref="R111" si="58">R110-S108</f>
        <v>0</v>
      </c>
      <c r="S111" s="183">
        <f t="shared" ref="S111" si="59">S110-T108</f>
        <v>0</v>
      </c>
      <c r="T111" s="183">
        <f t="shared" ref="T111" si="60">T110-U108</f>
        <v>0</v>
      </c>
      <c r="U111" s="183">
        <f t="shared" ref="U111" si="61">U110-V108</f>
        <v>0</v>
      </c>
      <c r="V111" s="183">
        <f t="shared" ref="V111" si="62">V110-W108</f>
        <v>0</v>
      </c>
      <c r="W111" s="183">
        <f t="shared" ref="W111" si="63">W110-X108</f>
        <v>0</v>
      </c>
      <c r="X111" s="183">
        <f t="shared" ref="X111" si="64">X110-Y108</f>
        <v>0</v>
      </c>
    </row>
    <row r="112" spans="2:24">
      <c r="B112" s="87" t="s">
        <v>800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65">ROUND(((M111+L111)/2)*M109,0)</f>
        <v>0</v>
      </c>
      <c r="N112" s="299">
        <f t="shared" si="65"/>
        <v>0</v>
      </c>
      <c r="O112" s="299">
        <f t="shared" si="65"/>
        <v>0</v>
      </c>
      <c r="P112" s="299">
        <f t="shared" si="65"/>
        <v>0</v>
      </c>
      <c r="Q112" s="299">
        <f t="shared" si="65"/>
        <v>0</v>
      </c>
      <c r="R112" s="299">
        <f t="shared" si="65"/>
        <v>0</v>
      </c>
      <c r="S112" s="299">
        <f t="shared" si="65"/>
        <v>0</v>
      </c>
      <c r="T112" s="299">
        <f t="shared" si="65"/>
        <v>0</v>
      </c>
      <c r="U112" s="299">
        <f t="shared" si="65"/>
        <v>0</v>
      </c>
      <c r="V112" s="299">
        <f t="shared" si="65"/>
        <v>0</v>
      </c>
      <c r="W112" s="299">
        <f t="shared" si="65"/>
        <v>0</v>
      </c>
      <c r="X112" s="299">
        <f t="shared" si="65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511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66">LataProjekcji</f>
        <v>Uzupełnij dane</v>
      </c>
      <c r="L115" s="231" t="str">
        <f t="shared" si="66"/>
        <v/>
      </c>
      <c r="M115" s="231" t="str">
        <f t="shared" si="66"/>
        <v/>
      </c>
      <c r="N115" s="231" t="str">
        <f t="shared" si="66"/>
        <v/>
      </c>
      <c r="O115" s="231" t="str">
        <f t="shared" si="66"/>
        <v/>
      </c>
      <c r="P115" s="231" t="str">
        <f t="shared" si="66"/>
        <v/>
      </c>
      <c r="Q115" s="231" t="str">
        <f t="shared" si="66"/>
        <v/>
      </c>
      <c r="R115" s="231" t="str">
        <f t="shared" si="66"/>
        <v/>
      </c>
      <c r="S115" s="231" t="str">
        <f t="shared" si="66"/>
        <v/>
      </c>
      <c r="T115" s="231" t="str">
        <f t="shared" si="66"/>
        <v/>
      </c>
      <c r="U115" s="231" t="str">
        <f t="shared" si="66"/>
        <v/>
      </c>
      <c r="V115" s="231" t="str">
        <f t="shared" si="66"/>
        <v/>
      </c>
      <c r="W115" s="231" t="str">
        <f t="shared" si="66"/>
        <v/>
      </c>
      <c r="X115" s="231" t="str">
        <f t="shared" si="66"/>
        <v/>
      </c>
    </row>
    <row r="116" spans="2:24">
      <c r="B116" s="101" t="s">
        <v>504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67">IF(L120&lt;0,0,L120)</f>
        <v>0</v>
      </c>
      <c r="N116" s="102">
        <f t="shared" si="67"/>
        <v>0</v>
      </c>
      <c r="O116" s="102">
        <f t="shared" si="67"/>
        <v>0</v>
      </c>
      <c r="P116" s="102">
        <f t="shared" si="67"/>
        <v>0</v>
      </c>
      <c r="Q116" s="102">
        <f t="shared" si="67"/>
        <v>0</v>
      </c>
      <c r="R116" s="102">
        <f t="shared" si="67"/>
        <v>0</v>
      </c>
      <c r="S116" s="102">
        <f t="shared" si="67"/>
        <v>0</v>
      </c>
      <c r="T116" s="102">
        <f t="shared" si="67"/>
        <v>0</v>
      </c>
      <c r="U116" s="102">
        <f t="shared" si="67"/>
        <v>0</v>
      </c>
      <c r="V116" s="102">
        <f t="shared" si="67"/>
        <v>0</v>
      </c>
      <c r="W116" s="102">
        <f t="shared" si="67"/>
        <v>0</v>
      </c>
      <c r="X116" s="102">
        <f t="shared" si="67"/>
        <v>0</v>
      </c>
    </row>
    <row r="117" spans="2:24">
      <c r="B117" s="52" t="s">
        <v>505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510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507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794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68">L116+L117-L118</f>
        <v>0</v>
      </c>
      <c r="M120" s="183">
        <f t="shared" si="68"/>
        <v>0</v>
      </c>
      <c r="N120" s="183">
        <f t="shared" si="68"/>
        <v>0</v>
      </c>
      <c r="O120" s="183">
        <f t="shared" si="68"/>
        <v>0</v>
      </c>
      <c r="P120" s="183">
        <f t="shared" si="68"/>
        <v>0</v>
      </c>
      <c r="Q120" s="183">
        <f t="shared" si="68"/>
        <v>0</v>
      </c>
      <c r="R120" s="183">
        <f t="shared" si="68"/>
        <v>0</v>
      </c>
      <c r="S120" s="183">
        <f t="shared" si="68"/>
        <v>0</v>
      </c>
      <c r="T120" s="183">
        <f t="shared" si="68"/>
        <v>0</v>
      </c>
      <c r="U120" s="183">
        <f t="shared" si="68"/>
        <v>0</v>
      </c>
      <c r="V120" s="183">
        <f t="shared" si="68"/>
        <v>0</v>
      </c>
      <c r="W120" s="183">
        <f t="shared" si="68"/>
        <v>0</v>
      </c>
      <c r="X120" s="183">
        <f t="shared" si="68"/>
        <v>0</v>
      </c>
    </row>
    <row r="121" spans="2:24">
      <c r="B121" s="52" t="s">
        <v>795</v>
      </c>
      <c r="C121" s="52"/>
      <c r="D121" s="52"/>
      <c r="E121" s="52"/>
      <c r="F121" s="52"/>
      <c r="G121" s="52"/>
      <c r="H121" s="52"/>
      <c r="I121" s="52"/>
      <c r="J121" s="52"/>
      <c r="K121" s="183">
        <f>K120-L118</f>
        <v>0</v>
      </c>
      <c r="L121" s="183">
        <f t="shared" ref="L121:X121" si="69">L120-M118</f>
        <v>0</v>
      </c>
      <c r="M121" s="183">
        <f t="shared" si="69"/>
        <v>0</v>
      </c>
      <c r="N121" s="183">
        <f t="shared" si="69"/>
        <v>0</v>
      </c>
      <c r="O121" s="183">
        <f t="shared" si="69"/>
        <v>0</v>
      </c>
      <c r="P121" s="183">
        <f t="shared" si="69"/>
        <v>0</v>
      </c>
      <c r="Q121" s="183">
        <f t="shared" si="69"/>
        <v>0</v>
      </c>
      <c r="R121" s="183">
        <f t="shared" si="69"/>
        <v>0</v>
      </c>
      <c r="S121" s="183">
        <f t="shared" si="69"/>
        <v>0</v>
      </c>
      <c r="T121" s="183">
        <f t="shared" si="69"/>
        <v>0</v>
      </c>
      <c r="U121" s="183">
        <f t="shared" si="69"/>
        <v>0</v>
      </c>
      <c r="V121" s="183">
        <f t="shared" si="69"/>
        <v>0</v>
      </c>
      <c r="W121" s="183">
        <f t="shared" si="69"/>
        <v>0</v>
      </c>
      <c r="X121" s="183">
        <f t="shared" si="69"/>
        <v>0</v>
      </c>
    </row>
    <row r="122" spans="2:24">
      <c r="B122" s="87" t="s">
        <v>800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70">ROUND(((M121+L121)/2)*M119,0)</f>
        <v>0</v>
      </c>
      <c r="N122" s="299">
        <f t="shared" si="70"/>
        <v>0</v>
      </c>
      <c r="O122" s="299">
        <f t="shared" si="70"/>
        <v>0</v>
      </c>
      <c r="P122" s="299">
        <f t="shared" si="70"/>
        <v>0</v>
      </c>
      <c r="Q122" s="299">
        <f t="shared" si="70"/>
        <v>0</v>
      </c>
      <c r="R122" s="299">
        <f t="shared" si="70"/>
        <v>0</v>
      </c>
      <c r="S122" s="299">
        <f t="shared" si="70"/>
        <v>0</v>
      </c>
      <c r="T122" s="299">
        <f t="shared" si="70"/>
        <v>0</v>
      </c>
      <c r="U122" s="299">
        <f t="shared" si="70"/>
        <v>0</v>
      </c>
      <c r="V122" s="299">
        <f t="shared" si="70"/>
        <v>0</v>
      </c>
      <c r="W122" s="299">
        <f t="shared" si="70"/>
        <v>0</v>
      </c>
      <c r="X122" s="299">
        <f t="shared" si="70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512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71">LataProjekcji</f>
        <v>Uzupełnij dane</v>
      </c>
      <c r="L125" s="231" t="str">
        <f t="shared" si="71"/>
        <v/>
      </c>
      <c r="M125" s="231" t="str">
        <f t="shared" si="71"/>
        <v/>
      </c>
      <c r="N125" s="231" t="str">
        <f t="shared" si="71"/>
        <v/>
      </c>
      <c r="O125" s="231" t="str">
        <f t="shared" si="71"/>
        <v/>
      </c>
      <c r="P125" s="231" t="str">
        <f t="shared" si="71"/>
        <v/>
      </c>
      <c r="Q125" s="231" t="str">
        <f t="shared" si="71"/>
        <v/>
      </c>
      <c r="R125" s="231" t="str">
        <f t="shared" si="71"/>
        <v/>
      </c>
      <c r="S125" s="231" t="str">
        <f t="shared" si="71"/>
        <v/>
      </c>
      <c r="T125" s="231" t="str">
        <f t="shared" si="71"/>
        <v/>
      </c>
      <c r="U125" s="231" t="str">
        <f t="shared" si="71"/>
        <v/>
      </c>
      <c r="V125" s="231" t="str">
        <f t="shared" si="71"/>
        <v/>
      </c>
      <c r="W125" s="231" t="str">
        <f t="shared" si="71"/>
        <v/>
      </c>
      <c r="X125" s="231" t="str">
        <f t="shared" si="71"/>
        <v/>
      </c>
    </row>
    <row r="126" spans="2:24">
      <c r="B126" s="101" t="s">
        <v>504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72">IF(M126+M127-M128&lt;0,0,M126+M127-M128)</f>
        <v>0</v>
      </c>
      <c r="O126" s="102">
        <f t="shared" si="72"/>
        <v>0</v>
      </c>
      <c r="P126" s="102">
        <f t="shared" si="72"/>
        <v>0</v>
      </c>
      <c r="Q126" s="102">
        <f t="shared" si="72"/>
        <v>0</v>
      </c>
      <c r="R126" s="102">
        <f t="shared" si="72"/>
        <v>0</v>
      </c>
      <c r="S126" s="102">
        <f t="shared" si="72"/>
        <v>0</v>
      </c>
      <c r="T126" s="102">
        <f t="shared" si="72"/>
        <v>0</v>
      </c>
      <c r="U126" s="102">
        <f t="shared" si="72"/>
        <v>0</v>
      </c>
      <c r="V126" s="102">
        <f t="shared" si="72"/>
        <v>0</v>
      </c>
      <c r="W126" s="102">
        <f t="shared" si="72"/>
        <v>0</v>
      </c>
      <c r="X126" s="102">
        <f t="shared" si="72"/>
        <v>0</v>
      </c>
    </row>
    <row r="127" spans="2:24">
      <c r="B127" s="52" t="s">
        <v>505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510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507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508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73">K126+K127-K128+L118+L108</f>
        <v>0</v>
      </c>
      <c r="L130" s="183">
        <f t="shared" si="73"/>
        <v>0</v>
      </c>
      <c r="M130" s="183">
        <f t="shared" si="73"/>
        <v>0</v>
      </c>
      <c r="N130" s="183">
        <f t="shared" si="73"/>
        <v>0</v>
      </c>
      <c r="O130" s="183">
        <f t="shared" si="73"/>
        <v>0</v>
      </c>
      <c r="P130" s="183">
        <f t="shared" si="73"/>
        <v>0</v>
      </c>
      <c r="Q130" s="183">
        <f t="shared" si="73"/>
        <v>0</v>
      </c>
      <c r="R130" s="183">
        <f t="shared" si="73"/>
        <v>0</v>
      </c>
      <c r="S130" s="183">
        <f t="shared" si="73"/>
        <v>0</v>
      </c>
      <c r="T130" s="183">
        <f t="shared" si="73"/>
        <v>0</v>
      </c>
      <c r="U130" s="183">
        <f t="shared" si="73"/>
        <v>0</v>
      </c>
      <c r="V130" s="183">
        <f t="shared" si="73"/>
        <v>0</v>
      </c>
      <c r="W130" s="183">
        <f t="shared" si="73"/>
        <v>0</v>
      </c>
      <c r="X130" s="183">
        <f t="shared" si="73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74">ROUND(((M130+L130)/2)*M129,0)</f>
        <v>0</v>
      </c>
      <c r="N131" s="299">
        <f t="shared" si="74"/>
        <v>0</v>
      </c>
      <c r="O131" s="299">
        <f t="shared" si="74"/>
        <v>0</v>
      </c>
      <c r="P131" s="299">
        <f t="shared" si="74"/>
        <v>0</v>
      </c>
      <c r="Q131" s="299">
        <f t="shared" si="74"/>
        <v>0</v>
      </c>
      <c r="R131" s="299">
        <f t="shared" si="74"/>
        <v>0</v>
      </c>
      <c r="S131" s="299">
        <f t="shared" si="74"/>
        <v>0</v>
      </c>
      <c r="T131" s="299">
        <f t="shared" si="74"/>
        <v>0</v>
      </c>
      <c r="U131" s="299">
        <f t="shared" si="74"/>
        <v>0</v>
      </c>
      <c r="V131" s="299">
        <f t="shared" si="74"/>
        <v>0</v>
      </c>
      <c r="W131" s="299">
        <f t="shared" si="74"/>
        <v>0</v>
      </c>
      <c r="X131" s="299">
        <f t="shared" si="74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516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75">LataProjekcji</f>
        <v>Uzupełnij dane</v>
      </c>
      <c r="L134" s="231" t="str">
        <f t="shared" si="75"/>
        <v/>
      </c>
      <c r="M134" s="231" t="str">
        <f t="shared" si="75"/>
        <v/>
      </c>
      <c r="N134" s="231" t="str">
        <f t="shared" si="75"/>
        <v/>
      </c>
      <c r="O134" s="231" t="str">
        <f t="shared" si="75"/>
        <v/>
      </c>
      <c r="P134" s="231" t="str">
        <f t="shared" si="75"/>
        <v/>
      </c>
      <c r="Q134" s="231" t="str">
        <f t="shared" si="75"/>
        <v/>
      </c>
      <c r="R134" s="231" t="str">
        <f t="shared" si="75"/>
        <v/>
      </c>
      <c r="S134" s="231" t="str">
        <f t="shared" si="75"/>
        <v/>
      </c>
      <c r="T134" s="231" t="str">
        <f t="shared" si="75"/>
        <v/>
      </c>
      <c r="U134" s="231" t="str">
        <f t="shared" si="75"/>
        <v/>
      </c>
      <c r="V134" s="231" t="str">
        <f t="shared" si="75"/>
        <v/>
      </c>
      <c r="W134" s="231" t="str">
        <f t="shared" si="75"/>
        <v/>
      </c>
      <c r="X134" s="231" t="str">
        <f t="shared" si="75"/>
        <v/>
      </c>
    </row>
    <row r="135" spans="2:24">
      <c r="B135" s="101" t="s">
        <v>504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76">IF(L138&lt;0,0,L138)</f>
        <v>0</v>
      </c>
      <c r="N135" s="102">
        <f t="shared" si="76"/>
        <v>0</v>
      </c>
      <c r="O135" s="102">
        <f t="shared" si="76"/>
        <v>0</v>
      </c>
      <c r="P135" s="102">
        <f t="shared" si="76"/>
        <v>0</v>
      </c>
      <c r="Q135" s="102">
        <f t="shared" si="76"/>
        <v>0</v>
      </c>
      <c r="R135" s="102">
        <f t="shared" si="76"/>
        <v>0</v>
      </c>
      <c r="S135" s="102">
        <f t="shared" si="76"/>
        <v>0</v>
      </c>
      <c r="T135" s="102">
        <f t="shared" si="76"/>
        <v>0</v>
      </c>
      <c r="U135" s="102">
        <f t="shared" si="76"/>
        <v>0</v>
      </c>
      <c r="V135" s="102">
        <f t="shared" si="76"/>
        <v>0</v>
      </c>
      <c r="W135" s="102">
        <f t="shared" si="76"/>
        <v>0</v>
      </c>
      <c r="X135" s="102">
        <f t="shared" si="76"/>
        <v>0</v>
      </c>
    </row>
    <row r="136" spans="2:24">
      <c r="B136" s="52" t="s">
        <v>505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510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508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77">L135+L136-L137</f>
        <v>0</v>
      </c>
      <c r="M138" s="33">
        <f t="shared" si="77"/>
        <v>0</v>
      </c>
      <c r="N138" s="33">
        <f t="shared" si="77"/>
        <v>0</v>
      </c>
      <c r="O138" s="33">
        <f t="shared" si="77"/>
        <v>0</v>
      </c>
      <c r="P138" s="33">
        <f t="shared" si="77"/>
        <v>0</v>
      </c>
      <c r="Q138" s="33">
        <f t="shared" si="77"/>
        <v>0</v>
      </c>
      <c r="R138" s="33">
        <f t="shared" si="77"/>
        <v>0</v>
      </c>
      <c r="S138" s="33">
        <f t="shared" si="77"/>
        <v>0</v>
      </c>
      <c r="T138" s="33">
        <f t="shared" si="77"/>
        <v>0</v>
      </c>
      <c r="U138" s="33">
        <f t="shared" si="77"/>
        <v>0</v>
      </c>
      <c r="V138" s="33">
        <f t="shared" si="77"/>
        <v>0</v>
      </c>
      <c r="W138" s="33">
        <f t="shared" si="77"/>
        <v>0</v>
      </c>
      <c r="X138" s="33">
        <f t="shared" si="77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 ht="14.5">
      <c r="B142" s="11" t="s">
        <v>51</v>
      </c>
    </row>
    <row r="143" spans="2:24"/>
    <row r="144" spans="2:2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</sheetData>
  <sheetProtection algorithmName="SHA-512" hashValue="/iOOVI91q9x6w6A7x392VeNmwS859xkwad5XM97Ouh/z4pVl9inWN4f/wp01ddvvrgvXKORY2V3R7XAdlmy1YQ==" saltValue="Dz05q/nMeOcHuJE4+8pO6g==" spinCount="100000" sheet="1" objects="1" scenarios="1"/>
  <mergeCells count="1">
    <mergeCell ref="B2:X3"/>
  </mergeCells>
  <conditionalFormatting sqref="K120:X121">
    <cfRule type="cellIs" dxfId="75" priority="12" operator="lessThan">
      <formula>0</formula>
    </cfRule>
  </conditionalFormatting>
  <conditionalFormatting sqref="K110:X110 K101:X101 K37:X37 K66:X66 K130:X130 K46:X47 K56:X57">
    <cfRule type="cellIs" dxfId="74" priority="11" operator="lessThan">
      <formula>0</formula>
    </cfRule>
  </conditionalFormatting>
  <conditionalFormatting sqref="K138:X138">
    <cfRule type="cellIs" dxfId="73" priority="10" operator="lessThan">
      <formula>0</formula>
    </cfRule>
  </conditionalFormatting>
  <conditionalFormatting sqref="L80">
    <cfRule type="expression" dxfId="72" priority="9">
      <formula>L80&gt;L79</formula>
    </cfRule>
  </conditionalFormatting>
  <conditionalFormatting sqref="M80:X80 K80">
    <cfRule type="expression" dxfId="71" priority="8">
      <formula>K80&gt;K79</formula>
    </cfRule>
  </conditionalFormatting>
  <conditionalFormatting sqref="K63:X64 K53:X54 K43:X44 K34:X35 K22:X22 K16:X16">
    <cfRule type="expression" dxfId="70" priority="7">
      <formula>K$12&lt;=Koniec_Projekt</formula>
    </cfRule>
  </conditionalFormatting>
  <conditionalFormatting sqref="K16:U16 K22:U22 K34:U35 K43:U44 K53:U54 K63:U64">
    <cfRule type="expression" dxfId="69" priority="5">
      <formula>AND(K$12&gt;Koniec_Projekt,K$12&lt;=Koniec)</formula>
    </cfRule>
  </conditionalFormatting>
  <conditionalFormatting sqref="K74:X74 K80:X80 K86:X86 K98:X99 K107:X108 K117:X118 K127:X128 K136:X137 K139:X139">
    <cfRule type="expression" dxfId="68" priority="2">
      <formula>AND(K$12&gt;Koniec_Projekt,K$12&lt;=Koniec)</formula>
    </cfRule>
    <cfRule type="expression" dxfId="67" priority="3">
      <formula>AND(K$12&gt;=Poczatek,K$12&lt;=Koniec_Projekt)</formula>
    </cfRule>
  </conditionalFormatting>
  <conditionalFormatting sqref="K111:X111">
    <cfRule type="cellIs" dxfId="66" priority="1" operator="lessThan">
      <formula>0</formula>
    </cfRule>
  </conditionalFormatting>
  <dataValidations disablePrompts="1" count="1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4" manualBreakCount="4">
    <brk id="40" min="1" max="23" man="1"/>
    <brk id="69" min="1" max="23" man="1"/>
    <brk id="104" min="1" max="23" man="1"/>
    <brk id="141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165100</xdr:colOff>
                    <xdr:row>3</xdr:row>
                    <xdr:rowOff>101600</xdr:rowOff>
                  </from>
                  <to>
                    <xdr:col>17</xdr:col>
                    <xdr:colOff>101600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142</vt:i4>
      </vt:variant>
    </vt:vector>
  </HeadingPairs>
  <TitlesOfParts>
    <vt:vector size="153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2023-04-18T11:10:47Z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2023-03-30T13:20:16Z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ea60c70c-8729-4d7c-ae07-5ed99d1b4160</vt:lpwstr>
  </property>
  <property fmtid="{D5CDD505-2E9C-101B-9397-08002B2CF9AE}" pid="8" name="MSIP_Label_91e939cc-945f-447d-b5c0-f5a8e3aaa77b_ContentBits">
    <vt:lpwstr>0</vt:lpwstr>
  </property>
</Properties>
</file>