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N:\DDP.5\FDS-nowe\NABORY_LISTY_FDS\Nabór 2022 na 2023\listy do wysyłki do PRM_po zmianach\"/>
    </mc:Choice>
  </mc:AlternateContent>
  <bookViews>
    <workbookView xWindow="930" yWindow="0" windowWidth="17070" windowHeight="10965"/>
  </bookViews>
  <sheets>
    <sheet name="TERC - &quot;nazwa woj&quot;" sheetId="7" r:id="rId1"/>
    <sheet name="pow podst" sheetId="3" r:id="rId2"/>
    <sheet name="gm podst" sheetId="5" r:id="rId3"/>
    <sheet name="pow rez" sheetId="4" r:id="rId4"/>
    <sheet name="gm rez" sheetId="6" r:id="rId5"/>
  </sheets>
  <definedNames>
    <definedName name="_xlnm._FilterDatabase" localSheetId="2" hidden="1">'gm podst'!$A$2:$AC$2</definedName>
    <definedName name="_xlnm._FilterDatabase" localSheetId="4" hidden="1">'gm rez'!$A$2:$AB$41</definedName>
    <definedName name="_xlnm._FilterDatabase" localSheetId="1" hidden="1">'pow podst'!$A$2:$AY$16</definedName>
    <definedName name="_xlnm._FilterDatabase" localSheetId="3" hidden="1">'pow rez'!$A$2:$AD$3</definedName>
    <definedName name="_xlnm.Print_Area" localSheetId="2">'gm podst'!$A$1:$X$43</definedName>
    <definedName name="_xlnm.Print_Area" localSheetId="4">'gm rez'!$A$1:$X$46</definedName>
    <definedName name="_xlnm.Print_Area" localSheetId="1">'pow podst'!$A$1:$W$23</definedName>
    <definedName name="_xlnm.Print_Area" localSheetId="3">'pow rez'!$A$1:$W$14</definedName>
    <definedName name="_xlnm.Print_Area" localSheetId="0">'TERC - "nazwa woj"'!$A$1:$O$35</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s>
  <calcPr calcId="162913"/>
</workbook>
</file>

<file path=xl/calcChain.xml><?xml version="1.0" encoding="utf-8"?>
<calcChain xmlns="http://schemas.openxmlformats.org/spreadsheetml/2006/main">
  <c r="X41" i="6" l="1"/>
  <c r="X40" i="6"/>
  <c r="X39" i="6"/>
  <c r="X38" i="6"/>
  <c r="W41" i="6"/>
  <c r="W40" i="6"/>
  <c r="W39" i="6"/>
  <c r="W38" i="6"/>
  <c r="V41" i="6"/>
  <c r="V40" i="6"/>
  <c r="V39" i="6"/>
  <c r="V38" i="6"/>
  <c r="U41" i="6"/>
  <c r="U40" i="6"/>
  <c r="U39" i="6"/>
  <c r="U38" i="6"/>
  <c r="R41" i="6"/>
  <c r="R40" i="6"/>
  <c r="R39" i="6"/>
  <c r="R38" i="6"/>
  <c r="Q41" i="6"/>
  <c r="Q40" i="6"/>
  <c r="Q39" i="6"/>
  <c r="Q38" i="6"/>
  <c r="P41" i="6"/>
  <c r="P40" i="6"/>
  <c r="P39" i="6"/>
  <c r="I41" i="6"/>
  <c r="I40" i="6"/>
  <c r="I39" i="6"/>
  <c r="I38" i="6"/>
  <c r="L16" i="7"/>
  <c r="T39" i="6" l="1"/>
  <c r="P38" i="6"/>
  <c r="O41" i="6"/>
  <c r="O40" i="6"/>
  <c r="O39" i="6"/>
  <c r="O38" i="6"/>
  <c r="K41" i="6"/>
  <c r="K40" i="6"/>
  <c r="K39" i="6"/>
  <c r="K38" i="6"/>
  <c r="I36" i="5"/>
  <c r="O29" i="7"/>
  <c r="O28" i="7"/>
  <c r="N29" i="7"/>
  <c r="N28" i="7"/>
  <c r="M29" i="7"/>
  <c r="M28" i="7"/>
  <c r="L29" i="7"/>
  <c r="L28" i="7"/>
  <c r="K28" i="7"/>
  <c r="I29" i="7"/>
  <c r="I28" i="7"/>
  <c r="H29" i="7"/>
  <c r="H28" i="7"/>
  <c r="G29" i="7"/>
  <c r="G28" i="7"/>
  <c r="G27" i="7"/>
  <c r="H27" i="7"/>
  <c r="I27" i="7"/>
  <c r="L27" i="7"/>
  <c r="M27" i="7"/>
  <c r="N27" i="7"/>
  <c r="O27" i="7"/>
  <c r="F29" i="7"/>
  <c r="F28" i="7"/>
  <c r="F27" i="7"/>
  <c r="C29" i="7"/>
  <c r="C28" i="7"/>
  <c r="C27" i="7"/>
  <c r="B29" i="7"/>
  <c r="B27" i="7"/>
  <c r="B28" i="7"/>
  <c r="L37" i="6"/>
  <c r="M37" i="6" s="1"/>
  <c r="L4" i="6"/>
  <c r="L3" i="6"/>
  <c r="M3" i="6" s="1"/>
  <c r="AB3" i="6" s="1"/>
  <c r="S5" i="6"/>
  <c r="L5" i="6"/>
  <c r="Z37" i="6" l="1"/>
  <c r="AA37" i="6" s="1"/>
  <c r="S3" i="6"/>
  <c r="Y3" i="6" s="1"/>
  <c r="S37" i="6"/>
  <c r="Y37" i="6" s="1"/>
  <c r="AB37" i="6"/>
  <c r="Z4" i="6"/>
  <c r="AA4" i="6" s="1"/>
  <c r="Z3" i="6"/>
  <c r="AA3" i="6" s="1"/>
  <c r="M4" i="6"/>
  <c r="S4" i="6"/>
  <c r="Y4" i="6" s="1"/>
  <c r="M5" i="6"/>
  <c r="Z5" i="6"/>
  <c r="AA5" i="6" s="1"/>
  <c r="T5" i="6"/>
  <c r="Y5" i="6" l="1"/>
  <c r="AB4" i="6"/>
  <c r="AB5" i="6"/>
  <c r="M34" i="5" l="1"/>
  <c r="AB34" i="5" s="1"/>
  <c r="S34" i="5" l="1"/>
  <c r="Y34" i="5" s="1"/>
  <c r="Z34" i="5"/>
  <c r="AA34" i="5" s="1"/>
  <c r="L12" i="6"/>
  <c r="S12" i="6"/>
  <c r="L6" i="6"/>
  <c r="S6" i="6"/>
  <c r="L7" i="6"/>
  <c r="L8" i="6"/>
  <c r="M8" i="6" s="1"/>
  <c r="AB8" i="6" s="1"/>
  <c r="S8" i="6"/>
  <c r="L16" i="6"/>
  <c r="M16" i="6" s="1"/>
  <c r="AB16" i="6" s="1"/>
  <c r="L9" i="6"/>
  <c r="M9" i="6" s="1"/>
  <c r="AB9" i="6" s="1"/>
  <c r="S9" i="6"/>
  <c r="L13" i="6"/>
  <c r="M13" i="6" s="1"/>
  <c r="L10" i="6"/>
  <c r="S10" i="6" s="1"/>
  <c r="L11" i="6"/>
  <c r="M11" i="6" s="1"/>
  <c r="AB11" i="6" s="1"/>
  <c r="L14" i="6"/>
  <c r="M14" i="6" s="1"/>
  <c r="AB14" i="6" s="1"/>
  <c r="L15" i="6"/>
  <c r="M15" i="6" s="1"/>
  <c r="L17" i="6"/>
  <c r="S17" i="6" s="1"/>
  <c r="L24" i="6"/>
  <c r="M24" i="6" s="1"/>
  <c r="AB24" i="6" s="1"/>
  <c r="L18" i="6"/>
  <c r="M18" i="6" s="1"/>
  <c r="AB18" i="6" s="1"/>
  <c r="L19" i="6"/>
  <c r="M19" i="6" s="1"/>
  <c r="L20" i="6"/>
  <c r="S20" i="6" s="1"/>
  <c r="L21" i="6"/>
  <c r="S21" i="6" s="1"/>
  <c r="Y21" i="6" s="1"/>
  <c r="L22" i="6"/>
  <c r="M22" i="6" s="1"/>
  <c r="AB22" i="6" s="1"/>
  <c r="L23" i="6"/>
  <c r="M23" i="6" s="1"/>
  <c r="L25" i="6"/>
  <c r="S25" i="6" s="1"/>
  <c r="L26" i="6"/>
  <c r="Z26" i="6" s="1"/>
  <c r="AA26" i="6" s="1"/>
  <c r="S26" i="6"/>
  <c r="L27" i="6"/>
  <c r="S27" i="6" s="1"/>
  <c r="L28" i="6"/>
  <c r="S28" i="6" s="1"/>
  <c r="Y28" i="6" s="1"/>
  <c r="L29" i="6"/>
  <c r="M29" i="6" s="1"/>
  <c r="L30" i="6"/>
  <c r="S30" i="6" s="1"/>
  <c r="L31" i="6"/>
  <c r="L32" i="6"/>
  <c r="M32" i="6" s="1"/>
  <c r="AB32" i="6" s="1"/>
  <c r="L33" i="6"/>
  <c r="M33" i="6" s="1"/>
  <c r="L34" i="6"/>
  <c r="S34" i="6" s="1"/>
  <c r="L35" i="6"/>
  <c r="S35" i="6" s="1"/>
  <c r="L36" i="6"/>
  <c r="S36" i="6" s="1"/>
  <c r="Y36" i="6" s="1"/>
  <c r="S40" i="6" l="1"/>
  <c r="S41" i="6"/>
  <c r="L39" i="6"/>
  <c r="L41" i="6"/>
  <c r="L40" i="6"/>
  <c r="L38" i="6"/>
  <c r="M7" i="6"/>
  <c r="E28" i="7"/>
  <c r="J29" i="7"/>
  <c r="M6" i="6"/>
  <c r="E29" i="7"/>
  <c r="E27" i="7"/>
  <c r="S18" i="6"/>
  <c r="Y18" i="6" s="1"/>
  <c r="Z15" i="6"/>
  <c r="AA15" i="6" s="1"/>
  <c r="M35" i="6"/>
  <c r="AB35" i="6" s="1"/>
  <c r="M27" i="6"/>
  <c r="AB27" i="6" s="1"/>
  <c r="T26" i="6"/>
  <c r="Z18" i="6"/>
  <c r="AA18" i="6" s="1"/>
  <c r="Z32" i="6"/>
  <c r="AA32" i="6" s="1"/>
  <c r="S32" i="6"/>
  <c r="Y32" i="6" s="1"/>
  <c r="Z29" i="6"/>
  <c r="AA29" i="6" s="1"/>
  <c r="Z23" i="6"/>
  <c r="AA23" i="6" s="1"/>
  <c r="M36" i="6"/>
  <c r="AB36" i="6" s="1"/>
  <c r="M26" i="6"/>
  <c r="AB26" i="6" s="1"/>
  <c r="Z11" i="6"/>
  <c r="AA11" i="6" s="1"/>
  <c r="Z7" i="6"/>
  <c r="AA7" i="6" s="1"/>
  <c r="Z6" i="6"/>
  <c r="AA6" i="6" s="1"/>
  <c r="Z14" i="6"/>
  <c r="AA14" i="6" s="1"/>
  <c r="S11" i="6"/>
  <c r="Y11" i="6" s="1"/>
  <c r="Z13" i="6"/>
  <c r="AA13" i="6" s="1"/>
  <c r="S7" i="6"/>
  <c r="T6" i="6"/>
  <c r="Z33" i="6"/>
  <c r="AA33" i="6" s="1"/>
  <c r="M28" i="6"/>
  <c r="AB28" i="6" s="1"/>
  <c r="M21" i="6"/>
  <c r="AB21" i="6" s="1"/>
  <c r="S14" i="6"/>
  <c r="Y14" i="6" s="1"/>
  <c r="Z31" i="6"/>
  <c r="AA31" i="6" s="1"/>
  <c r="Z24" i="6"/>
  <c r="AA24" i="6" s="1"/>
  <c r="Z36" i="6"/>
  <c r="AA36" i="6" s="1"/>
  <c r="Y35" i="6"/>
  <c r="S31" i="6"/>
  <c r="Y31" i="6" s="1"/>
  <c r="Z28" i="6"/>
  <c r="AA28" i="6" s="1"/>
  <c r="Y27" i="6"/>
  <c r="Z22" i="6"/>
  <c r="AA22" i="6" s="1"/>
  <c r="Z21" i="6"/>
  <c r="AA21" i="6" s="1"/>
  <c r="S24" i="6"/>
  <c r="Y24" i="6" s="1"/>
  <c r="Z16" i="6"/>
  <c r="AA16" i="6" s="1"/>
  <c r="Z35" i="6"/>
  <c r="AA35" i="6" s="1"/>
  <c r="M31" i="6"/>
  <c r="AB31" i="6" s="1"/>
  <c r="Z27" i="6"/>
  <c r="AA27" i="6" s="1"/>
  <c r="S22" i="6"/>
  <c r="Y22" i="6" s="1"/>
  <c r="Z19" i="6"/>
  <c r="AA19" i="6" s="1"/>
  <c r="T9" i="6"/>
  <c r="Y9" i="6" s="1"/>
  <c r="S16" i="6"/>
  <c r="Y16" i="6" s="1"/>
  <c r="Z17" i="6"/>
  <c r="AA17" i="6" s="1"/>
  <c r="Z10" i="6"/>
  <c r="AA10" i="6" s="1"/>
  <c r="M34" i="6"/>
  <c r="AB34" i="6" s="1"/>
  <c r="M30" i="6"/>
  <c r="AB30" i="6" s="1"/>
  <c r="M25" i="6"/>
  <c r="M20" i="6"/>
  <c r="AB20" i="6" s="1"/>
  <c r="M17" i="6"/>
  <c r="AB17" i="6" s="1"/>
  <c r="M10" i="6"/>
  <c r="AB10" i="6" s="1"/>
  <c r="T8" i="6"/>
  <c r="Y8" i="6" s="1"/>
  <c r="Z12" i="6"/>
  <c r="AA12" i="6" s="1"/>
  <c r="M12" i="6"/>
  <c r="Z25" i="6"/>
  <c r="AA25" i="6" s="1"/>
  <c r="Y34" i="6"/>
  <c r="AB33" i="6"/>
  <c r="S33" i="6"/>
  <c r="Y33" i="6" s="1"/>
  <c r="Y30" i="6"/>
  <c r="AB29" i="6"/>
  <c r="S29" i="6"/>
  <c r="Y29" i="6" s="1"/>
  <c r="Y26" i="6"/>
  <c r="Y25" i="6"/>
  <c r="AB23" i="6"/>
  <c r="S23" i="6"/>
  <c r="Y23" i="6" s="1"/>
  <c r="Y20" i="6"/>
  <c r="AB19" i="6"/>
  <c r="S19" i="6"/>
  <c r="Y19" i="6" s="1"/>
  <c r="Y17" i="6"/>
  <c r="AB15" i="6"/>
  <c r="S15" i="6"/>
  <c r="Y15" i="6" s="1"/>
  <c r="Y10" i="6"/>
  <c r="AB13" i="6"/>
  <c r="S13" i="6"/>
  <c r="Y13" i="6" s="1"/>
  <c r="Z8" i="6"/>
  <c r="AA8" i="6" s="1"/>
  <c r="T12" i="6"/>
  <c r="Z34" i="6"/>
  <c r="AA34" i="6" s="1"/>
  <c r="Z30" i="6"/>
  <c r="AA30" i="6" s="1"/>
  <c r="Z20" i="6"/>
  <c r="AA20" i="6" s="1"/>
  <c r="AB25" i="6"/>
  <c r="Z9" i="6"/>
  <c r="AA9" i="6" s="1"/>
  <c r="S39" i="6" l="1"/>
  <c r="M39" i="6"/>
  <c r="M41" i="6"/>
  <c r="M40" i="6"/>
  <c r="M38" i="6"/>
  <c r="S38" i="6"/>
  <c r="T40" i="6"/>
  <c r="T38" i="6"/>
  <c r="T41" i="6"/>
  <c r="Y6" i="6"/>
  <c r="K27" i="7"/>
  <c r="K29" i="7"/>
  <c r="J27" i="7"/>
  <c r="Y7" i="6"/>
  <c r="J28" i="7"/>
  <c r="AB6" i="6"/>
  <c r="D27" i="7"/>
  <c r="D29" i="7"/>
  <c r="AB7" i="6"/>
  <c r="D28" i="7"/>
  <c r="AB12" i="6"/>
  <c r="Y12" i="6"/>
  <c r="O16" i="7"/>
  <c r="N16" i="7"/>
  <c r="M16" i="7"/>
  <c r="G16" i="7"/>
  <c r="F16" i="7"/>
  <c r="C16" i="7"/>
  <c r="R38" i="5"/>
  <c r="U38" i="5"/>
  <c r="V38" i="5"/>
  <c r="W38" i="5"/>
  <c r="X38" i="5"/>
  <c r="R37" i="5"/>
  <c r="T37" i="5"/>
  <c r="U37" i="5"/>
  <c r="V37" i="5"/>
  <c r="W37" i="5"/>
  <c r="X37" i="5"/>
  <c r="T36" i="5"/>
  <c r="U36" i="5"/>
  <c r="V36" i="5"/>
  <c r="W36" i="5"/>
  <c r="X36" i="5"/>
  <c r="U35" i="5"/>
  <c r="V35" i="5"/>
  <c r="W35" i="5"/>
  <c r="X35" i="5"/>
  <c r="Q38" i="5"/>
  <c r="Q37" i="5"/>
  <c r="P38" i="5"/>
  <c r="P37" i="5"/>
  <c r="P36" i="5"/>
  <c r="P35" i="5"/>
  <c r="O38" i="5"/>
  <c r="O37" i="5"/>
  <c r="O36" i="5"/>
  <c r="O35" i="5"/>
  <c r="K38" i="5"/>
  <c r="K37" i="5"/>
  <c r="K36" i="5"/>
  <c r="K35" i="5"/>
  <c r="I38" i="5"/>
  <c r="I37" i="5"/>
  <c r="I35" i="5"/>
  <c r="L17" i="5"/>
  <c r="S17" i="5" s="1"/>
  <c r="Y17" i="5" s="1"/>
  <c r="Z17" i="5" l="1"/>
  <c r="AA17" i="5" s="1"/>
  <c r="M17" i="5"/>
  <c r="AB17" i="5" s="1"/>
  <c r="S13" i="5" l="1"/>
  <c r="S10" i="5"/>
  <c r="S30" i="5"/>
  <c r="S15" i="5"/>
  <c r="S16" i="5"/>
  <c r="S8" i="5"/>
  <c r="S14" i="5"/>
  <c r="S22" i="5"/>
  <c r="S38" i="5" l="1"/>
  <c r="L9" i="5"/>
  <c r="L10" i="5"/>
  <c r="T10" i="5" s="1"/>
  <c r="L16" i="5"/>
  <c r="T16" i="5" s="1"/>
  <c r="L11" i="5"/>
  <c r="S11" i="5" s="1"/>
  <c r="L12" i="5"/>
  <c r="S12" i="5" s="1"/>
  <c r="L13" i="5"/>
  <c r="T13" i="5" s="1"/>
  <c r="L14" i="5"/>
  <c r="T14" i="5" s="1"/>
  <c r="L15" i="5"/>
  <c r="T15" i="5" s="1"/>
  <c r="L28" i="5"/>
  <c r="S28" i="5" s="1"/>
  <c r="L18" i="5"/>
  <c r="S18" i="5" s="1"/>
  <c r="L20" i="5"/>
  <c r="S20" i="5" s="1"/>
  <c r="L21" i="5"/>
  <c r="S21" i="5" s="1"/>
  <c r="L22" i="5"/>
  <c r="T22" i="5" s="1"/>
  <c r="L23" i="5"/>
  <c r="S23" i="5" s="1"/>
  <c r="L24" i="5"/>
  <c r="S24" i="5" s="1"/>
  <c r="L25" i="5"/>
  <c r="S25" i="5" s="1"/>
  <c r="L19" i="5"/>
  <c r="S19" i="5" s="1"/>
  <c r="L26" i="5"/>
  <c r="S26" i="5" s="1"/>
  <c r="L27" i="5"/>
  <c r="S27" i="5" s="1"/>
  <c r="L29" i="5"/>
  <c r="S29" i="5" s="1"/>
  <c r="L30" i="5"/>
  <c r="T30" i="5" s="1"/>
  <c r="L31" i="5"/>
  <c r="S31" i="5" s="1"/>
  <c r="L33" i="5"/>
  <c r="S33" i="5" s="1"/>
  <c r="L32" i="5"/>
  <c r="S32" i="5" s="1"/>
  <c r="S9" i="5" l="1"/>
  <c r="S37" i="5" s="1"/>
  <c r="L37" i="5"/>
  <c r="M32" i="5"/>
  <c r="AB32" i="5" s="1"/>
  <c r="Y32" i="5"/>
  <c r="Z32" i="5"/>
  <c r="AA32" i="5" s="1"/>
  <c r="Z6" i="5"/>
  <c r="S6" i="5"/>
  <c r="Y6" i="5" s="1"/>
  <c r="N6" i="5"/>
  <c r="M6" i="5"/>
  <c r="AB6" i="5" s="1"/>
  <c r="Z5" i="5"/>
  <c r="Y5" i="5"/>
  <c r="N5" i="5"/>
  <c r="M5" i="5"/>
  <c r="AB5" i="5" s="1"/>
  <c r="Z4" i="5"/>
  <c r="AA4" i="5" s="1"/>
  <c r="S4" i="5"/>
  <c r="M4" i="5"/>
  <c r="AB4" i="5" s="1"/>
  <c r="R7" i="5"/>
  <c r="L7" i="5"/>
  <c r="Z7" i="5" s="1"/>
  <c r="AA7" i="5" s="1"/>
  <c r="M3" i="3"/>
  <c r="Y4" i="5" l="1"/>
  <c r="S7" i="5"/>
  <c r="Y7" i="5" s="1"/>
  <c r="AA5" i="5"/>
  <c r="AA6" i="5"/>
  <c r="M7" i="5"/>
  <c r="AB7" i="5" s="1"/>
  <c r="S36" i="5" l="1"/>
  <c r="S35" i="5"/>
  <c r="J16" i="7"/>
  <c r="L3" i="3"/>
  <c r="AA3" i="3" s="1"/>
  <c r="Y3" i="3"/>
  <c r="Z3" i="3" s="1"/>
  <c r="X3" i="3"/>
  <c r="N16" i="3"/>
  <c r="N15" i="3"/>
  <c r="N14" i="3"/>
  <c r="N13" i="3"/>
  <c r="B18" i="7" l="1"/>
  <c r="M26" i="5"/>
  <c r="Y26" i="5" l="1"/>
  <c r="AB26" i="5"/>
  <c r="Z26" i="5"/>
  <c r="AA26" i="5" s="1"/>
  <c r="M12" i="5" l="1"/>
  <c r="Q3" i="5" l="1"/>
  <c r="M10" i="5"/>
  <c r="M16" i="5"/>
  <c r="Q35" i="5" l="1"/>
  <c r="H16" i="7"/>
  <c r="Q36" i="5"/>
  <c r="O26" i="7"/>
  <c r="N26" i="7"/>
  <c r="M26" i="7"/>
  <c r="L26" i="7"/>
  <c r="K26" i="7"/>
  <c r="J26" i="7"/>
  <c r="I26" i="7"/>
  <c r="H26" i="7"/>
  <c r="G26" i="7"/>
  <c r="F26" i="7"/>
  <c r="O25" i="7"/>
  <c r="N25" i="7"/>
  <c r="M25" i="7"/>
  <c r="L25" i="7"/>
  <c r="K25" i="7"/>
  <c r="J25" i="7"/>
  <c r="J24" i="7"/>
  <c r="K24" i="7"/>
  <c r="L24" i="7"/>
  <c r="M24" i="7"/>
  <c r="N24" i="7"/>
  <c r="O24" i="7"/>
  <c r="G24" i="7"/>
  <c r="F24" i="7"/>
  <c r="E26" i="7"/>
  <c r="D26" i="7"/>
  <c r="C26" i="7"/>
  <c r="C25" i="7"/>
  <c r="C24" i="7"/>
  <c r="B26" i="7"/>
  <c r="B25" i="7"/>
  <c r="B24" i="7"/>
  <c r="S16" i="3"/>
  <c r="T16" i="3"/>
  <c r="U16" i="3"/>
  <c r="V16" i="3"/>
  <c r="W16" i="3"/>
  <c r="S15" i="3"/>
  <c r="T15" i="3"/>
  <c r="U15" i="3"/>
  <c r="V15" i="3"/>
  <c r="W15" i="3"/>
  <c r="R14" i="3"/>
  <c r="S14" i="3"/>
  <c r="T14" i="3"/>
  <c r="U14" i="3"/>
  <c r="V14" i="3"/>
  <c r="W14" i="3"/>
  <c r="S13" i="3"/>
  <c r="T13" i="3"/>
  <c r="U13" i="3"/>
  <c r="V13" i="3"/>
  <c r="W13" i="3"/>
  <c r="H8" i="4"/>
  <c r="K8" i="4"/>
  <c r="L8" i="4"/>
  <c r="J8" i="4"/>
  <c r="Q8" i="4"/>
  <c r="R8" i="4"/>
  <c r="S8" i="4"/>
  <c r="T8" i="4"/>
  <c r="U8" i="4"/>
  <c r="V8" i="4"/>
  <c r="W8" i="4"/>
  <c r="N8" i="4"/>
  <c r="O8" i="4"/>
  <c r="P8" i="4"/>
  <c r="Q7" i="4"/>
  <c r="R7" i="4"/>
  <c r="S7" i="4"/>
  <c r="T7" i="4"/>
  <c r="U7" i="4"/>
  <c r="V7" i="4"/>
  <c r="W7" i="4"/>
  <c r="N7" i="4"/>
  <c r="O7" i="4"/>
  <c r="R6" i="4"/>
  <c r="S6" i="4"/>
  <c r="T6" i="4"/>
  <c r="U6" i="4"/>
  <c r="V6" i="4"/>
  <c r="W6" i="4"/>
  <c r="N6" i="4"/>
  <c r="O6" i="4"/>
  <c r="R5" i="4"/>
  <c r="S5" i="4"/>
  <c r="T5" i="4"/>
  <c r="U5" i="4"/>
  <c r="V5" i="4"/>
  <c r="W5" i="4"/>
  <c r="N5" i="4"/>
  <c r="O5" i="4"/>
  <c r="P7" i="4" l="1"/>
  <c r="L7" i="4"/>
  <c r="K7" i="4"/>
  <c r="J7" i="4"/>
  <c r="H7" i="4"/>
  <c r="J6" i="4"/>
  <c r="H6" i="4"/>
  <c r="J5" i="4"/>
  <c r="H5" i="4"/>
  <c r="O16" i="3"/>
  <c r="J16" i="3"/>
  <c r="H16" i="3"/>
  <c r="O15" i="3"/>
  <c r="J15" i="3"/>
  <c r="H15" i="3"/>
  <c r="P14" i="3"/>
  <c r="O14" i="3"/>
  <c r="J14" i="3"/>
  <c r="H14" i="3"/>
  <c r="O13" i="3"/>
  <c r="J13" i="3"/>
  <c r="H13" i="3"/>
  <c r="K12" i="3"/>
  <c r="R12" i="3" s="1"/>
  <c r="K11" i="3"/>
  <c r="R11" i="3" s="1"/>
  <c r="K10" i="3"/>
  <c r="R10" i="3" s="1"/>
  <c r="P16" i="3"/>
  <c r="K9" i="3"/>
  <c r="R9" i="3" s="1"/>
  <c r="K8" i="3"/>
  <c r="R8" i="3" s="1"/>
  <c r="K7" i="3"/>
  <c r="R7" i="3" s="1"/>
  <c r="K6" i="3"/>
  <c r="R6" i="3" s="1"/>
  <c r="K5" i="3"/>
  <c r="R5" i="3" s="1"/>
  <c r="K4" i="3"/>
  <c r="R4" i="3" l="1"/>
  <c r="K13" i="3"/>
  <c r="R15" i="3"/>
  <c r="E14" i="7"/>
  <c r="R16" i="3"/>
  <c r="R13" i="3"/>
  <c r="I25" i="7"/>
  <c r="I24" i="7"/>
  <c r="Q6" i="4"/>
  <c r="Q5" i="4"/>
  <c r="Y11" i="3"/>
  <c r="Z11" i="3" s="1"/>
  <c r="X11" i="3"/>
  <c r="L12" i="3"/>
  <c r="AA12" i="3" s="1"/>
  <c r="X12" i="3"/>
  <c r="Y6" i="3"/>
  <c r="Z6" i="3" s="1"/>
  <c r="X6" i="3"/>
  <c r="L7" i="3"/>
  <c r="AA7" i="3" s="1"/>
  <c r="X7" i="3"/>
  <c r="Q14" i="3"/>
  <c r="Q16" i="3"/>
  <c r="Y3" i="4"/>
  <c r="E24" i="7"/>
  <c r="E25" i="7"/>
  <c r="Y8" i="4"/>
  <c r="L11" i="3"/>
  <c r="AA11" i="3" s="1"/>
  <c r="X8" i="4"/>
  <c r="K5" i="4"/>
  <c r="Y5" i="4" s="1"/>
  <c r="K14" i="3"/>
  <c r="Y14" i="3" s="1"/>
  <c r="L6" i="3"/>
  <c r="AA6" i="3" s="1"/>
  <c r="L8" i="3"/>
  <c r="AA8" i="3" s="1"/>
  <c r="L4" i="3"/>
  <c r="X7" i="4"/>
  <c r="AA7" i="4"/>
  <c r="Y7" i="4"/>
  <c r="K6" i="4"/>
  <c r="AA8" i="4"/>
  <c r="Y5" i="3"/>
  <c r="Z5" i="3" s="1"/>
  <c r="X9" i="3"/>
  <c r="Y10" i="3"/>
  <c r="Z10" i="3" s="1"/>
  <c r="Y4" i="3"/>
  <c r="Z4" i="3" s="1"/>
  <c r="L5" i="3"/>
  <c r="AA5" i="3" s="1"/>
  <c r="Y8" i="3"/>
  <c r="Z8" i="3" s="1"/>
  <c r="L9" i="3"/>
  <c r="Y9" i="3"/>
  <c r="Z9" i="3" s="1"/>
  <c r="L10" i="3"/>
  <c r="AA10" i="3" s="1"/>
  <c r="X5" i="3"/>
  <c r="Y7" i="3"/>
  <c r="Z7" i="3" s="1"/>
  <c r="X10" i="3"/>
  <c r="Y12" i="3"/>
  <c r="Z12" i="3" s="1"/>
  <c r="K15" i="3"/>
  <c r="K16" i="3"/>
  <c r="X4" i="3"/>
  <c r="X8" i="3"/>
  <c r="L16" i="3" l="1"/>
  <c r="AA16" i="3" s="1"/>
  <c r="Q13" i="3"/>
  <c r="Q15" i="3"/>
  <c r="L14" i="3"/>
  <c r="AA14" i="3" s="1"/>
  <c r="AA3" i="4"/>
  <c r="D25" i="7"/>
  <c r="D24" i="7"/>
  <c r="X3" i="4"/>
  <c r="H25" i="7"/>
  <c r="H24" i="7"/>
  <c r="X14" i="3"/>
  <c r="L13" i="3"/>
  <c r="AA13" i="3" s="1"/>
  <c r="AA4" i="3"/>
  <c r="P5" i="4"/>
  <c r="X5" i="4" s="1"/>
  <c r="P6" i="4"/>
  <c r="X6" i="4" s="1"/>
  <c r="Y6" i="4"/>
  <c r="L6" i="4"/>
  <c r="AA6" i="4" s="1"/>
  <c r="L5" i="4"/>
  <c r="AA5" i="4" s="1"/>
  <c r="P15" i="3"/>
  <c r="P13" i="3"/>
  <c r="Y13" i="3"/>
  <c r="AA9" i="3"/>
  <c r="Y16" i="3"/>
  <c r="X16" i="3"/>
  <c r="L15" i="3"/>
  <c r="AA15" i="3" s="1"/>
  <c r="Y15" i="3"/>
  <c r="X13" i="3" l="1"/>
  <c r="X15" i="3"/>
  <c r="O19" i="7" l="1"/>
  <c r="O18" i="7"/>
  <c r="O17" i="7"/>
  <c r="N19" i="7"/>
  <c r="N18" i="7"/>
  <c r="N17" i="7"/>
  <c r="M19" i="7"/>
  <c r="M18" i="7"/>
  <c r="M17" i="7"/>
  <c r="L19" i="7"/>
  <c r="L18" i="7"/>
  <c r="L17" i="7"/>
  <c r="K18" i="7"/>
  <c r="K17" i="7"/>
  <c r="J18" i="7"/>
  <c r="J17" i="7"/>
  <c r="G19" i="7"/>
  <c r="G18" i="7"/>
  <c r="G17" i="7"/>
  <c r="F19" i="7"/>
  <c r="F18" i="7"/>
  <c r="F17" i="7"/>
  <c r="C19" i="7"/>
  <c r="C17" i="7"/>
  <c r="C18" i="7"/>
  <c r="B19" i="7"/>
  <c r="B17" i="7"/>
  <c r="G25" i="7" l="1"/>
  <c r="F25" i="7" l="1"/>
  <c r="O15" i="7"/>
  <c r="O14" i="7"/>
  <c r="O13" i="7"/>
  <c r="N15" i="7"/>
  <c r="N14" i="7"/>
  <c r="N13" i="7"/>
  <c r="M15" i="7"/>
  <c r="M14" i="7"/>
  <c r="M13" i="7"/>
  <c r="L15" i="7"/>
  <c r="L14" i="7"/>
  <c r="L13" i="7"/>
  <c r="K15" i="7"/>
  <c r="K14" i="7"/>
  <c r="K13" i="7"/>
  <c r="J15" i="7"/>
  <c r="J14" i="7"/>
  <c r="J13" i="7"/>
  <c r="F15" i="7"/>
  <c r="F14" i="7"/>
  <c r="G13" i="7"/>
  <c r="H13" i="7"/>
  <c r="I13" i="7"/>
  <c r="G14" i="7"/>
  <c r="I14" i="7"/>
  <c r="G12" i="7"/>
  <c r="J12" i="7"/>
  <c r="K12" i="7"/>
  <c r="L12" i="7"/>
  <c r="M12" i="7"/>
  <c r="N12" i="7"/>
  <c r="O12" i="7"/>
  <c r="F13" i="7"/>
  <c r="F12" i="7"/>
  <c r="C15" i="7"/>
  <c r="C14" i="7"/>
  <c r="C13" i="7"/>
  <c r="C12" i="7"/>
  <c r="B15" i="7" l="1"/>
  <c r="B14" i="7"/>
  <c r="B13" i="7"/>
  <c r="G15" i="7"/>
  <c r="O20" i="7" l="1"/>
  <c r="J21" i="7"/>
  <c r="K21" i="7"/>
  <c r="K22" i="7"/>
  <c r="N22" i="7"/>
  <c r="N23" i="7"/>
  <c r="N21" i="7"/>
  <c r="J22" i="7"/>
  <c r="L20" i="7" l="1"/>
  <c r="C30" i="7"/>
  <c r="B30" i="7"/>
  <c r="O21" i="7"/>
  <c r="L23" i="7"/>
  <c r="N20" i="7"/>
  <c r="O23" i="7"/>
  <c r="M20" i="7"/>
  <c r="M23" i="7"/>
  <c r="O22" i="7"/>
  <c r="L21" i="7"/>
  <c r="M21" i="7"/>
  <c r="M22" i="7"/>
  <c r="L22" i="7"/>
  <c r="E15" i="7" l="1"/>
  <c r="I12" i="7" l="1"/>
  <c r="I15" i="7"/>
  <c r="H15" i="7"/>
  <c r="D15" i="7" l="1"/>
  <c r="E13" i="7" l="1"/>
  <c r="D13" i="7" l="1"/>
  <c r="Y38" i="6" l="1"/>
  <c r="Z38" i="6"/>
  <c r="L3" i="5" l="1"/>
  <c r="L8" i="5"/>
  <c r="T8" i="5" l="1"/>
  <c r="L38" i="5"/>
  <c r="L36" i="5"/>
  <c r="E16" i="7"/>
  <c r="L35" i="5"/>
  <c r="K19" i="7"/>
  <c r="K23" i="7" s="1"/>
  <c r="J19" i="7"/>
  <c r="J23" i="7" s="1"/>
  <c r="J20" i="7"/>
  <c r="R3" i="5"/>
  <c r="Z3" i="5"/>
  <c r="AA3" i="5" s="1"/>
  <c r="E17" i="7"/>
  <c r="E18" i="7"/>
  <c r="E19" i="7"/>
  <c r="B16" i="7"/>
  <c r="M20" i="5"/>
  <c r="AB20" i="5" s="1"/>
  <c r="Z20" i="5"/>
  <c r="AA20" i="5" s="1"/>
  <c r="M28" i="5"/>
  <c r="AB28" i="5" s="1"/>
  <c r="Z28" i="5"/>
  <c r="AA28" i="5" s="1"/>
  <c r="Z10" i="5"/>
  <c r="AA10" i="5" s="1"/>
  <c r="M19" i="5"/>
  <c r="AB19" i="5" s="1"/>
  <c r="Z19" i="5"/>
  <c r="AA19" i="5" s="1"/>
  <c r="M22" i="5"/>
  <c r="AB22" i="5" s="1"/>
  <c r="Z22" i="5"/>
  <c r="AA22" i="5" s="1"/>
  <c r="M13" i="5"/>
  <c r="AB13" i="5" s="1"/>
  <c r="Z13" i="5"/>
  <c r="AA13" i="5" s="1"/>
  <c r="AB16" i="5"/>
  <c r="Z16" i="5"/>
  <c r="AA16" i="5" s="1"/>
  <c r="M8" i="5"/>
  <c r="Z8" i="5"/>
  <c r="AA8" i="5" s="1"/>
  <c r="Z29" i="5"/>
  <c r="AA29" i="5" s="1"/>
  <c r="M25" i="5"/>
  <c r="AB25" i="5" s="1"/>
  <c r="Z25" i="5"/>
  <c r="AA25" i="5" s="1"/>
  <c r="M21" i="5"/>
  <c r="AB21" i="5" s="1"/>
  <c r="Z21" i="5"/>
  <c r="AA21" i="5" s="1"/>
  <c r="M18" i="5"/>
  <c r="AB18" i="5" s="1"/>
  <c r="Z18" i="5"/>
  <c r="AA18" i="5" s="1"/>
  <c r="M15" i="5"/>
  <c r="AB15" i="5" s="1"/>
  <c r="Z15" i="5"/>
  <c r="AA15" i="5" s="1"/>
  <c r="Z11" i="5"/>
  <c r="AA11" i="5" s="1"/>
  <c r="M9" i="5"/>
  <c r="Z9" i="5"/>
  <c r="AA9" i="5" s="1"/>
  <c r="Z30" i="5"/>
  <c r="AA30" i="5" s="1"/>
  <c r="M33" i="5"/>
  <c r="AB33" i="5" s="1"/>
  <c r="Z33" i="5"/>
  <c r="AA33" i="5" s="1"/>
  <c r="M23" i="5"/>
  <c r="AB23" i="5" s="1"/>
  <c r="Z23" i="5"/>
  <c r="AA23" i="5" s="1"/>
  <c r="AB12" i="5"/>
  <c r="Z12" i="5"/>
  <c r="AA12" i="5" s="1"/>
  <c r="Z31" i="5"/>
  <c r="AA31" i="5" s="1"/>
  <c r="M14" i="5"/>
  <c r="AB14" i="5" s="1"/>
  <c r="Z14" i="5"/>
  <c r="AA14" i="5" s="1"/>
  <c r="M3" i="5"/>
  <c r="Z24" i="5"/>
  <c r="AA24" i="5" s="1"/>
  <c r="M27" i="5"/>
  <c r="AB27" i="5" s="1"/>
  <c r="Z27" i="5"/>
  <c r="AA27" i="5" s="1"/>
  <c r="M11" i="5"/>
  <c r="AB11" i="5" s="1"/>
  <c r="Y11" i="5"/>
  <c r="M29" i="5"/>
  <c r="AB29" i="5" s="1"/>
  <c r="Y29" i="5"/>
  <c r="M31" i="5"/>
  <c r="AB31" i="5" s="1"/>
  <c r="Y31" i="5"/>
  <c r="M30" i="5"/>
  <c r="AB30" i="5" s="1"/>
  <c r="Y30" i="5"/>
  <c r="M24" i="5"/>
  <c r="AB24" i="5" s="1"/>
  <c r="Y24" i="5"/>
  <c r="Y33" i="5"/>
  <c r="Y27" i="5"/>
  <c r="Y19" i="5"/>
  <c r="Y25" i="5"/>
  <c r="Y12" i="5"/>
  <c r="Y28" i="5"/>
  <c r="Y23" i="5"/>
  <c r="Y20" i="5"/>
  <c r="Y8" i="5"/>
  <c r="Y22" i="5"/>
  <c r="Y13" i="5"/>
  <c r="Y16" i="5"/>
  <c r="Y21" i="5"/>
  <c r="Y18" i="5"/>
  <c r="Y15" i="5"/>
  <c r="Y14" i="5"/>
  <c r="AB9" i="5" l="1"/>
  <c r="M37" i="5"/>
  <c r="Y3" i="5"/>
  <c r="I16" i="7"/>
  <c r="R35" i="5"/>
  <c r="R36" i="5"/>
  <c r="AB3" i="5"/>
  <c r="M35" i="5"/>
  <c r="D16" i="7"/>
  <c r="M36" i="5"/>
  <c r="AB8" i="5"/>
  <c r="M38" i="5"/>
  <c r="T38" i="5"/>
  <c r="K16" i="7"/>
  <c r="K20" i="7" s="1"/>
  <c r="T35" i="5"/>
  <c r="I17" i="7"/>
  <c r="Y9" i="5"/>
  <c r="I18" i="7"/>
  <c r="H17" i="7"/>
  <c r="H19" i="7"/>
  <c r="I19" i="7"/>
  <c r="D19" i="7"/>
  <c r="D18" i="7"/>
  <c r="H18" i="7"/>
  <c r="AB10" i="5"/>
  <c r="Y10" i="5"/>
  <c r="Y37" i="5" l="1"/>
  <c r="Y36" i="5"/>
  <c r="Y38" i="5"/>
  <c r="Y35" i="5"/>
  <c r="E12" i="7"/>
  <c r="H14" i="7" l="1"/>
  <c r="Q14" i="7" s="1"/>
  <c r="H12" i="7"/>
  <c r="H20" i="7" s="1"/>
  <c r="D14" i="7"/>
  <c r="D12" i="7"/>
  <c r="B12" i="7"/>
  <c r="Q12" i="7" l="1"/>
  <c r="H23" i="7"/>
  <c r="G23" i="7"/>
  <c r="Z36" i="5" l="1"/>
  <c r="E23" i="7"/>
  <c r="AB36" i="5" l="1"/>
  <c r="AB35" i="5"/>
  <c r="D17" i="7"/>
  <c r="P28" i="7"/>
  <c r="Q29" i="7" l="1"/>
  <c r="P29" i="7"/>
  <c r="Q26" i="7"/>
  <c r="P26" i="7"/>
  <c r="Q25" i="7"/>
  <c r="P25" i="7"/>
  <c r="O32" i="7"/>
  <c r="O35" i="7" s="1"/>
  <c r="N32" i="7"/>
  <c r="N35" i="7" s="1"/>
  <c r="M32" i="7"/>
  <c r="M35" i="7" s="1"/>
  <c r="L32" i="7"/>
  <c r="L35" i="7" s="1"/>
  <c r="K32" i="7"/>
  <c r="K35" i="7" s="1"/>
  <c r="J32" i="7"/>
  <c r="J35" i="7" s="1"/>
  <c r="I32" i="7"/>
  <c r="H32" i="7"/>
  <c r="H35" i="7" s="1"/>
  <c r="G32" i="7"/>
  <c r="G35" i="7" s="1"/>
  <c r="F32" i="7"/>
  <c r="E32" i="7"/>
  <c r="E35" i="7" s="1"/>
  <c r="D32" i="7"/>
  <c r="C32" i="7"/>
  <c r="B32" i="7"/>
  <c r="H31" i="7"/>
  <c r="G31" i="7"/>
  <c r="F31" i="7"/>
  <c r="E31" i="7"/>
  <c r="D31" i="7"/>
  <c r="C31" i="7"/>
  <c r="B31" i="7"/>
  <c r="I22" i="7"/>
  <c r="H22" i="7"/>
  <c r="G22" i="7"/>
  <c r="F22" i="7"/>
  <c r="E22" i="7"/>
  <c r="D22" i="7"/>
  <c r="C22" i="7"/>
  <c r="B22" i="7"/>
  <c r="I21" i="7"/>
  <c r="H21" i="7"/>
  <c r="G21" i="7"/>
  <c r="F21" i="7"/>
  <c r="E21" i="7"/>
  <c r="C21" i="7"/>
  <c r="B21" i="7"/>
  <c r="Q19" i="7"/>
  <c r="P19" i="7"/>
  <c r="Q18" i="7"/>
  <c r="P18" i="7"/>
  <c r="Q17" i="7"/>
  <c r="P17" i="7"/>
  <c r="Q15" i="7"/>
  <c r="P15" i="7"/>
  <c r="P14" i="7"/>
  <c r="Q13" i="7"/>
  <c r="AB40" i="6" l="1"/>
  <c r="Z40" i="6"/>
  <c r="B34" i="7"/>
  <c r="F34" i="7"/>
  <c r="E34" i="7"/>
  <c r="C34" i="7"/>
  <c r="G34" i="7"/>
  <c r="D34" i="7"/>
  <c r="H34" i="7"/>
  <c r="P32" i="7"/>
  <c r="Q32" i="7"/>
  <c r="P31" i="7"/>
  <c r="Q22" i="7"/>
  <c r="P22" i="7"/>
  <c r="Q21" i="7"/>
  <c r="I23" i="7" l="1"/>
  <c r="I35" i="7" s="1"/>
  <c r="F23" i="7"/>
  <c r="F35" i="7" s="1"/>
  <c r="D23" i="7"/>
  <c r="D35" i="7" s="1"/>
  <c r="C23" i="7"/>
  <c r="C35" i="7" s="1"/>
  <c r="B23" i="7"/>
  <c r="B35" i="7" s="1"/>
  <c r="Q35" i="7" l="1"/>
  <c r="AB39" i="6"/>
  <c r="Z39" i="6"/>
  <c r="J31" i="7"/>
  <c r="J34" i="7" s="1"/>
  <c r="N31" i="7"/>
  <c r="N34" i="7" s="1"/>
  <c r="K31" i="7"/>
  <c r="K34" i="7" s="1"/>
  <c r="O31" i="7"/>
  <c r="O34" i="7" s="1"/>
  <c r="M31" i="7"/>
  <c r="M34" i="7" s="1"/>
  <c r="L31" i="7"/>
  <c r="L34" i="7" s="1"/>
  <c r="P35" i="7"/>
  <c r="K30" i="7"/>
  <c r="G30" i="7"/>
  <c r="O30" i="7"/>
  <c r="Q27" i="7"/>
  <c r="H30" i="7"/>
  <c r="L30" i="7"/>
  <c r="P27" i="7"/>
  <c r="P24" i="7"/>
  <c r="Q24" i="7"/>
  <c r="J30" i="7"/>
  <c r="E30" i="7"/>
  <c r="I30" i="7"/>
  <c r="M30" i="7"/>
  <c r="F30" i="7"/>
  <c r="N30" i="7"/>
  <c r="D30" i="7"/>
  <c r="Z41" i="6"/>
  <c r="AB41" i="6"/>
  <c r="Z37" i="5"/>
  <c r="AB37" i="5"/>
  <c r="Z38" i="5"/>
  <c r="AB38" i="5"/>
  <c r="Y40" i="6" l="1"/>
  <c r="I31" i="7"/>
  <c r="Q28" i="7"/>
  <c r="Q30" i="7"/>
  <c r="P30" i="7"/>
  <c r="I20" i="7"/>
  <c r="I33" i="7" s="1"/>
  <c r="M33" i="7"/>
  <c r="J33" i="7"/>
  <c r="K33" i="7"/>
  <c r="H33" i="7"/>
  <c r="O33" i="7"/>
  <c r="N33" i="7"/>
  <c r="P13" i="7"/>
  <c r="D21" i="7"/>
  <c r="B20" i="7"/>
  <c r="B33" i="7" s="1"/>
  <c r="L33" i="7"/>
  <c r="Y41" i="6"/>
  <c r="I34" i="7" l="1"/>
  <c r="Q34" i="7" s="1"/>
  <c r="Q31" i="7"/>
  <c r="P21" i="7"/>
  <c r="P34" i="7"/>
  <c r="E20" i="7" l="1"/>
  <c r="E33" i="7" l="1"/>
  <c r="C20" i="7"/>
  <c r="C33" i="7" s="1"/>
  <c r="Q16" i="7"/>
  <c r="F20" i="7"/>
  <c r="F33" i="7" s="1"/>
  <c r="G20" i="7"/>
  <c r="G33" i="7" s="1"/>
  <c r="P16" i="7"/>
  <c r="P12" i="7"/>
  <c r="Q20" i="7" l="1"/>
  <c r="D20" i="7"/>
  <c r="P20" i="7" s="1"/>
  <c r="Q23" i="7"/>
  <c r="Q33" i="7"/>
  <c r="D33" i="7" l="1"/>
  <c r="P33" i="7" s="1"/>
  <c r="P23" i="7"/>
  <c r="Z35" i="5" l="1"/>
  <c r="Y39" i="6"/>
</calcChain>
</file>

<file path=xl/sharedStrings.xml><?xml version="1.0" encoding="utf-8"?>
<sst xmlns="http://schemas.openxmlformats.org/spreadsheetml/2006/main" count="718" uniqueCount="300">
  <si>
    <t>Podsumowanie naboru:</t>
  </si>
  <si>
    <t>Kategoria drogi - rodzaj listy</t>
  </si>
  <si>
    <t>powiatowe - lista rezerwowa</t>
  </si>
  <si>
    <t>gminne - lista rezerwowa</t>
  </si>
  <si>
    <t>L.p.</t>
  </si>
  <si>
    <t>Nr ewid.</t>
  </si>
  <si>
    <t>Jednostka Samorządu Terytorialnego</t>
  </si>
  <si>
    <t>Nazwa zadania</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</si>
  <si>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</si>
  <si>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</si>
  <si>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</si>
  <si>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</si>
  <si>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</si>
  <si>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</si>
  <si>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</si>
  <si>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</si>
  <si>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</si>
  <si>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ZATWIERDZAM</t>
  </si>
  <si>
    <t>………………………………………………………………………………….</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</si>
  <si>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</si>
  <si>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</si>
  <si>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</si>
  <si>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</si>
  <si>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</si>
  <si>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</si>
  <si>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</si>
  <si>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</si>
  <si>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t>* Kwota dofinansowania zmniejszona do limitu dostępnych środków Funduszu Dróg Samorządowych; zwiększenie dofinansowania możliwe w przypadku wystąpienia oszczędności. W przypadku braku oszczędności w Funduszu, realizacja zadania będzie wymagała zabezpieczenia wkładu własnego wnioskodawcy w większej wysokości.</t>
  </si>
  <si>
    <t>spr-lata</t>
  </si>
  <si>
    <t>spr-procent</t>
  </si>
  <si>
    <t>spr-dof</t>
  </si>
  <si>
    <t>spr-montaż</t>
  </si>
  <si>
    <t>TERC</t>
  </si>
  <si>
    <t>Zadanie wieloletnie [N/W]</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</si>
  <si>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</si>
  <si>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</si>
  <si>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</si>
  <si>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</si>
  <si>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</si>
  <si>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</si>
  <si>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</si>
  <si>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</si>
  <si>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</si>
  <si>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</si>
  <si>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</si>
  <si>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</si>
  <si>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Powiat Nyski</t>
  </si>
  <si>
    <t>P</t>
  </si>
  <si>
    <t>K</t>
  </si>
  <si>
    <t>Powiat Brzeski</t>
  </si>
  <si>
    <t>Powiat Prudnicki</t>
  </si>
  <si>
    <t>Gmina Nysa</t>
  </si>
  <si>
    <t>Gmina Grodków</t>
  </si>
  <si>
    <t>N</t>
  </si>
  <si>
    <t>Gmina Brzeg</t>
  </si>
  <si>
    <t>Gmina Łubniany</t>
  </si>
  <si>
    <t>Powiat Opolski</t>
  </si>
  <si>
    <t>Powiat Oleski</t>
  </si>
  <si>
    <t>Powiat Strzelecki</t>
  </si>
  <si>
    <t>Powiat Namysłowski</t>
  </si>
  <si>
    <t>Powiat Krapkowicki</t>
  </si>
  <si>
    <t>Powiat Kędzierzyńsko - Kozielski</t>
  </si>
  <si>
    <t>Gmina Prudnik</t>
  </si>
  <si>
    <t>Gmina Dobrzeń Wielki</t>
  </si>
  <si>
    <t>Gmina Reńska Wieś</t>
  </si>
  <si>
    <t>Gmina Korfantów</t>
  </si>
  <si>
    <t>Gmina Krapkowice</t>
  </si>
  <si>
    <t>Gmina Skoroszyce</t>
  </si>
  <si>
    <t>Gmina Namysłów</t>
  </si>
  <si>
    <t>Gmina Pawłowiczki</t>
  </si>
  <si>
    <t>Gmina Kluczbork</t>
  </si>
  <si>
    <t>Powiat Głubczycki</t>
  </si>
  <si>
    <t>Powiat Kluczborski</t>
  </si>
  <si>
    <t>Powiat Kędzierzyńsko-Kozielski</t>
  </si>
  <si>
    <t>W</t>
  </si>
  <si>
    <t>Województwo: OPOLSKIE</t>
  </si>
  <si>
    <t>Gmina Dąbrowa</t>
  </si>
  <si>
    <t>FDS/2020/G/13</t>
  </si>
  <si>
    <t>Gmina Olesno</t>
  </si>
  <si>
    <t>Gmina Biała</t>
  </si>
  <si>
    <t>Gmina Zdzieszowice</t>
  </si>
  <si>
    <t>Gmina Jemielnica</t>
  </si>
  <si>
    <t>Budowa dróg w rejonie ulic Azalii i Prudnickiej w Krapkowicach</t>
  </si>
  <si>
    <t>Długość odcinka (w km)</t>
  </si>
  <si>
    <t>B</t>
  </si>
  <si>
    <t>R</t>
  </si>
  <si>
    <t>okres realizacji zadania</t>
  </si>
  <si>
    <t xml:space="preserve">Lista zadań rekomendowanych do dofinansowania w ramach Rządowego Funduszu Rozwoju Dróg </t>
  </si>
  <si>
    <t>RFRD/2021/P/13</t>
  </si>
  <si>
    <t>Przebudowa drogi powiatowej nr 1934 O (DW 487 - Kol. Biskupska - Radłów - Wichrów - gr. woj. śląskiego/Krzepice) w miejscowości Wichrów</t>
  </si>
  <si>
    <t>RFRD/2021/G/63</t>
  </si>
  <si>
    <t>RFRD/2021/G/107</t>
  </si>
  <si>
    <t>Gmina Kędzierzyn - Koźle</t>
  </si>
  <si>
    <t>Budowa drogi na terenie po byłym poligonie przy ul. Orląt Lwowskich</t>
  </si>
  <si>
    <t>Budowa dróg gminnych - ulicy Klonowej, Sosnowej i Kasztanowej w Namysłowie wraz z kanalizacją deszczową i oświetleniem</t>
  </si>
  <si>
    <t>lipiec 2022
lipiec 2023</t>
  </si>
  <si>
    <t>RFRD/2021/G/38</t>
  </si>
  <si>
    <t>Gmina Głuchołazy</t>
  </si>
  <si>
    <t>Rozbudowa drogi gminnej w Bodzanowie</t>
  </si>
  <si>
    <t>Remont ul. Reymonta w Brzegu</t>
  </si>
  <si>
    <t>czerwiec 2022
wrzesień 2023</t>
  </si>
  <si>
    <t>Przebudowa drogi wewnętrznej w miejscowości Kuźnica Ligocka</t>
  </si>
  <si>
    <t>Budowa ul. Kościelnej w Głuszynie</t>
  </si>
  <si>
    <t>Przebudowa drogi gminnej ul. Krótkiej w m. Jemielnica</t>
  </si>
  <si>
    <t>Przebudowa ul. Krótkiej - droga gminna nr 102607 O m. Kępa, Gmina Łubniany</t>
  </si>
  <si>
    <t>Przebudowa dróg - ul. Dębowej i Lipowej w miejscowości Jemielnica wraz z budową odwodnienia</t>
  </si>
  <si>
    <t>Gmina Murów</t>
  </si>
  <si>
    <t>Przebudowa drogi w miejscowości Giełczyce</t>
  </si>
  <si>
    <t>Budowa drogi gminnej - ul. Pogodna w Większycach</t>
  </si>
  <si>
    <t>Remont drogi gminnej nr 106028 O, ul. Młyńska w Krępnej</t>
  </si>
  <si>
    <t>Remont nawierzchni asfaltowej ul. Ogińskiego w Głuchołazach</t>
  </si>
  <si>
    <t>Remont nawierzchni asfaltowej ul. Kolejowa w Głuchołazach</t>
  </si>
  <si>
    <t>Remont nawierzchni bitumicznej ul. Wyspiańskiego w Głuchołazach</t>
  </si>
  <si>
    <t>Remont nawierzchni asfaltowej na ul. Parkowej w Głuchołazach</t>
  </si>
  <si>
    <t>Remont nawierzchni asfaltowej ul. Mickiewicza w Głuchołazach</t>
  </si>
  <si>
    <t>czerwiec 2021  październik 2023</t>
  </si>
  <si>
    <t>Gmina Kolonowskie</t>
  </si>
  <si>
    <t>Gmina Zawadzkie</t>
  </si>
  <si>
    <t>RFRD/2022/P/4</t>
  </si>
  <si>
    <t>Rozbudowa drogi powiatowej nr 1721 O ul. Wiejskiej w m. Grabczok</t>
  </si>
  <si>
    <t>kwiecień 2023
październik 2023</t>
  </si>
  <si>
    <t>RFRD/2022/P/3</t>
  </si>
  <si>
    <t>Przebudowa drogi powiatowej 1754 O w zakresie budowy chodnika w miejscowości Domecko</t>
  </si>
  <si>
    <t>RFRD/2022/P/10</t>
  </si>
  <si>
    <t>Przebudowa drogi powiatowej nr 1216 O relacji Głubczyce-Opawica w miejscowości Gołuszowice - etap III</t>
  </si>
  <si>
    <t>kwiecień 2023 listopad 2023</t>
  </si>
  <si>
    <t>RFRD/2022/P/2</t>
  </si>
  <si>
    <t>Przebudowa drogi powiatowej nr 1705 O (Zawada – Turawa – Zębowice – Szemrowice – Dobrodzień) w miejscowości Zębowice</t>
  </si>
  <si>
    <t>kwiecień 2023
listopad 2023</t>
  </si>
  <si>
    <t>RFRD/2022/P/6</t>
  </si>
  <si>
    <t>Remont odcinka drogi powiatowej nr 1311 O zlokalizowanego w miejscowości Łowkowice na długości 0,6 km</t>
  </si>
  <si>
    <t>marzec 2023 sierpień 2023</t>
  </si>
  <si>
    <t>RFRD/2022/P/1</t>
  </si>
  <si>
    <t>Przebudowa drogi powiatowej nr 1957 O (Myślina - Ligota Dobrodzieńska - Dobrodzień) w miejscowości Makowczyce</t>
  </si>
  <si>
    <t>RFRD/2022/P/8</t>
  </si>
  <si>
    <t>Remont drogi powiatowej nr 2066 O ul. Piotra Skargi w Kędzierzynie - Koźlu</t>
  </si>
  <si>
    <t>maj 2023 listopad 2023</t>
  </si>
  <si>
    <t>RFRD/2022/P/9</t>
  </si>
  <si>
    <t>Przebudowa drogi powiatowej 1401 O Zdzieszowice-Leśnica-Zalesie Śląskie na odcinku Leśnica-Lichynia wraz z budową ścieżki rowerowej oraz przebudową drogowych obiektów inżynierskich - Etap 1</t>
  </si>
  <si>
    <t>czerwiec 2023 listopad 2023</t>
  </si>
  <si>
    <t>RFRD/2022/P/7</t>
  </si>
  <si>
    <t xml:space="preserve">Powiat Krapkowicki </t>
  </si>
  <si>
    <t>Przebudowa drogi powiatowej nr 1445 O w zakresie budowy chodnika w miejscowości Ćwiercie</t>
  </si>
  <si>
    <t>kwiecień 2023
sierpień 2023</t>
  </si>
  <si>
    <t>lipiec 2022
listopad 2023</t>
  </si>
  <si>
    <t>maj 2022
czerwiec 2023</t>
  </si>
  <si>
    <t>RFRD/2022/G/69</t>
  </si>
  <si>
    <t>Rozbudowa i przebudowa drogi gminnej w ulicy Franciszkańskiej wraz z rozbudową i przebudową skrzyżowania drogi gminnej ulicy Franciszkańskiej z drogą wojewódzką ulicą Grodkowska w Nysie</t>
  </si>
  <si>
    <t>marzec 2023 listopad 2024</t>
  </si>
  <si>
    <t>RFRD/2022/G/60</t>
  </si>
  <si>
    <t>Gmina Ozimek</t>
  </si>
  <si>
    <t>Rozbudowa drogi gminnej ul. Powstańców Śląskich w miejscowości Schodnia</t>
  </si>
  <si>
    <t>maj 2023 kwiecień 2024</t>
  </si>
  <si>
    <t>RFRD/2022/G/52</t>
  </si>
  <si>
    <t>Przebudowa z rozbudową ul. Pawłowickiej i ul. Kozielskiej w Reńskiej Wsi</t>
  </si>
  <si>
    <t>czerwiec 2023 październik 2024</t>
  </si>
  <si>
    <t>RFRD/2022/G/24</t>
  </si>
  <si>
    <t>Poprawa atrakcyjności i dostępności terenów inwestycyjnych poprzez przebudowę skrzyżowania ul. Szkolnej z ul. Zwycięstwa w Kędzierzynie - Koźlu</t>
  </si>
  <si>
    <t>maj 2023 
lipiec 2024</t>
  </si>
  <si>
    <t>RFRD/2022/G/30</t>
  </si>
  <si>
    <t>Przebudowa ul. Wiejskiej w Mechnicach</t>
  </si>
  <si>
    <t>marzec 2023 listopad 2023</t>
  </si>
  <si>
    <t>RFRD/2022/G/15</t>
  </si>
  <si>
    <t>Przebudowa ul. Paulinki w Oleśnie</t>
  </si>
  <si>
    <t>kwiecień 2023  lipiec 2023</t>
  </si>
  <si>
    <t>RFRD/2022/G/31</t>
  </si>
  <si>
    <t>Gmina Niemodlin</t>
  </si>
  <si>
    <t>Przebudowa i rozbudowa ul. Spacerowej i Gazowej w Niemodlinie</t>
  </si>
  <si>
    <t>sierpień 2023 
wrzesień 2024</t>
  </si>
  <si>
    <t>RFRD/2022/G/68</t>
  </si>
  <si>
    <t>Budowa drogi relacji Kępnica Wierzbięcice</t>
  </si>
  <si>
    <t>luty 2023 grudzień 2024</t>
  </si>
  <si>
    <t>RFRD/2022/G/39</t>
  </si>
  <si>
    <t>Rozbudowa drogi gminnej w miejscowości Jarnołtówek</t>
  </si>
  <si>
    <t>luty 2023 
luty 2024</t>
  </si>
  <si>
    <t>RFRD/2022/G/22</t>
  </si>
  <si>
    <t>Remont ulicy Złotniczej 
w Kędzierzynie - Koźlu</t>
  </si>
  <si>
    <t>styczeń 2023 
grudzień 2023</t>
  </si>
  <si>
    <t>RFRD/2022/G/48</t>
  </si>
  <si>
    <t xml:space="preserve">Przebudowa i rozbudowa drogi gminnej - ul. Wałowej w Kędzierzynie-Koźlu </t>
  </si>
  <si>
    <t>lipiec 2022 
czerwiec 2023</t>
  </si>
  <si>
    <t>RFRD/2022/G/14</t>
  </si>
  <si>
    <t>Przebudowa drogi gminnej ul. Prusa w Oleśnie</t>
  </si>
  <si>
    <t>RFRD/2022/G/81</t>
  </si>
  <si>
    <t>Przebudowa drogi gminnej ulicy Korfantego w Pawłowiczkach</t>
  </si>
  <si>
    <t>kwiecień 2023 październik 2023</t>
  </si>
  <si>
    <t>RFRD/2022/G/21</t>
  </si>
  <si>
    <t>Remont odcinka drogi gminnej 
ul. Odrzańskiej w m. Dobrzeń Mały</t>
  </si>
  <si>
    <t>kwiecień 2023  wrzesień 2023</t>
  </si>
  <si>
    <t>RFRD/2022/G/83</t>
  </si>
  <si>
    <t>Gmina Ujazd</t>
  </si>
  <si>
    <t>Budowa dróg na osiedlu Piaski w Ujeździe</t>
  </si>
  <si>
    <t>RFRD/2022/G/20</t>
  </si>
  <si>
    <t>Budowa drogi gminnej bocznej 
ul. Kościelnej w Dobrzeniu Wielkim - etrap II</t>
  </si>
  <si>
    <t>RFRD/2022/G/70</t>
  </si>
  <si>
    <t>Budowa dróg w miejscowości Minkowskie</t>
  </si>
  <si>
    <t>lipiec 2023 grudzień 2023</t>
  </si>
  <si>
    <t>RFRD/2022/G/90</t>
  </si>
  <si>
    <t>Przebudowa odcinka ul. Sienkiewicza w Grodkowie</t>
  </si>
  <si>
    <t>RFRD/2022/G/11</t>
  </si>
  <si>
    <t>"Przebudowa i rozbudowa dróg w Skoroszycach - ulice: Słoneczna, Ogrodowa, Działkowa" - Etap 3. ulice Działkowa i dr 5 (dz. 674)</t>
  </si>
  <si>
    <t>kwiecień 2023  listopad 2023</t>
  </si>
  <si>
    <t>RFRD/2022/G/64</t>
  </si>
  <si>
    <t>Gmina Głogówek</t>
  </si>
  <si>
    <t>Budowa drogi do nowopowstającego osiedla przy ul. Cibisa w Głogówku</t>
  </si>
  <si>
    <t>RFRD/2022/G/27</t>
  </si>
  <si>
    <t>Budowa ul. Wiśniowej w Brzegu</t>
  </si>
  <si>
    <t>grudzień 2022 grudzień 2023</t>
  </si>
  <si>
    <t>RFRD/2022/G/1</t>
  </si>
  <si>
    <t>Przebudowa drogi gminnej ulicy Asnyka w Prudniku</t>
  </si>
  <si>
    <t>maj 2023  listopad 2023</t>
  </si>
  <si>
    <t>RFRD/2022/G/59</t>
  </si>
  <si>
    <t>Przebudowa dróg gminnych ul. Tulipanowej i części ul. Leśnej w miejscowości Jemielnica</t>
  </si>
  <si>
    <t>lipiec 2023 wrzesień 2024</t>
  </si>
  <si>
    <t>RFRD/2022/G/18</t>
  </si>
  <si>
    <t>Przebudowa drogi gminnej w miejscowości Ogiernicze</t>
  </si>
  <si>
    <t>RFRD/2022/G/23</t>
  </si>
  <si>
    <t>Rozbudowa ul. Aroniowej w Kędzierzynie - Koźlu</t>
  </si>
  <si>
    <t>marzec 2023 
grudzień 2024</t>
  </si>
  <si>
    <t>RFRD/2022/G/29</t>
  </si>
  <si>
    <t>Przebudowa ul. Polnej i ul. Stawowej w Siedliskach</t>
  </si>
  <si>
    <t>RFRD/2022/G/43</t>
  </si>
  <si>
    <t>Budowa drogi gminnej w miejscowości Biskupów</t>
  </si>
  <si>
    <t>RFRD/2022/G/86</t>
  </si>
  <si>
    <t>Budowa drogi gminnej w rejonie ulic Pluderska - Słoneczna - Dębowa</t>
  </si>
  <si>
    <t>kwiecień 2023 sierpień 2023</t>
  </si>
  <si>
    <t>RFRD/2022/G/7</t>
  </si>
  <si>
    <t>Gmina Rudniki</t>
  </si>
  <si>
    <t>Przebudowa drogi gminnej nr 101036 O Nowy Bugaj - granica województwa śląskiego</t>
  </si>
  <si>
    <t>sierpień 2023 
sierpień 2024</t>
  </si>
  <si>
    <t>RFRD/2022/G/63</t>
  </si>
  <si>
    <t>Gmina Gorzów Śląski</t>
  </si>
  <si>
    <t>Przebudowa drogi gminnej nr 100823 O i wewnętrznej w Skrońsku</t>
  </si>
  <si>
    <t>kwiecień 2023 grudzień 2023</t>
  </si>
  <si>
    <t>RFRD/2022/G/93</t>
  </si>
  <si>
    <t>Remont mostu drogowego w ciągu ul. Szkolnej w bezpośrednim sąsiedztwie strefy przemysłowej miasta Kędzierzyn-Koźle</t>
  </si>
  <si>
    <t>listopad 2022 
lipiec 2023</t>
  </si>
  <si>
    <t>RFRD/2022/G/92</t>
  </si>
  <si>
    <t>Remont układu komunikacyjnego na zapleczu rynku w Grodkowie</t>
  </si>
  <si>
    <t xml:space="preserve">kwiecień 2023 październik 2024 </t>
  </si>
  <si>
    <t>RFRD/2022/G/87</t>
  </si>
  <si>
    <t>Budowa ulicy Klonowej w miejscowości Kolonowskie</t>
  </si>
  <si>
    <t>RFRD/2022/G/34</t>
  </si>
  <si>
    <t>Budowa drogi dojazdowej ul. Królowej Jadwigi w Głuchołazach</t>
  </si>
  <si>
    <t>maj 2023 
sierpień 2024</t>
  </si>
  <si>
    <t>RFRD/2022/G/12</t>
  </si>
  <si>
    <t>"Przebudowa i rozbudowa dróg w Skoroszycach - ulice: Słoneczna, Ogrodowa, Działkowa" - Etap 1. ulica Słoneczna</t>
  </si>
  <si>
    <t>RFRD/2022/G/9</t>
  </si>
  <si>
    <t>Przebudowa i rozbudowa ul. Krótkiej i ul. Sportowej w Sidzinie</t>
  </si>
  <si>
    <t>RFRD/2022/G/26</t>
  </si>
  <si>
    <t>Remont drogi ul. Mickiewicza - ul. Ściegiennego- ul.Sybiraków w Kluczborku</t>
  </si>
  <si>
    <t>lipeic 2023 listopad 2023</t>
  </si>
  <si>
    <t>RFRD/2022/G/91</t>
  </si>
  <si>
    <t>czerwiec 2023 
listopad 2023</t>
  </si>
  <si>
    <t>czerwiec 2023 wrzesień 2023</t>
  </si>
  <si>
    <t>RFRD/2022/G/45</t>
  </si>
  <si>
    <t xml:space="preserve">Remont nawierzchni asfaltowej ul. Miarki w Głuchołazach </t>
  </si>
  <si>
    <t>luty 2023 
listopad 2023</t>
  </si>
  <si>
    <t>RFRD/2022/G/13</t>
  </si>
  <si>
    <t>"Przebudowa i rozbudowa dróg w Skoroszycach - ulice: Słoneczna, Ogrodowa, Działkowa" - Etap 2. ulice Słoneczna i Ogrodowa</t>
  </si>
  <si>
    <t>RFRD/2022/G/38</t>
  </si>
  <si>
    <t>Remont nawierzchni asfaltowej ul. Koszyka w Głuchołazach</t>
  </si>
  <si>
    <t>RFRD/2022/G/10</t>
  </si>
  <si>
    <t>Rozbudowa dróg w Chróścinie etap 2 - ul. Słoneczna, Leśna, Cicha i części ul. Kasztanowej</t>
  </si>
  <si>
    <t>RFRD/2022/G/75</t>
  </si>
  <si>
    <t xml:space="preserve">Remont drogi nr 101 502 O ulicy Wolności w miejscowości Radomierowice </t>
  </si>
  <si>
    <t>maj 2023 sierpień 2023</t>
  </si>
  <si>
    <t>RFRD/2022/G/89</t>
  </si>
  <si>
    <t>RFRD/2022/G/71</t>
  </si>
  <si>
    <t>RFRD/2022/G/56</t>
  </si>
  <si>
    <t>RFRD/2022/G/46</t>
  </si>
  <si>
    <t>Remont nawierzchni asfaltowej ul. Elsnera w Głuchołazach</t>
  </si>
  <si>
    <t>RFRD/2022/G/84</t>
  </si>
  <si>
    <t>Remont ulicy Mickiewicza w Zawadzkiem</t>
  </si>
  <si>
    <t>RFRD/2022/G/74</t>
  </si>
  <si>
    <t>Remont drogi nr 101 515 O ulicy Lipowej w miejscowości Nowe Budkowice</t>
  </si>
  <si>
    <t>RFRD/2022/G/57</t>
  </si>
  <si>
    <t>sierpień 2023 sierpień 2024</t>
  </si>
  <si>
    <t>RFRD/2022/G/8</t>
  </si>
  <si>
    <t>RFRD/2022/G/53</t>
  </si>
  <si>
    <t>RFRD/2022/G/36</t>
  </si>
  <si>
    <t>RFRD/2022/G/37</t>
  </si>
  <si>
    <t>RFRD/2022/G/16</t>
  </si>
  <si>
    <t>marzec 2023 październik 2023</t>
  </si>
  <si>
    <t>RFRD/2022/G/40</t>
  </si>
  <si>
    <t>Remont nawierzchni asfaltowej ul. Kopernika</t>
  </si>
  <si>
    <t>RFRD/2022/G/35</t>
  </si>
  <si>
    <t>RFRD/2022/G/42</t>
  </si>
  <si>
    <t xml:space="preserve"> Remont nawierzchni asfaltowej ul. Poprzeczna w Głuchołazach</t>
  </si>
  <si>
    <t>RFRD/2022/G/44</t>
  </si>
  <si>
    <t>RFRD/2022/G/41</t>
  </si>
  <si>
    <t>RFRD/2022/G/4</t>
  </si>
  <si>
    <t>Budowa wraz z przebudową części drogi w miejscowości Dębowiec</t>
  </si>
  <si>
    <t>marzec 2023 
kwiecień 2024</t>
  </si>
  <si>
    <t>RFRD/2021/G/26</t>
  </si>
  <si>
    <t>32*</t>
  </si>
  <si>
    <t>RFRD/2022/G/47</t>
  </si>
  <si>
    <t>Remont nawierzchni asfaltowej ul. Okulickiego w Głuchołazach</t>
  </si>
  <si>
    <t>kwiecień 2022
czerwiec 2023</t>
  </si>
  <si>
    <r>
      <t>Dofinansowanie przyznane w naborze</t>
    </r>
    <r>
      <rPr>
        <b/>
        <sz val="10"/>
        <color theme="1"/>
        <rFont val="Times New Roman"/>
        <family val="1"/>
        <charset val="238"/>
      </rPr>
      <t>:</t>
    </r>
    <r>
      <rPr>
        <sz val="10"/>
        <color theme="1"/>
        <rFont val="Times New Roman"/>
        <family val="1"/>
        <charset val="238"/>
      </rPr>
      <t xml:space="preserve"> 27 LIPCA-26 SIERPNIA 2022 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</si>
</sst>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164" formatCode="_-* #,##0.00\ _z_ł_-;\-* #,##0.00\ _z_ł_-;_-* &quot;-&quot;??\ _z_ł_-;_-@_-"/>
    <numFmt numFmtId="165" formatCode="#,##0.00\ &quot;zł&quot;"/>
    <numFmt numFmtId="166" formatCode="#,##0.000"/>
    <numFmt numFmtId="167" formatCode="#,##0.00_ ;\-#,##0.00\ "/>
    <numFmt numFmtId="168" formatCode="0.000"/>
    <numFmt numFmtId="169" formatCode="0.0000"/>
  </numFmts>
  <fonts count="43" x14ac:knownFonts="1">
    <font>
      <sz val="11"/>
      <color theme="1"/>
      <name val="Calibri"/>
      <family val="2"/>
      <charset val="238"/>
      <scheme val="minor"/>
    </font>
    <font>
      <b/>
      <sz val="11"/>
      <color theme="1"/>
      <name val="Calibri"/>
      <family val="2"/>
      <charset val="238"/>
      <scheme val="minor"/>
    </font>
    <font>
      <b/>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1"/>
      <name val="Calibri"/>
      <family val="2"/>
      <charset val="238"/>
      <scheme val="minor"/>
    </font>
    <font>
      <b/>
      <sz val="10"/>
      <color rgb="FFFF0000"/>
      <name val="Times New Roman"/>
      <family val="1"/>
      <charset val="238"/>
    </font>
    <font>
      <b/>
      <sz val="10"/>
      <color theme="9"/>
      <name val="Times New Roman"/>
      <family val="1"/>
      <charset val="238"/>
    </font>
    <font>
      <b/>
      <sz val="10"/>
      <color rgb="FF000000"/>
      <name val="Arial"/>
      <family val="2"/>
      <charset val="238"/>
    </font>
    <font>
      <b/>
      <sz val="10"/>
      <color rgb="FFFF0000"/>
      <name val="Arial"/>
      <family val="2"/>
      <charset val="238"/>
    </font>
    <font>
      <sz val="11"/>
      <color rgb="FFFF0000"/>
      <name val="Calibri"/>
      <family val="2"/>
      <charset val="238"/>
      <scheme val="minor"/>
    </font>
    <font>
      <sz val="10"/>
      <name val="Times New Roman CE"/>
      <charset val="238"/>
    </font>
    <font>
      <sz val="10"/>
      <name val="MS Sans Serif"/>
      <family val="2"/>
      <charset val="238"/>
    </font>
    <font>
      <sz val="10"/>
      <name val="Arial CE"/>
      <charset val="238"/>
    </font>
    <font>
      <sz val="11"/>
      <name val="Calibri"/>
      <family val="2"/>
      <charset val="238"/>
    </font>
    <font>
      <sz val="8"/>
      <color rgb="FF0000FF"/>
      <name val="Arial"/>
      <family val="2"/>
      <charset val="238"/>
    </font>
    <font>
      <sz val="10"/>
      <name val="MS Sans Serif"/>
      <family val="2"/>
      <charset val="238"/>
    </font>
    <font>
      <sz val="10"/>
      <name val="Arial"/>
      <family val="2"/>
      <charset val="238"/>
    </font>
    <font>
      <b/>
      <sz val="14"/>
      <color rgb="FFFF0000"/>
      <name val="Times New Roman"/>
      <family val="1"/>
      <charset val="238"/>
    </font>
    <font>
      <b/>
      <sz val="8"/>
      <name val="Arial"/>
      <family val="2"/>
      <charset val="238"/>
    </font>
    <font>
      <sz val="8"/>
      <color rgb="FFFF0000"/>
      <name val="Arial"/>
      <family val="2"/>
      <charset val="238"/>
    </font>
    <font>
      <b/>
      <sz val="8"/>
      <color rgb="FFFF0000"/>
      <name val="Arial"/>
      <family val="2"/>
      <charset val="238"/>
    </font>
    <font>
      <sz val="8"/>
      <color theme="1"/>
      <name val="Arial"/>
      <family val="2"/>
      <charset val="238"/>
    </font>
    <font>
      <b/>
      <sz val="8"/>
      <color theme="1"/>
      <name val="Arial"/>
      <family val="2"/>
      <charset val="238"/>
    </font>
    <font>
      <sz val="8"/>
      <color rgb="FF000000"/>
      <name val="Arial"/>
      <family val="2"/>
      <charset val="238"/>
    </font>
    <font>
      <sz val="8"/>
      <color theme="1"/>
      <name val="Calibri"/>
      <family val="2"/>
      <charset val="238"/>
      <scheme val="minor"/>
    </font>
    <font>
      <sz val="8"/>
      <name val="Calibri"/>
      <family val="2"/>
      <scheme val="minor"/>
    </font>
    <font>
      <sz val="10"/>
      <name val="Calibri"/>
      <family val="2"/>
      <charset val="238"/>
      <scheme val="minor"/>
    </font>
    <font>
      <sz val="10"/>
      <color theme="1"/>
      <name val="Calibri"/>
      <family val="2"/>
      <charset val="238"/>
      <scheme val="minor"/>
    </font>
    <font>
      <sz val="8"/>
      <color rgb="FFFFC000"/>
      <name val="Arial"/>
      <family val="2"/>
      <charset val="238"/>
    </font>
    <font>
      <sz val="9"/>
      <color theme="1"/>
      <name val="Times New Roman"/>
      <family val="1"/>
      <charset val="238"/>
    </font>
    <font>
      <sz val="10"/>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35">
    <xf numFmtId="0" fontId="0" fillId="0" borderId="0"/>
    <xf numFmtId="0" fontId="5" fillId="0" borderId="0"/>
    <xf numFmtId="9" fontId="5"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14" fillId="0" borderId="0"/>
    <xf numFmtId="0" fontId="4" fillId="0" borderId="0"/>
    <xf numFmtId="0" fontId="22" fillId="0" borderId="0"/>
    <xf numFmtId="0" fontId="4" fillId="0" borderId="0"/>
    <xf numFmtId="0" fontId="23" fillId="0" borderId="0"/>
    <xf numFmtId="0" fontId="14" fillId="0" borderId="0"/>
    <xf numFmtId="0" fontId="4" fillId="0" borderId="0"/>
    <xf numFmtId="0" fontId="4" fillId="0" borderId="0"/>
    <xf numFmtId="0" fontId="24" fillId="0" borderId="0"/>
    <xf numFmtId="0" fontId="25" fillId="0" borderId="0"/>
    <xf numFmtId="44" fontId="4" fillId="0" borderId="0" applyFont="0" applyFill="0" applyBorder="0" applyAlignment="0" applyProtection="0"/>
    <xf numFmtId="0" fontId="27" fillId="0" borderId="0"/>
    <xf numFmtId="0" fontId="28" fillId="0" borderId="0"/>
    <xf numFmtId="0" fontId="23" fillId="0" borderId="0"/>
    <xf numFmtId="0" fontId="14" fillId="0" borderId="0"/>
    <xf numFmtId="0" fontId="4" fillId="0" borderId="0"/>
    <xf numFmtId="0" fontId="5" fillId="0" borderId="0"/>
    <xf numFmtId="0" fontId="4" fillId="0" borderId="0"/>
    <xf numFmtId="9" fontId="4"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44" fontId="4" fillId="0" borderId="0" applyFont="0" applyFill="0" applyBorder="0" applyAlignment="0" applyProtection="0"/>
    <xf numFmtId="0" fontId="5" fillId="0" borderId="0"/>
    <xf numFmtId="164" fontId="5" fillId="0" borderId="0" applyFont="0" applyFill="0" applyBorder="0" applyAlignment="0" applyProtection="0"/>
  </cellStyleXfs>
  <cellXfs count="380">
    <xf numFmtId="0" fontId="0" fillId="0" borderId="0" xfId="0"/>
    <xf numFmtId="0" fontId="0" fillId="0" borderId="0" xfId="0" applyAlignment="1">
      <alignment horizontal="center" vertical="center"/>
    </xf>
    <xf numFmtId="0" fontId="0" fillId="0" borderId="0" xfId="0" applyBorder="1"/>
    <xf numFmtId="0" fontId="0" fillId="0" borderId="0" xfId="0"/>
    <xf numFmtId="0" fontId="0" fillId="0" borderId="0" xfId="0" applyFill="1"/>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wrapText="1"/>
    </xf>
    <xf numFmtId="0" fontId="7" fillId="0" borderId="0" xfId="0" applyFont="1"/>
    <xf numFmtId="0" fontId="8" fillId="0" borderId="0" xfId="0" applyFont="1" applyAlignment="1">
      <alignmen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Alignment="1"/>
    <xf numFmtId="0" fontId="8" fillId="0" borderId="0" xfId="0" applyFont="1" applyBorder="1" applyAlignment="1">
      <alignment horizontal="center" vertical="center"/>
    </xf>
    <xf numFmtId="0" fontId="8" fillId="0" borderId="0" xfId="0" applyFont="1" applyAlignment="1">
      <alignment horizontal="center" vertical="center"/>
    </xf>
    <xf numFmtId="4" fontId="0" fillId="0" borderId="0" xfId="0" applyNumberFormat="1" applyFill="1" applyBorder="1" applyAlignment="1">
      <alignment vertical="center"/>
    </xf>
    <xf numFmtId="4" fontId="8" fillId="0" borderId="0" xfId="0" applyNumberFormat="1" applyFont="1" applyFill="1" applyBorder="1" applyAlignment="1"/>
    <xf numFmtId="4" fontId="8" fillId="0" borderId="0" xfId="0" applyNumberFormat="1" applyFont="1" applyBorder="1" applyAlignment="1"/>
    <xf numFmtId="0" fontId="8" fillId="0" borderId="0" xfId="0" applyFont="1" applyBorder="1"/>
    <xf numFmtId="4" fontId="9" fillId="0" borderId="0" xfId="0" applyNumberFormat="1" applyFont="1" applyFill="1" applyBorder="1" applyAlignment="1"/>
    <xf numFmtId="4" fontId="9" fillId="0" borderId="0" xfId="0" applyNumberFormat="1" applyFont="1" applyBorder="1" applyAlignment="1"/>
    <xf numFmtId="0" fontId="1" fillId="0" borderId="0" xfId="0" applyFont="1"/>
    <xf numFmtId="4" fontId="9" fillId="0" borderId="0" xfId="0" applyNumberFormat="1" applyFont="1" applyFill="1" applyBorder="1" applyAlignment="1">
      <alignment vertical="top"/>
    </xf>
    <xf numFmtId="4" fontId="9" fillId="0" borderId="0" xfId="0" applyNumberFormat="1" applyFont="1" applyBorder="1" applyAlignment="1">
      <alignment vertical="top"/>
    </xf>
    <xf numFmtId="0" fontId="0" fillId="0" borderId="0" xfId="0" applyFill="1" applyBorder="1"/>
    <xf numFmtId="0" fontId="0" fillId="0" borderId="0" xfId="0" applyFill="1" applyBorder="1" applyAlignment="1">
      <alignment vertical="center"/>
    </xf>
    <xf numFmtId="0" fontId="0" fillId="0" borderId="0" xfId="0" applyBorder="1" applyAlignment="1">
      <alignment vertical="center"/>
    </xf>
    <xf numFmtId="0" fontId="0" fillId="0" borderId="0" xfId="0" applyFill="1" applyAlignment="1">
      <alignment wrapText="1" shrinkToFit="1"/>
    </xf>
    <xf numFmtId="0" fontId="14" fillId="0" borderId="0" xfId="1" applyFont="1" applyFill="1" applyAlignment="1">
      <alignment vertical="center"/>
    </xf>
    <xf numFmtId="0" fontId="13" fillId="0" borderId="0" xfId="1" applyFont="1" applyFill="1" applyAlignment="1">
      <alignment vertical="center"/>
    </xf>
    <xf numFmtId="0" fontId="3" fillId="0" borderId="0" xfId="0" applyFont="1"/>
    <xf numFmtId="0" fontId="15" fillId="0" borderId="0" xfId="0" applyFont="1"/>
    <xf numFmtId="4" fontId="0" fillId="0" borderId="0" xfId="0" applyNumberFormat="1" applyAlignment="1">
      <alignment vertical="center"/>
    </xf>
    <xf numFmtId="0" fontId="2" fillId="0" borderId="1" xfId="0" applyFont="1" applyBorder="1" applyAlignment="1">
      <alignment horizontal="center" vertical="center" wrapText="1"/>
    </xf>
    <xf numFmtId="0" fontId="0" fillId="0" borderId="0" xfId="0" applyFill="1" applyAlignment="1">
      <alignment vertical="center"/>
    </xf>
    <xf numFmtId="0" fontId="0" fillId="0" borderId="0" xfId="0" applyFill="1" applyAlignment="1">
      <alignment vertical="center" wrapText="1" shrinkToFit="1"/>
    </xf>
    <xf numFmtId="0" fontId="15" fillId="0" borderId="0" xfId="0" applyFont="1" applyAlignment="1">
      <alignment vertical="center"/>
    </xf>
    <xf numFmtId="4" fontId="8" fillId="0" borderId="0" xfId="0" applyNumberFormat="1" applyFont="1" applyFill="1" applyBorder="1" applyAlignment="1">
      <alignment vertical="center"/>
    </xf>
    <xf numFmtId="0" fontId="0" fillId="0" borderId="0" xfId="0" applyFill="1" applyBorder="1" applyAlignment="1">
      <alignment horizontal="center" vertical="center"/>
    </xf>
    <xf numFmtId="9" fontId="0" fillId="0" borderId="0" xfId="2" applyFont="1" applyAlignment="1">
      <alignment horizontal="center" vertical="center"/>
    </xf>
    <xf numFmtId="4" fontId="0" fillId="0" borderId="0" xfId="0" applyNumberFormat="1" applyAlignment="1">
      <alignment horizontal="center" vertical="center"/>
    </xf>
    <xf numFmtId="165" fontId="11" fillId="5" borderId="23" xfId="0" applyNumberFormat="1" applyFont="1" applyFill="1" applyBorder="1" applyAlignment="1">
      <alignment vertical="center"/>
    </xf>
    <xf numFmtId="165" fontId="17" fillId="5" borderId="23" xfId="0" applyNumberFormat="1" applyFont="1" applyFill="1" applyBorder="1" applyAlignment="1">
      <alignment vertical="center"/>
    </xf>
    <xf numFmtId="165" fontId="17" fillId="3" borderId="1" xfId="0" applyNumberFormat="1" applyFont="1" applyFill="1" applyBorder="1" applyAlignment="1">
      <alignment vertical="center"/>
    </xf>
    <xf numFmtId="165" fontId="11" fillId="4" borderId="1" xfId="0" applyNumberFormat="1" applyFont="1" applyFill="1" applyBorder="1" applyAlignment="1">
      <alignment vertical="center"/>
    </xf>
    <xf numFmtId="165" fontId="11" fillId="3" borderId="1" xfId="0" applyNumberFormat="1"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lignment horizontal="center" vertical="center"/>
    </xf>
    <xf numFmtId="0" fontId="1" fillId="0" borderId="24" xfId="0" applyFont="1" applyBorder="1" applyAlignment="1">
      <alignment vertical="center"/>
    </xf>
    <xf numFmtId="165" fontId="11" fillId="4" borderId="22" xfId="0" applyNumberFormat="1" applyFont="1" applyFill="1" applyBorder="1" applyAlignment="1">
      <alignment vertical="center"/>
    </xf>
    <xf numFmtId="0" fontId="17" fillId="3" borderId="3" xfId="0" applyNumberFormat="1" applyFont="1" applyFill="1" applyBorder="1" applyAlignment="1">
      <alignment vertical="center"/>
    </xf>
    <xf numFmtId="0" fontId="11" fillId="3" borderId="3" xfId="0" applyNumberFormat="1" applyFont="1" applyFill="1" applyBorder="1" applyAlignment="1">
      <alignment vertical="center"/>
    </xf>
    <xf numFmtId="0" fontId="11" fillId="4" borderId="3" xfId="0" applyNumberFormat="1" applyFont="1" applyFill="1" applyBorder="1" applyAlignment="1">
      <alignment vertical="center"/>
    </xf>
    <xf numFmtId="0" fontId="12" fillId="6" borderId="3" xfId="0" applyNumberFormat="1" applyFont="1" applyFill="1" applyBorder="1" applyAlignment="1">
      <alignment vertical="center"/>
    </xf>
    <xf numFmtId="0" fontId="11" fillId="4" borderId="23" xfId="0" applyFont="1" applyFill="1" applyBorder="1" applyAlignment="1">
      <alignment horizontal="left" vertical="center" indent="2"/>
    </xf>
    <xf numFmtId="165" fontId="17" fillId="3" borderId="2" xfId="0" applyNumberFormat="1" applyFont="1" applyFill="1" applyBorder="1" applyAlignment="1">
      <alignment vertical="center"/>
    </xf>
    <xf numFmtId="165" fontId="11" fillId="3" borderId="2" xfId="0" applyNumberFormat="1" applyFont="1" applyFill="1" applyBorder="1" applyAlignment="1">
      <alignment vertical="center"/>
    </xf>
    <xf numFmtId="165" fontId="11" fillId="4" borderId="2" xfId="0" applyNumberFormat="1" applyFont="1" applyFill="1" applyBorder="1" applyAlignment="1">
      <alignment vertical="center"/>
    </xf>
    <xf numFmtId="0" fontId="9" fillId="0" borderId="21" xfId="0" applyFont="1" applyFill="1" applyBorder="1" applyAlignment="1">
      <alignment vertical="center"/>
    </xf>
    <xf numFmtId="165" fontId="17" fillId="3" borderId="3" xfId="0" applyNumberFormat="1" applyFont="1" applyFill="1" applyBorder="1" applyAlignment="1">
      <alignment vertical="center"/>
    </xf>
    <xf numFmtId="165" fontId="11" fillId="3" borderId="3" xfId="0" applyNumberFormat="1" applyFont="1" applyFill="1" applyBorder="1" applyAlignment="1">
      <alignment vertical="center"/>
    </xf>
    <xf numFmtId="165" fontId="11" fillId="4" borderId="3" xfId="0" applyNumberFormat="1" applyFont="1" applyFill="1" applyBorder="1" applyAlignment="1">
      <alignment vertical="center"/>
    </xf>
    <xf numFmtId="165" fontId="12" fillId="6" borderId="3" xfId="0" applyNumberFormat="1" applyFont="1" applyFill="1" applyBorder="1" applyAlignment="1">
      <alignment vertical="center"/>
    </xf>
    <xf numFmtId="165" fontId="12" fillId="5" borderId="23" xfId="0" applyNumberFormat="1" applyFont="1" applyFill="1" applyBorder="1" applyAlignment="1">
      <alignment vertical="center"/>
    </xf>
    <xf numFmtId="0" fontId="9" fillId="0" borderId="2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7" xfId="0" applyFont="1" applyBorder="1" applyAlignment="1">
      <alignment horizontal="center" vertical="center"/>
    </xf>
    <xf numFmtId="165" fontId="11" fillId="5" borderId="28" xfId="0" applyNumberFormat="1" applyFont="1" applyFill="1" applyBorder="1" applyAlignment="1">
      <alignment vertical="center"/>
    </xf>
    <xf numFmtId="0" fontId="11" fillId="0" borderId="31" xfId="0" applyFont="1" applyFill="1" applyBorder="1" applyAlignment="1">
      <alignment vertical="center"/>
    </xf>
    <xf numFmtId="0" fontId="11" fillId="0" borderId="32" xfId="0" applyNumberFormat="1" applyFont="1" applyFill="1" applyBorder="1" applyAlignment="1">
      <alignment vertical="center"/>
    </xf>
    <xf numFmtId="165" fontId="11" fillId="0" borderId="33" xfId="0" applyNumberFormat="1" applyFont="1" applyFill="1" applyBorder="1" applyAlignment="1">
      <alignment vertical="center"/>
    </xf>
    <xf numFmtId="165" fontId="11" fillId="0" borderId="34" xfId="0" applyNumberFormat="1" applyFont="1" applyFill="1" applyBorder="1" applyAlignment="1">
      <alignment vertical="center"/>
    </xf>
    <xf numFmtId="165" fontId="11" fillId="5" borderId="35" xfId="0" applyNumberFormat="1" applyFont="1" applyFill="1" applyBorder="1" applyAlignment="1">
      <alignment vertical="center"/>
    </xf>
    <xf numFmtId="165" fontId="11" fillId="0" borderId="32" xfId="0" applyNumberFormat="1" applyFont="1" applyFill="1" applyBorder="1" applyAlignment="1">
      <alignment vertical="center"/>
    </xf>
    <xf numFmtId="0" fontId="17" fillId="0" borderId="37" xfId="0" applyFont="1" applyFill="1" applyBorder="1" applyAlignment="1">
      <alignment horizontal="left" vertical="center" wrapText="1" indent="2"/>
    </xf>
    <xf numFmtId="0" fontId="11" fillId="0" borderId="37" xfId="0" applyFont="1" applyFill="1" applyBorder="1" applyAlignment="1">
      <alignment horizontal="left" vertical="center" indent="2"/>
    </xf>
    <xf numFmtId="0" fontId="17" fillId="0" borderId="38" xfId="0" applyFont="1" applyFill="1" applyBorder="1" applyAlignment="1">
      <alignment horizontal="left" vertical="center" indent="2"/>
    </xf>
    <xf numFmtId="165" fontId="17" fillId="5" borderId="42" xfId="0" applyNumberFormat="1" applyFont="1" applyFill="1" applyBorder="1" applyAlignment="1">
      <alignment vertical="center"/>
    </xf>
    <xf numFmtId="0" fontId="18" fillId="3" borderId="31" xfId="0" applyFont="1" applyFill="1" applyBorder="1" applyAlignment="1">
      <alignment vertical="center"/>
    </xf>
    <xf numFmtId="0" fontId="18" fillId="3" borderId="32" xfId="0" applyNumberFormat="1" applyFont="1" applyFill="1" applyBorder="1" applyAlignment="1">
      <alignment vertical="center"/>
    </xf>
    <xf numFmtId="165" fontId="18" fillId="3" borderId="33" xfId="0" applyNumberFormat="1" applyFont="1" applyFill="1" applyBorder="1" applyAlignment="1">
      <alignment vertical="center"/>
    </xf>
    <xf numFmtId="165" fontId="18" fillId="3" borderId="34" xfId="0" applyNumberFormat="1" applyFont="1" applyFill="1" applyBorder="1" applyAlignment="1">
      <alignment vertical="center"/>
    </xf>
    <xf numFmtId="165" fontId="18" fillId="5" borderId="35" xfId="0" applyNumberFormat="1" applyFont="1" applyFill="1" applyBorder="1" applyAlignment="1">
      <alignment vertical="center"/>
    </xf>
    <xf numFmtId="165" fontId="18" fillId="3" borderId="32" xfId="0" applyNumberFormat="1" applyFont="1" applyFill="1" applyBorder="1" applyAlignment="1">
      <alignment vertical="center"/>
    </xf>
    <xf numFmtId="0" fontId="17" fillId="3" borderId="37" xfId="0" applyFont="1" applyFill="1" applyBorder="1" applyAlignment="1">
      <alignment horizontal="left" vertical="center" wrapText="1" indent="2"/>
    </xf>
    <xf numFmtId="0" fontId="11" fillId="3" borderId="37" xfId="0" applyFont="1" applyFill="1" applyBorder="1" applyAlignment="1">
      <alignment horizontal="left" vertical="center" indent="2"/>
    </xf>
    <xf numFmtId="0" fontId="17" fillId="3" borderId="38" xfId="0" applyFont="1" applyFill="1" applyBorder="1" applyAlignment="1">
      <alignment horizontal="left" vertical="center" indent="2"/>
    </xf>
    <xf numFmtId="0" fontId="17" fillId="3" borderId="39" xfId="0" applyNumberFormat="1" applyFont="1" applyFill="1" applyBorder="1" applyAlignment="1">
      <alignment vertical="center"/>
    </xf>
    <xf numFmtId="165" fontId="17" fillId="3" borderId="40" xfId="0" applyNumberFormat="1" applyFont="1" applyFill="1" applyBorder="1" applyAlignment="1">
      <alignment vertical="center"/>
    </xf>
    <xf numFmtId="165" fontId="17" fillId="3" borderId="41" xfId="0" applyNumberFormat="1" applyFont="1" applyFill="1" applyBorder="1" applyAlignment="1">
      <alignment vertical="center"/>
    </xf>
    <xf numFmtId="165" fontId="17" fillId="3" borderId="39" xfId="0" applyNumberFormat="1" applyFont="1" applyFill="1" applyBorder="1" applyAlignment="1">
      <alignment vertical="center"/>
    </xf>
    <xf numFmtId="0" fontId="11" fillId="4" borderId="28" xfId="0" applyFont="1" applyFill="1" applyBorder="1" applyAlignment="1">
      <alignment vertical="center"/>
    </xf>
    <xf numFmtId="0" fontId="11" fillId="4" borderId="29" xfId="0" applyNumberFormat="1" applyFont="1" applyFill="1" applyBorder="1" applyAlignment="1">
      <alignment vertical="center"/>
    </xf>
    <xf numFmtId="165" fontId="11" fillId="4" borderId="5" xfId="0" applyNumberFormat="1" applyFont="1" applyFill="1" applyBorder="1" applyAlignment="1">
      <alignment vertical="center"/>
    </xf>
    <xf numFmtId="165" fontId="11" fillId="4" borderId="8" xfId="0" applyNumberFormat="1" applyFont="1" applyFill="1" applyBorder="1" applyAlignment="1">
      <alignment vertical="center"/>
    </xf>
    <xf numFmtId="165" fontId="11" fillId="4" borderId="29" xfId="0" applyNumberFormat="1" applyFont="1" applyFill="1" applyBorder="1" applyAlignment="1">
      <alignment vertical="center"/>
    </xf>
    <xf numFmtId="165" fontId="11" fillId="4" borderId="30" xfId="0" applyNumberFormat="1" applyFont="1" applyFill="1" applyBorder="1" applyAlignment="1">
      <alignment vertical="center"/>
    </xf>
    <xf numFmtId="0" fontId="17" fillId="4" borderId="25" xfId="0" applyFont="1" applyFill="1" applyBorder="1" applyAlignment="1">
      <alignment horizontal="left" vertical="center" indent="2"/>
    </xf>
    <xf numFmtId="0" fontId="17" fillId="4" borderId="26" xfId="0" applyNumberFormat="1" applyFont="1" applyFill="1" applyBorder="1" applyAlignment="1">
      <alignment vertical="center"/>
    </xf>
    <xf numFmtId="165" fontId="17" fillId="4" borderId="4" xfId="0" applyNumberFormat="1" applyFont="1" applyFill="1" applyBorder="1" applyAlignment="1">
      <alignment vertical="center"/>
    </xf>
    <xf numFmtId="165" fontId="17" fillId="4" borderId="7" xfId="0" applyNumberFormat="1" applyFont="1" applyFill="1" applyBorder="1" applyAlignment="1">
      <alignment vertical="center"/>
    </xf>
    <xf numFmtId="165" fontId="17" fillId="5" borderId="25" xfId="0" applyNumberFormat="1" applyFont="1" applyFill="1" applyBorder="1" applyAlignment="1">
      <alignment vertical="center"/>
    </xf>
    <xf numFmtId="165" fontId="17" fillId="4" borderId="26" xfId="0" applyNumberFormat="1" applyFont="1" applyFill="1" applyBorder="1" applyAlignment="1">
      <alignment vertical="center"/>
    </xf>
    <xf numFmtId="165" fontId="17" fillId="4" borderId="27" xfId="0" applyNumberFormat="1" applyFont="1" applyFill="1" applyBorder="1" applyAlignment="1">
      <alignment vertical="center"/>
    </xf>
    <xf numFmtId="0" fontId="11" fillId="6" borderId="31" xfId="0" applyFont="1" applyFill="1" applyBorder="1" applyAlignment="1">
      <alignment vertical="center"/>
    </xf>
    <xf numFmtId="0" fontId="12" fillId="6" borderId="32" xfId="0" applyNumberFormat="1" applyFont="1" applyFill="1" applyBorder="1" applyAlignment="1">
      <alignment vertical="center"/>
    </xf>
    <xf numFmtId="165" fontId="12" fillId="6" borderId="33" xfId="0" applyNumberFormat="1" applyFont="1" applyFill="1" applyBorder="1" applyAlignment="1">
      <alignment vertical="center"/>
    </xf>
    <xf numFmtId="165" fontId="12" fillId="6" borderId="34" xfId="0" applyNumberFormat="1" applyFont="1" applyFill="1" applyBorder="1" applyAlignment="1">
      <alignment vertical="center"/>
    </xf>
    <xf numFmtId="165" fontId="12" fillId="5" borderId="35" xfId="0" applyNumberFormat="1" applyFont="1" applyFill="1" applyBorder="1" applyAlignment="1">
      <alignment vertical="center"/>
    </xf>
    <xf numFmtId="165" fontId="12" fillId="6" borderId="32" xfId="0" applyNumberFormat="1" applyFont="1" applyFill="1" applyBorder="1" applyAlignment="1">
      <alignment vertical="center"/>
    </xf>
    <xf numFmtId="165" fontId="12" fillId="6" borderId="36" xfId="0" applyNumberFormat="1" applyFont="1" applyFill="1" applyBorder="1" applyAlignment="1">
      <alignment vertical="center"/>
    </xf>
    <xf numFmtId="0" fontId="11" fillId="6" borderId="37" xfId="0" applyFont="1" applyFill="1" applyBorder="1" applyAlignment="1">
      <alignment horizontal="left" vertical="center" indent="2"/>
    </xf>
    <xf numFmtId="0" fontId="17" fillId="6" borderId="38" xfId="0" applyFont="1" applyFill="1" applyBorder="1" applyAlignment="1">
      <alignment horizontal="left" vertical="center" indent="2"/>
    </xf>
    <xf numFmtId="0" fontId="17" fillId="6" borderId="39" xfId="0" applyNumberFormat="1" applyFont="1" applyFill="1" applyBorder="1" applyAlignment="1">
      <alignment vertical="center"/>
    </xf>
    <xf numFmtId="165" fontId="17" fillId="6" borderId="39" xfId="0" applyNumberFormat="1" applyFont="1" applyFill="1" applyBorder="1" applyAlignment="1">
      <alignment vertical="center"/>
    </xf>
    <xf numFmtId="0" fontId="17" fillId="2" borderId="3" xfId="0" applyNumberFormat="1" applyFont="1" applyFill="1" applyBorder="1" applyAlignment="1">
      <alignment vertical="center"/>
    </xf>
    <xf numFmtId="165" fontId="17" fillId="2" borderId="1" xfId="0" applyNumberFormat="1" applyFont="1" applyFill="1" applyBorder="1" applyAlignment="1">
      <alignment vertical="center"/>
    </xf>
    <xf numFmtId="165" fontId="17" fillId="2" borderId="2" xfId="0" applyNumberFormat="1" applyFont="1" applyFill="1" applyBorder="1" applyAlignment="1">
      <alignment vertical="center"/>
    </xf>
    <xf numFmtId="0" fontId="11" fillId="2" borderId="3" xfId="0" applyNumberFormat="1" applyFont="1" applyFill="1" applyBorder="1" applyAlignment="1">
      <alignment vertical="center"/>
    </xf>
    <xf numFmtId="165" fontId="11" fillId="2" borderId="1" xfId="0" applyNumberFormat="1" applyFont="1" applyFill="1" applyBorder="1" applyAlignment="1">
      <alignment vertical="center"/>
    </xf>
    <xf numFmtId="165" fontId="11" fillId="2" borderId="2" xfId="0" applyNumberFormat="1" applyFont="1" applyFill="1" applyBorder="1" applyAlignment="1">
      <alignment vertical="center"/>
    </xf>
    <xf numFmtId="0" fontId="17" fillId="2" borderId="39" xfId="0" applyNumberFormat="1" applyFont="1" applyFill="1" applyBorder="1" applyAlignment="1">
      <alignment vertical="center"/>
    </xf>
    <xf numFmtId="165" fontId="17" fillId="2" borderId="40" xfId="0" applyNumberFormat="1" applyFont="1" applyFill="1" applyBorder="1" applyAlignment="1">
      <alignment vertical="center"/>
    </xf>
    <xf numFmtId="165" fontId="17" fillId="2" borderId="41" xfId="0" applyNumberFormat="1" applyFont="1" applyFill="1" applyBorder="1" applyAlignment="1">
      <alignment vertical="center"/>
    </xf>
    <xf numFmtId="165" fontId="17" fillId="2" borderId="3" xfId="0" applyNumberFormat="1" applyFont="1" applyFill="1" applyBorder="1" applyAlignment="1">
      <alignment vertical="center"/>
    </xf>
    <xf numFmtId="165" fontId="11" fillId="2" borderId="3" xfId="0" applyNumberFormat="1" applyFont="1" applyFill="1" applyBorder="1" applyAlignment="1">
      <alignment vertical="center"/>
    </xf>
    <xf numFmtId="165" fontId="17" fillId="2" borderId="39" xfId="0" applyNumberFormat="1" applyFont="1" applyFill="1" applyBorder="1" applyAlignment="1">
      <alignment vertical="center"/>
    </xf>
    <xf numFmtId="165" fontId="11" fillId="2" borderId="32" xfId="0" applyNumberFormat="1" applyFont="1" applyFill="1" applyBorder="1" applyAlignment="1">
      <alignment vertical="center"/>
    </xf>
    <xf numFmtId="165" fontId="11" fillId="2" borderId="33" xfId="0" applyNumberFormat="1" applyFont="1" applyFill="1" applyBorder="1" applyAlignment="1">
      <alignment vertical="center"/>
    </xf>
    <xf numFmtId="9" fontId="0" fillId="0" borderId="0" xfId="2" applyFon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xf>
    <xf numFmtId="4" fontId="0" fillId="0" borderId="0" xfId="0" applyNumberFormat="1"/>
    <xf numFmtId="0" fontId="21" fillId="0" borderId="0" xfId="0" applyFont="1" applyFill="1" applyAlignment="1">
      <alignment horizontal="center"/>
    </xf>
    <xf numFmtId="0" fontId="29" fillId="0" borderId="0" xfId="0" applyFont="1" applyBorder="1" applyAlignment="1">
      <alignment vertical="center" wrapText="1"/>
    </xf>
    <xf numFmtId="0" fontId="0" fillId="0" borderId="0" xfId="0" applyFill="1" applyBorder="1" applyAlignment="1">
      <alignment horizontal="center"/>
    </xf>
    <xf numFmtId="165" fontId="12" fillId="6" borderId="3" xfId="0" applyNumberFormat="1" applyFont="1" applyFill="1" applyBorder="1" applyAlignment="1">
      <alignment vertical="center"/>
    </xf>
    <xf numFmtId="165" fontId="12" fillId="6" borderId="32" xfId="0" applyNumberFormat="1" applyFont="1" applyFill="1" applyBorder="1" applyAlignment="1">
      <alignment vertical="center"/>
    </xf>
    <xf numFmtId="165" fontId="17" fillId="6" borderId="39" xfId="0" applyNumberFormat="1" applyFont="1" applyFill="1" applyBorder="1" applyAlignment="1">
      <alignment vertical="center"/>
    </xf>
    <xf numFmtId="0" fontId="2"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9" fontId="0" fillId="0" borderId="0" xfId="0" applyNumberFormat="1" applyAlignment="1">
      <alignment vertical="center"/>
    </xf>
    <xf numFmtId="9" fontId="3" fillId="0"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9" fontId="31" fillId="0" borderId="1" xfId="0" applyNumberFormat="1" applyFont="1" applyFill="1" applyBorder="1" applyAlignment="1">
      <alignment horizontal="center" vertical="center"/>
    </xf>
    <xf numFmtId="0" fontId="33" fillId="0" borderId="0" xfId="0" applyFont="1" applyAlignment="1">
      <alignment horizontal="center" vertical="center"/>
    </xf>
    <xf numFmtId="0" fontId="34" fillId="0" borderId="1" xfId="0" applyFont="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Border="1" applyAlignment="1">
      <alignment horizontal="right" vertical="center" wrapText="1"/>
    </xf>
    <xf numFmtId="9" fontId="30" fillId="2" borderId="1" xfId="0" applyNumberFormat="1" applyFont="1" applyFill="1" applyBorder="1" applyAlignment="1">
      <alignment horizontal="center" vertical="center"/>
    </xf>
    <xf numFmtId="0" fontId="2" fillId="0" borderId="4" xfId="0" applyFont="1" applyBorder="1" applyAlignment="1">
      <alignment vertical="center" wrapText="1"/>
    </xf>
    <xf numFmtId="4" fontId="30" fillId="0" borderId="2" xfId="0" applyNumberFormat="1" applyFont="1" applyFill="1" applyBorder="1" applyAlignment="1">
      <alignment horizontal="center" vertical="center"/>
    </xf>
    <xf numFmtId="4" fontId="30" fillId="0" borderId="4" xfId="0" applyNumberFormat="1" applyFont="1" applyBorder="1" applyAlignment="1">
      <alignment horizontal="center" vertical="center"/>
    </xf>
    <xf numFmtId="4" fontId="3" fillId="0" borderId="1" xfId="3" applyNumberFormat="1" applyFont="1" applyBorder="1" applyAlignment="1">
      <alignment horizontal="center" vertical="center"/>
    </xf>
    <xf numFmtId="4" fontId="31" fillId="0" borderId="1" xfId="3" applyNumberFormat="1" applyFont="1" applyBorder="1" applyAlignment="1">
      <alignment horizontal="center" vertical="center"/>
    </xf>
    <xf numFmtId="4" fontId="3" fillId="0" borderId="2" xfId="0" applyNumberFormat="1" applyFont="1" applyFill="1" applyBorder="1" applyAlignment="1">
      <alignment horizontal="center" vertical="center"/>
    </xf>
    <xf numFmtId="4" fontId="31" fillId="0" borderId="2"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xf>
    <xf numFmtId="166" fontId="30" fillId="2"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wrapText="1"/>
    </xf>
    <xf numFmtId="0" fontId="33" fillId="0" borderId="0" xfId="0" applyFont="1"/>
    <xf numFmtId="0" fontId="33" fillId="0" borderId="0" xfId="0" applyFont="1" applyFill="1"/>
    <xf numFmtId="166" fontId="32" fillId="2"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wrapText="1"/>
    </xf>
    <xf numFmtId="9" fontId="32" fillId="2" borderId="1" xfId="0" applyNumberFormat="1" applyFont="1" applyFill="1" applyBorder="1" applyAlignment="1">
      <alignment horizontal="center" vertical="center"/>
    </xf>
    <xf numFmtId="4" fontId="32" fillId="0" borderId="1" xfId="0" applyNumberFormat="1" applyFont="1" applyBorder="1" applyAlignment="1">
      <alignment horizontal="right" vertical="center" wrapText="1"/>
    </xf>
    <xf numFmtId="0" fontId="3" fillId="0" borderId="0" xfId="1" applyFont="1" applyFill="1" applyAlignment="1">
      <alignment vertical="center"/>
    </xf>
    <xf numFmtId="4" fontId="3" fillId="0" borderId="4" xfId="0"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16" fillId="0" borderId="0" xfId="0" applyFont="1" applyAlignment="1">
      <alignment vertical="center"/>
    </xf>
    <xf numFmtId="0" fontId="30" fillId="0" borderId="1" xfId="0" applyFont="1" applyBorder="1" applyAlignment="1">
      <alignment horizontal="center" vertical="center" wrapText="1"/>
    </xf>
    <xf numFmtId="9" fontId="3" fillId="0" borderId="1" xfId="5" applyFont="1" applyFill="1" applyBorder="1" applyAlignment="1">
      <alignment horizontal="center" vertical="center"/>
    </xf>
    <xf numFmtId="0" fontId="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0" fillId="0" borderId="0" xfId="0" applyFill="1" applyAlignment="1">
      <alignment horizontal="center" vertical="center"/>
    </xf>
    <xf numFmtId="9" fontId="0" fillId="0" borderId="16" xfId="2" applyFont="1" applyFill="1" applyBorder="1" applyAlignment="1">
      <alignment horizontal="center" vertical="center"/>
    </xf>
    <xf numFmtId="4" fontId="0" fillId="0" borderId="16" xfId="0" applyNumberFormat="1" applyFill="1" applyBorder="1" applyAlignment="1">
      <alignment horizontal="center" vertical="center"/>
    </xf>
    <xf numFmtId="0" fontId="0" fillId="0" borderId="16" xfId="0" applyFill="1" applyBorder="1" applyAlignment="1">
      <alignment horizontal="center"/>
    </xf>
    <xf numFmtId="168" fontId="30" fillId="0" borderId="1" xfId="0" applyNumberFormat="1" applyFont="1" applyFill="1" applyBorder="1" applyAlignment="1">
      <alignment horizontal="center" vertical="center"/>
    </xf>
    <xf numFmtId="0" fontId="30" fillId="0" borderId="1" xfId="1" applyFont="1" applyBorder="1" applyAlignment="1">
      <alignment horizontal="center" vertical="center" wrapText="1"/>
    </xf>
    <xf numFmtId="4" fontId="34" fillId="0" borderId="1" xfId="3" applyNumberFormat="1" applyFont="1" applyFill="1" applyBorder="1" applyAlignment="1">
      <alignment horizontal="right" vertical="center"/>
    </xf>
    <xf numFmtId="9" fontId="30" fillId="0" borderId="1" xfId="5" applyFont="1" applyFill="1" applyBorder="1" applyAlignment="1">
      <alignment horizontal="right" vertical="center"/>
    </xf>
    <xf numFmtId="4" fontId="30" fillId="0" borderId="1" xfId="0" applyNumberFormat="1" applyFont="1" applyFill="1" applyBorder="1" applyAlignment="1">
      <alignment horizontal="right" vertical="center"/>
    </xf>
    <xf numFmtId="0" fontId="32"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4" fontId="33" fillId="0"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21" fillId="0" borderId="0" xfId="0" applyFont="1" applyAlignment="1">
      <alignment horizontal="center" vertical="center"/>
    </xf>
    <xf numFmtId="9" fontId="21" fillId="0" borderId="0" xfId="2" applyFont="1" applyAlignment="1">
      <alignment horizontal="center" vertical="center"/>
    </xf>
    <xf numFmtId="4" fontId="21" fillId="0" borderId="0" xfId="0" applyNumberFormat="1" applyFont="1" applyAlignment="1">
      <alignment horizontal="center" vertical="center"/>
    </xf>
    <xf numFmtId="0" fontId="21" fillId="0" borderId="0" xfId="0" applyFont="1"/>
    <xf numFmtId="0" fontId="37" fillId="0" borderId="1" xfId="0" applyFont="1" applyFill="1" applyBorder="1" applyAlignment="1">
      <alignment horizontal="center" vertical="center" wrapText="1"/>
    </xf>
    <xf numFmtId="4" fontId="32" fillId="0" borderId="2" xfId="0" applyNumberFormat="1" applyFont="1" applyFill="1" applyBorder="1" applyAlignment="1">
      <alignment horizontal="center" vertical="center"/>
    </xf>
    <xf numFmtId="4" fontId="32" fillId="0" borderId="4" xfId="0" applyNumberFormat="1" applyFont="1" applyBorder="1" applyAlignment="1">
      <alignment horizontal="center" vertical="center"/>
    </xf>
    <xf numFmtId="169" fontId="3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4" fontId="31"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168" fontId="3" fillId="2"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 fillId="0" borderId="0" xfId="0" applyFont="1" applyFill="1"/>
    <xf numFmtId="0" fontId="15" fillId="0" borderId="0" xfId="0" applyFont="1" applyFill="1"/>
    <xf numFmtId="0" fontId="21" fillId="0" borderId="0" xfId="0" applyFont="1" applyAlignment="1">
      <alignment horizontal="center"/>
    </xf>
    <xf numFmtId="0" fontId="16" fillId="0" borderId="0" xfId="0" applyFont="1" applyAlignment="1">
      <alignment horizontal="center"/>
    </xf>
    <xf numFmtId="0" fontId="16" fillId="0" borderId="0" xfId="0" applyFont="1" applyFill="1" applyAlignment="1">
      <alignment horizontal="center"/>
    </xf>
    <xf numFmtId="0" fontId="16" fillId="0" borderId="0" xfId="0" applyFont="1" applyAlignment="1">
      <alignment horizontal="center" vertical="center"/>
    </xf>
    <xf numFmtId="9" fontId="16" fillId="0" borderId="0" xfId="2" applyFont="1" applyAlignment="1">
      <alignment horizontal="center" vertical="center"/>
    </xf>
    <xf numFmtId="4" fontId="16" fillId="0" borderId="0" xfId="0" applyNumberFormat="1" applyFont="1" applyAlignment="1">
      <alignment horizontal="center" vertical="center"/>
    </xf>
    <xf numFmtId="0" fontId="3" fillId="2" borderId="1" xfId="0" applyNumberFormat="1" applyFont="1" applyFill="1" applyBorder="1" applyAlignment="1">
      <alignment horizontal="center" vertical="center" wrapText="1"/>
    </xf>
    <xf numFmtId="168" fontId="31" fillId="2" borderId="1" xfId="0" applyNumberFormat="1" applyFont="1" applyFill="1" applyBorder="1" applyAlignment="1">
      <alignment horizontal="center" vertical="center" wrapText="1"/>
    </xf>
    <xf numFmtId="167" fontId="31" fillId="0" borderId="1" xfId="18" applyNumberFormat="1" applyFont="1" applyFill="1" applyBorder="1" applyAlignment="1">
      <alignment horizontal="center" vertical="center"/>
    </xf>
    <xf numFmtId="0" fontId="30" fillId="0" borderId="1" xfId="0" applyFont="1" applyBorder="1" applyAlignment="1">
      <alignment horizontal="center" vertical="center" wrapText="1"/>
    </xf>
    <xf numFmtId="0" fontId="39" fillId="0" borderId="1" xfId="0"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4" fontId="39" fillId="0" borderId="1" xfId="0"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31" fillId="0" borderId="1" xfId="3" applyNumberFormat="1" applyFont="1" applyFill="1" applyBorder="1" applyAlignment="1">
      <alignment horizontal="center" vertical="center"/>
    </xf>
    <xf numFmtId="0" fontId="21" fillId="0" borderId="0" xfId="0" applyFont="1" applyFill="1" applyAlignment="1">
      <alignment horizontal="center" vertical="center"/>
    </xf>
    <xf numFmtId="9" fontId="21" fillId="0" borderId="0" xfId="2" applyFont="1" applyFill="1" applyAlignment="1">
      <alignment horizontal="center" vertical="center"/>
    </xf>
    <xf numFmtId="4" fontId="21"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4" fontId="30" fillId="0" borderId="4" xfId="0" applyNumberFormat="1" applyFont="1" applyFill="1" applyBorder="1" applyAlignment="1">
      <alignment horizontal="center" vertical="center"/>
    </xf>
    <xf numFmtId="4" fontId="3" fillId="0" borderId="1" xfId="3" applyNumberFormat="1" applyFont="1" applyFill="1" applyBorder="1" applyAlignment="1">
      <alignment horizontal="center" vertical="center"/>
    </xf>
    <xf numFmtId="0" fontId="16" fillId="0" borderId="0" xfId="0" applyFont="1" applyFill="1" applyAlignment="1">
      <alignment horizontal="center" vertical="center"/>
    </xf>
    <xf numFmtId="9" fontId="16" fillId="0" borderId="0" xfId="2" applyFont="1" applyFill="1" applyAlignment="1">
      <alignment horizontal="center" vertical="center"/>
    </xf>
    <xf numFmtId="4" fontId="16" fillId="0" borderId="0" xfId="0" applyNumberFormat="1" applyFont="1" applyFill="1" applyAlignment="1">
      <alignment horizontal="center" vertical="center"/>
    </xf>
    <xf numFmtId="9" fontId="0" fillId="0" borderId="0" xfId="2" applyFont="1" applyFill="1" applyBorder="1" applyAlignment="1">
      <alignment horizontal="center" vertical="center"/>
    </xf>
    <xf numFmtId="4" fontId="0" fillId="0" borderId="0" xfId="0" applyNumberFormat="1" applyFill="1" applyBorder="1" applyAlignment="1">
      <alignment horizontal="center" vertical="center"/>
    </xf>
    <xf numFmtId="0" fontId="39" fillId="0" borderId="1" xfId="0" applyFont="1" applyFill="1" applyBorder="1" applyAlignment="1">
      <alignment horizontal="center" vertical="center"/>
    </xf>
    <xf numFmtId="4" fontId="30" fillId="0" borderId="1" xfId="0" applyNumberFormat="1" applyFont="1" applyBorder="1" applyAlignment="1">
      <alignment horizontal="center" vertical="center"/>
    </xf>
    <xf numFmtId="168" fontId="0" fillId="0" borderId="0" xfId="0" applyNumberFormat="1"/>
    <xf numFmtId="0" fontId="33" fillId="0" borderId="1" xfId="0" applyFont="1" applyBorder="1" applyAlignment="1">
      <alignment horizontal="center" vertical="center"/>
    </xf>
    <xf numFmtId="0" fontId="33" fillId="0" borderId="1" xfId="0" applyFont="1" applyBorder="1" applyAlignment="1">
      <alignment horizontal="center"/>
    </xf>
    <xf numFmtId="0" fontId="33" fillId="0" borderId="1" xfId="0" applyFont="1" applyBorder="1"/>
    <xf numFmtId="0" fontId="33" fillId="0" borderId="1" xfId="0" applyFont="1" applyFill="1" applyBorder="1" applyAlignment="1">
      <alignment horizontal="center" vertical="center"/>
    </xf>
    <xf numFmtId="0" fontId="26" fillId="0" borderId="1" xfId="0" applyFont="1" applyFill="1" applyBorder="1" applyAlignment="1">
      <alignment horizontal="center"/>
    </xf>
    <xf numFmtId="168"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2" applyFont="1" applyBorder="1" applyAlignment="1">
      <alignment horizontal="center" vertical="center"/>
    </xf>
    <xf numFmtId="0" fontId="3" fillId="0" borderId="1" xfId="0" applyFont="1" applyBorder="1"/>
    <xf numFmtId="9" fontId="3" fillId="0" borderId="1" xfId="2" applyFont="1" applyFill="1" applyBorder="1" applyAlignment="1">
      <alignment horizontal="center" vertical="center"/>
    </xf>
    <xf numFmtId="0" fontId="3" fillId="0" borderId="1" xfId="0" applyFont="1" applyFill="1" applyBorder="1" applyAlignment="1">
      <alignment horizontal="center"/>
    </xf>
    <xf numFmtId="9" fontId="33" fillId="0" borderId="1" xfId="2" applyFont="1" applyFill="1" applyBorder="1" applyAlignment="1">
      <alignment horizontal="center" vertical="center"/>
    </xf>
    <xf numFmtId="0" fontId="33" fillId="0" borderId="1" xfId="0" applyFont="1" applyFill="1" applyBorder="1" applyAlignment="1">
      <alignment horizontal="center"/>
    </xf>
    <xf numFmtId="0" fontId="33" fillId="0" borderId="0" xfId="0" applyFont="1" applyFill="1" applyBorder="1" applyAlignment="1">
      <alignment horizontal="center"/>
    </xf>
    <xf numFmtId="9" fontId="33" fillId="0" borderId="0" xfId="2" applyFont="1" applyAlignment="1">
      <alignment horizontal="center" vertical="center"/>
    </xf>
    <xf numFmtId="4" fontId="33" fillId="0" borderId="0" xfId="0" applyNumberFormat="1" applyFont="1" applyAlignment="1">
      <alignment horizontal="center" vertical="center"/>
    </xf>
    <xf numFmtId="0" fontId="33" fillId="0" borderId="0" xfId="0" applyFont="1" applyAlignment="1">
      <alignment horizontal="center"/>
    </xf>
    <xf numFmtId="0" fontId="31" fillId="0" borderId="0" xfId="1" applyFont="1" applyFill="1" applyAlignment="1">
      <alignment vertical="center"/>
    </xf>
    <xf numFmtId="0" fontId="33" fillId="0" borderId="0" xfId="0" applyFont="1" applyFill="1" applyBorder="1" applyAlignment="1">
      <alignment vertical="center"/>
    </xf>
    <xf numFmtId="0" fontId="33" fillId="0" borderId="0" xfId="0" applyFont="1" applyFill="1" applyBorder="1"/>
    <xf numFmtId="168" fontId="31" fillId="0" borderId="1" xfId="0" applyNumberFormat="1" applyFont="1" applyFill="1" applyBorder="1" applyAlignment="1">
      <alignment horizontal="center" vertical="center" wrapText="1"/>
    </xf>
    <xf numFmtId="168" fontId="39" fillId="0" borderId="1" xfId="0" applyNumberFormat="1" applyFont="1" applyFill="1" applyBorder="1" applyAlignment="1">
      <alignment horizontal="center" vertical="center" wrapText="1"/>
    </xf>
    <xf numFmtId="168" fontId="30" fillId="2" borderId="1" xfId="0" applyNumberFormat="1" applyFont="1" applyFill="1" applyBorder="1" applyAlignment="1">
      <alignment horizontal="center" vertical="center"/>
    </xf>
    <xf numFmtId="168" fontId="32" fillId="2" borderId="1"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1" fillId="0" borderId="1" xfId="0" applyFont="1" applyFill="1" applyBorder="1" applyAlignment="1">
      <alignment horizontal="center" vertical="center"/>
    </xf>
    <xf numFmtId="10" fontId="31" fillId="0" borderId="1" xfId="0" applyNumberFormat="1" applyFont="1" applyFill="1" applyBorder="1" applyAlignment="1">
      <alignment horizontal="center" vertical="center"/>
    </xf>
    <xf numFmtId="0" fontId="31" fillId="0" borderId="3" xfId="0" applyFont="1" applyBorder="1" applyAlignment="1">
      <alignment horizontal="center" vertical="center" wrapText="1"/>
    </xf>
    <xf numFmtId="0" fontId="31" fillId="0" borderId="1" xfId="1" applyFont="1" applyFill="1" applyBorder="1" applyAlignment="1">
      <alignment horizontal="center" vertical="center"/>
    </xf>
    <xf numFmtId="0" fontId="31" fillId="0" borderId="1" xfId="1" applyFont="1" applyFill="1" applyBorder="1" applyAlignment="1">
      <alignment horizontal="center" vertical="center" wrapText="1"/>
    </xf>
    <xf numFmtId="168" fontId="31" fillId="0" borderId="1" xfId="0" applyNumberFormat="1" applyFont="1" applyFill="1" applyBorder="1" applyAlignment="1">
      <alignment horizontal="center" vertical="center"/>
    </xf>
    <xf numFmtId="4" fontId="32" fillId="0" borderId="1" xfId="0" applyNumberFormat="1" applyFont="1" applyFill="1" applyBorder="1" applyAlignment="1">
      <alignment horizontal="center" vertical="center"/>
    </xf>
    <xf numFmtId="4" fontId="31" fillId="0" borderId="1" xfId="18" applyNumberFormat="1" applyFont="1" applyFill="1" applyBorder="1" applyAlignment="1">
      <alignment horizontal="center" vertical="center"/>
    </xf>
    <xf numFmtId="4" fontId="21" fillId="0" borderId="0" xfId="0" applyNumberFormat="1" applyFont="1" applyAlignment="1">
      <alignment horizontal="center"/>
    </xf>
    <xf numFmtId="4" fontId="31" fillId="0" borderId="2" xfId="0" applyNumberFormat="1" applyFont="1" applyFill="1" applyBorder="1" applyAlignment="1">
      <alignment horizontal="center" vertical="center" wrapText="1"/>
    </xf>
    <xf numFmtId="4" fontId="32" fillId="0" borderId="26" xfId="0" applyNumberFormat="1" applyFont="1" applyFill="1" applyBorder="1" applyAlignment="1">
      <alignment horizontal="center" vertical="center"/>
    </xf>
    <xf numFmtId="10" fontId="21" fillId="0" borderId="0" xfId="2" applyNumberFormat="1" applyFont="1" applyFill="1" applyAlignment="1">
      <alignment horizontal="center" vertical="center"/>
    </xf>
    <xf numFmtId="0" fontId="31" fillId="0" borderId="1"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41" fillId="0" borderId="0" xfId="0" applyFont="1" applyFill="1" applyBorder="1" applyAlignment="1">
      <alignment vertical="center"/>
    </xf>
    <xf numFmtId="0" fontId="42" fillId="0" borderId="0" xfId="0" applyFont="1" applyFill="1" applyBorder="1" applyAlignment="1">
      <alignment vertical="center"/>
    </xf>
    <xf numFmtId="0" fontId="33" fillId="7" borderId="1" xfId="0" applyFont="1" applyFill="1" applyBorder="1" applyAlignment="1">
      <alignment horizontal="center" vertical="center"/>
    </xf>
    <xf numFmtId="9" fontId="33" fillId="7" borderId="1" xfId="2" applyFont="1" applyFill="1" applyBorder="1" applyAlignment="1">
      <alignment horizontal="center" vertical="center"/>
    </xf>
    <xf numFmtId="4" fontId="33" fillId="7" borderId="1" xfId="0" applyNumberFormat="1" applyFont="1" applyFill="1" applyBorder="1" applyAlignment="1">
      <alignment horizontal="center" vertical="center"/>
    </xf>
    <xf numFmtId="0" fontId="33" fillId="7" borderId="0" xfId="0" applyFont="1" applyFill="1" applyBorder="1" applyAlignment="1">
      <alignment horizontal="center"/>
    </xf>
    <xf numFmtId="0" fontId="2" fillId="0" borderId="1" xfId="0" applyFont="1" applyFill="1" applyBorder="1" applyAlignment="1">
      <alignment horizontal="center" vertical="center" wrapText="1"/>
    </xf>
    <xf numFmtId="2" fontId="31"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43" xfId="0" applyFont="1" applyFill="1" applyBorder="1" applyAlignment="1">
      <alignment horizontal="center" vertical="center"/>
    </xf>
    <xf numFmtId="0" fontId="3" fillId="0" borderId="43" xfId="0" applyFont="1" applyFill="1" applyBorder="1" applyAlignment="1">
      <alignment horizontal="center" vertical="center" wrapText="1"/>
    </xf>
    <xf numFmtId="168" fontId="30" fillId="0" borderId="3"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9" fontId="30" fillId="0" borderId="1" xfId="0" applyNumberFormat="1" applyFont="1" applyFill="1" applyBorder="1" applyAlignment="1">
      <alignment horizontal="center" vertical="center"/>
    </xf>
    <xf numFmtId="4" fontId="34" fillId="0" borderId="1" xfId="0" applyNumberFormat="1" applyFont="1" applyFill="1" applyBorder="1" applyAlignment="1">
      <alignment horizontal="right" vertical="center"/>
    </xf>
    <xf numFmtId="168" fontId="32" fillId="0" borderId="3"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9" fontId="32" fillId="0" borderId="1" xfId="0" applyNumberFormat="1" applyFont="1" applyFill="1" applyBorder="1" applyAlignment="1">
      <alignment horizontal="center" vertical="center"/>
    </xf>
    <xf numFmtId="2" fontId="32" fillId="0"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xf>
    <xf numFmtId="168" fontId="33" fillId="0" borderId="0" xfId="0" applyNumberFormat="1" applyFont="1" applyFill="1"/>
    <xf numFmtId="0" fontId="33" fillId="0" borderId="0" xfId="0" applyFont="1" applyFill="1" applyAlignment="1">
      <alignment horizontal="center" vertical="center"/>
    </xf>
    <xf numFmtId="4" fontId="33" fillId="0" borderId="0" xfId="0" applyNumberFormat="1" applyFont="1" applyFill="1"/>
    <xf numFmtId="168" fontId="33" fillId="0" borderId="0" xfId="0" applyNumberFormat="1" applyFont="1" applyFill="1" applyAlignment="1">
      <alignment vertical="center"/>
    </xf>
    <xf numFmtId="0" fontId="33" fillId="0" borderId="0" xfId="0" applyFont="1" applyFill="1" applyAlignment="1">
      <alignment vertical="center"/>
    </xf>
    <xf numFmtId="4" fontId="33" fillId="0" borderId="0" xfId="0" applyNumberFormat="1" applyFont="1" applyFill="1" applyAlignment="1">
      <alignment vertical="center"/>
    </xf>
    <xf numFmtId="4" fontId="33" fillId="0" borderId="0" xfId="0" applyNumberFormat="1" applyFont="1" applyFill="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2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5" xfId="0"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shrinkToFit="1"/>
    </xf>
    <xf numFmtId="0" fontId="34" fillId="0" borderId="1" xfId="0" applyFont="1" applyFill="1" applyBorder="1" applyAlignment="1">
      <alignment horizontal="center" vertical="center" wrapText="1" shrinkToFi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8" fontId="2"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5" xfId="0" applyFont="1" applyBorder="1" applyAlignment="1">
      <alignment horizontal="center" vertical="center" wrapText="1"/>
    </xf>
  </cellXfs>
  <cellStyles count="35">
    <cellStyle name="Dziesiętny 2" xfId="4"/>
    <cellStyle name="Dziesiętny 2 2" xfId="34"/>
    <cellStyle name="Dziesiętny 3" xfId="6"/>
    <cellStyle name="Normalny" xfId="0" builtinId="0"/>
    <cellStyle name="Normalny 2" xfId="3"/>
    <cellStyle name="Normalny 2 2" xfId="9"/>
    <cellStyle name="Normalny 2 2 2" xfId="11"/>
    <cellStyle name="Normalny 2 2 2 2" xfId="28"/>
    <cellStyle name="Normalny 2 2 3" xfId="15"/>
    <cellStyle name="Normalny 2 2 3 2" xfId="31"/>
    <cellStyle name="Normalny 2 2 4" xfId="27"/>
    <cellStyle name="Normalny 2 3" xfId="14"/>
    <cellStyle name="Normalny 2 3 2" xfId="30"/>
    <cellStyle name="Normalny 2 4" xfId="8"/>
    <cellStyle name="Normalny 2 5" xfId="25"/>
    <cellStyle name="Normalny 2 6" xfId="33"/>
    <cellStyle name="Normalny 3" xfId="1"/>
    <cellStyle name="Normalny 3 2" xfId="10"/>
    <cellStyle name="Normalny 3 3" xfId="24"/>
    <cellStyle name="Normalny 4" xfId="12"/>
    <cellStyle name="Normalny 4 2" xfId="19"/>
    <cellStyle name="Normalny 4 2 2" xfId="21"/>
    <cellStyle name="Normalny 5" xfId="13"/>
    <cellStyle name="Normalny 5 2" xfId="20"/>
    <cellStyle name="Normalny 5 2 2" xfId="22"/>
    <cellStyle name="Normalny 5 3" xfId="29"/>
    <cellStyle name="Normalny 6" xfId="16"/>
    <cellStyle name="Normalny 7" xfId="17"/>
    <cellStyle name="Normalny 8" xfId="23"/>
    <cellStyle name="Procentowy" xfId="5" builtinId="5"/>
    <cellStyle name="Procentowy 2" xfId="2"/>
    <cellStyle name="Procentowy 3" xfId="26"/>
    <cellStyle name="Walutowy" xfId="18" builtinId="4"/>
    <cellStyle name="Walutowy 2" xfId="7"/>
    <cellStyle name="Walutowy 3" xfId="32"/>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8000"/>
      <color rgb="FFDCE6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X42"/>
  <sheetViews>
    <sheetView tabSelected="1" view="pageBreakPreview" topLeftCell="A19" zoomScale="90" zoomScaleNormal="100" zoomScaleSheetLayoutView="90" workbookViewId="0">
      <selection activeCell="B27" sqref="B27"/>
    </sheetView>
  </sheetViews>
  <sheetFormatPr defaultColWidth="9.140625" defaultRowHeight="15" x14ac:dyDescent="0.25"/>
  <cols>
    <col min="1" max="1" width="32.140625" style="14" customWidth="1"/>
    <col min="2" max="2" width="10.7109375" style="14" customWidth="1"/>
    <col min="3" max="5" width="20.7109375" style="14" customWidth="1"/>
    <col min="6" max="6" width="15.7109375" style="14" customWidth="1"/>
    <col min="7" max="7" width="17.140625" style="14" customWidth="1"/>
    <col min="8" max="15" width="15.7109375" style="14" customWidth="1"/>
    <col min="16" max="16" width="9.140625" style="14"/>
    <col min="17" max="17" width="11.7109375" style="14" bestFit="1" customWidth="1"/>
    <col min="18" max="16384" width="9.140625" style="3"/>
  </cols>
  <sheetData>
    <row r="1" spans="1:24" s="10" customFormat="1" ht="42" customHeight="1" thickBot="1" x14ac:dyDescent="0.35">
      <c r="A1" s="7" t="s">
        <v>87</v>
      </c>
      <c r="B1" s="8"/>
      <c r="C1" s="8"/>
      <c r="D1" s="8"/>
      <c r="E1" s="8"/>
      <c r="F1" s="8"/>
      <c r="G1" s="139"/>
      <c r="H1" s="8"/>
      <c r="I1" s="8"/>
      <c r="J1" s="8"/>
      <c r="K1" s="8"/>
      <c r="L1" s="8"/>
      <c r="M1" s="8"/>
      <c r="N1" s="8"/>
      <c r="O1" s="8"/>
      <c r="P1" s="8"/>
      <c r="Q1" s="8"/>
      <c r="R1" s="9"/>
      <c r="S1" s="9"/>
      <c r="T1" s="9"/>
      <c r="U1" s="9"/>
      <c r="V1" s="9"/>
      <c r="W1" s="9"/>
      <c r="X1" s="9"/>
    </row>
    <row r="2" spans="1:24" x14ac:dyDescent="0.25">
      <c r="A2" s="11"/>
      <c r="B2" s="11"/>
      <c r="C2" s="11"/>
      <c r="D2" s="11"/>
      <c r="E2" s="11"/>
      <c r="F2" s="327" t="s">
        <v>17</v>
      </c>
      <c r="G2" s="328"/>
      <c r="H2" s="328"/>
      <c r="I2" s="328"/>
      <c r="J2" s="328"/>
      <c r="K2" s="328"/>
      <c r="L2" s="328"/>
      <c r="M2" s="328"/>
      <c r="N2" s="329"/>
      <c r="O2" s="11"/>
      <c r="P2" s="11"/>
      <c r="Q2" s="11"/>
      <c r="R2" s="12"/>
      <c r="S2" s="12"/>
      <c r="T2" s="12"/>
      <c r="U2" s="12"/>
      <c r="V2" s="12"/>
      <c r="W2" s="12"/>
      <c r="X2" s="12"/>
    </row>
    <row r="3" spans="1:24" x14ac:dyDescent="0.25">
      <c r="A3" s="13"/>
      <c r="B3" s="11"/>
      <c r="C3" s="11"/>
      <c r="D3" s="11"/>
      <c r="E3" s="11"/>
      <c r="F3" s="330"/>
      <c r="G3" s="331"/>
      <c r="H3" s="331"/>
      <c r="I3" s="331"/>
      <c r="J3" s="331"/>
      <c r="K3" s="331"/>
      <c r="L3" s="331"/>
      <c r="M3" s="331"/>
      <c r="N3" s="332"/>
      <c r="X3" s="12"/>
    </row>
    <row r="4" spans="1:24" x14ac:dyDescent="0.25">
      <c r="A4" s="301" t="s">
        <v>299</v>
      </c>
      <c r="B4" s="300"/>
      <c r="C4" s="16"/>
      <c r="D4" s="16"/>
      <c r="E4" s="16"/>
      <c r="F4" s="330"/>
      <c r="G4" s="331"/>
      <c r="H4" s="331"/>
      <c r="I4" s="331"/>
      <c r="J4" s="331"/>
      <c r="K4" s="331"/>
      <c r="L4" s="331"/>
      <c r="M4" s="331"/>
      <c r="N4" s="332"/>
      <c r="X4" s="17"/>
    </row>
    <row r="5" spans="1:24" x14ac:dyDescent="0.25">
      <c r="A5" s="16"/>
      <c r="B5" s="16"/>
      <c r="C5" s="16"/>
      <c r="D5" s="16"/>
      <c r="E5" s="16"/>
      <c r="F5" s="330"/>
      <c r="G5" s="331"/>
      <c r="H5" s="331"/>
      <c r="I5" s="331"/>
      <c r="J5" s="331"/>
      <c r="K5" s="331"/>
      <c r="L5" s="331"/>
      <c r="M5" s="331"/>
      <c r="N5" s="332"/>
      <c r="X5" s="12"/>
    </row>
    <row r="6" spans="1:24" x14ac:dyDescent="0.25">
      <c r="A6" s="15" t="s">
        <v>75</v>
      </c>
      <c r="B6" s="16"/>
      <c r="C6" s="16"/>
      <c r="D6" s="16"/>
      <c r="E6" s="16"/>
      <c r="F6" s="330"/>
      <c r="G6" s="331"/>
      <c r="H6" s="331"/>
      <c r="I6" s="331"/>
      <c r="J6" s="331"/>
      <c r="K6" s="331"/>
      <c r="L6" s="331"/>
      <c r="M6" s="331"/>
      <c r="N6" s="332"/>
      <c r="X6" s="17"/>
    </row>
    <row r="7" spans="1:24" ht="15.75" thickBot="1" x14ac:dyDescent="0.3">
      <c r="A7" s="16"/>
      <c r="B7" s="16"/>
      <c r="C7" s="16"/>
      <c r="D7" s="16"/>
      <c r="E7" s="16"/>
      <c r="F7" s="333" t="s">
        <v>18</v>
      </c>
      <c r="G7" s="334"/>
      <c r="H7" s="334"/>
      <c r="I7" s="334"/>
      <c r="J7" s="334"/>
      <c r="K7" s="334"/>
      <c r="L7" s="334"/>
      <c r="M7" s="334"/>
      <c r="N7" s="335"/>
      <c r="X7" s="12"/>
    </row>
    <row r="8" spans="1:24" x14ac:dyDescent="0.25">
      <c r="A8" s="16"/>
      <c r="B8" s="16"/>
      <c r="C8" s="16"/>
      <c r="D8" s="16"/>
      <c r="E8" s="16"/>
      <c r="F8" s="18"/>
      <c r="G8" s="18"/>
      <c r="H8" s="18"/>
      <c r="I8" s="18"/>
      <c r="J8" s="18"/>
      <c r="K8" s="18"/>
      <c r="L8" s="18"/>
      <c r="M8" s="18"/>
      <c r="N8" s="18"/>
      <c r="X8" s="12"/>
    </row>
    <row r="9" spans="1:24" ht="20.100000000000001" customHeight="1" thickBot="1" x14ac:dyDescent="0.3">
      <c r="A9" s="15" t="s">
        <v>0</v>
      </c>
      <c r="B9" s="16"/>
      <c r="C9" s="16"/>
      <c r="D9" s="16"/>
      <c r="E9" s="16"/>
      <c r="F9" s="18"/>
      <c r="G9" s="18"/>
      <c r="H9" s="18"/>
      <c r="I9" s="18"/>
      <c r="J9" s="18"/>
      <c r="K9" s="18"/>
      <c r="L9" s="18"/>
      <c r="M9" s="18"/>
      <c r="N9" s="18"/>
      <c r="X9" s="12"/>
    </row>
    <row r="10" spans="1:24" ht="20.100000000000001" customHeight="1" x14ac:dyDescent="0.25">
      <c r="A10" s="336" t="s">
        <v>1</v>
      </c>
      <c r="B10" s="338" t="s">
        <v>35</v>
      </c>
      <c r="C10" s="340" t="s">
        <v>19</v>
      </c>
      <c r="D10" s="342" t="s">
        <v>20</v>
      </c>
      <c r="E10" s="344" t="s">
        <v>21</v>
      </c>
      <c r="F10" s="63"/>
      <c r="G10" s="51"/>
      <c r="H10" s="52"/>
      <c r="I10" s="51"/>
      <c r="J10" s="52" t="s">
        <v>11</v>
      </c>
      <c r="K10" s="51"/>
      <c r="L10" s="51"/>
      <c r="M10" s="51"/>
      <c r="N10" s="52"/>
      <c r="O10" s="53"/>
      <c r="P10" s="31"/>
      <c r="Q10" s="31"/>
      <c r="R10" s="2"/>
      <c r="S10" s="2"/>
      <c r="T10" s="2"/>
      <c r="U10" s="2"/>
      <c r="X10" s="12"/>
    </row>
    <row r="11" spans="1:24" s="1" customFormat="1" ht="20.100000000000001" customHeight="1" thickBot="1" x14ac:dyDescent="0.3">
      <c r="A11" s="337"/>
      <c r="B11" s="339"/>
      <c r="C11" s="341"/>
      <c r="D11" s="343"/>
      <c r="E11" s="345"/>
      <c r="F11" s="69">
        <v>2019</v>
      </c>
      <c r="G11" s="70">
        <v>2020</v>
      </c>
      <c r="H11" s="70">
        <v>2021</v>
      </c>
      <c r="I11" s="70">
        <v>2022</v>
      </c>
      <c r="J11" s="70">
        <v>2023</v>
      </c>
      <c r="K11" s="70">
        <v>2024</v>
      </c>
      <c r="L11" s="70">
        <v>2025</v>
      </c>
      <c r="M11" s="70">
        <v>2026</v>
      </c>
      <c r="N11" s="70">
        <v>2027</v>
      </c>
      <c r="O11" s="71">
        <v>2028</v>
      </c>
      <c r="P11" s="18"/>
      <c r="Q11" s="18"/>
      <c r="R11" s="18"/>
      <c r="S11" s="18"/>
      <c r="T11" s="18"/>
      <c r="U11" s="18"/>
      <c r="V11" s="19"/>
      <c r="W11" s="19"/>
      <c r="X11" s="19"/>
    </row>
    <row r="12" spans="1:24" ht="39.950000000000003" customHeight="1" thickTop="1" x14ac:dyDescent="0.25">
      <c r="A12" s="73" t="s">
        <v>37</v>
      </c>
      <c r="B12" s="74">
        <f>COUNTA('pow podst'!L3:L12)</f>
        <v>10</v>
      </c>
      <c r="C12" s="75">
        <f>SUM('pow podst'!J3:J12)</f>
        <v>19337821.329999998</v>
      </c>
      <c r="D12" s="76">
        <f>SUM('pow podst'!L3:L12)</f>
        <v>9812016.2700000014</v>
      </c>
      <c r="E12" s="77">
        <f>SUM('pow podst'!K3:K12)</f>
        <v>9525805.0600000005</v>
      </c>
      <c r="F12" s="78">
        <f>SUM('pow podst'!N3:N12)</f>
        <v>0</v>
      </c>
      <c r="G12" s="78">
        <f>SUM('pow podst'!O3:O12)</f>
        <v>0</v>
      </c>
      <c r="H12" s="78">
        <f>SUM('pow podst'!P3:P12)</f>
        <v>0</v>
      </c>
      <c r="I12" s="78">
        <f>SUM('pow podst'!Q3:Q12)</f>
        <v>1187826.43</v>
      </c>
      <c r="J12" s="78">
        <f>SUM('pow podst'!R3:R12)</f>
        <v>8337978.6299999999</v>
      </c>
      <c r="K12" s="78">
        <f>SUM('pow podst'!S3:S12)</f>
        <v>0</v>
      </c>
      <c r="L12" s="78">
        <f>SUM('pow podst'!T3:T12)</f>
        <v>0</v>
      </c>
      <c r="M12" s="78">
        <f>SUM('pow podst'!U3:U12)</f>
        <v>0</v>
      </c>
      <c r="N12" s="78">
        <f>SUM('pow podst'!V3:V12)</f>
        <v>0</v>
      </c>
      <c r="O12" s="78">
        <f>SUM('pow podst'!W3:W12)</f>
        <v>0</v>
      </c>
      <c r="P12" s="20" t="b">
        <f>C12=(D12+E12)</f>
        <v>1</v>
      </c>
      <c r="Q12" s="42" t="b">
        <f>E12=SUM(F12:O12)</f>
        <v>1</v>
      </c>
      <c r="R12" s="21"/>
      <c r="S12" s="21"/>
      <c r="T12" s="22"/>
      <c r="U12" s="22"/>
      <c r="V12" s="23"/>
      <c r="W12" s="12"/>
      <c r="X12" s="12"/>
    </row>
    <row r="13" spans="1:24" ht="39.950000000000003" customHeight="1" x14ac:dyDescent="0.25">
      <c r="A13" s="79" t="s">
        <v>38</v>
      </c>
      <c r="B13" s="120">
        <f>COUNTIF('pow podst'!C3:C12,"K")</f>
        <v>1</v>
      </c>
      <c r="C13" s="121">
        <f>SUMIF('pow podst'!C3:C12,"K",'pow podst'!J3:J12)</f>
        <v>4004892.52</v>
      </c>
      <c r="D13" s="122">
        <f>SUMIF('pow podst'!C3:C12,"K",'pow podst'!L3:L12)</f>
        <v>2312566.09</v>
      </c>
      <c r="E13" s="47">
        <f>SUMIF('pow podst'!C3:C12,"K",'pow podst'!K3:K12)</f>
        <v>1692326.43</v>
      </c>
      <c r="F13" s="129">
        <f>SUMIF('pow podst'!C3:C12,"K",'pow podst'!N3:N12)</f>
        <v>0</v>
      </c>
      <c r="G13" s="121">
        <f>SUMIF('pow podst'!C3:C12,"K",'pow podst'!O3:O12)</f>
        <v>0</v>
      </c>
      <c r="H13" s="121">
        <f>SUMIF('pow podst'!C3:C12,"K",'pow podst'!P3:P12)</f>
        <v>0</v>
      </c>
      <c r="I13" s="121">
        <f>SUMIF('pow podst'!C3:C12,"K",'pow podst'!Q3:Q12)</f>
        <v>1187826.43</v>
      </c>
      <c r="J13" s="121">
        <f>SUMIF('pow podst'!C3:C12,"K",'pow podst'!R3:R12)</f>
        <v>504500</v>
      </c>
      <c r="K13" s="121">
        <f>SUMIF('pow podst'!C3:C12,"K",'pow podst'!S3:S12)</f>
        <v>0</v>
      </c>
      <c r="L13" s="121">
        <f>SUMIF('pow podst'!C3:C12,"K",'pow podst'!T3:T12)</f>
        <v>0</v>
      </c>
      <c r="M13" s="121">
        <f>SUMIF('pow podst'!C3:C12,"K",'pow podst'!U3:U12)</f>
        <v>0</v>
      </c>
      <c r="N13" s="121">
        <f>SUMIF('pow podst'!C3:C12,"K",'pow podst'!V3:V12)</f>
        <v>0</v>
      </c>
      <c r="O13" s="121">
        <f ca="1">SUMIF('pow podst'!C3:I12,"K",'pow podst'!W3:W12)</f>
        <v>0</v>
      </c>
      <c r="P13" s="20" t="b">
        <f t="shared" ref="P13:P22" si="0">C13=(D13+E13)</f>
        <v>1</v>
      </c>
      <c r="Q13" s="42" t="b">
        <f t="shared" ref="Q13:Q19" ca="1" si="1">E13=SUM(F13:O13)</f>
        <v>1</v>
      </c>
      <c r="R13" s="21"/>
      <c r="S13" s="21"/>
      <c r="T13" s="22"/>
      <c r="U13" s="22"/>
      <c r="V13" s="23"/>
      <c r="W13" s="12"/>
      <c r="X13" s="12"/>
    </row>
    <row r="14" spans="1:24" ht="39.950000000000003" customHeight="1" x14ac:dyDescent="0.25">
      <c r="A14" s="80" t="s">
        <v>39</v>
      </c>
      <c r="B14" s="123">
        <f>COUNTIF('pow podst'!C3:C12,"N")</f>
        <v>9</v>
      </c>
      <c r="C14" s="124">
        <f>SUMIF('pow podst'!C3:C12,"N",'pow podst'!J3:J12)</f>
        <v>15332928.810000002</v>
      </c>
      <c r="D14" s="125">
        <f>SUMIF('pow podst'!C3:C12,"N",'pow podst'!L3:L12)</f>
        <v>7499450.1800000006</v>
      </c>
      <c r="E14" s="46">
        <f>SUMIF('pow podst'!C3:C12,"N",'pow podst'!K3:K12)</f>
        <v>7833478.6299999999</v>
      </c>
      <c r="F14" s="130">
        <f>SUMIF('pow podst'!C3:C12,"N",'pow podst'!N3:N12)</f>
        <v>0</v>
      </c>
      <c r="G14" s="124">
        <f>SUMIF('pow podst'!C3:C12,"N",'pow podst'!O3:O12)</f>
        <v>0</v>
      </c>
      <c r="H14" s="124">
        <f>SUMIF('pow podst'!C3:C12,"N",'pow podst'!P3:P12)</f>
        <v>0</v>
      </c>
      <c r="I14" s="124">
        <f>SUMIF('pow podst'!C3:C12,"N",'pow podst'!Q3:Q12)</f>
        <v>0</v>
      </c>
      <c r="J14" s="124">
        <f>SUMIF('pow podst'!C3:C12,"N",'pow podst'!R3:R12)</f>
        <v>7833478.6299999999</v>
      </c>
      <c r="K14" s="124">
        <f>SUMIF('pow podst'!C3:C12,"N",'pow podst'!S3:S12)</f>
        <v>0</v>
      </c>
      <c r="L14" s="124">
        <f>SUMIF('pow podst'!C3:C12,"N",'pow podst'!T3:T12)</f>
        <v>0</v>
      </c>
      <c r="M14" s="124">
        <f>SUMIF('pow podst'!C3:C12,"N",'pow podst'!U3:U12)</f>
        <v>0</v>
      </c>
      <c r="N14" s="124">
        <f>SUMIF('pow podst'!C3:C12,"N",'pow podst'!V3:V12)</f>
        <v>0</v>
      </c>
      <c r="O14" s="124">
        <f ca="1">SUMIF('pow podst'!C3:I12,"N",'pow podst'!W3:W12)</f>
        <v>0</v>
      </c>
      <c r="P14" s="20" t="b">
        <f t="shared" si="0"/>
        <v>1</v>
      </c>
      <c r="Q14" s="42" t="b">
        <f ca="1">E14=SUM(F14:O14)</f>
        <v>1</v>
      </c>
      <c r="R14" s="21"/>
      <c r="S14" s="21"/>
      <c r="T14" s="22"/>
      <c r="U14" s="22"/>
      <c r="V14" s="23"/>
      <c r="W14" s="12"/>
      <c r="X14" s="12"/>
    </row>
    <row r="15" spans="1:24" ht="39.950000000000003" customHeight="1" thickBot="1" x14ac:dyDescent="0.3">
      <c r="A15" s="81" t="s">
        <v>40</v>
      </c>
      <c r="B15" s="120">
        <f>COUNTIF('pow podst'!C3:C12,"W")</f>
        <v>0</v>
      </c>
      <c r="C15" s="127">
        <f>SUMIF('pow podst'!C3:C12,"W",'pow podst'!J3:J12)</f>
        <v>0</v>
      </c>
      <c r="D15" s="128">
        <f>SUMIF('pow podst'!C3:C12,"W",'pow podst'!L3:L12)</f>
        <v>0</v>
      </c>
      <c r="E15" s="82">
        <f>SUMIF('pow podst'!C3:C12,"W",'pow podst'!K3:K12)</f>
        <v>0</v>
      </c>
      <c r="F15" s="131">
        <f>SUMIF('pow podst'!C3:C12,"W",'pow podst'!N3:N12)</f>
        <v>0</v>
      </c>
      <c r="G15" s="127">
        <f>SUMIF('pow podst'!C3:C12,"W",'pow podst'!O3:O12)</f>
        <v>0</v>
      </c>
      <c r="H15" s="127">
        <f>SUMIF('pow podst'!C3:C12,"W",'pow podst'!P3:P12)</f>
        <v>0</v>
      </c>
      <c r="I15" s="127">
        <f>SUMIF('pow podst'!C3:C12,"W",'pow podst'!Q3:Q12)</f>
        <v>0</v>
      </c>
      <c r="J15" s="127">
        <f>SUMIF('pow podst'!C3:C12,"W",'pow podst'!R3:R12)</f>
        <v>0</v>
      </c>
      <c r="K15" s="127">
        <f>SUMIF('pow podst'!C3:C12,"W",'pow podst'!S3:S12)</f>
        <v>0</v>
      </c>
      <c r="L15" s="127">
        <f>SUMIF('pow podst'!C3:C12,"W",'pow podst'!T3:T12)</f>
        <v>0</v>
      </c>
      <c r="M15" s="127">
        <f>SUMIF('pow podst'!C3:C12,"W",'pow podst'!U3:U12)</f>
        <v>0</v>
      </c>
      <c r="N15" s="127">
        <f>SUMIF('pow podst'!C3:C12,"W",'pow podst'!V3:V12)</f>
        <v>0</v>
      </c>
      <c r="O15" s="127">
        <f ca="1">SUMIF('pow podst'!C3:I12,"W",'pow podst'!W3:W12)</f>
        <v>0</v>
      </c>
      <c r="P15" s="20" t="b">
        <f t="shared" si="0"/>
        <v>1</v>
      </c>
      <c r="Q15" s="42" t="b">
        <f t="shared" ca="1" si="1"/>
        <v>1</v>
      </c>
      <c r="R15" s="21"/>
      <c r="S15" s="21"/>
      <c r="T15" s="22"/>
      <c r="U15" s="22"/>
      <c r="V15" s="23"/>
      <c r="W15" s="12"/>
      <c r="X15" s="12"/>
    </row>
    <row r="16" spans="1:24" ht="39.950000000000003" customHeight="1" thickTop="1" x14ac:dyDescent="0.25">
      <c r="A16" s="73" t="s">
        <v>41</v>
      </c>
      <c r="B16" s="74">
        <f>COUNTA('gm podst'!L3:L34)</f>
        <v>32</v>
      </c>
      <c r="C16" s="75">
        <f>SUM('gm podst'!K3:K34)</f>
        <v>119383034.57999995</v>
      </c>
      <c r="D16" s="76">
        <f>SUM('gm podst'!M3:M34)</f>
        <v>42710710.130000003</v>
      </c>
      <c r="E16" s="77">
        <f>SUM('gm podst'!L3:L34)</f>
        <v>76672324.450000018</v>
      </c>
      <c r="F16" s="132">
        <f>SUM('gm podst'!O3:O34)</f>
        <v>0</v>
      </c>
      <c r="G16" s="133">
        <f>SUM('gm podst'!P3:P34)</f>
        <v>0</v>
      </c>
      <c r="H16" s="133">
        <f>SUM('gm podst'!Q3:Q34)</f>
        <v>4124460.83</v>
      </c>
      <c r="I16" s="133">
        <f>SUM('gm podst'!R3:R34)</f>
        <v>8820838.5600000005</v>
      </c>
      <c r="J16" s="133">
        <f>SUM('gm podst'!S3:S34)</f>
        <v>47147927.119999997</v>
      </c>
      <c r="K16" s="133">
        <f>SUM('gm podst'!T3:T34)</f>
        <v>16579097.939999999</v>
      </c>
      <c r="L16" s="133">
        <f>SUM('gm podst'!U3:U34)</f>
        <v>0</v>
      </c>
      <c r="M16" s="133">
        <f>SUM('gm podst'!V3:V34)</f>
        <v>0</v>
      </c>
      <c r="N16" s="133">
        <f>SUM('gm podst'!W3:W34)</f>
        <v>0</v>
      </c>
      <c r="O16" s="133">
        <f>SUM('gm podst'!X3:X34)</f>
        <v>0</v>
      </c>
      <c r="P16" s="20" t="b">
        <f t="shared" si="0"/>
        <v>1</v>
      </c>
      <c r="Q16" s="42" t="b">
        <f t="shared" si="1"/>
        <v>1</v>
      </c>
      <c r="R16" s="21"/>
      <c r="S16" s="21"/>
      <c r="T16" s="22"/>
      <c r="U16" s="22"/>
      <c r="V16" s="22"/>
      <c r="W16" s="22"/>
      <c r="X16" s="22"/>
    </row>
    <row r="17" spans="1:24" ht="39.950000000000003" customHeight="1" x14ac:dyDescent="0.25">
      <c r="A17" s="79" t="s">
        <v>38</v>
      </c>
      <c r="B17" s="120">
        <f>COUNTIF('gm podst'!C3:C34,"K")</f>
        <v>5</v>
      </c>
      <c r="C17" s="121">
        <f>SUMIF('gm podst'!C3:C34,"K",'gm podst'!K3:K34)</f>
        <v>29031076.219999999</v>
      </c>
      <c r="D17" s="122">
        <f>SUMIF('gm podst'!C3:C34,"K",'gm podst'!M3:M34)</f>
        <v>11793565.6</v>
      </c>
      <c r="E17" s="47">
        <f>SUMIF('gm podst'!C3:C34,"K",'gm podst'!L3:L34)</f>
        <v>17237510.619999997</v>
      </c>
      <c r="F17" s="129">
        <f>SUMIF('gm podst'!C3:C34,"K",'gm podst'!O3:O34)</f>
        <v>0</v>
      </c>
      <c r="G17" s="121">
        <f>SUMIF('gm podst'!C3:C34,"K",'gm podst'!P3:P34)</f>
        <v>0</v>
      </c>
      <c r="H17" s="121">
        <f>SUMIF('gm podst'!C3:C34,"K",'gm podst'!Q3:Q34)</f>
        <v>4124460.83</v>
      </c>
      <c r="I17" s="121">
        <f>SUMIF('gm podst'!C3:C34,"K",'gm podst'!R3:R34)</f>
        <v>8820838.5600000005</v>
      </c>
      <c r="J17" s="121">
        <f>SUMIF('gm podst'!C3:C34,"K",'gm podst'!S3:S34)</f>
        <v>4292211.2300000004</v>
      </c>
      <c r="K17" s="121">
        <f>SUMIF('gm podst'!C3:C34,"K",'gm podst'!T3:T34)</f>
        <v>0</v>
      </c>
      <c r="L17" s="121">
        <f>SUMIF('gm podst'!C3:C34,"K",'gm podst'!U3:U34)</f>
        <v>0</v>
      </c>
      <c r="M17" s="121">
        <f>SUMIF('gm podst'!G3:G34,"K",'gm podst'!V3:V34)</f>
        <v>0</v>
      </c>
      <c r="N17" s="121">
        <f>SUMIF('gm podst'!C3:C34,"K",'gm podst'!W3:W34)</f>
        <v>0</v>
      </c>
      <c r="O17" s="121">
        <f>SUMIF('gm podst'!C3:C34,"K",'gm podst'!X3:X34)</f>
        <v>0</v>
      </c>
      <c r="P17" s="20" t="b">
        <f t="shared" si="0"/>
        <v>1</v>
      </c>
      <c r="Q17" s="42" t="b">
        <f t="shared" si="1"/>
        <v>1</v>
      </c>
      <c r="R17" s="21"/>
      <c r="S17" s="21"/>
      <c r="T17" s="22"/>
      <c r="U17" s="22"/>
      <c r="V17" s="22"/>
      <c r="W17" s="22"/>
      <c r="X17" s="22"/>
    </row>
    <row r="18" spans="1:24" ht="39.950000000000003" customHeight="1" x14ac:dyDescent="0.25">
      <c r="A18" s="80" t="s">
        <v>39</v>
      </c>
      <c r="B18" s="123">
        <f>COUNTIF('gm podst'!C3:C34,"N")</f>
        <v>19</v>
      </c>
      <c r="C18" s="124">
        <f>SUMIF('gm podst'!C3:C34,"N",'gm podst'!K3:K34)</f>
        <v>43000691.719999999</v>
      </c>
      <c r="D18" s="125">
        <f>SUMIF('gm podst'!C3:C34,"N",'gm podst'!M3:M34)</f>
        <v>14512591.460000001</v>
      </c>
      <c r="E18" s="46">
        <f>SUMIF('gm podst'!C3:C34,"N",'gm podst'!L3:L34)</f>
        <v>28488100.260000002</v>
      </c>
      <c r="F18" s="130">
        <f>SUMIF('gm podst'!C3:C34,"N",'gm podst'!O3:O34)</f>
        <v>0</v>
      </c>
      <c r="G18" s="124">
        <f>SUMIF('gm podst'!C3:C34,"N",'gm podst'!P3:P34)</f>
        <v>0</v>
      </c>
      <c r="H18" s="124">
        <f>SUMIF('gm podst'!C3:C34,"N",'gm podst'!Q3:Q34)</f>
        <v>0</v>
      </c>
      <c r="I18" s="124">
        <f>SUMIF('gm podst'!C3:C34,"N",'gm podst'!R3:R34)</f>
        <v>0</v>
      </c>
      <c r="J18" s="124">
        <f>SUMIF('gm podst'!C3:C34,"N",'gm podst'!S3:S34)</f>
        <v>28488100.260000002</v>
      </c>
      <c r="K18" s="124">
        <f>SUMIF('gm podst'!C3:C34,"N",'gm podst'!T3:T34)</f>
        <v>0</v>
      </c>
      <c r="L18" s="124">
        <f>SUMIF('gm podst'!C3:C34,"N",'gm podst'!U3:U34)</f>
        <v>0</v>
      </c>
      <c r="M18" s="124">
        <f>SUMIF('gm podst'!C3:C34,"N",'gm podst'!V3:V34)</f>
        <v>0</v>
      </c>
      <c r="N18" s="124">
        <f>SUMIF('gm podst'!C3:C34,"N",'gm podst'!W3:W34)</f>
        <v>0</v>
      </c>
      <c r="O18" s="124">
        <f>SUMIF('gm podst'!C3:C34,"N",'gm podst'!X3:X34)</f>
        <v>0</v>
      </c>
      <c r="P18" s="20" t="b">
        <f t="shared" si="0"/>
        <v>1</v>
      </c>
      <c r="Q18" s="42" t="b">
        <f t="shared" si="1"/>
        <v>1</v>
      </c>
      <c r="R18" s="21"/>
      <c r="S18" s="21"/>
      <c r="T18" s="22"/>
      <c r="U18" s="22"/>
      <c r="V18" s="22"/>
      <c r="W18" s="22"/>
      <c r="X18" s="22"/>
    </row>
    <row r="19" spans="1:24" ht="39.950000000000003" customHeight="1" thickBot="1" x14ac:dyDescent="0.3">
      <c r="A19" s="81" t="s">
        <v>40</v>
      </c>
      <c r="B19" s="126">
        <f>COUNTIF('gm podst'!C3:C34,"W")</f>
        <v>8</v>
      </c>
      <c r="C19" s="127">
        <f>SUMIF('gm podst'!C3:C34,"W",'gm podst'!K3:K34)</f>
        <v>47351266.639999993</v>
      </c>
      <c r="D19" s="128">
        <f>SUMIF('gm podst'!C3:C34,"W",'gm podst'!M3:M34)</f>
        <v>16404553.070000002</v>
      </c>
      <c r="E19" s="82">
        <f>SUMIF('gm podst'!C3:C34,"W",'gm podst'!L3:L34)</f>
        <v>30946713.570000004</v>
      </c>
      <c r="F19" s="131">
        <f>SUMIF('gm podst'!C3:C34,"W",'gm podst'!O3:O34)</f>
        <v>0</v>
      </c>
      <c r="G19" s="127">
        <f>SUMIF('gm podst'!C3:C34,"W",'gm podst'!P3:P34)</f>
        <v>0</v>
      </c>
      <c r="H19" s="127">
        <f>SUMIF('gm podst'!C3:C34,"W",'gm podst'!Q3:Q34)</f>
        <v>0</v>
      </c>
      <c r="I19" s="127">
        <f>SUMIF('gm podst'!C3:C34,"W",'gm podst'!R3:R34)</f>
        <v>0</v>
      </c>
      <c r="J19" s="127">
        <f>SUMIF('gm podst'!C3:C34,"W",'gm podst'!S3:S34)</f>
        <v>14367615.629999997</v>
      </c>
      <c r="K19" s="127">
        <f>SUMIF('gm podst'!C3:C34,"W",'gm podst'!T3:T34)</f>
        <v>16579097.939999999</v>
      </c>
      <c r="L19" s="127">
        <f>SUMIF('gm podst'!C3:C34,"W",'gm podst'!U3:U34)</f>
        <v>0</v>
      </c>
      <c r="M19" s="127">
        <f>SUMIF('gm podst'!C3:C34,"W",'gm podst'!V3:V34)</f>
        <v>0</v>
      </c>
      <c r="N19" s="127">
        <f>SUMIF('gm podst'!C3:C34,"W",'gm podst'!W3:W34)</f>
        <v>0</v>
      </c>
      <c r="O19" s="127">
        <f>SUMIF('gm podst'!C3:C34,"W",'gm podst'!X3:X34)</f>
        <v>0</v>
      </c>
      <c r="P19" s="20" t="b">
        <f t="shared" si="0"/>
        <v>1</v>
      </c>
      <c r="Q19" s="42" t="b">
        <f t="shared" si="1"/>
        <v>1</v>
      </c>
      <c r="R19" s="21"/>
      <c r="S19" s="21"/>
      <c r="T19" s="22"/>
      <c r="U19" s="22"/>
      <c r="V19" s="22"/>
      <c r="W19" s="22"/>
      <c r="X19" s="22"/>
    </row>
    <row r="20" spans="1:24" s="26" customFormat="1" ht="39.950000000000003" customHeight="1" thickTop="1" x14ac:dyDescent="0.25">
      <c r="A20" s="83" t="s">
        <v>42</v>
      </c>
      <c r="B20" s="84">
        <f>B12+B16</f>
        <v>42</v>
      </c>
      <c r="C20" s="85">
        <f>C12+C16</f>
        <v>138720855.90999997</v>
      </c>
      <c r="D20" s="86">
        <f t="shared" ref="C20:O22" si="2">D12+D16</f>
        <v>52522726.400000006</v>
      </c>
      <c r="E20" s="87">
        <f t="shared" si="2"/>
        <v>86198129.51000002</v>
      </c>
      <c r="F20" s="88">
        <f t="shared" si="2"/>
        <v>0</v>
      </c>
      <c r="G20" s="85">
        <f t="shared" si="2"/>
        <v>0</v>
      </c>
      <c r="H20" s="85">
        <f>H12+H16</f>
        <v>4124460.83</v>
      </c>
      <c r="I20" s="85">
        <f t="shared" si="2"/>
        <v>10008664.99</v>
      </c>
      <c r="J20" s="85">
        <f t="shared" si="2"/>
        <v>55485905.75</v>
      </c>
      <c r="K20" s="85">
        <f t="shared" si="2"/>
        <v>16579097.939999999</v>
      </c>
      <c r="L20" s="85">
        <f t="shared" si="2"/>
        <v>0</v>
      </c>
      <c r="M20" s="85">
        <f t="shared" si="2"/>
        <v>0</v>
      </c>
      <c r="N20" s="85">
        <f t="shared" si="2"/>
        <v>0</v>
      </c>
      <c r="O20" s="85">
        <f t="shared" si="2"/>
        <v>0</v>
      </c>
      <c r="P20" s="20" t="b">
        <f t="shared" si="0"/>
        <v>1</v>
      </c>
      <c r="Q20" s="42" t="b">
        <f>E20=SUM(F20:O20)</f>
        <v>1</v>
      </c>
      <c r="R20" s="24"/>
      <c r="S20" s="24"/>
      <c r="T20" s="25"/>
      <c r="U20" s="25"/>
      <c r="V20" s="25"/>
      <c r="W20" s="25"/>
      <c r="X20" s="25"/>
    </row>
    <row r="21" spans="1:24" s="26" customFormat="1" ht="39.950000000000003" customHeight="1" x14ac:dyDescent="0.25">
      <c r="A21" s="89" t="s">
        <v>38</v>
      </c>
      <c r="B21" s="55">
        <f>B13+B17</f>
        <v>6</v>
      </c>
      <c r="C21" s="48">
        <f t="shared" si="2"/>
        <v>33035968.739999998</v>
      </c>
      <c r="D21" s="60">
        <f t="shared" si="2"/>
        <v>14106131.689999999</v>
      </c>
      <c r="E21" s="47">
        <f t="shared" si="2"/>
        <v>18929837.049999997</v>
      </c>
      <c r="F21" s="64">
        <f t="shared" si="2"/>
        <v>0</v>
      </c>
      <c r="G21" s="48">
        <f t="shared" si="2"/>
        <v>0</v>
      </c>
      <c r="H21" s="48">
        <f t="shared" si="2"/>
        <v>4124460.83</v>
      </c>
      <c r="I21" s="48">
        <f t="shared" si="2"/>
        <v>10008664.99</v>
      </c>
      <c r="J21" s="48">
        <f t="shared" si="2"/>
        <v>4796711.2300000004</v>
      </c>
      <c r="K21" s="48">
        <f t="shared" si="2"/>
        <v>0</v>
      </c>
      <c r="L21" s="48">
        <f t="shared" si="2"/>
        <v>0</v>
      </c>
      <c r="M21" s="48">
        <f t="shared" si="2"/>
        <v>0</v>
      </c>
      <c r="N21" s="48">
        <f t="shared" si="2"/>
        <v>0</v>
      </c>
      <c r="O21" s="48">
        <f t="shared" ca="1" si="2"/>
        <v>0</v>
      </c>
      <c r="P21" s="20" t="b">
        <f t="shared" si="0"/>
        <v>1</v>
      </c>
      <c r="Q21" s="42" t="b">
        <f t="shared" ref="Q21:Q22" ca="1" si="3">E21=SUM(F21:O21)</f>
        <v>1</v>
      </c>
      <c r="R21" s="24"/>
      <c r="S21" s="24"/>
      <c r="T21" s="25"/>
      <c r="U21" s="25"/>
      <c r="V21" s="25"/>
      <c r="W21" s="25"/>
      <c r="X21" s="25"/>
    </row>
    <row r="22" spans="1:24" s="26" customFormat="1" ht="39.950000000000003" customHeight="1" x14ac:dyDescent="0.25">
      <c r="A22" s="90" t="s">
        <v>39</v>
      </c>
      <c r="B22" s="56">
        <f>B14+B18</f>
        <v>28</v>
      </c>
      <c r="C22" s="50">
        <f t="shared" si="2"/>
        <v>58333620.530000001</v>
      </c>
      <c r="D22" s="61">
        <f t="shared" si="2"/>
        <v>22012041.640000001</v>
      </c>
      <c r="E22" s="46">
        <f t="shared" si="2"/>
        <v>36321578.890000001</v>
      </c>
      <c r="F22" s="65">
        <f t="shared" si="2"/>
        <v>0</v>
      </c>
      <c r="G22" s="50">
        <f t="shared" si="2"/>
        <v>0</v>
      </c>
      <c r="H22" s="50">
        <f t="shared" si="2"/>
        <v>0</v>
      </c>
      <c r="I22" s="50">
        <f t="shared" si="2"/>
        <v>0</v>
      </c>
      <c r="J22" s="50">
        <f t="shared" si="2"/>
        <v>36321578.890000001</v>
      </c>
      <c r="K22" s="50">
        <f t="shared" si="2"/>
        <v>0</v>
      </c>
      <c r="L22" s="50">
        <f t="shared" si="2"/>
        <v>0</v>
      </c>
      <c r="M22" s="50">
        <f t="shared" si="2"/>
        <v>0</v>
      </c>
      <c r="N22" s="50">
        <f t="shared" si="2"/>
        <v>0</v>
      </c>
      <c r="O22" s="50">
        <f t="shared" ca="1" si="2"/>
        <v>0</v>
      </c>
      <c r="P22" s="20" t="b">
        <f t="shared" si="0"/>
        <v>1</v>
      </c>
      <c r="Q22" s="42" t="b">
        <f t="shared" ca="1" si="3"/>
        <v>1</v>
      </c>
      <c r="R22" s="24"/>
      <c r="S22" s="24"/>
      <c r="T22" s="25"/>
      <c r="U22" s="25"/>
      <c r="V22" s="25"/>
      <c r="W22" s="25"/>
      <c r="X22" s="25"/>
    </row>
    <row r="23" spans="1:24" s="26" customFormat="1" ht="39.950000000000003" customHeight="1" thickBot="1" x14ac:dyDescent="0.3">
      <c r="A23" s="91" t="s">
        <v>40</v>
      </c>
      <c r="B23" s="92">
        <f>B15+B19</f>
        <v>8</v>
      </c>
      <c r="C23" s="93">
        <f t="shared" ref="C23:O23" si="4">C15+C19</f>
        <v>47351266.639999993</v>
      </c>
      <c r="D23" s="94">
        <f t="shared" si="4"/>
        <v>16404553.070000002</v>
      </c>
      <c r="E23" s="82">
        <f>E15+E19</f>
        <v>30946713.570000004</v>
      </c>
      <c r="F23" s="95">
        <f t="shared" si="4"/>
        <v>0</v>
      </c>
      <c r="G23" s="93">
        <f>G15+G19</f>
        <v>0</v>
      </c>
      <c r="H23" s="93">
        <f>H15+H19</f>
        <v>0</v>
      </c>
      <c r="I23" s="93">
        <f t="shared" si="4"/>
        <v>0</v>
      </c>
      <c r="J23" s="93">
        <f t="shared" si="4"/>
        <v>14367615.629999997</v>
      </c>
      <c r="K23" s="93">
        <f t="shared" si="4"/>
        <v>16579097.939999999</v>
      </c>
      <c r="L23" s="93">
        <f t="shared" si="4"/>
        <v>0</v>
      </c>
      <c r="M23" s="93">
        <f t="shared" si="4"/>
        <v>0</v>
      </c>
      <c r="N23" s="93">
        <f t="shared" si="4"/>
        <v>0</v>
      </c>
      <c r="O23" s="93">
        <f t="shared" ca="1" si="4"/>
        <v>0</v>
      </c>
      <c r="P23" s="20" t="b">
        <f t="shared" ref="P23" si="5">C23=(D23+E23)</f>
        <v>1</v>
      </c>
      <c r="Q23" s="42" t="b">
        <f t="shared" ref="Q23" ca="1" si="6">E23=SUM(F23:O23)</f>
        <v>1</v>
      </c>
      <c r="R23" s="24"/>
      <c r="S23" s="24"/>
      <c r="T23" s="25"/>
      <c r="U23" s="25"/>
      <c r="V23" s="25"/>
      <c r="W23" s="25"/>
      <c r="X23" s="25"/>
    </row>
    <row r="24" spans="1:24" ht="39.950000000000003" customHeight="1" thickTop="1" x14ac:dyDescent="0.25">
      <c r="A24" s="73" t="s">
        <v>2</v>
      </c>
      <c r="B24" s="74">
        <f>COUNTA('pow rez'!H3:H3)</f>
        <v>0</v>
      </c>
      <c r="C24" s="75">
        <f>SUM('pow rez'!J3:J3)</f>
        <v>0</v>
      </c>
      <c r="D24" s="76">
        <f>SUM('pow rez'!L3:L3)</f>
        <v>0</v>
      </c>
      <c r="E24" s="77">
        <f>SUM('pow rez'!K3:K3)</f>
        <v>0</v>
      </c>
      <c r="F24" s="78">
        <f>SUM('pow rez'!N3:N3)</f>
        <v>0</v>
      </c>
      <c r="G24" s="78">
        <f>SUM('pow rez'!O3:O3)</f>
        <v>0</v>
      </c>
      <c r="H24" s="78">
        <f>SUM('pow rez'!P3:P3)</f>
        <v>0</v>
      </c>
      <c r="I24" s="78">
        <f>SUM('pow rez'!Q3:Q3)</f>
        <v>0</v>
      </c>
      <c r="J24" s="78">
        <f>SUM('pow rez'!R3:R3)</f>
        <v>0</v>
      </c>
      <c r="K24" s="78">
        <f>SUM('pow rez'!S3:S3)</f>
        <v>0</v>
      </c>
      <c r="L24" s="78">
        <f>SUM('pow rez'!T3:T3)</f>
        <v>0</v>
      </c>
      <c r="M24" s="78">
        <f>SUM('pow rez'!U3:U3)</f>
        <v>0</v>
      </c>
      <c r="N24" s="78">
        <f>SUM('pow rez'!V3:V3)</f>
        <v>0</v>
      </c>
      <c r="O24" s="78">
        <f>SUM('pow rez'!W3:W3)</f>
        <v>0</v>
      </c>
      <c r="P24" s="20" t="b">
        <f t="shared" ref="P24:P35" si="7">C24=(D24+E24)</f>
        <v>1</v>
      </c>
      <c r="Q24" s="42" t="b">
        <f t="shared" ref="Q24:Q35" si="8">E24=SUM(F24:O24)</f>
        <v>1</v>
      </c>
      <c r="R24" s="21"/>
      <c r="S24" s="21"/>
      <c r="T24" s="22"/>
      <c r="U24" s="22"/>
      <c r="V24" s="22"/>
      <c r="W24" s="22"/>
      <c r="X24" s="22"/>
    </row>
    <row r="25" spans="1:24" ht="39.950000000000003" customHeight="1" x14ac:dyDescent="0.25">
      <c r="A25" s="80" t="s">
        <v>39</v>
      </c>
      <c r="B25" s="123">
        <f>COUNTIF('pow rez'!C3:C3,"N")</f>
        <v>0</v>
      </c>
      <c r="C25" s="124">
        <f>SUMIF('pow rez'!C3:C3,"N",'pow rez'!J3:J3)</f>
        <v>0</v>
      </c>
      <c r="D25" s="125">
        <f>SUMIF('pow rez'!C3:C3,"N",'pow rez'!L3:L3)</f>
        <v>0</v>
      </c>
      <c r="E25" s="46">
        <f>SUMIF('pow rez'!C3:C3,"N",'pow rez'!K3:K3)</f>
        <v>0</v>
      </c>
      <c r="F25" s="130">
        <f>SUMIF('pow rez'!C3:C3,"N",'pow rez'!N3:N3)</f>
        <v>0</v>
      </c>
      <c r="G25" s="130">
        <f>SUMIF('pow rez'!C3:C3,"N",'pow rez'!O3:O3)</f>
        <v>0</v>
      </c>
      <c r="H25" s="130">
        <f>SUMIF('pow rez'!C3:C3,"N",'pow rez'!P3:P3)</f>
        <v>0</v>
      </c>
      <c r="I25" s="130">
        <f>SUMIF('pow rez'!C3:C3,"N",'pow rez'!Q3:Q3)</f>
        <v>0</v>
      </c>
      <c r="J25" s="130">
        <f>SUMIF('pow rez'!C3:C3,"N",'pow rez'!R3:R3)</f>
        <v>0</v>
      </c>
      <c r="K25" s="130">
        <f>SUMIF('pow rez'!C3:C3,"N",'pow rez'!S3:S3)</f>
        <v>0</v>
      </c>
      <c r="L25" s="130">
        <f>SUMIF('pow rez'!C3:C3,"N",'pow rez'!T3:T3)</f>
        <v>0</v>
      </c>
      <c r="M25" s="130">
        <f>SUMIF('pow rez'!C3:C3,"N",'pow rez'!U3:U3)</f>
        <v>0</v>
      </c>
      <c r="N25" s="130">
        <f>SUMIF('pow rez'!C3:C3,"N",'pow rez'!V3:V3)</f>
        <v>0</v>
      </c>
      <c r="O25" s="130">
        <f>SUMIF('pow rez'!C3:C3,"N",'pow rez'!W3:W3)</f>
        <v>0</v>
      </c>
      <c r="P25" s="20" t="b">
        <f t="shared" si="7"/>
        <v>1</v>
      </c>
      <c r="Q25" s="42" t="b">
        <f t="shared" si="8"/>
        <v>1</v>
      </c>
      <c r="R25" s="21"/>
      <c r="S25" s="21"/>
      <c r="T25" s="22"/>
      <c r="U25" s="22"/>
      <c r="V25" s="22"/>
      <c r="W25" s="22"/>
      <c r="X25" s="22"/>
    </row>
    <row r="26" spans="1:24" ht="39.950000000000003" customHeight="1" thickBot="1" x14ac:dyDescent="0.3">
      <c r="A26" s="81" t="s">
        <v>40</v>
      </c>
      <c r="B26" s="126">
        <f>COUNTIF('pow rez'!C3:C3,"W")</f>
        <v>0</v>
      </c>
      <c r="C26" s="127">
        <f>SUMIF('pow rez'!C3:C3,"W",'pow rez'!J3:J3)</f>
        <v>0</v>
      </c>
      <c r="D26" s="128">
        <f>SUMIF('pow rez'!C3:C3,"W",'pow rez'!L3:L3)</f>
        <v>0</v>
      </c>
      <c r="E26" s="82">
        <f>SUMIF('pow rez'!C3:C3,"W",'pow rez'!K3:K3)</f>
        <v>0</v>
      </c>
      <c r="F26" s="131">
        <f>SUMIF('pow rez'!C3:C3,"W",'pow rez'!N3:N3)</f>
        <v>0</v>
      </c>
      <c r="G26" s="131">
        <f>SUMIF('pow rez'!C3:C3,"W",'pow rez'!O3:O3)</f>
        <v>0</v>
      </c>
      <c r="H26" s="131">
        <f>SUMIF('pow rez'!C3:C3,"W",'pow rez'!P3:P3)</f>
        <v>0</v>
      </c>
      <c r="I26" s="131">
        <f>SUMIF('pow rez'!C3:C3,"W",'pow rez'!Q3:Q3)</f>
        <v>0</v>
      </c>
      <c r="J26" s="131">
        <f>SUMIF('pow rez'!C3:C3,"W",'pow rez'!R3:R3)</f>
        <v>0</v>
      </c>
      <c r="K26" s="131">
        <f>SUMIF('pow rez'!C3:C3,"W",'pow rez'!S3:S3)</f>
        <v>0</v>
      </c>
      <c r="L26" s="131">
        <f>SUMIF('pow rez'!C3:C3,"W",'pow rez'!T3:T3)</f>
        <v>0</v>
      </c>
      <c r="M26" s="131">
        <f>SUMIF('pow rez'!C3:C3,"W",'pow rez'!U3:U3)</f>
        <v>0</v>
      </c>
      <c r="N26" s="131">
        <f>SUMIF('pow rez'!C3:C3,"W",'pow rez'!V3:V3)</f>
        <v>0</v>
      </c>
      <c r="O26" s="131">
        <f>SUMIF('pow rez'!C3:C3,"W",'pow rez'!W3:W3)</f>
        <v>0</v>
      </c>
      <c r="P26" s="20" t="b">
        <f t="shared" si="7"/>
        <v>1</v>
      </c>
      <c r="Q26" s="42" t="b">
        <f t="shared" si="8"/>
        <v>1</v>
      </c>
      <c r="R26" s="21"/>
      <c r="S26" s="21"/>
      <c r="T26" s="22"/>
      <c r="U26" s="22"/>
      <c r="V26" s="22"/>
      <c r="W26" s="22"/>
      <c r="X26" s="22"/>
    </row>
    <row r="27" spans="1:24" ht="39.950000000000003" customHeight="1" thickTop="1" x14ac:dyDescent="0.25">
      <c r="A27" s="73" t="s">
        <v>3</v>
      </c>
      <c r="B27" s="74">
        <f>COUNTA('gm rez'!H3:H37)</f>
        <v>35</v>
      </c>
      <c r="C27" s="75">
        <f>SUM('gm rez'!K3:K37)</f>
        <v>75622299.730000004</v>
      </c>
      <c r="D27" s="76">
        <f>SUM('gm rez'!M3:M37)</f>
        <v>23653152.920000002</v>
      </c>
      <c r="E27" s="77">
        <f>SUM('gm rez'!L3:L37)</f>
        <v>51969146.810000002</v>
      </c>
      <c r="F27" s="78">
        <f>SUM('gm rez'!O3:O37)</f>
        <v>0</v>
      </c>
      <c r="G27" s="78">
        <f>SUM('gm rez'!P3:P37)</f>
        <v>0</v>
      </c>
      <c r="H27" s="78">
        <f>SUM('gm rez'!Q3:Q37)</f>
        <v>0</v>
      </c>
      <c r="I27" s="78">
        <f>SUM('gm rez'!R3:R37)</f>
        <v>0</v>
      </c>
      <c r="J27" s="78">
        <f>SUM('gm rez'!S3:S37)</f>
        <v>41385361.010000013</v>
      </c>
      <c r="K27" s="78">
        <f>SUM('gm rez'!T3:T37)</f>
        <v>10583785.800000001</v>
      </c>
      <c r="L27" s="78">
        <f>SUM('gm rez'!U3:U37)</f>
        <v>0</v>
      </c>
      <c r="M27" s="78">
        <f>SUM('gm rez'!V3:V37)</f>
        <v>0</v>
      </c>
      <c r="N27" s="78">
        <f>SUM('gm rez'!W3:W37)</f>
        <v>0</v>
      </c>
      <c r="O27" s="78">
        <f>SUM('gm rez'!X3:X37)</f>
        <v>0</v>
      </c>
      <c r="P27" s="20" t="b">
        <f t="shared" si="7"/>
        <v>1</v>
      </c>
      <c r="Q27" s="42" t="b">
        <f t="shared" si="8"/>
        <v>1</v>
      </c>
      <c r="R27" s="27"/>
      <c r="S27" s="27"/>
      <c r="T27" s="28"/>
      <c r="U27" s="28"/>
      <c r="V27" s="23"/>
      <c r="W27" s="12"/>
      <c r="X27" s="12"/>
    </row>
    <row r="28" spans="1:24" ht="39.950000000000003" customHeight="1" x14ac:dyDescent="0.25">
      <c r="A28" s="80" t="s">
        <v>39</v>
      </c>
      <c r="B28" s="123">
        <f>COUNTIF('gm rez'!C3:C37,"N")</f>
        <v>29</v>
      </c>
      <c r="C28" s="124">
        <f>SUMIF('gm rez'!C3:C37,"N",'gm rez'!K3:K37)</f>
        <v>51013931.939999998</v>
      </c>
      <c r="D28" s="125">
        <f>SUMIF('gm rez'!C3:C37,"N",'gm rez'!M3:M37)</f>
        <v>15793131.700000001</v>
      </c>
      <c r="E28" s="46">
        <f>SUMIF('gm rez'!C3:C37,"N",'gm rez'!L3:L37)</f>
        <v>35220800.240000017</v>
      </c>
      <c r="F28" s="130">
        <f>SUMIF('gm rez'!C3:C37,"N",'gm rez'!O3:O37)</f>
        <v>0</v>
      </c>
      <c r="G28" s="130">
        <f>SUMIF('gm rez'!C3:C37,"N",'gm rez'!P3:P37)</f>
        <v>0</v>
      </c>
      <c r="H28" s="130">
        <f>SUMIF('gm rez'!C3:C37,"N",'gm rez'!Q3:Q37)</f>
        <v>0</v>
      </c>
      <c r="I28" s="130">
        <f>SUMIF('gm rez'!C3:C37,"N",'gm rez'!R3:R37)</f>
        <v>0</v>
      </c>
      <c r="J28" s="130">
        <f>SUMIF('gm rez'!C3:C37,"N",'gm rez'!S3:S37)</f>
        <v>35220800.240000017</v>
      </c>
      <c r="K28" s="130">
        <f>SUMIF('gm rez'!C3:C37,"N",'gm rez'!T3:T37)</f>
        <v>0</v>
      </c>
      <c r="L28" s="130">
        <f>SUMIF('gm rez'!C3:C37,"N",'gm rez'!U3:U37)</f>
        <v>0</v>
      </c>
      <c r="M28" s="130">
        <f>SUMIF('gm rez'!C3:C37,"N",'gm rez'!V3:V37)</f>
        <v>0</v>
      </c>
      <c r="N28" s="130">
        <f>SUMIF('gm rez'!C3:C37,"N",'gm rez'!W3:W37)</f>
        <v>0</v>
      </c>
      <c r="O28" s="130">
        <f>SUMIF('gm rez'!C3:C37,"N",'gm rez'!X3:X37)</f>
        <v>0</v>
      </c>
      <c r="P28" s="20" t="b">
        <f t="shared" si="7"/>
        <v>1</v>
      </c>
      <c r="Q28" s="42" t="b">
        <f t="shared" si="8"/>
        <v>1</v>
      </c>
      <c r="R28" s="27"/>
      <c r="S28" s="27"/>
      <c r="T28" s="28"/>
      <c r="U28" s="28"/>
      <c r="V28" s="23"/>
      <c r="W28" s="12"/>
      <c r="X28" s="12"/>
    </row>
    <row r="29" spans="1:24" ht="39.950000000000003" customHeight="1" thickBot="1" x14ac:dyDescent="0.3">
      <c r="A29" s="81" t="s">
        <v>40</v>
      </c>
      <c r="B29" s="126">
        <f>COUNTIF('gm rez'!C3:C37,"W")</f>
        <v>6</v>
      </c>
      <c r="C29" s="127">
        <f>SUMIF('gm rez'!C3:C37,"W",'gm rez'!K3:K37)</f>
        <v>24608367.790000003</v>
      </c>
      <c r="D29" s="128">
        <f>SUMIF('gm rez'!C3:C37,"W",'gm rez'!M3:M37)</f>
        <v>7860021.2200000007</v>
      </c>
      <c r="E29" s="82">
        <f>SUMIF('gm rez'!C3:C37,"W",'gm rez'!L3:L37)</f>
        <v>16748346.57</v>
      </c>
      <c r="F29" s="131">
        <f>SUMIF('gm rez'!C3:C37,"W",'gm rez'!O3:O37)</f>
        <v>0</v>
      </c>
      <c r="G29" s="131">
        <f>SUMIF('gm rez'!C3:C37,"W",'gm rez'!P3:P37)</f>
        <v>0</v>
      </c>
      <c r="H29" s="131">
        <f>SUMIF('gm rez'!C3:C37,"W",'gm rez'!Q3:Q37)</f>
        <v>0</v>
      </c>
      <c r="I29" s="131">
        <f>SUMIF('gm rez'!C3:C37,"W",'gm rez'!R3:R37)</f>
        <v>0</v>
      </c>
      <c r="J29" s="131">
        <f>SUMIF('gm rez'!C3:C37,"W",'gm rez'!S3:S37)</f>
        <v>6164560.7699999996</v>
      </c>
      <c r="K29" s="131">
        <f>SUMIF('gm rez'!C3:C37,"W",'gm rez'!T3:T37)</f>
        <v>10583785.800000001</v>
      </c>
      <c r="L29" s="131">
        <f>SUMIF('gm rez'!C3:C37,"W",'gm rez'!U3:U37)</f>
        <v>0</v>
      </c>
      <c r="M29" s="131">
        <f>SUMIF('gm rez'!C3:C37,"W",'gm rez'!V3:V37)</f>
        <v>0</v>
      </c>
      <c r="N29" s="131">
        <f>SUMIF('gm rez'!C3:C37,"W",'gm rez'!W3:W37)</f>
        <v>0</v>
      </c>
      <c r="O29" s="131">
        <f>SUMIF('gm rez'!C3:C37,"W",'gm rez'!X3:X37)</f>
        <v>0</v>
      </c>
      <c r="P29" s="20" t="b">
        <f t="shared" si="7"/>
        <v>1</v>
      </c>
      <c r="Q29" s="42" t="b">
        <f t="shared" si="8"/>
        <v>1</v>
      </c>
      <c r="R29" s="27"/>
      <c r="S29" s="27"/>
      <c r="T29" s="28"/>
      <c r="U29" s="28"/>
      <c r="V29" s="23"/>
      <c r="W29" s="12"/>
      <c r="X29" s="12"/>
    </row>
    <row r="30" spans="1:24" ht="39.950000000000003" customHeight="1" thickTop="1" x14ac:dyDescent="0.25">
      <c r="A30" s="96" t="s">
        <v>22</v>
      </c>
      <c r="B30" s="97">
        <f>B24+B27</f>
        <v>35</v>
      </c>
      <c r="C30" s="98">
        <f>C24+C27</f>
        <v>75622299.730000004</v>
      </c>
      <c r="D30" s="99">
        <f t="shared" ref="D30:O30" si="9">D24+D27</f>
        <v>23653152.920000002</v>
      </c>
      <c r="E30" s="72">
        <f t="shared" si="9"/>
        <v>51969146.810000002</v>
      </c>
      <c r="F30" s="100">
        <f t="shared" si="9"/>
        <v>0</v>
      </c>
      <c r="G30" s="98">
        <f t="shared" si="9"/>
        <v>0</v>
      </c>
      <c r="H30" s="98">
        <f t="shared" si="9"/>
        <v>0</v>
      </c>
      <c r="I30" s="98">
        <f t="shared" si="9"/>
        <v>0</v>
      </c>
      <c r="J30" s="98">
        <f t="shared" si="9"/>
        <v>41385361.010000013</v>
      </c>
      <c r="K30" s="98">
        <f t="shared" si="9"/>
        <v>10583785.800000001</v>
      </c>
      <c r="L30" s="98">
        <f t="shared" si="9"/>
        <v>0</v>
      </c>
      <c r="M30" s="98">
        <f t="shared" si="9"/>
        <v>0</v>
      </c>
      <c r="N30" s="98">
        <f t="shared" si="9"/>
        <v>0</v>
      </c>
      <c r="O30" s="101">
        <f t="shared" si="9"/>
        <v>0</v>
      </c>
      <c r="P30" s="20" t="b">
        <f t="shared" si="7"/>
        <v>1</v>
      </c>
      <c r="Q30" s="42" t="b">
        <f t="shared" si="8"/>
        <v>1</v>
      </c>
      <c r="R30" s="29"/>
      <c r="S30" s="29"/>
      <c r="T30" s="2"/>
      <c r="U30" s="2"/>
    </row>
    <row r="31" spans="1:24" ht="39.950000000000003" customHeight="1" x14ac:dyDescent="0.25">
      <c r="A31" s="59" t="s">
        <v>39</v>
      </c>
      <c r="B31" s="57">
        <f t="shared" ref="B31:O31" si="10">B25+B28</f>
        <v>29</v>
      </c>
      <c r="C31" s="49">
        <f t="shared" si="10"/>
        <v>51013931.939999998</v>
      </c>
      <c r="D31" s="62">
        <f t="shared" si="10"/>
        <v>15793131.700000001</v>
      </c>
      <c r="E31" s="46">
        <f t="shared" si="10"/>
        <v>35220800.240000017</v>
      </c>
      <c r="F31" s="66">
        <f t="shared" si="10"/>
        <v>0</v>
      </c>
      <c r="G31" s="49">
        <f t="shared" si="10"/>
        <v>0</v>
      </c>
      <c r="H31" s="49">
        <f t="shared" si="10"/>
        <v>0</v>
      </c>
      <c r="I31" s="49">
        <f t="shared" si="10"/>
        <v>0</v>
      </c>
      <c r="J31" s="49">
        <f t="shared" si="10"/>
        <v>35220800.240000017</v>
      </c>
      <c r="K31" s="49">
        <f t="shared" si="10"/>
        <v>0</v>
      </c>
      <c r="L31" s="49">
        <f t="shared" si="10"/>
        <v>0</v>
      </c>
      <c r="M31" s="49">
        <f t="shared" si="10"/>
        <v>0</v>
      </c>
      <c r="N31" s="49">
        <f t="shared" si="10"/>
        <v>0</v>
      </c>
      <c r="O31" s="54">
        <f t="shared" si="10"/>
        <v>0</v>
      </c>
      <c r="P31" s="20" t="b">
        <f t="shared" si="7"/>
        <v>1</v>
      </c>
      <c r="Q31" s="42" t="b">
        <f t="shared" si="8"/>
        <v>1</v>
      </c>
      <c r="R31" s="29"/>
      <c r="S31" s="29"/>
      <c r="T31" s="2"/>
      <c r="U31" s="2"/>
    </row>
    <row r="32" spans="1:24" ht="39.950000000000003" customHeight="1" thickBot="1" x14ac:dyDescent="0.3">
      <c r="A32" s="102" t="s">
        <v>40</v>
      </c>
      <c r="B32" s="103">
        <f t="shared" ref="B32:O32" si="11">B26+B29</f>
        <v>6</v>
      </c>
      <c r="C32" s="104">
        <f t="shared" si="11"/>
        <v>24608367.790000003</v>
      </c>
      <c r="D32" s="105">
        <f t="shared" si="11"/>
        <v>7860021.2200000007</v>
      </c>
      <c r="E32" s="106">
        <f t="shared" si="11"/>
        <v>16748346.57</v>
      </c>
      <c r="F32" s="107">
        <f t="shared" si="11"/>
        <v>0</v>
      </c>
      <c r="G32" s="104">
        <f t="shared" si="11"/>
        <v>0</v>
      </c>
      <c r="H32" s="104">
        <f t="shared" si="11"/>
        <v>0</v>
      </c>
      <c r="I32" s="104">
        <f t="shared" si="11"/>
        <v>0</v>
      </c>
      <c r="J32" s="104">
        <f t="shared" si="11"/>
        <v>6164560.7699999996</v>
      </c>
      <c r="K32" s="104">
        <f t="shared" si="11"/>
        <v>10583785.800000001</v>
      </c>
      <c r="L32" s="104">
        <f t="shared" si="11"/>
        <v>0</v>
      </c>
      <c r="M32" s="104">
        <f t="shared" si="11"/>
        <v>0</v>
      </c>
      <c r="N32" s="104">
        <f t="shared" si="11"/>
        <v>0</v>
      </c>
      <c r="O32" s="108">
        <f t="shared" si="11"/>
        <v>0</v>
      </c>
      <c r="P32" s="20" t="b">
        <f t="shared" si="7"/>
        <v>1</v>
      </c>
      <c r="Q32" s="42" t="b">
        <f t="shared" si="8"/>
        <v>1</v>
      </c>
      <c r="R32" s="29"/>
      <c r="S32" s="29"/>
      <c r="T32" s="2"/>
      <c r="U32" s="2"/>
    </row>
    <row r="33" spans="1:21" ht="39.950000000000003" customHeight="1" thickTop="1" x14ac:dyDescent="0.25">
      <c r="A33" s="109" t="s">
        <v>34</v>
      </c>
      <c r="B33" s="110">
        <f>B20+B30</f>
        <v>77</v>
      </c>
      <c r="C33" s="111">
        <f>C20+C30</f>
        <v>214343155.63999999</v>
      </c>
      <c r="D33" s="112">
        <f t="shared" ref="D33:O33" si="12">D20+D30</f>
        <v>76175879.320000008</v>
      </c>
      <c r="E33" s="113">
        <f>E20+E30</f>
        <v>138167276.32000002</v>
      </c>
      <c r="F33" s="114">
        <f>F20+F30</f>
        <v>0</v>
      </c>
      <c r="G33" s="142">
        <f t="shared" ref="G33:I33" si="13">G20+G30</f>
        <v>0</v>
      </c>
      <c r="H33" s="142">
        <f t="shared" si="13"/>
        <v>4124460.83</v>
      </c>
      <c r="I33" s="142">
        <f t="shared" si="13"/>
        <v>10008664.99</v>
      </c>
      <c r="J33" s="111">
        <f t="shared" si="12"/>
        <v>96871266.76000002</v>
      </c>
      <c r="K33" s="111">
        <f t="shared" si="12"/>
        <v>27162883.740000002</v>
      </c>
      <c r="L33" s="111">
        <f t="shared" si="12"/>
        <v>0</v>
      </c>
      <c r="M33" s="111">
        <f t="shared" si="12"/>
        <v>0</v>
      </c>
      <c r="N33" s="111">
        <f t="shared" si="12"/>
        <v>0</v>
      </c>
      <c r="O33" s="115">
        <f t="shared" si="12"/>
        <v>0</v>
      </c>
      <c r="P33" s="20" t="b">
        <f t="shared" si="7"/>
        <v>1</v>
      </c>
      <c r="Q33" s="42" t="b">
        <f t="shared" si="8"/>
        <v>1</v>
      </c>
      <c r="R33" s="29"/>
      <c r="S33" s="29"/>
      <c r="T33" s="2"/>
      <c r="U33" s="2"/>
    </row>
    <row r="34" spans="1:21" ht="39.950000000000003" customHeight="1" x14ac:dyDescent="0.25">
      <c r="A34" s="116" t="s">
        <v>39</v>
      </c>
      <c r="B34" s="58">
        <f>B22+B31</f>
        <v>57</v>
      </c>
      <c r="C34" s="141">
        <f t="shared" ref="C34:D34" si="14">C22+C31</f>
        <v>109347552.47</v>
      </c>
      <c r="D34" s="141">
        <f t="shared" si="14"/>
        <v>37805173.340000004</v>
      </c>
      <c r="E34" s="68">
        <f>E22+E31</f>
        <v>71542379.130000025</v>
      </c>
      <c r="F34" s="67">
        <f>F22+F31</f>
        <v>0</v>
      </c>
      <c r="G34" s="141">
        <f t="shared" ref="G34:O34" si="15">G22+G31</f>
        <v>0</v>
      </c>
      <c r="H34" s="141">
        <f t="shared" si="15"/>
        <v>0</v>
      </c>
      <c r="I34" s="141">
        <f t="shared" si="15"/>
        <v>0</v>
      </c>
      <c r="J34" s="141">
        <f t="shared" si="15"/>
        <v>71542379.130000025</v>
      </c>
      <c r="K34" s="141">
        <f t="shared" si="15"/>
        <v>0</v>
      </c>
      <c r="L34" s="141">
        <f t="shared" si="15"/>
        <v>0</v>
      </c>
      <c r="M34" s="141">
        <f t="shared" si="15"/>
        <v>0</v>
      </c>
      <c r="N34" s="141">
        <f t="shared" si="15"/>
        <v>0</v>
      </c>
      <c r="O34" s="141">
        <f t="shared" ca="1" si="15"/>
        <v>0</v>
      </c>
      <c r="P34" s="20" t="b">
        <f t="shared" si="7"/>
        <v>1</v>
      </c>
      <c r="Q34" s="42" t="b">
        <f t="shared" ca="1" si="8"/>
        <v>1</v>
      </c>
      <c r="R34" s="29"/>
      <c r="S34" s="29"/>
      <c r="T34" s="2"/>
      <c r="U34" s="2"/>
    </row>
    <row r="35" spans="1:21" ht="39.950000000000003" customHeight="1" thickBot="1" x14ac:dyDescent="0.3">
      <c r="A35" s="117" t="s">
        <v>40</v>
      </c>
      <c r="B35" s="118">
        <f>B23+B32</f>
        <v>14</v>
      </c>
      <c r="C35" s="143">
        <f t="shared" ref="C35:D35" si="16">C23+C32</f>
        <v>71959634.429999992</v>
      </c>
      <c r="D35" s="143">
        <f t="shared" si="16"/>
        <v>24264574.290000003</v>
      </c>
      <c r="E35" s="82">
        <f>E23+E32</f>
        <v>47695060.140000001</v>
      </c>
      <c r="F35" s="119">
        <f>F23+F32</f>
        <v>0</v>
      </c>
      <c r="G35" s="143">
        <f t="shared" ref="G35:O35" si="17">G23+G32</f>
        <v>0</v>
      </c>
      <c r="H35" s="143">
        <f t="shared" si="17"/>
        <v>0</v>
      </c>
      <c r="I35" s="143">
        <f t="shared" si="17"/>
        <v>0</v>
      </c>
      <c r="J35" s="143">
        <f t="shared" si="17"/>
        <v>20532176.399999999</v>
      </c>
      <c r="K35" s="143">
        <f t="shared" si="17"/>
        <v>27162883.740000002</v>
      </c>
      <c r="L35" s="143">
        <f t="shared" si="17"/>
        <v>0</v>
      </c>
      <c r="M35" s="143">
        <f t="shared" si="17"/>
        <v>0</v>
      </c>
      <c r="N35" s="143">
        <f t="shared" si="17"/>
        <v>0</v>
      </c>
      <c r="O35" s="143">
        <f t="shared" ca="1" si="17"/>
        <v>0</v>
      </c>
      <c r="P35" s="20" t="b">
        <f t="shared" si="7"/>
        <v>1</v>
      </c>
      <c r="Q35" s="42" t="b">
        <f t="shared" ca="1" si="8"/>
        <v>1</v>
      </c>
      <c r="R35" s="29"/>
      <c r="S35" s="29"/>
      <c r="T35" s="2"/>
      <c r="U35" s="2"/>
    </row>
    <row r="36" spans="1:21" ht="15.75" thickTop="1" x14ac:dyDescent="0.25">
      <c r="A36" s="30"/>
      <c r="B36" s="30"/>
      <c r="C36" s="30"/>
      <c r="D36" s="30"/>
      <c r="E36" s="30"/>
      <c r="F36" s="30"/>
      <c r="G36" s="30"/>
      <c r="H36" s="30"/>
      <c r="I36" s="30"/>
      <c r="J36" s="30"/>
      <c r="K36" s="30"/>
      <c r="L36" s="30"/>
      <c r="M36" s="30"/>
      <c r="N36" s="30"/>
      <c r="O36" s="30"/>
      <c r="P36" s="30"/>
      <c r="Q36" s="30"/>
      <c r="R36" s="29"/>
      <c r="S36" s="29"/>
      <c r="T36" s="2"/>
      <c r="U36" s="2"/>
    </row>
    <row r="37" spans="1:21" x14ac:dyDescent="0.25">
      <c r="A37" s="30"/>
      <c r="B37" s="30"/>
      <c r="C37" s="30"/>
      <c r="D37" s="30"/>
      <c r="E37" s="30"/>
      <c r="F37" s="30"/>
      <c r="G37" s="30"/>
      <c r="H37" s="30"/>
      <c r="I37" s="30"/>
      <c r="J37" s="30"/>
      <c r="K37" s="30"/>
      <c r="L37" s="30"/>
      <c r="M37" s="30"/>
      <c r="N37" s="30"/>
      <c r="O37" s="30"/>
      <c r="P37" s="30"/>
      <c r="Q37" s="30"/>
      <c r="R37" s="29"/>
      <c r="S37" s="29"/>
      <c r="T37" s="2"/>
      <c r="U37" s="2"/>
    </row>
    <row r="38" spans="1:21" x14ac:dyDescent="0.25">
      <c r="A38" s="30"/>
      <c r="B38" s="30"/>
      <c r="C38" s="30"/>
      <c r="D38" s="30"/>
      <c r="E38" s="30"/>
      <c r="F38" s="30"/>
      <c r="G38" s="30"/>
      <c r="H38" s="30"/>
      <c r="I38" s="30"/>
      <c r="J38" s="30"/>
      <c r="K38" s="30"/>
      <c r="L38" s="30"/>
      <c r="M38" s="30"/>
      <c r="N38" s="30"/>
      <c r="O38" s="30"/>
      <c r="P38" s="30"/>
      <c r="Q38" s="30"/>
      <c r="R38" s="29"/>
      <c r="S38" s="29"/>
      <c r="T38" s="2"/>
      <c r="U38" s="2"/>
    </row>
    <row r="39" spans="1:21" x14ac:dyDescent="0.25">
      <c r="A39" s="30"/>
      <c r="B39" s="30"/>
      <c r="C39" s="30"/>
      <c r="D39" s="30"/>
      <c r="E39" s="30"/>
      <c r="F39" s="30"/>
      <c r="G39" s="30"/>
      <c r="H39" s="30"/>
      <c r="I39" s="30"/>
      <c r="J39" s="30"/>
      <c r="K39" s="30"/>
      <c r="L39" s="30"/>
      <c r="M39" s="30"/>
      <c r="N39" s="30"/>
      <c r="O39" s="30"/>
      <c r="P39" s="30"/>
      <c r="Q39" s="30"/>
      <c r="R39" s="29"/>
      <c r="S39" s="29"/>
      <c r="T39" s="2"/>
      <c r="U39" s="2"/>
    </row>
    <row r="40" spans="1:21" x14ac:dyDescent="0.25">
      <c r="A40" s="31"/>
      <c r="B40" s="31"/>
      <c r="C40" s="31"/>
      <c r="D40" s="31"/>
      <c r="E40" s="31"/>
      <c r="F40" s="31"/>
      <c r="G40" s="31"/>
      <c r="H40" s="31"/>
      <c r="I40" s="31"/>
      <c r="J40" s="31"/>
      <c r="K40" s="31"/>
      <c r="L40" s="31"/>
      <c r="M40" s="31"/>
      <c r="N40" s="31"/>
      <c r="O40" s="31"/>
      <c r="P40" s="31"/>
      <c r="Q40" s="31"/>
      <c r="R40" s="2"/>
      <c r="S40" s="2"/>
      <c r="T40" s="2"/>
      <c r="U40" s="2"/>
    </row>
    <row r="41" spans="1:21" x14ac:dyDescent="0.25">
      <c r="A41" s="31"/>
      <c r="B41" s="31"/>
      <c r="C41" s="31"/>
      <c r="D41" s="31"/>
      <c r="E41" s="31"/>
      <c r="F41" s="31"/>
      <c r="G41" s="31"/>
      <c r="H41" s="31"/>
      <c r="I41" s="31"/>
      <c r="J41" s="31"/>
      <c r="K41" s="31"/>
      <c r="L41" s="31"/>
      <c r="M41" s="31"/>
      <c r="N41" s="31"/>
      <c r="O41" s="31"/>
      <c r="P41" s="31"/>
      <c r="Q41" s="31"/>
      <c r="R41" s="2"/>
      <c r="S41" s="2"/>
      <c r="T41" s="2"/>
      <c r="U41" s="2"/>
    </row>
    <row r="42" spans="1:21" x14ac:dyDescent="0.25">
      <c r="A42" s="31"/>
      <c r="B42" s="31"/>
      <c r="C42" s="31"/>
      <c r="D42" s="31"/>
      <c r="E42" s="31"/>
      <c r="F42" s="31"/>
      <c r="G42" s="31"/>
      <c r="H42" s="31"/>
      <c r="I42" s="31"/>
      <c r="J42" s="31"/>
      <c r="K42" s="31"/>
      <c r="L42" s="31"/>
      <c r="M42" s="31"/>
      <c r="N42" s="31"/>
      <c r="O42" s="31"/>
      <c r="P42" s="31"/>
      <c r="Q42" s="31"/>
      <c r="R42" s="2"/>
      <c r="S42" s="2"/>
      <c r="T42" s="2"/>
      <c r="U42" s="2"/>
    </row>
  </sheetData>
  <mergeCells count="7">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64" orientation="landscape" r:id="rId1"/>
  <headerFooter>
    <oddHeader>&amp;LWojewództwo &amp;K000000Opolskie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9"/>
  <sheetViews>
    <sheetView showGridLines="0" view="pageBreakPreview" zoomScale="90" zoomScaleNormal="78" zoomScaleSheetLayoutView="90" workbookViewId="0">
      <selection activeCell="C7" sqref="C7"/>
    </sheetView>
  </sheetViews>
  <sheetFormatPr defaultColWidth="9.140625" defaultRowHeight="11.25" x14ac:dyDescent="0.2"/>
  <cols>
    <col min="1" max="1" width="6.85546875" style="180" customWidth="1"/>
    <col min="2" max="3" width="15.5703125" style="180" customWidth="1"/>
    <col min="4" max="4" width="18" style="180" customWidth="1"/>
    <col min="5" max="5" width="15.5703125" style="180" customWidth="1"/>
    <col min="6" max="6" width="52.140625" style="180" customWidth="1"/>
    <col min="7" max="7" width="13" style="180" bestFit="1" customWidth="1"/>
    <col min="8" max="8" width="15" style="320" customWidth="1"/>
    <col min="9" max="9" width="20.42578125" style="180" bestFit="1" customWidth="1"/>
    <col min="10" max="10" width="18.140625" style="180" customWidth="1"/>
    <col min="11" max="11" width="13.5703125" style="180" bestFit="1" customWidth="1"/>
    <col min="12" max="12" width="18.5703125" style="180" customWidth="1"/>
    <col min="13" max="14" width="15.5703125" style="321" customWidth="1"/>
    <col min="15" max="23" width="15.5703125" style="180" customWidth="1"/>
    <col min="24" max="24" width="15.5703125" style="275" customWidth="1"/>
    <col min="25" max="26" width="15.7109375" style="161" customWidth="1"/>
    <col min="27" max="27" width="15.7109375" style="275" customWidth="1"/>
    <col min="28" max="29" width="9.140625" style="179"/>
    <col min="30" max="30" width="11.7109375" style="179" bestFit="1" customWidth="1"/>
    <col min="31" max="16384" width="9.140625" style="179"/>
  </cols>
  <sheetData>
    <row r="1" spans="1:51" ht="20.100000000000001" customHeight="1" x14ac:dyDescent="0.2">
      <c r="A1" s="347" t="s">
        <v>4</v>
      </c>
      <c r="B1" s="347" t="s">
        <v>5</v>
      </c>
      <c r="C1" s="355" t="s">
        <v>44</v>
      </c>
      <c r="D1" s="351" t="s">
        <v>6</v>
      </c>
      <c r="E1" s="351" t="s">
        <v>32</v>
      </c>
      <c r="F1" s="351" t="s">
        <v>7</v>
      </c>
      <c r="G1" s="347" t="s">
        <v>26</v>
      </c>
      <c r="H1" s="346" t="s">
        <v>83</v>
      </c>
      <c r="I1" s="347" t="s">
        <v>23</v>
      </c>
      <c r="J1" s="347" t="s">
        <v>8</v>
      </c>
      <c r="K1" s="347" t="s">
        <v>15</v>
      </c>
      <c r="L1" s="351" t="s">
        <v>12</v>
      </c>
      <c r="M1" s="347" t="s">
        <v>10</v>
      </c>
      <c r="N1" s="348" t="s">
        <v>11</v>
      </c>
      <c r="O1" s="349"/>
      <c r="P1" s="349"/>
      <c r="Q1" s="349"/>
      <c r="R1" s="349"/>
      <c r="S1" s="349"/>
      <c r="T1" s="349"/>
      <c r="U1" s="349"/>
      <c r="V1" s="349"/>
      <c r="W1" s="350"/>
      <c r="X1" s="259"/>
      <c r="Y1" s="259"/>
      <c r="Z1" s="259"/>
      <c r="AA1" s="260"/>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row>
    <row r="2" spans="1:51" ht="49.5" customHeight="1" x14ac:dyDescent="0.2">
      <c r="A2" s="347"/>
      <c r="B2" s="347"/>
      <c r="C2" s="356"/>
      <c r="D2" s="352"/>
      <c r="E2" s="352"/>
      <c r="F2" s="352"/>
      <c r="G2" s="347"/>
      <c r="H2" s="346"/>
      <c r="I2" s="347"/>
      <c r="J2" s="347"/>
      <c r="K2" s="347"/>
      <c r="L2" s="352"/>
      <c r="M2" s="347"/>
      <c r="N2" s="306">
        <v>2019</v>
      </c>
      <c r="O2" s="306">
        <v>2020</v>
      </c>
      <c r="P2" s="306">
        <v>2021</v>
      </c>
      <c r="Q2" s="306">
        <v>2022</v>
      </c>
      <c r="R2" s="306">
        <v>2023</v>
      </c>
      <c r="S2" s="306">
        <v>2024</v>
      </c>
      <c r="T2" s="306">
        <v>2025</v>
      </c>
      <c r="U2" s="306">
        <v>2026</v>
      </c>
      <c r="V2" s="306">
        <v>2027</v>
      </c>
      <c r="W2" s="306">
        <v>2028</v>
      </c>
      <c r="X2" s="259" t="s">
        <v>28</v>
      </c>
      <c r="Y2" s="259" t="s">
        <v>29</v>
      </c>
      <c r="Z2" s="259" t="s">
        <v>30</v>
      </c>
      <c r="AA2" s="262" t="s">
        <v>31</v>
      </c>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row>
    <row r="3" spans="1:51" s="263" customFormat="1" ht="35.1" customHeight="1" x14ac:dyDescent="0.2">
      <c r="A3" s="145">
        <v>1</v>
      </c>
      <c r="B3" s="145" t="s">
        <v>88</v>
      </c>
      <c r="C3" s="145" t="s">
        <v>48</v>
      </c>
      <c r="D3" s="286" t="s">
        <v>57</v>
      </c>
      <c r="E3" s="286">
        <v>1608</v>
      </c>
      <c r="F3" s="145" t="s">
        <v>89</v>
      </c>
      <c r="G3" s="145" t="s">
        <v>47</v>
      </c>
      <c r="H3" s="279">
        <v>1.9159999999999999</v>
      </c>
      <c r="I3" s="145" t="s">
        <v>298</v>
      </c>
      <c r="J3" s="177">
        <v>4004892.52</v>
      </c>
      <c r="K3" s="172">
        <v>1692326.43</v>
      </c>
      <c r="L3" s="178">
        <f t="shared" ref="L3" si="0">J3-K3</f>
        <v>2312566.09</v>
      </c>
      <c r="M3" s="287">
        <f>ROUND(K3/J3,4)</f>
        <v>0.42259999999999998</v>
      </c>
      <c r="N3" s="307">
        <v>0</v>
      </c>
      <c r="O3" s="307">
        <v>0</v>
      </c>
      <c r="P3" s="177">
        <v>0</v>
      </c>
      <c r="Q3" s="177">
        <v>1187826.43</v>
      </c>
      <c r="R3" s="177">
        <v>504500</v>
      </c>
      <c r="S3" s="307">
        <v>0</v>
      </c>
      <c r="T3" s="307">
        <v>0</v>
      </c>
      <c r="U3" s="307">
        <v>0</v>
      </c>
      <c r="V3" s="307">
        <v>0</v>
      </c>
      <c r="W3" s="307">
        <v>0</v>
      </c>
      <c r="X3" s="156" t="b">
        <f t="shared" ref="X3" si="1">K3=SUM(O3:W3)</f>
        <v>1</v>
      </c>
      <c r="Y3" s="268">
        <f t="shared" ref="Y3" si="2">ROUND(K3/J3,4)</f>
        <v>0.42259999999999998</v>
      </c>
      <c r="Z3" s="173" t="b">
        <f t="shared" ref="Z3" si="3">Y3=M3</f>
        <v>1</v>
      </c>
      <c r="AA3" s="173" t="b">
        <f t="shared" ref="AA3" si="4">J3=K3+L3</f>
        <v>1</v>
      </c>
    </row>
    <row r="4" spans="1:51" s="35" customFormat="1" ht="35.1" customHeight="1" x14ac:dyDescent="0.2">
      <c r="A4" s="157">
        <v>2</v>
      </c>
      <c r="B4" s="157" t="s">
        <v>118</v>
      </c>
      <c r="C4" s="156" t="s">
        <v>53</v>
      </c>
      <c r="D4" s="157" t="s">
        <v>56</v>
      </c>
      <c r="E4" s="157">
        <v>1609</v>
      </c>
      <c r="F4" s="157" t="s">
        <v>119</v>
      </c>
      <c r="G4" s="157" t="s">
        <v>84</v>
      </c>
      <c r="H4" s="264">
        <v>0.48699999999999999</v>
      </c>
      <c r="I4" s="174" t="s">
        <v>120</v>
      </c>
      <c r="J4" s="173">
        <v>2857280.59</v>
      </c>
      <c r="K4" s="171">
        <f t="shared" ref="K4:K11" si="5">ROUND(J4*M4,2)</f>
        <v>1428640.3</v>
      </c>
      <c r="L4" s="174">
        <f t="shared" ref="L4:L12" si="6">J4-K4</f>
        <v>1428640.2899999998</v>
      </c>
      <c r="M4" s="147">
        <v>0.5</v>
      </c>
      <c r="N4" s="308">
        <v>0</v>
      </c>
      <c r="O4" s="308">
        <v>0</v>
      </c>
      <c r="P4" s="173">
        <v>0</v>
      </c>
      <c r="Q4" s="173">
        <v>0</v>
      </c>
      <c r="R4" s="173">
        <f>K4</f>
        <v>1428640.3</v>
      </c>
      <c r="S4" s="308">
        <v>0</v>
      </c>
      <c r="T4" s="308">
        <v>0</v>
      </c>
      <c r="U4" s="308">
        <v>0</v>
      </c>
      <c r="V4" s="308">
        <v>0</v>
      </c>
      <c r="W4" s="308">
        <v>0</v>
      </c>
      <c r="X4" s="265" t="b">
        <f t="shared" ref="X4:X11" si="7">K4=SUM(O4:W4)</f>
        <v>1</v>
      </c>
      <c r="Y4" s="266">
        <f t="shared" ref="Y4:Y12" si="8">ROUND(K4/J4,4)</f>
        <v>0.5</v>
      </c>
      <c r="Z4" s="211" t="b">
        <f t="shared" ref="Z4:Z12" si="9">Y4=M4</f>
        <v>1</v>
      </c>
      <c r="AA4" s="211" t="b">
        <f t="shared" ref="AA4:AA12" si="10">J4=K4+L4</f>
        <v>1</v>
      </c>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row>
    <row r="5" spans="1:51" s="269" customFormat="1" ht="35.1" customHeight="1" x14ac:dyDescent="0.2">
      <c r="A5" s="157">
        <v>3</v>
      </c>
      <c r="B5" s="157" t="s">
        <v>121</v>
      </c>
      <c r="C5" s="156" t="s">
        <v>53</v>
      </c>
      <c r="D5" s="157" t="s">
        <v>56</v>
      </c>
      <c r="E5" s="157">
        <v>1609</v>
      </c>
      <c r="F5" s="157" t="s">
        <v>122</v>
      </c>
      <c r="G5" s="157" t="s">
        <v>47</v>
      </c>
      <c r="H5" s="264">
        <v>0.48299999999999998</v>
      </c>
      <c r="I5" s="174" t="s">
        <v>120</v>
      </c>
      <c r="J5" s="174">
        <v>970651.2</v>
      </c>
      <c r="K5" s="171">
        <f t="shared" si="5"/>
        <v>485325.6</v>
      </c>
      <c r="L5" s="174">
        <f t="shared" si="6"/>
        <v>485325.6</v>
      </c>
      <c r="M5" s="147">
        <v>0.5</v>
      </c>
      <c r="N5" s="308">
        <v>0</v>
      </c>
      <c r="O5" s="308">
        <v>0</v>
      </c>
      <c r="P5" s="173">
        <v>0</v>
      </c>
      <c r="Q5" s="173">
        <v>0</v>
      </c>
      <c r="R5" s="173">
        <f t="shared" ref="R5:R12" si="11">K5</f>
        <v>485325.6</v>
      </c>
      <c r="S5" s="308">
        <v>0</v>
      </c>
      <c r="T5" s="308">
        <v>0</v>
      </c>
      <c r="U5" s="308">
        <v>0</v>
      </c>
      <c r="V5" s="308">
        <v>0</v>
      </c>
      <c r="W5" s="308">
        <v>0</v>
      </c>
      <c r="X5" s="156" t="b">
        <f t="shared" si="7"/>
        <v>1</v>
      </c>
      <c r="Y5" s="268">
        <f t="shared" si="8"/>
        <v>0.5</v>
      </c>
      <c r="Z5" s="173" t="b">
        <f t="shared" si="9"/>
        <v>1</v>
      </c>
      <c r="AA5" s="173" t="b">
        <f t="shared" si="10"/>
        <v>1</v>
      </c>
    </row>
    <row r="6" spans="1:51" s="271" customFormat="1" ht="35.1" customHeight="1" x14ac:dyDescent="0.2">
      <c r="A6" s="157">
        <v>4</v>
      </c>
      <c r="B6" s="157" t="s">
        <v>123</v>
      </c>
      <c r="C6" s="156" t="s">
        <v>53</v>
      </c>
      <c r="D6" s="157" t="s">
        <v>71</v>
      </c>
      <c r="E6" s="157">
        <v>1602</v>
      </c>
      <c r="F6" s="157" t="s">
        <v>124</v>
      </c>
      <c r="G6" s="157" t="s">
        <v>47</v>
      </c>
      <c r="H6" s="264">
        <v>0.998</v>
      </c>
      <c r="I6" s="174" t="s">
        <v>125</v>
      </c>
      <c r="J6" s="173">
        <v>2981941.84</v>
      </c>
      <c r="K6" s="175">
        <f t="shared" si="5"/>
        <v>1490970.92</v>
      </c>
      <c r="L6" s="186">
        <f t="shared" si="6"/>
        <v>1490970.92</v>
      </c>
      <c r="M6" s="147">
        <v>0.5</v>
      </c>
      <c r="N6" s="308">
        <v>0</v>
      </c>
      <c r="O6" s="308">
        <v>0</v>
      </c>
      <c r="P6" s="173">
        <v>0</v>
      </c>
      <c r="Q6" s="173">
        <v>0</v>
      </c>
      <c r="R6" s="173">
        <f t="shared" si="11"/>
        <v>1490970.92</v>
      </c>
      <c r="S6" s="308">
        <v>0</v>
      </c>
      <c r="T6" s="308">
        <v>0</v>
      </c>
      <c r="U6" s="308">
        <v>0</v>
      </c>
      <c r="V6" s="308">
        <v>0</v>
      </c>
      <c r="W6" s="308">
        <v>0</v>
      </c>
      <c r="X6" s="262" t="b">
        <f t="shared" si="7"/>
        <v>1</v>
      </c>
      <c r="Y6" s="270">
        <f t="shared" si="8"/>
        <v>0.5</v>
      </c>
      <c r="Z6" s="210" t="b">
        <f t="shared" si="9"/>
        <v>1</v>
      </c>
      <c r="AA6" s="210" t="b">
        <f t="shared" si="10"/>
        <v>1</v>
      </c>
    </row>
    <row r="7" spans="1:51" s="271" customFormat="1" ht="63.75" customHeight="1" x14ac:dyDescent="0.2">
      <c r="A7" s="157">
        <v>5</v>
      </c>
      <c r="B7" s="157" t="s">
        <v>126</v>
      </c>
      <c r="C7" s="156" t="s">
        <v>53</v>
      </c>
      <c r="D7" s="157" t="s">
        <v>57</v>
      </c>
      <c r="E7" s="157">
        <v>1608</v>
      </c>
      <c r="F7" s="157" t="s">
        <v>127</v>
      </c>
      <c r="G7" s="157" t="s">
        <v>47</v>
      </c>
      <c r="H7" s="264">
        <v>0.92100000000000004</v>
      </c>
      <c r="I7" s="174" t="s">
        <v>128</v>
      </c>
      <c r="J7" s="173">
        <v>770337.16</v>
      </c>
      <c r="K7" s="173">
        <f t="shared" si="5"/>
        <v>385168.58</v>
      </c>
      <c r="L7" s="174">
        <f t="shared" si="6"/>
        <v>385168.58</v>
      </c>
      <c r="M7" s="147">
        <v>0.5</v>
      </c>
      <c r="N7" s="308">
        <v>0</v>
      </c>
      <c r="O7" s="308">
        <v>0</v>
      </c>
      <c r="P7" s="173">
        <v>0</v>
      </c>
      <c r="Q7" s="173">
        <v>0</v>
      </c>
      <c r="R7" s="173">
        <f t="shared" si="11"/>
        <v>385168.58</v>
      </c>
      <c r="S7" s="308">
        <v>0</v>
      </c>
      <c r="T7" s="308">
        <v>0</v>
      </c>
      <c r="U7" s="308">
        <v>0</v>
      </c>
      <c r="V7" s="308">
        <v>0</v>
      </c>
      <c r="W7" s="308">
        <v>0</v>
      </c>
      <c r="X7" s="262" t="b">
        <f t="shared" si="7"/>
        <v>1</v>
      </c>
      <c r="Y7" s="270">
        <f t="shared" si="8"/>
        <v>0.5</v>
      </c>
      <c r="Z7" s="210" t="b">
        <f t="shared" si="9"/>
        <v>1</v>
      </c>
      <c r="AA7" s="210" t="b">
        <f t="shared" si="10"/>
        <v>1</v>
      </c>
    </row>
    <row r="8" spans="1:51" s="305" customFormat="1" ht="29.25" customHeight="1" x14ac:dyDescent="0.2">
      <c r="A8" s="157">
        <v>6</v>
      </c>
      <c r="B8" s="157" t="s">
        <v>129</v>
      </c>
      <c r="C8" s="156" t="s">
        <v>53</v>
      </c>
      <c r="D8" s="157" t="s">
        <v>72</v>
      </c>
      <c r="E8" s="309">
        <v>1604</v>
      </c>
      <c r="F8" s="310" t="s">
        <v>130</v>
      </c>
      <c r="G8" s="157" t="s">
        <v>85</v>
      </c>
      <c r="H8" s="264">
        <v>0.6</v>
      </c>
      <c r="I8" s="174" t="s">
        <v>131</v>
      </c>
      <c r="J8" s="173">
        <v>556714.02</v>
      </c>
      <c r="K8" s="173">
        <f t="shared" si="5"/>
        <v>445371.22</v>
      </c>
      <c r="L8" s="174">
        <f t="shared" si="6"/>
        <v>111342.80000000005</v>
      </c>
      <c r="M8" s="147">
        <v>0.8</v>
      </c>
      <c r="N8" s="308">
        <v>0</v>
      </c>
      <c r="O8" s="308">
        <v>0</v>
      </c>
      <c r="P8" s="173">
        <v>0</v>
      </c>
      <c r="Q8" s="173">
        <v>0</v>
      </c>
      <c r="R8" s="173">
        <f>K8</f>
        <v>445371.22</v>
      </c>
      <c r="S8" s="308">
        <v>0</v>
      </c>
      <c r="T8" s="308">
        <v>0</v>
      </c>
      <c r="U8" s="308">
        <v>0</v>
      </c>
      <c r="V8" s="308">
        <v>0</v>
      </c>
      <c r="W8" s="308">
        <v>0</v>
      </c>
      <c r="X8" s="302" t="b">
        <f t="shared" si="7"/>
        <v>1</v>
      </c>
      <c r="Y8" s="303">
        <f t="shared" si="8"/>
        <v>0.8</v>
      </c>
      <c r="Z8" s="304" t="b">
        <f t="shared" si="9"/>
        <v>1</v>
      </c>
      <c r="AA8" s="304" t="b">
        <f t="shared" si="10"/>
        <v>1</v>
      </c>
    </row>
    <row r="9" spans="1:51" s="272" customFormat="1" ht="33" customHeight="1" x14ac:dyDescent="0.2">
      <c r="A9" s="157">
        <v>7</v>
      </c>
      <c r="B9" s="157" t="s">
        <v>132</v>
      </c>
      <c r="C9" s="156" t="s">
        <v>53</v>
      </c>
      <c r="D9" s="157" t="s">
        <v>57</v>
      </c>
      <c r="E9" s="157">
        <v>1608</v>
      </c>
      <c r="F9" s="157" t="s">
        <v>133</v>
      </c>
      <c r="G9" s="157" t="s">
        <v>47</v>
      </c>
      <c r="H9" s="264">
        <v>0.995</v>
      </c>
      <c r="I9" s="174" t="s">
        <v>128</v>
      </c>
      <c r="J9" s="173">
        <v>747468.15</v>
      </c>
      <c r="K9" s="173">
        <f t="shared" si="5"/>
        <v>373734.08</v>
      </c>
      <c r="L9" s="174">
        <f t="shared" si="6"/>
        <v>373734.07</v>
      </c>
      <c r="M9" s="147">
        <v>0.5</v>
      </c>
      <c r="N9" s="308">
        <v>0</v>
      </c>
      <c r="O9" s="308">
        <v>0</v>
      </c>
      <c r="P9" s="173">
        <v>0</v>
      </c>
      <c r="Q9" s="173">
        <v>0</v>
      </c>
      <c r="R9" s="173">
        <f t="shared" si="11"/>
        <v>373734.08</v>
      </c>
      <c r="S9" s="308">
        <v>0</v>
      </c>
      <c r="T9" s="308">
        <v>0</v>
      </c>
      <c r="U9" s="308">
        <v>0</v>
      </c>
      <c r="V9" s="308">
        <v>0</v>
      </c>
      <c r="W9" s="308">
        <v>0</v>
      </c>
      <c r="X9" s="262" t="b">
        <f t="shared" si="7"/>
        <v>1</v>
      </c>
      <c r="Y9" s="270">
        <f t="shared" si="8"/>
        <v>0.5</v>
      </c>
      <c r="Z9" s="210" t="b">
        <f t="shared" si="9"/>
        <v>1</v>
      </c>
      <c r="AA9" s="210" t="b">
        <f t="shared" si="10"/>
        <v>1</v>
      </c>
    </row>
    <row r="10" spans="1:51" s="272" customFormat="1" ht="25.5" customHeight="1" x14ac:dyDescent="0.2">
      <c r="A10" s="157">
        <v>8</v>
      </c>
      <c r="B10" s="157" t="s">
        <v>134</v>
      </c>
      <c r="C10" s="156" t="s">
        <v>53</v>
      </c>
      <c r="D10" s="157" t="s">
        <v>73</v>
      </c>
      <c r="E10" s="157">
        <v>1603</v>
      </c>
      <c r="F10" s="157" t="s">
        <v>135</v>
      </c>
      <c r="G10" s="157" t="s">
        <v>85</v>
      </c>
      <c r="H10" s="264">
        <v>0.69399999999999995</v>
      </c>
      <c r="I10" s="174" t="s">
        <v>136</v>
      </c>
      <c r="J10" s="173">
        <v>1293354.6200000001</v>
      </c>
      <c r="K10" s="173">
        <f t="shared" si="5"/>
        <v>646677.31000000006</v>
      </c>
      <c r="L10" s="174">
        <f t="shared" si="6"/>
        <v>646677.31000000006</v>
      </c>
      <c r="M10" s="147">
        <v>0.5</v>
      </c>
      <c r="N10" s="308">
        <v>0</v>
      </c>
      <c r="O10" s="308">
        <v>0</v>
      </c>
      <c r="P10" s="173">
        <v>0</v>
      </c>
      <c r="Q10" s="173">
        <v>0</v>
      </c>
      <c r="R10" s="173">
        <f t="shared" si="11"/>
        <v>646677.31000000006</v>
      </c>
      <c r="S10" s="308">
        <v>0</v>
      </c>
      <c r="T10" s="308">
        <v>0</v>
      </c>
      <c r="U10" s="308">
        <v>0</v>
      </c>
      <c r="V10" s="308">
        <v>0</v>
      </c>
      <c r="W10" s="308">
        <v>0</v>
      </c>
      <c r="X10" s="262" t="b">
        <f t="shared" si="7"/>
        <v>1</v>
      </c>
      <c r="Y10" s="270">
        <f t="shared" si="8"/>
        <v>0.5</v>
      </c>
      <c r="Z10" s="210" t="b">
        <f t="shared" si="9"/>
        <v>1</v>
      </c>
      <c r="AA10" s="210" t="b">
        <f t="shared" si="10"/>
        <v>1</v>
      </c>
    </row>
    <row r="11" spans="1:51" s="272" customFormat="1" ht="27.75" customHeight="1" x14ac:dyDescent="0.2">
      <c r="A11" s="157">
        <v>9</v>
      </c>
      <c r="B11" s="157" t="s">
        <v>137</v>
      </c>
      <c r="C11" s="156" t="s">
        <v>53</v>
      </c>
      <c r="D11" s="157" t="s">
        <v>58</v>
      </c>
      <c r="E11" s="157">
        <v>1611</v>
      </c>
      <c r="F11" s="157" t="s">
        <v>138</v>
      </c>
      <c r="G11" s="157" t="s">
        <v>47</v>
      </c>
      <c r="H11" s="264">
        <v>1.294</v>
      </c>
      <c r="I11" s="174" t="s">
        <v>139</v>
      </c>
      <c r="J11" s="173">
        <v>4391765.46</v>
      </c>
      <c r="K11" s="173">
        <f t="shared" si="5"/>
        <v>2195882.73</v>
      </c>
      <c r="L11" s="174">
        <f t="shared" si="6"/>
        <v>2195882.73</v>
      </c>
      <c r="M11" s="147">
        <v>0.5</v>
      </c>
      <c r="N11" s="308">
        <v>0</v>
      </c>
      <c r="O11" s="308">
        <v>0</v>
      </c>
      <c r="P11" s="173">
        <v>0</v>
      </c>
      <c r="Q11" s="173">
        <v>0</v>
      </c>
      <c r="R11" s="173">
        <f t="shared" si="11"/>
        <v>2195882.73</v>
      </c>
      <c r="S11" s="308">
        <v>0</v>
      </c>
      <c r="T11" s="308">
        <v>0</v>
      </c>
      <c r="U11" s="308">
        <v>0</v>
      </c>
      <c r="V11" s="308">
        <v>0</v>
      </c>
      <c r="W11" s="308">
        <v>0</v>
      </c>
      <c r="X11" s="262" t="b">
        <f t="shared" si="7"/>
        <v>1</v>
      </c>
      <c r="Y11" s="270">
        <f t="shared" si="8"/>
        <v>0.5</v>
      </c>
      <c r="Z11" s="210" t="b">
        <f t="shared" si="9"/>
        <v>1</v>
      </c>
      <c r="AA11" s="210" t="b">
        <f t="shared" si="10"/>
        <v>1</v>
      </c>
    </row>
    <row r="12" spans="1:51" s="272" customFormat="1" ht="35.1" customHeight="1" x14ac:dyDescent="0.2">
      <c r="A12" s="157">
        <v>10</v>
      </c>
      <c r="B12" s="157" t="s">
        <v>140</v>
      </c>
      <c r="C12" s="156" t="s">
        <v>53</v>
      </c>
      <c r="D12" s="157" t="s">
        <v>141</v>
      </c>
      <c r="E12" s="157">
        <v>1605</v>
      </c>
      <c r="F12" s="157" t="s">
        <v>142</v>
      </c>
      <c r="G12" s="157" t="s">
        <v>47</v>
      </c>
      <c r="H12" s="264">
        <v>0.2</v>
      </c>
      <c r="I12" s="174" t="s">
        <v>143</v>
      </c>
      <c r="J12" s="173">
        <v>763415.77</v>
      </c>
      <c r="K12" s="173">
        <f>ROUND(J12*M12,2)</f>
        <v>381707.89</v>
      </c>
      <c r="L12" s="174">
        <f t="shared" si="6"/>
        <v>381707.88</v>
      </c>
      <c r="M12" s="147">
        <v>0.5</v>
      </c>
      <c r="N12" s="308">
        <v>0</v>
      </c>
      <c r="O12" s="308">
        <v>0</v>
      </c>
      <c r="P12" s="173">
        <v>0</v>
      </c>
      <c r="Q12" s="173">
        <v>0</v>
      </c>
      <c r="R12" s="173">
        <f t="shared" si="11"/>
        <v>381707.89</v>
      </c>
      <c r="S12" s="308">
        <v>0</v>
      </c>
      <c r="T12" s="308">
        <v>0</v>
      </c>
      <c r="U12" s="308">
        <v>0</v>
      </c>
      <c r="V12" s="308">
        <v>0</v>
      </c>
      <c r="W12" s="308">
        <v>0</v>
      </c>
      <c r="X12" s="262" t="b">
        <f t="shared" ref="X12" si="12">K12=SUM(O12:W12)</f>
        <v>1</v>
      </c>
      <c r="Y12" s="270">
        <f t="shared" si="8"/>
        <v>0.5</v>
      </c>
      <c r="Z12" s="210" t="b">
        <f t="shared" si="9"/>
        <v>1</v>
      </c>
      <c r="AA12" s="210" t="b">
        <f t="shared" si="10"/>
        <v>1</v>
      </c>
    </row>
    <row r="13" spans="1:51" ht="20.100000000000001" customHeight="1" x14ac:dyDescent="0.2">
      <c r="A13" s="354" t="s">
        <v>45</v>
      </c>
      <c r="B13" s="354"/>
      <c r="C13" s="354"/>
      <c r="D13" s="354"/>
      <c r="E13" s="354"/>
      <c r="F13" s="354"/>
      <c r="G13" s="354"/>
      <c r="H13" s="311">
        <f>SUM(H3:H12)</f>
        <v>8.5879999999999992</v>
      </c>
      <c r="I13" s="312" t="s">
        <v>13</v>
      </c>
      <c r="J13" s="163">
        <f>SUM(J3:J12)</f>
        <v>19337821.329999998</v>
      </c>
      <c r="K13" s="163">
        <f>SUM(K3:K12)</f>
        <v>9525805.0600000005</v>
      </c>
      <c r="L13" s="163">
        <f>SUM(L3:L12)</f>
        <v>9812016.2700000014</v>
      </c>
      <c r="M13" s="313" t="s">
        <v>13</v>
      </c>
      <c r="N13" s="308">
        <f t="shared" ref="N13:W13" si="13">SUM(N3:N12)</f>
        <v>0</v>
      </c>
      <c r="O13" s="163">
        <f t="shared" si="13"/>
        <v>0</v>
      </c>
      <c r="P13" s="163">
        <f t="shared" si="13"/>
        <v>0</v>
      </c>
      <c r="Q13" s="314">
        <f t="shared" si="13"/>
        <v>1187826.43</v>
      </c>
      <c r="R13" s="314">
        <f t="shared" si="13"/>
        <v>8337978.6299999999</v>
      </c>
      <c r="S13" s="314">
        <f t="shared" si="13"/>
        <v>0</v>
      </c>
      <c r="T13" s="314">
        <f t="shared" si="13"/>
        <v>0</v>
      </c>
      <c r="U13" s="314">
        <f t="shared" si="13"/>
        <v>0</v>
      </c>
      <c r="V13" s="314">
        <f t="shared" si="13"/>
        <v>0</v>
      </c>
      <c r="W13" s="314">
        <f t="shared" si="13"/>
        <v>0</v>
      </c>
      <c r="X13" s="161" t="b">
        <f>K13=SUM(O13:W13)</f>
        <v>1</v>
      </c>
      <c r="Y13" s="273">
        <f>ROUND(K13/J13,4)</f>
        <v>0.49259999999999998</v>
      </c>
      <c r="Z13" s="274" t="s">
        <v>13</v>
      </c>
      <c r="AA13" s="274" t="b">
        <f>J13=K13+L13</f>
        <v>1</v>
      </c>
    </row>
    <row r="14" spans="1:51" ht="20.100000000000001" customHeight="1" x14ac:dyDescent="0.2">
      <c r="A14" s="353" t="s">
        <v>38</v>
      </c>
      <c r="B14" s="353"/>
      <c r="C14" s="353"/>
      <c r="D14" s="353"/>
      <c r="E14" s="353"/>
      <c r="F14" s="353"/>
      <c r="G14" s="353"/>
      <c r="H14" s="315">
        <f>SUMIF($C$3:$C$12,"K",H3:H12)</f>
        <v>1.9159999999999999</v>
      </c>
      <c r="I14" s="316" t="s">
        <v>13</v>
      </c>
      <c r="J14" s="182">
        <f>SUMIF($C$3:$C$12,"K",J3:J12)</f>
        <v>4004892.52</v>
      </c>
      <c r="K14" s="182">
        <f>SUMIF($C$3:$C$12,"K",K3:K12)</f>
        <v>1692326.43</v>
      </c>
      <c r="L14" s="182">
        <f>SUMIF($C$3:$C$12,"K",L3:L12)</f>
        <v>2312566.09</v>
      </c>
      <c r="M14" s="317" t="s">
        <v>13</v>
      </c>
      <c r="N14" s="318">
        <f t="shared" ref="N14:W14" si="14">SUMIF($C$3:$C$12,"K",N3:N12)</f>
        <v>0</v>
      </c>
      <c r="O14" s="182">
        <f t="shared" si="14"/>
        <v>0</v>
      </c>
      <c r="P14" s="182">
        <f t="shared" si="14"/>
        <v>0</v>
      </c>
      <c r="Q14" s="319">
        <f t="shared" si="14"/>
        <v>1187826.43</v>
      </c>
      <c r="R14" s="319">
        <f t="shared" si="14"/>
        <v>504500</v>
      </c>
      <c r="S14" s="319">
        <f t="shared" si="14"/>
        <v>0</v>
      </c>
      <c r="T14" s="319">
        <f t="shared" si="14"/>
        <v>0</v>
      </c>
      <c r="U14" s="319">
        <f t="shared" si="14"/>
        <v>0</v>
      </c>
      <c r="V14" s="319">
        <f t="shared" si="14"/>
        <v>0</v>
      </c>
      <c r="W14" s="319">
        <f t="shared" si="14"/>
        <v>0</v>
      </c>
      <c r="X14" s="161" t="b">
        <f>K14=SUM(O14:W14)</f>
        <v>1</v>
      </c>
      <c r="Y14" s="273">
        <f>ROUND(K14/J14,4)</f>
        <v>0.42259999999999998</v>
      </c>
      <c r="Z14" s="274" t="s">
        <v>13</v>
      </c>
      <c r="AA14" s="274" t="b">
        <f>J14=K14+L14</f>
        <v>1</v>
      </c>
    </row>
    <row r="15" spans="1:51" ht="20.100000000000001" customHeight="1" x14ac:dyDescent="0.2">
      <c r="A15" s="354" t="s">
        <v>39</v>
      </c>
      <c r="B15" s="354"/>
      <c r="C15" s="354"/>
      <c r="D15" s="354"/>
      <c r="E15" s="354"/>
      <c r="F15" s="354"/>
      <c r="G15" s="354"/>
      <c r="H15" s="311">
        <f>SUMIF($C$3:$C$12,"N",H3:H12)</f>
        <v>6.6719999999999997</v>
      </c>
      <c r="I15" s="312" t="s">
        <v>13</v>
      </c>
      <c r="J15" s="163">
        <f>SUMIF($C$3:$C$12,"N",J3:J12)</f>
        <v>15332928.810000002</v>
      </c>
      <c r="K15" s="163">
        <f>SUMIF($C$3:$C$12,"N",K3:K12)</f>
        <v>7833478.6299999999</v>
      </c>
      <c r="L15" s="163">
        <f>SUMIF($C$3:$C$12,"N",L3:L12)</f>
        <v>7499450.1800000006</v>
      </c>
      <c r="M15" s="313" t="s">
        <v>13</v>
      </c>
      <c r="N15" s="308">
        <f t="shared" ref="N15:W15" si="15">SUMIF($C$3:$C$12,"N",N3:N12)</f>
        <v>0</v>
      </c>
      <c r="O15" s="163">
        <f t="shared" si="15"/>
        <v>0</v>
      </c>
      <c r="P15" s="163">
        <f t="shared" si="15"/>
        <v>0</v>
      </c>
      <c r="Q15" s="314">
        <f t="shared" si="15"/>
        <v>0</v>
      </c>
      <c r="R15" s="314">
        <f t="shared" si="15"/>
        <v>7833478.6299999999</v>
      </c>
      <c r="S15" s="314">
        <f t="shared" si="15"/>
        <v>0</v>
      </c>
      <c r="T15" s="314">
        <f t="shared" si="15"/>
        <v>0</v>
      </c>
      <c r="U15" s="314">
        <f t="shared" si="15"/>
        <v>0</v>
      </c>
      <c r="V15" s="314">
        <f t="shared" si="15"/>
        <v>0</v>
      </c>
      <c r="W15" s="314">
        <f t="shared" si="15"/>
        <v>0</v>
      </c>
      <c r="X15" s="161" t="b">
        <f>K15=SUM(O15:W15)</f>
        <v>1</v>
      </c>
      <c r="Y15" s="273">
        <f>ROUND(K15/J15,4)</f>
        <v>0.51090000000000002</v>
      </c>
      <c r="Z15" s="274" t="s">
        <v>13</v>
      </c>
      <c r="AA15" s="274" t="b">
        <f>J15=K15+L15</f>
        <v>1</v>
      </c>
    </row>
    <row r="16" spans="1:51" ht="20.100000000000001" customHeight="1" x14ac:dyDescent="0.2">
      <c r="A16" s="353" t="s">
        <v>40</v>
      </c>
      <c r="B16" s="353"/>
      <c r="C16" s="353"/>
      <c r="D16" s="353"/>
      <c r="E16" s="353"/>
      <c r="F16" s="353"/>
      <c r="G16" s="353"/>
      <c r="H16" s="315">
        <f>SUMIF($C$3:$C$12,"W",H3:H12)</f>
        <v>0</v>
      </c>
      <c r="I16" s="316" t="s">
        <v>13</v>
      </c>
      <c r="J16" s="182">
        <f>SUMIF($C$3:$C$12,"W",J3:J12)</f>
        <v>0</v>
      </c>
      <c r="K16" s="182">
        <f>SUMIF($C$3:$C$12,"W",K3:K12)</f>
        <v>0</v>
      </c>
      <c r="L16" s="182">
        <f>SUMIF($C$3:$C$12,"W",L3:L12)</f>
        <v>0</v>
      </c>
      <c r="M16" s="317" t="s">
        <v>13</v>
      </c>
      <c r="N16" s="318">
        <f t="shared" ref="N16:W16" si="16">SUMIF($C$3:$C$12,"W",N3:N12)</f>
        <v>0</v>
      </c>
      <c r="O16" s="182">
        <f t="shared" si="16"/>
        <v>0</v>
      </c>
      <c r="P16" s="182">
        <f t="shared" si="16"/>
        <v>0</v>
      </c>
      <c r="Q16" s="319">
        <f t="shared" si="16"/>
        <v>0</v>
      </c>
      <c r="R16" s="319">
        <f t="shared" si="16"/>
        <v>0</v>
      </c>
      <c r="S16" s="319">
        <f t="shared" si="16"/>
        <v>0</v>
      </c>
      <c r="T16" s="319">
        <f t="shared" si="16"/>
        <v>0</v>
      </c>
      <c r="U16" s="319">
        <f t="shared" si="16"/>
        <v>0</v>
      </c>
      <c r="V16" s="319">
        <f t="shared" si="16"/>
        <v>0</v>
      </c>
      <c r="W16" s="319">
        <f t="shared" si="16"/>
        <v>0</v>
      </c>
      <c r="X16" s="161" t="b">
        <f>K16=SUM(O16:W16)</f>
        <v>1</v>
      </c>
      <c r="Y16" s="273" t="e">
        <f>ROUND(K16/J16,4)</f>
        <v>#DIV/0!</v>
      </c>
      <c r="Z16" s="274" t="s">
        <v>13</v>
      </c>
      <c r="AA16" s="274" t="b">
        <f>J16=K16+L16</f>
        <v>1</v>
      </c>
    </row>
    <row r="17" spans="1:27" x14ac:dyDescent="0.2">
      <c r="A17" s="228"/>
      <c r="B17" s="228"/>
      <c r="C17" s="228"/>
      <c r="D17" s="228"/>
      <c r="E17" s="228"/>
      <c r="F17" s="228"/>
      <c r="G17" s="228"/>
      <c r="P17" s="322"/>
      <c r="Q17" s="322"/>
    </row>
    <row r="18" spans="1:27" x14ac:dyDescent="0.2">
      <c r="A18" s="185" t="s">
        <v>24</v>
      </c>
      <c r="B18" s="185"/>
      <c r="C18" s="185"/>
      <c r="D18" s="185"/>
      <c r="E18" s="185"/>
      <c r="F18" s="185"/>
      <c r="G18" s="185"/>
      <c r="H18" s="323"/>
      <c r="I18" s="324"/>
      <c r="J18" s="6"/>
      <c r="K18" s="324"/>
      <c r="L18" s="324"/>
      <c r="O18" s="324"/>
      <c r="P18" s="325"/>
      <c r="Q18" s="325"/>
      <c r="R18" s="324"/>
      <c r="S18" s="324"/>
      <c r="T18" s="324"/>
      <c r="U18" s="324"/>
      <c r="V18" s="324"/>
      <c r="W18" s="324"/>
      <c r="X18" s="161"/>
      <c r="AA18" s="274"/>
    </row>
    <row r="19" spans="1:27" x14ac:dyDescent="0.2">
      <c r="A19" s="276" t="s">
        <v>25</v>
      </c>
      <c r="B19" s="276"/>
      <c r="C19" s="276"/>
      <c r="D19" s="276"/>
      <c r="E19" s="276"/>
      <c r="F19" s="276"/>
      <c r="G19" s="276"/>
      <c r="H19" s="323"/>
      <c r="I19" s="324"/>
      <c r="J19" s="277"/>
      <c r="K19" s="324"/>
      <c r="L19" s="324"/>
      <c r="O19" s="325"/>
      <c r="P19" s="325"/>
      <c r="Q19" s="325"/>
      <c r="R19" s="324"/>
      <c r="S19" s="324"/>
      <c r="T19" s="324"/>
      <c r="U19" s="324"/>
      <c r="V19" s="324"/>
      <c r="W19" s="324"/>
      <c r="X19" s="161"/>
    </row>
    <row r="20" spans="1:27" x14ac:dyDescent="0.2">
      <c r="A20" s="185" t="s">
        <v>43</v>
      </c>
      <c r="B20" s="228"/>
      <c r="C20" s="228"/>
      <c r="D20" s="228"/>
      <c r="E20" s="228"/>
      <c r="F20" s="228"/>
      <c r="G20" s="228"/>
      <c r="J20" s="278"/>
      <c r="P20" s="322"/>
      <c r="Q20" s="322"/>
    </row>
    <row r="21" spans="1:27" x14ac:dyDescent="0.2">
      <c r="A21" s="229" t="s">
        <v>27</v>
      </c>
      <c r="B21" s="229"/>
      <c r="C21" s="229"/>
      <c r="D21" s="229"/>
      <c r="E21" s="229"/>
      <c r="F21" s="229"/>
      <c r="G21" s="229"/>
      <c r="J21" s="278"/>
    </row>
    <row r="29" spans="1:27" x14ac:dyDescent="0.2">
      <c r="M29" s="326"/>
      <c r="N29" s="326"/>
    </row>
  </sheetData>
  <mergeCells count="18">
    <mergeCell ref="D1:D2"/>
    <mergeCell ref="A16:G16"/>
    <mergeCell ref="A15:G15"/>
    <mergeCell ref="E1:E2"/>
    <mergeCell ref="A13:G13"/>
    <mergeCell ref="A1:A2"/>
    <mergeCell ref="B1:B2"/>
    <mergeCell ref="C1:C2"/>
    <mergeCell ref="F1:F2"/>
    <mergeCell ref="G1:G2"/>
    <mergeCell ref="A14:G14"/>
    <mergeCell ref="H1:H2"/>
    <mergeCell ref="I1:I2"/>
    <mergeCell ref="J1:J2"/>
    <mergeCell ref="K1:K2"/>
    <mergeCell ref="N1:W1"/>
    <mergeCell ref="L1:L2"/>
    <mergeCell ref="M1:M2"/>
  </mergeCells>
  <conditionalFormatting sqref="AA18 X3:AA14">
    <cfRule type="cellIs" dxfId="87" priority="32" operator="equal">
      <formula>FALSE</formula>
    </cfRule>
  </conditionalFormatting>
  <conditionalFormatting sqref="AA18">
    <cfRule type="cellIs" dxfId="86" priority="31" operator="equal">
      <formula>FALSE</formula>
    </cfRule>
  </conditionalFormatting>
  <conditionalFormatting sqref="Y16:Z16">
    <cfRule type="cellIs" dxfId="85" priority="14" operator="equal">
      <formula>FALSE</formula>
    </cfRule>
  </conditionalFormatting>
  <conditionalFormatting sqref="X16">
    <cfRule type="cellIs" dxfId="84" priority="13" operator="equal">
      <formula>FALSE</formula>
    </cfRule>
  </conditionalFormatting>
  <conditionalFormatting sqref="AA16">
    <cfRule type="cellIs" dxfId="83" priority="10" operator="equal">
      <formula>FALSE</formula>
    </cfRule>
  </conditionalFormatting>
  <conditionalFormatting sqref="Y15:Z15">
    <cfRule type="cellIs" dxfId="82" priority="9" operator="equal">
      <formula>FALSE</formula>
    </cfRule>
  </conditionalFormatting>
  <conditionalFormatting sqref="X3:Z14">
    <cfRule type="containsText" dxfId="81" priority="15" operator="containsText" text="fałsz">
      <formula>NOT(ISERROR(SEARCH("fałsz",X3)))</formula>
    </cfRule>
  </conditionalFormatting>
  <conditionalFormatting sqref="X16:Z16">
    <cfRule type="containsText" dxfId="80" priority="12" operator="containsText" text="fałsz">
      <formula>NOT(ISERROR(SEARCH("fałsz",X16)))</formula>
    </cfRule>
  </conditionalFormatting>
  <conditionalFormatting sqref="AA16">
    <cfRule type="cellIs" dxfId="79" priority="11" operator="equal">
      <formula>FALSE</formula>
    </cfRule>
  </conditionalFormatting>
  <conditionalFormatting sqref="X15">
    <cfRule type="cellIs" dxfId="78" priority="8" operator="equal">
      <formula>FALSE</formula>
    </cfRule>
  </conditionalFormatting>
  <conditionalFormatting sqref="X15:Z15">
    <cfRule type="containsText" dxfId="77" priority="7" operator="containsText" text="fałsz">
      <formula>NOT(ISERROR(SEARCH("fałsz",X15)))</formula>
    </cfRule>
  </conditionalFormatting>
  <conditionalFormatting sqref="AA15">
    <cfRule type="cellIs" dxfId="76" priority="6" operator="equal">
      <formula>FALSE</formula>
    </cfRule>
  </conditionalFormatting>
  <conditionalFormatting sqref="AA15">
    <cfRule type="cellIs" dxfId="75" priority="5" operator="equal">
      <formula>FALSE</formula>
    </cfRule>
  </conditionalFormatting>
  <dataValidations count="2">
    <dataValidation type="list" allowBlank="1" showInputMessage="1" showErrorMessage="1" sqref="C11:C12 C3:C9">
      <formula1>"N,K,W"</formula1>
    </dataValidation>
    <dataValidation type="list" allowBlank="1" showInputMessage="1" showErrorMessage="1" sqref="G3:G12">
      <formula1>"B,P,R"</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Opolskie&amp;KFF0000 &amp;K01+000-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6"/>
  <sheetViews>
    <sheetView showGridLines="0" view="pageBreakPreview" topLeftCell="A20" zoomScale="90" zoomScaleNormal="100" zoomScaleSheetLayoutView="90" workbookViewId="0">
      <selection activeCell="A34" sqref="A34"/>
    </sheetView>
  </sheetViews>
  <sheetFormatPr defaultColWidth="9.140625" defaultRowHeight="15" x14ac:dyDescent="0.25"/>
  <cols>
    <col min="1" max="1" width="4.85546875" style="3" customWidth="1"/>
    <col min="2" max="2" width="17.7109375" style="3" customWidth="1"/>
    <col min="3" max="3" width="12.140625" style="3" customWidth="1"/>
    <col min="4" max="4" width="21.7109375" style="3" customWidth="1"/>
    <col min="5" max="5" width="9.5703125" style="3" bestFit="1" customWidth="1"/>
    <col min="6" max="6" width="17.7109375" style="3" bestFit="1" customWidth="1"/>
    <col min="7" max="7" width="29.5703125" style="3" customWidth="1"/>
    <col min="8" max="8" width="12.42578125" style="3" bestFit="1" customWidth="1"/>
    <col min="9" max="9" width="14.85546875" style="258" customWidth="1"/>
    <col min="10" max="10" width="19.7109375" style="3" bestFit="1" customWidth="1"/>
    <col min="11" max="11" width="20.42578125" style="4" customWidth="1"/>
    <col min="12" max="13" width="17.7109375" style="3" customWidth="1"/>
    <col min="14" max="14" width="15.7109375" style="1" customWidth="1"/>
    <col min="15" max="15" width="12.7109375" style="1" customWidth="1"/>
    <col min="16" max="16" width="13.28515625" style="3" customWidth="1"/>
    <col min="17" max="17" width="17.7109375" style="3" customWidth="1"/>
    <col min="18" max="18" width="12.7109375" style="3" customWidth="1"/>
    <col min="19" max="19" width="13.28515625" style="3" customWidth="1"/>
    <col min="20" max="20" width="12.7109375" style="3" customWidth="1"/>
    <col min="21" max="21" width="9.5703125" style="3" customWidth="1"/>
    <col min="22" max="22" width="10.85546875" style="3" customWidth="1"/>
    <col min="23" max="23" width="11.140625" style="3" customWidth="1"/>
    <col min="24" max="24" width="11.7109375" style="3" customWidth="1"/>
    <col min="25" max="27" width="15.7109375" style="14" customWidth="1"/>
    <col min="28" max="28" width="15.7109375" style="3" customWidth="1"/>
    <col min="29" max="29" width="11.42578125" style="3" bestFit="1" customWidth="1"/>
    <col min="30" max="16384" width="9.140625" style="3"/>
  </cols>
  <sheetData>
    <row r="1" spans="1:29" ht="20.100000000000001" customHeight="1" x14ac:dyDescent="0.25">
      <c r="A1" s="359" t="s">
        <v>4</v>
      </c>
      <c r="B1" s="360" t="s">
        <v>5</v>
      </c>
      <c r="C1" s="366" t="s">
        <v>44</v>
      </c>
      <c r="D1" s="361" t="s">
        <v>6</v>
      </c>
      <c r="E1" s="148"/>
      <c r="F1" s="148"/>
      <c r="G1" s="360" t="s">
        <v>7</v>
      </c>
      <c r="H1" s="361" t="s">
        <v>26</v>
      </c>
      <c r="I1" s="363" t="s">
        <v>83</v>
      </c>
      <c r="J1" s="360" t="s">
        <v>23</v>
      </c>
      <c r="K1" s="350" t="s">
        <v>8</v>
      </c>
      <c r="L1" s="360" t="s">
        <v>16</v>
      </c>
      <c r="M1" s="361" t="s">
        <v>12</v>
      </c>
      <c r="N1" s="360" t="s">
        <v>10</v>
      </c>
      <c r="O1" s="357" t="s">
        <v>11</v>
      </c>
      <c r="P1" s="358"/>
      <c r="Q1" s="358"/>
      <c r="R1" s="358"/>
      <c r="S1" s="358"/>
      <c r="T1" s="358"/>
      <c r="U1" s="358"/>
      <c r="V1" s="358"/>
      <c r="W1" s="358"/>
      <c r="X1" s="359"/>
    </row>
    <row r="2" spans="1:29" ht="39" customHeight="1" x14ac:dyDescent="0.25">
      <c r="A2" s="359"/>
      <c r="B2" s="360"/>
      <c r="C2" s="367"/>
      <c r="D2" s="362"/>
      <c r="E2" s="149" t="s">
        <v>32</v>
      </c>
      <c r="F2" s="149" t="s">
        <v>14</v>
      </c>
      <c r="G2" s="360"/>
      <c r="H2" s="362"/>
      <c r="I2" s="363"/>
      <c r="J2" s="360"/>
      <c r="K2" s="350"/>
      <c r="L2" s="360"/>
      <c r="M2" s="362"/>
      <c r="N2" s="360"/>
      <c r="O2" s="154">
        <v>2019</v>
      </c>
      <c r="P2" s="150">
        <v>2020</v>
      </c>
      <c r="Q2" s="150">
        <v>2021</v>
      </c>
      <c r="R2" s="150">
        <v>2022</v>
      </c>
      <c r="S2" s="150">
        <v>2023</v>
      </c>
      <c r="T2" s="150">
        <v>2024</v>
      </c>
      <c r="U2" s="150">
        <v>2025</v>
      </c>
      <c r="V2" s="150">
        <v>2026</v>
      </c>
      <c r="W2" s="195">
        <v>2027</v>
      </c>
      <c r="X2" s="195">
        <v>2028</v>
      </c>
      <c r="Y2" s="1" t="s">
        <v>28</v>
      </c>
      <c r="Z2" s="1" t="s">
        <v>29</v>
      </c>
      <c r="AA2" s="1" t="s">
        <v>30</v>
      </c>
      <c r="AB2" s="43" t="s">
        <v>31</v>
      </c>
    </row>
    <row r="3" spans="1:29" s="230" customFormat="1" ht="38.25" customHeight="1" x14ac:dyDescent="0.25">
      <c r="A3" s="288">
        <v>1</v>
      </c>
      <c r="B3" s="289" t="s">
        <v>77</v>
      </c>
      <c r="C3" s="159" t="s">
        <v>48</v>
      </c>
      <c r="D3" s="290" t="s">
        <v>66</v>
      </c>
      <c r="E3" s="145">
        <v>1605023</v>
      </c>
      <c r="F3" s="145" t="s">
        <v>60</v>
      </c>
      <c r="G3" s="145" t="s">
        <v>82</v>
      </c>
      <c r="H3" s="145" t="s">
        <v>84</v>
      </c>
      <c r="I3" s="291">
        <v>3.5409999999999999</v>
      </c>
      <c r="J3" s="290" t="s">
        <v>115</v>
      </c>
      <c r="K3" s="292">
        <v>11292507</v>
      </c>
      <c r="L3" s="217">
        <f>ROUND(K3*N3,2)</f>
        <v>6775504.2000000002</v>
      </c>
      <c r="M3" s="292">
        <f t="shared" ref="M3:M34" si="0">K3-L3</f>
        <v>4517002.8</v>
      </c>
      <c r="N3" s="160">
        <v>0.6</v>
      </c>
      <c r="O3" s="172">
        <v>0</v>
      </c>
      <c r="P3" s="293">
        <v>0</v>
      </c>
      <c r="Q3" s="238">
        <f>ROUND(N3*6874101.38,2)</f>
        <v>4124460.83</v>
      </c>
      <c r="R3" s="238">
        <f>L3-Q3</f>
        <v>2651043.37</v>
      </c>
      <c r="S3" s="172">
        <v>0</v>
      </c>
      <c r="T3" s="172">
        <v>0</v>
      </c>
      <c r="U3" s="172">
        <v>0</v>
      </c>
      <c r="V3" s="172">
        <v>0</v>
      </c>
      <c r="W3" s="172">
        <v>0</v>
      </c>
      <c r="X3" s="172">
        <v>0</v>
      </c>
      <c r="Y3" s="212" t="b">
        <f t="shared" ref="Y3:Y34" si="1">L3=SUM(P3:X3)</f>
        <v>1</v>
      </c>
      <c r="Z3" s="213">
        <f t="shared" ref="Z3:Z34" si="2">ROUND(L3/K3,4)</f>
        <v>0.6</v>
      </c>
      <c r="AA3" s="214" t="b">
        <f t="shared" ref="AA3:AA34" si="3">Z3=N3</f>
        <v>1</v>
      </c>
      <c r="AB3" s="214" t="b">
        <f t="shared" ref="AB3:AB34" si="4">K3=L3+M3</f>
        <v>1</v>
      </c>
      <c r="AC3" s="294"/>
    </row>
    <row r="4" spans="1:29" s="230" customFormat="1" ht="35.25" customHeight="1" x14ac:dyDescent="0.25">
      <c r="A4" s="288">
        <v>2</v>
      </c>
      <c r="B4" s="145" t="s">
        <v>90</v>
      </c>
      <c r="C4" s="159" t="s">
        <v>48</v>
      </c>
      <c r="D4" s="145" t="s">
        <v>51</v>
      </c>
      <c r="E4" s="145">
        <v>1607054</v>
      </c>
      <c r="F4" s="145" t="s">
        <v>46</v>
      </c>
      <c r="G4" s="145" t="s">
        <v>93</v>
      </c>
      <c r="H4" s="145" t="s">
        <v>84</v>
      </c>
      <c r="I4" s="279">
        <v>0.95</v>
      </c>
      <c r="J4" s="178" t="s">
        <v>144</v>
      </c>
      <c r="K4" s="295">
        <v>9702587.6899999995</v>
      </c>
      <c r="L4" s="292">
        <v>5855385.1600000001</v>
      </c>
      <c r="M4" s="296">
        <f t="shared" si="0"/>
        <v>3847202.5299999993</v>
      </c>
      <c r="N4" s="287">
        <v>0.60350000000000004</v>
      </c>
      <c r="O4" s="172">
        <v>0</v>
      </c>
      <c r="P4" s="177">
        <v>0</v>
      </c>
      <c r="Q4" s="244">
        <v>0</v>
      </c>
      <c r="R4" s="172">
        <v>3341332.46</v>
      </c>
      <c r="S4" s="172">
        <f>L4-R4</f>
        <v>2514052.7000000002</v>
      </c>
      <c r="T4" s="172">
        <v>0</v>
      </c>
      <c r="U4" s="172">
        <v>0</v>
      </c>
      <c r="V4" s="172">
        <v>0</v>
      </c>
      <c r="W4" s="177">
        <v>0</v>
      </c>
      <c r="X4" s="177">
        <v>0</v>
      </c>
      <c r="Y4" s="245" t="b">
        <f t="shared" si="1"/>
        <v>1</v>
      </c>
      <c r="Z4" s="297">
        <f t="shared" si="2"/>
        <v>0.60350000000000004</v>
      </c>
      <c r="AA4" s="247" t="b">
        <f t="shared" si="3"/>
        <v>1</v>
      </c>
      <c r="AB4" s="247" t="b">
        <f t="shared" si="4"/>
        <v>1</v>
      </c>
    </row>
    <row r="5" spans="1:29" s="138" customFormat="1" ht="58.5" customHeight="1" x14ac:dyDescent="0.25">
      <c r="A5" s="288">
        <v>3</v>
      </c>
      <c r="B5" s="145" t="s">
        <v>91</v>
      </c>
      <c r="C5" s="159" t="s">
        <v>48</v>
      </c>
      <c r="D5" s="145" t="s">
        <v>68</v>
      </c>
      <c r="E5" s="145">
        <v>1606023</v>
      </c>
      <c r="F5" s="145" t="s">
        <v>59</v>
      </c>
      <c r="G5" s="145" t="s">
        <v>94</v>
      </c>
      <c r="H5" s="145" t="s">
        <v>84</v>
      </c>
      <c r="I5" s="279">
        <v>0.65100000000000002</v>
      </c>
      <c r="J5" s="178" t="s">
        <v>95</v>
      </c>
      <c r="K5" s="172">
        <v>3191581.78</v>
      </c>
      <c r="L5" s="292">
        <v>1420949.27</v>
      </c>
      <c r="M5" s="296">
        <f t="shared" si="0"/>
        <v>1770632.5099999998</v>
      </c>
      <c r="N5" s="287">
        <f>ROUND(L5/K5,4)</f>
        <v>0.44519999999999998</v>
      </c>
      <c r="O5" s="172">
        <v>0</v>
      </c>
      <c r="P5" s="177">
        <v>0</v>
      </c>
      <c r="Q5" s="244">
        <v>0</v>
      </c>
      <c r="R5" s="172">
        <v>712274.64</v>
      </c>
      <c r="S5" s="172">
        <v>708674.63</v>
      </c>
      <c r="T5" s="172">
        <v>0</v>
      </c>
      <c r="U5" s="172">
        <v>0</v>
      </c>
      <c r="V5" s="172">
        <v>0</v>
      </c>
      <c r="W5" s="177">
        <v>0</v>
      </c>
      <c r="X5" s="177">
        <v>0</v>
      </c>
      <c r="Y5" s="245" t="b">
        <f t="shared" si="1"/>
        <v>1</v>
      </c>
      <c r="Z5" s="297">
        <f t="shared" si="2"/>
        <v>0.44519999999999998</v>
      </c>
      <c r="AA5" s="247" t="b">
        <f t="shared" si="3"/>
        <v>1</v>
      </c>
      <c r="AB5" s="247" t="b">
        <f t="shared" si="4"/>
        <v>1</v>
      </c>
    </row>
    <row r="6" spans="1:29" s="138" customFormat="1" ht="30.75" customHeight="1" x14ac:dyDescent="0.25">
      <c r="A6" s="288">
        <v>4</v>
      </c>
      <c r="B6" s="145" t="s">
        <v>96</v>
      </c>
      <c r="C6" s="159" t="s">
        <v>48</v>
      </c>
      <c r="D6" s="145" t="s">
        <v>97</v>
      </c>
      <c r="E6" s="145">
        <v>1607013</v>
      </c>
      <c r="F6" s="145" t="s">
        <v>46</v>
      </c>
      <c r="G6" s="145" t="s">
        <v>98</v>
      </c>
      <c r="H6" s="145" t="s">
        <v>84</v>
      </c>
      <c r="I6" s="279">
        <v>0.44</v>
      </c>
      <c r="J6" s="178" t="s">
        <v>145</v>
      </c>
      <c r="K6" s="295">
        <v>3369611.2</v>
      </c>
      <c r="L6" s="292">
        <v>2153320</v>
      </c>
      <c r="M6" s="296">
        <f t="shared" si="0"/>
        <v>1216291.2000000002</v>
      </c>
      <c r="N6" s="287">
        <f>ROUND(L6/K6,4)</f>
        <v>0.63900000000000001</v>
      </c>
      <c r="O6" s="172">
        <v>0</v>
      </c>
      <c r="P6" s="177">
        <v>0</v>
      </c>
      <c r="Q6" s="244">
        <v>0</v>
      </c>
      <c r="R6" s="172">
        <v>1666400</v>
      </c>
      <c r="S6" s="172">
        <f>L6-R6</f>
        <v>486920</v>
      </c>
      <c r="T6" s="172">
        <v>0</v>
      </c>
      <c r="U6" s="172">
        <v>0</v>
      </c>
      <c r="V6" s="172">
        <v>0</v>
      </c>
      <c r="W6" s="177">
        <v>0</v>
      </c>
      <c r="X6" s="177">
        <v>0</v>
      </c>
      <c r="Y6" s="245" t="b">
        <f t="shared" si="1"/>
        <v>1</v>
      </c>
      <c r="Z6" s="297">
        <f t="shared" si="2"/>
        <v>0.63900000000000001</v>
      </c>
      <c r="AA6" s="247" t="b">
        <f t="shared" si="3"/>
        <v>1</v>
      </c>
      <c r="AB6" s="247" t="b">
        <f t="shared" si="4"/>
        <v>1</v>
      </c>
    </row>
    <row r="7" spans="1:29" s="230" customFormat="1" ht="50.25" customHeight="1" x14ac:dyDescent="0.25">
      <c r="A7" s="288">
        <v>5</v>
      </c>
      <c r="B7" s="145" t="s">
        <v>294</v>
      </c>
      <c r="C7" s="159" t="s">
        <v>48</v>
      </c>
      <c r="D7" s="145" t="s">
        <v>54</v>
      </c>
      <c r="E7" s="298">
        <v>1601011</v>
      </c>
      <c r="F7" s="145" t="s">
        <v>49</v>
      </c>
      <c r="G7" s="145" t="s">
        <v>99</v>
      </c>
      <c r="H7" s="299" t="s">
        <v>85</v>
      </c>
      <c r="I7" s="279">
        <v>0.45700000000000002</v>
      </c>
      <c r="J7" s="178" t="s">
        <v>100</v>
      </c>
      <c r="K7" s="178">
        <v>1474788.55</v>
      </c>
      <c r="L7" s="172">
        <f t="shared" ref="L7:L33" si="5">ROUND(K7*N7,2)</f>
        <v>1032351.99</v>
      </c>
      <c r="M7" s="172">
        <f t="shared" si="0"/>
        <v>442436.56000000006</v>
      </c>
      <c r="N7" s="160">
        <v>0.7</v>
      </c>
      <c r="O7" s="172">
        <v>0</v>
      </c>
      <c r="P7" s="172">
        <v>0</v>
      </c>
      <c r="Q7" s="178">
        <v>0</v>
      </c>
      <c r="R7" s="172">
        <f>ROUND(N7*642554.41,2)</f>
        <v>449788.09</v>
      </c>
      <c r="S7" s="172">
        <f>L7-R7</f>
        <v>582563.89999999991</v>
      </c>
      <c r="T7" s="172">
        <v>0</v>
      </c>
      <c r="U7" s="172">
        <v>0</v>
      </c>
      <c r="V7" s="172">
        <v>0</v>
      </c>
      <c r="W7" s="177">
        <v>0</v>
      </c>
      <c r="X7" s="177">
        <v>0</v>
      </c>
      <c r="Y7" s="245" t="b">
        <f t="shared" si="1"/>
        <v>1</v>
      </c>
      <c r="Z7" s="246">
        <f t="shared" si="2"/>
        <v>0.7</v>
      </c>
      <c r="AA7" s="247" t="b">
        <f t="shared" si="3"/>
        <v>1</v>
      </c>
      <c r="AB7" s="247" t="b">
        <f t="shared" si="4"/>
        <v>1</v>
      </c>
    </row>
    <row r="8" spans="1:29" s="138" customFormat="1" ht="68.25" customHeight="1" x14ac:dyDescent="0.25">
      <c r="A8" s="283">
        <v>6</v>
      </c>
      <c r="B8" s="145" t="s">
        <v>146</v>
      </c>
      <c r="C8" s="159" t="s">
        <v>74</v>
      </c>
      <c r="D8" s="221" t="s">
        <v>51</v>
      </c>
      <c r="E8" s="221">
        <v>1607053</v>
      </c>
      <c r="F8" s="221" t="s">
        <v>46</v>
      </c>
      <c r="G8" s="221" t="s">
        <v>147</v>
      </c>
      <c r="H8" s="145" t="s">
        <v>84</v>
      </c>
      <c r="I8" s="237">
        <v>0.54652999999999996</v>
      </c>
      <c r="J8" s="178" t="s">
        <v>148</v>
      </c>
      <c r="K8" s="177">
        <v>6400404.7300000004</v>
      </c>
      <c r="L8" s="217">
        <f t="shared" si="5"/>
        <v>3840242.84</v>
      </c>
      <c r="M8" s="218">
        <f t="shared" si="0"/>
        <v>2560161.8900000006</v>
      </c>
      <c r="N8" s="160">
        <v>0.6</v>
      </c>
      <c r="O8" s="172">
        <v>0</v>
      </c>
      <c r="P8" s="177">
        <v>0</v>
      </c>
      <c r="Q8" s="170">
        <v>0</v>
      </c>
      <c r="R8" s="172">
        <v>0</v>
      </c>
      <c r="S8" s="238">
        <f>ROUND(N8*3290801.72,2)</f>
        <v>1974481.03</v>
      </c>
      <c r="T8" s="172">
        <f>L8-S8</f>
        <v>1865761.8099999998</v>
      </c>
      <c r="U8" s="172">
        <v>0</v>
      </c>
      <c r="V8" s="172">
        <v>0</v>
      </c>
      <c r="W8" s="177">
        <v>0</v>
      </c>
      <c r="X8" s="177">
        <v>0</v>
      </c>
      <c r="Y8" s="212" t="b">
        <f t="shared" si="1"/>
        <v>1</v>
      </c>
      <c r="Z8" s="213">
        <f t="shared" si="2"/>
        <v>0.6</v>
      </c>
      <c r="AA8" s="214" t="b">
        <f t="shared" si="3"/>
        <v>1</v>
      </c>
      <c r="AB8" s="214" t="b">
        <f t="shared" si="4"/>
        <v>1</v>
      </c>
    </row>
    <row r="9" spans="1:29" s="231" customFormat="1" ht="39.75" customHeight="1" x14ac:dyDescent="0.25">
      <c r="A9" s="283">
        <v>7</v>
      </c>
      <c r="B9" s="157" t="s">
        <v>149</v>
      </c>
      <c r="C9" s="158" t="s">
        <v>53</v>
      </c>
      <c r="D9" s="220" t="s">
        <v>150</v>
      </c>
      <c r="E9" s="220">
        <v>1609083</v>
      </c>
      <c r="F9" s="220" t="s">
        <v>56</v>
      </c>
      <c r="G9" s="220" t="s">
        <v>151</v>
      </c>
      <c r="H9" s="157" t="s">
        <v>84</v>
      </c>
      <c r="I9" s="225">
        <v>0.63709000000000005</v>
      </c>
      <c r="J9" s="174" t="s">
        <v>152</v>
      </c>
      <c r="K9" s="173">
        <v>9562022.6400000006</v>
      </c>
      <c r="L9" s="167">
        <f t="shared" si="5"/>
        <v>6693415.8499999996</v>
      </c>
      <c r="M9" s="167">
        <f t="shared" si="0"/>
        <v>2868606.790000001</v>
      </c>
      <c r="N9" s="147">
        <v>0.7</v>
      </c>
      <c r="O9" s="171">
        <v>0</v>
      </c>
      <c r="P9" s="173">
        <v>0</v>
      </c>
      <c r="Q9" s="171">
        <v>0</v>
      </c>
      <c r="R9" s="171">
        <v>0</v>
      </c>
      <c r="S9" s="171">
        <f>L9</f>
        <v>6693415.8499999996</v>
      </c>
      <c r="T9" s="171">
        <v>0</v>
      </c>
      <c r="U9" s="171">
        <v>0</v>
      </c>
      <c r="V9" s="171">
        <v>0</v>
      </c>
      <c r="W9" s="173">
        <v>0</v>
      </c>
      <c r="X9" s="173">
        <v>0</v>
      </c>
      <c r="Y9" s="233" t="b">
        <f t="shared" si="1"/>
        <v>1</v>
      </c>
      <c r="Z9" s="234">
        <f t="shared" si="2"/>
        <v>0.7</v>
      </c>
      <c r="AA9" s="235" t="b">
        <f t="shared" si="3"/>
        <v>1</v>
      </c>
      <c r="AB9" s="235" t="b">
        <f t="shared" si="4"/>
        <v>1</v>
      </c>
    </row>
    <row r="10" spans="1:29" s="230" customFormat="1" ht="35.25" customHeight="1" x14ac:dyDescent="0.25">
      <c r="A10" s="283">
        <v>8</v>
      </c>
      <c r="B10" s="145" t="s">
        <v>153</v>
      </c>
      <c r="C10" s="159" t="s">
        <v>74</v>
      </c>
      <c r="D10" s="221" t="s">
        <v>64</v>
      </c>
      <c r="E10" s="221">
        <v>1603062</v>
      </c>
      <c r="F10" s="221" t="s">
        <v>61</v>
      </c>
      <c r="G10" s="221" t="s">
        <v>154</v>
      </c>
      <c r="H10" s="145" t="s">
        <v>84</v>
      </c>
      <c r="I10" s="237">
        <v>1.581</v>
      </c>
      <c r="J10" s="178" t="s">
        <v>155</v>
      </c>
      <c r="K10" s="177">
        <v>11442027.24</v>
      </c>
      <c r="L10" s="217">
        <f t="shared" si="5"/>
        <v>8009419.0700000003</v>
      </c>
      <c r="M10" s="218">
        <f t="shared" si="0"/>
        <v>3432608.17</v>
      </c>
      <c r="N10" s="160">
        <v>0.7</v>
      </c>
      <c r="O10" s="172">
        <v>0</v>
      </c>
      <c r="P10" s="177">
        <v>0</v>
      </c>
      <c r="Q10" s="170">
        <v>0</v>
      </c>
      <c r="R10" s="172">
        <v>0</v>
      </c>
      <c r="S10" s="238">
        <f>ROUND(N10*5606068.64,2)</f>
        <v>3924248.05</v>
      </c>
      <c r="T10" s="172">
        <f>L10-S10</f>
        <v>4085171.0200000005</v>
      </c>
      <c r="U10" s="172">
        <v>0</v>
      </c>
      <c r="V10" s="172">
        <v>0</v>
      </c>
      <c r="W10" s="177">
        <v>0</v>
      </c>
      <c r="X10" s="177">
        <v>0</v>
      </c>
      <c r="Y10" s="212" t="b">
        <f t="shared" si="1"/>
        <v>1</v>
      </c>
      <c r="Z10" s="213">
        <f t="shared" si="2"/>
        <v>0.7</v>
      </c>
      <c r="AA10" s="214" t="b">
        <f t="shared" si="3"/>
        <v>1</v>
      </c>
      <c r="AB10" s="214" t="b">
        <f t="shared" si="4"/>
        <v>1</v>
      </c>
    </row>
    <row r="11" spans="1:29" s="231" customFormat="1" ht="39.75" customHeight="1" x14ac:dyDescent="0.25">
      <c r="A11" s="283">
        <v>9</v>
      </c>
      <c r="B11" s="157" t="s">
        <v>159</v>
      </c>
      <c r="C11" s="158" t="s">
        <v>53</v>
      </c>
      <c r="D11" s="220" t="s">
        <v>76</v>
      </c>
      <c r="E11" s="220">
        <v>1609022</v>
      </c>
      <c r="F11" s="220" t="s">
        <v>56</v>
      </c>
      <c r="G11" s="220" t="s">
        <v>160</v>
      </c>
      <c r="H11" s="157" t="s">
        <v>47</v>
      </c>
      <c r="I11" s="225">
        <v>0.89900000000000002</v>
      </c>
      <c r="J11" s="174" t="s">
        <v>161</v>
      </c>
      <c r="K11" s="224">
        <v>2840746.7</v>
      </c>
      <c r="L11" s="167">
        <f t="shared" si="5"/>
        <v>1704448.02</v>
      </c>
      <c r="M11" s="167">
        <f t="shared" si="0"/>
        <v>1136298.6800000002</v>
      </c>
      <c r="N11" s="147">
        <v>0.6</v>
      </c>
      <c r="O11" s="171">
        <v>0</v>
      </c>
      <c r="P11" s="173">
        <v>0</v>
      </c>
      <c r="Q11" s="169">
        <v>0</v>
      </c>
      <c r="R11" s="171">
        <v>0</v>
      </c>
      <c r="S11" s="171">
        <f>L11</f>
        <v>1704448.02</v>
      </c>
      <c r="T11" s="171">
        <v>0</v>
      </c>
      <c r="U11" s="171">
        <v>0</v>
      </c>
      <c r="V11" s="171">
        <v>0</v>
      </c>
      <c r="W11" s="173">
        <v>0</v>
      </c>
      <c r="X11" s="173">
        <v>0</v>
      </c>
      <c r="Y11" s="233" t="b">
        <f t="shared" si="1"/>
        <v>1</v>
      </c>
      <c r="Z11" s="234">
        <f t="shared" si="2"/>
        <v>0.6</v>
      </c>
      <c r="AA11" s="235" t="b">
        <f t="shared" si="3"/>
        <v>1</v>
      </c>
      <c r="AB11" s="235" t="b">
        <f t="shared" si="4"/>
        <v>1</v>
      </c>
    </row>
    <row r="12" spans="1:29" s="232" customFormat="1" ht="39" customHeight="1" x14ac:dyDescent="0.25">
      <c r="A12" s="283">
        <v>10</v>
      </c>
      <c r="B12" s="157" t="s">
        <v>162</v>
      </c>
      <c r="C12" s="158" t="s">
        <v>53</v>
      </c>
      <c r="D12" s="220" t="s">
        <v>78</v>
      </c>
      <c r="E12" s="220">
        <v>1608033</v>
      </c>
      <c r="F12" s="220" t="s">
        <v>57</v>
      </c>
      <c r="G12" s="220" t="s">
        <v>163</v>
      </c>
      <c r="H12" s="157" t="s">
        <v>47</v>
      </c>
      <c r="I12" s="225">
        <v>0.38600000000000001</v>
      </c>
      <c r="J12" s="174" t="s">
        <v>164</v>
      </c>
      <c r="K12" s="224">
        <v>1368584.54</v>
      </c>
      <c r="L12" s="167">
        <f t="shared" si="5"/>
        <v>958009.18</v>
      </c>
      <c r="M12" s="168">
        <f t="shared" si="0"/>
        <v>410575.35999999999</v>
      </c>
      <c r="N12" s="147">
        <v>0.7</v>
      </c>
      <c r="O12" s="171">
        <v>0</v>
      </c>
      <c r="P12" s="173">
        <v>0</v>
      </c>
      <c r="Q12" s="169">
        <v>0</v>
      </c>
      <c r="R12" s="171">
        <v>0</v>
      </c>
      <c r="S12" s="171">
        <f>L12</f>
        <v>958009.18</v>
      </c>
      <c r="T12" s="171">
        <v>0</v>
      </c>
      <c r="U12" s="171">
        <v>0</v>
      </c>
      <c r="V12" s="171">
        <v>0</v>
      </c>
      <c r="W12" s="173">
        <v>0</v>
      </c>
      <c r="X12" s="173">
        <v>0</v>
      </c>
      <c r="Y12" s="233" t="b">
        <f t="shared" si="1"/>
        <v>1</v>
      </c>
      <c r="Z12" s="234">
        <f t="shared" si="2"/>
        <v>0.7</v>
      </c>
      <c r="AA12" s="235" t="b">
        <f t="shared" si="3"/>
        <v>1</v>
      </c>
      <c r="AB12" s="235" t="b">
        <f t="shared" si="4"/>
        <v>1</v>
      </c>
    </row>
    <row r="13" spans="1:29" s="230" customFormat="1" ht="36.75" customHeight="1" x14ac:dyDescent="0.25">
      <c r="A13" s="283">
        <v>11</v>
      </c>
      <c r="B13" s="145" t="s">
        <v>165</v>
      </c>
      <c r="C13" s="159" t="s">
        <v>74</v>
      </c>
      <c r="D13" s="221" t="s">
        <v>166</v>
      </c>
      <c r="E13" s="145">
        <v>1609073</v>
      </c>
      <c r="F13" s="145" t="s">
        <v>56</v>
      </c>
      <c r="G13" s="145" t="s">
        <v>167</v>
      </c>
      <c r="H13" s="145" t="s">
        <v>84</v>
      </c>
      <c r="I13" s="237">
        <v>0.98199999999999998</v>
      </c>
      <c r="J13" s="178" t="s">
        <v>168</v>
      </c>
      <c r="K13" s="223">
        <v>6437794.1799999997</v>
      </c>
      <c r="L13" s="217">
        <f t="shared" si="5"/>
        <v>4506455.93</v>
      </c>
      <c r="M13" s="218">
        <f t="shared" si="0"/>
        <v>1931338.25</v>
      </c>
      <c r="N13" s="160">
        <v>0.7</v>
      </c>
      <c r="O13" s="172">
        <v>0</v>
      </c>
      <c r="P13" s="177">
        <v>0</v>
      </c>
      <c r="Q13" s="170">
        <v>0</v>
      </c>
      <c r="R13" s="172">
        <v>0</v>
      </c>
      <c r="S13" s="238">
        <f>ROUND(N13*819474.2,2)</f>
        <v>573631.93999999994</v>
      </c>
      <c r="T13" s="172">
        <f>L13-S13</f>
        <v>3932823.9899999998</v>
      </c>
      <c r="U13" s="172">
        <v>0</v>
      </c>
      <c r="V13" s="172">
        <v>0</v>
      </c>
      <c r="W13" s="177">
        <v>0</v>
      </c>
      <c r="X13" s="177">
        <v>0</v>
      </c>
      <c r="Y13" s="212" t="b">
        <f t="shared" si="1"/>
        <v>1</v>
      </c>
      <c r="Z13" s="213">
        <f t="shared" si="2"/>
        <v>0.7</v>
      </c>
      <c r="AA13" s="214" t="b">
        <f t="shared" si="3"/>
        <v>1</v>
      </c>
      <c r="AB13" s="214" t="b">
        <f t="shared" si="4"/>
        <v>1</v>
      </c>
    </row>
    <row r="14" spans="1:29" s="230" customFormat="1" ht="33.75" customHeight="1" x14ac:dyDescent="0.25">
      <c r="A14" s="283">
        <v>12</v>
      </c>
      <c r="B14" s="145" t="s">
        <v>169</v>
      </c>
      <c r="C14" s="159" t="s">
        <v>74</v>
      </c>
      <c r="D14" s="145" t="s">
        <v>51</v>
      </c>
      <c r="E14" s="145">
        <v>1607053</v>
      </c>
      <c r="F14" s="221" t="s">
        <v>46</v>
      </c>
      <c r="G14" s="145" t="s">
        <v>170</v>
      </c>
      <c r="H14" s="145" t="s">
        <v>84</v>
      </c>
      <c r="I14" s="279">
        <v>2.33718</v>
      </c>
      <c r="J14" s="178" t="s">
        <v>171</v>
      </c>
      <c r="K14" s="177">
        <v>9848396.3399999999</v>
      </c>
      <c r="L14" s="217">
        <f t="shared" si="5"/>
        <v>5909037.7999999998</v>
      </c>
      <c r="M14" s="218">
        <f t="shared" si="0"/>
        <v>3939358.54</v>
      </c>
      <c r="N14" s="160">
        <v>0.6</v>
      </c>
      <c r="O14" s="172">
        <v>0</v>
      </c>
      <c r="P14" s="177">
        <v>0</v>
      </c>
      <c r="Q14" s="170">
        <v>0</v>
      </c>
      <c r="R14" s="172">
        <v>0</v>
      </c>
      <c r="S14" s="238">
        <f>ROUND(N14*3917813.39,2)</f>
        <v>2350688.0299999998</v>
      </c>
      <c r="T14" s="172">
        <f>L14-S14</f>
        <v>3558349.77</v>
      </c>
      <c r="U14" s="172">
        <v>0</v>
      </c>
      <c r="V14" s="172">
        <v>0</v>
      </c>
      <c r="W14" s="177">
        <v>0</v>
      </c>
      <c r="X14" s="177">
        <v>0</v>
      </c>
      <c r="Y14" s="212" t="b">
        <f t="shared" si="1"/>
        <v>1</v>
      </c>
      <c r="Z14" s="213">
        <f t="shared" si="2"/>
        <v>0.6</v>
      </c>
      <c r="AA14" s="214" t="b">
        <f t="shared" si="3"/>
        <v>1</v>
      </c>
      <c r="AB14" s="214" t="b">
        <f t="shared" si="4"/>
        <v>1</v>
      </c>
    </row>
    <row r="15" spans="1:29" s="230" customFormat="1" ht="40.5" customHeight="1" x14ac:dyDescent="0.25">
      <c r="A15" s="283">
        <v>13</v>
      </c>
      <c r="B15" s="145" t="s">
        <v>172</v>
      </c>
      <c r="C15" s="159" t="s">
        <v>74</v>
      </c>
      <c r="D15" s="145" t="s">
        <v>97</v>
      </c>
      <c r="E15" s="145">
        <v>1607013</v>
      </c>
      <c r="F15" s="145" t="s">
        <v>46</v>
      </c>
      <c r="G15" s="145" t="s">
        <v>173</v>
      </c>
      <c r="H15" s="145" t="s">
        <v>84</v>
      </c>
      <c r="I15" s="237">
        <v>1.3407500000000001</v>
      </c>
      <c r="J15" s="178" t="s">
        <v>174</v>
      </c>
      <c r="K15" s="223">
        <v>5847943.0700000003</v>
      </c>
      <c r="L15" s="217">
        <f t="shared" si="5"/>
        <v>4678354.46</v>
      </c>
      <c r="M15" s="218">
        <f t="shared" si="0"/>
        <v>1169588.6100000003</v>
      </c>
      <c r="N15" s="160">
        <v>0.8</v>
      </c>
      <c r="O15" s="172">
        <v>0</v>
      </c>
      <c r="P15" s="177">
        <v>0</v>
      </c>
      <c r="Q15" s="170">
        <v>0</v>
      </c>
      <c r="R15" s="172">
        <v>0</v>
      </c>
      <c r="S15" s="238">
        <f>ROUND(N15*4082943.07,2)</f>
        <v>3266354.46</v>
      </c>
      <c r="T15" s="172">
        <f>L15-S15</f>
        <v>1412000</v>
      </c>
      <c r="U15" s="172">
        <v>0</v>
      </c>
      <c r="V15" s="172">
        <v>0</v>
      </c>
      <c r="W15" s="177">
        <v>0</v>
      </c>
      <c r="X15" s="177">
        <v>0</v>
      </c>
      <c r="Y15" s="212" t="b">
        <f t="shared" si="1"/>
        <v>1</v>
      </c>
      <c r="Z15" s="213">
        <f t="shared" si="2"/>
        <v>0.8</v>
      </c>
      <c r="AA15" s="214" t="b">
        <f t="shared" si="3"/>
        <v>1</v>
      </c>
      <c r="AB15" s="214" t="b">
        <f t="shared" si="4"/>
        <v>1</v>
      </c>
    </row>
    <row r="16" spans="1:29" s="230" customFormat="1" ht="51.75" customHeight="1" x14ac:dyDescent="0.25">
      <c r="A16" s="283">
        <v>14</v>
      </c>
      <c r="B16" s="145" t="s">
        <v>156</v>
      </c>
      <c r="C16" s="159" t="s">
        <v>74</v>
      </c>
      <c r="D16" s="221" t="s">
        <v>92</v>
      </c>
      <c r="E16" s="221">
        <v>1603011</v>
      </c>
      <c r="F16" s="221" t="s">
        <v>61</v>
      </c>
      <c r="G16" s="221" t="s">
        <v>157</v>
      </c>
      <c r="H16" s="145" t="s">
        <v>47</v>
      </c>
      <c r="I16" s="279">
        <v>0.191</v>
      </c>
      <c r="J16" s="178" t="s">
        <v>158</v>
      </c>
      <c r="K16" s="223">
        <v>3276226</v>
      </c>
      <c r="L16" s="217">
        <f t="shared" si="5"/>
        <v>1638113</v>
      </c>
      <c r="M16" s="218">
        <f t="shared" si="0"/>
        <v>1638113</v>
      </c>
      <c r="N16" s="160">
        <v>0.5</v>
      </c>
      <c r="O16" s="172">
        <v>0</v>
      </c>
      <c r="P16" s="177">
        <v>0</v>
      </c>
      <c r="Q16" s="170">
        <v>0</v>
      </c>
      <c r="R16" s="172">
        <v>0</v>
      </c>
      <c r="S16" s="238">
        <f>ROUND(N16*2001400,2)</f>
        <v>1000700</v>
      </c>
      <c r="T16" s="172">
        <f>L16-S16</f>
        <v>637413</v>
      </c>
      <c r="U16" s="172">
        <v>0</v>
      </c>
      <c r="V16" s="172">
        <v>0</v>
      </c>
      <c r="W16" s="177">
        <v>0</v>
      </c>
      <c r="X16" s="177">
        <v>0</v>
      </c>
      <c r="Y16" s="212" t="b">
        <f t="shared" si="1"/>
        <v>1</v>
      </c>
      <c r="Z16" s="213">
        <f t="shared" si="2"/>
        <v>0.5</v>
      </c>
      <c r="AA16" s="214" t="b">
        <f t="shared" si="3"/>
        <v>1</v>
      </c>
      <c r="AB16" s="214" t="b">
        <f t="shared" si="4"/>
        <v>1</v>
      </c>
    </row>
    <row r="17" spans="1:28" s="232" customFormat="1" ht="36.75" customHeight="1" x14ac:dyDescent="0.25">
      <c r="A17" s="283">
        <v>15</v>
      </c>
      <c r="B17" s="240" t="s">
        <v>291</v>
      </c>
      <c r="C17" s="227" t="s">
        <v>53</v>
      </c>
      <c r="D17" s="226" t="s">
        <v>62</v>
      </c>
      <c r="E17" s="240">
        <v>1610043</v>
      </c>
      <c r="F17" s="240" t="s">
        <v>50</v>
      </c>
      <c r="G17" s="240" t="s">
        <v>292</v>
      </c>
      <c r="H17" s="240" t="s">
        <v>84</v>
      </c>
      <c r="I17" s="280">
        <v>0.56927000000000005</v>
      </c>
      <c r="J17" s="241" t="s">
        <v>210</v>
      </c>
      <c r="K17" s="242">
        <v>1590392.52</v>
      </c>
      <c r="L17" s="167">
        <f t="shared" si="5"/>
        <v>1272314.02</v>
      </c>
      <c r="M17" s="168">
        <f t="shared" si="0"/>
        <v>318078.5</v>
      </c>
      <c r="N17" s="147">
        <v>0.8</v>
      </c>
      <c r="O17" s="171">
        <v>0</v>
      </c>
      <c r="P17" s="173">
        <v>0</v>
      </c>
      <c r="Q17" s="169">
        <v>0</v>
      </c>
      <c r="R17" s="171">
        <v>0</v>
      </c>
      <c r="S17" s="171">
        <f>L17</f>
        <v>1272314.02</v>
      </c>
      <c r="T17" s="171">
        <v>0</v>
      </c>
      <c r="U17" s="171">
        <v>0</v>
      </c>
      <c r="V17" s="171">
        <v>0</v>
      </c>
      <c r="W17" s="173">
        <v>0</v>
      </c>
      <c r="X17" s="173">
        <v>0</v>
      </c>
      <c r="Y17" s="233" t="b">
        <f t="shared" si="1"/>
        <v>1</v>
      </c>
      <c r="Z17" s="234">
        <f t="shared" si="2"/>
        <v>0.8</v>
      </c>
      <c r="AA17" s="235" t="b">
        <f t="shared" si="3"/>
        <v>1</v>
      </c>
      <c r="AB17" s="235" t="b">
        <f t="shared" si="4"/>
        <v>1</v>
      </c>
    </row>
    <row r="18" spans="1:28" s="232" customFormat="1" ht="42" customHeight="1" x14ac:dyDescent="0.25">
      <c r="A18" s="283">
        <v>16</v>
      </c>
      <c r="B18" s="157" t="s">
        <v>181</v>
      </c>
      <c r="C18" s="158" t="s">
        <v>53</v>
      </c>
      <c r="D18" s="157" t="s">
        <v>78</v>
      </c>
      <c r="E18" s="220">
        <v>1608033</v>
      </c>
      <c r="F18" s="220" t="s">
        <v>57</v>
      </c>
      <c r="G18" s="220" t="s">
        <v>182</v>
      </c>
      <c r="H18" s="157" t="s">
        <v>47</v>
      </c>
      <c r="I18" s="225">
        <v>0.23599999999999999</v>
      </c>
      <c r="J18" s="174" t="s">
        <v>164</v>
      </c>
      <c r="K18" s="173">
        <v>729764.8</v>
      </c>
      <c r="L18" s="167">
        <f t="shared" si="5"/>
        <v>510835.36</v>
      </c>
      <c r="M18" s="168">
        <f t="shared" si="0"/>
        <v>218929.44000000006</v>
      </c>
      <c r="N18" s="147">
        <v>0.7</v>
      </c>
      <c r="O18" s="171">
        <v>0</v>
      </c>
      <c r="P18" s="173">
        <v>0</v>
      </c>
      <c r="Q18" s="169">
        <v>0</v>
      </c>
      <c r="R18" s="171">
        <v>0</v>
      </c>
      <c r="S18" s="171">
        <f>L18</f>
        <v>510835.36</v>
      </c>
      <c r="T18" s="171">
        <v>0</v>
      </c>
      <c r="U18" s="171">
        <v>0</v>
      </c>
      <c r="V18" s="171">
        <v>0</v>
      </c>
      <c r="W18" s="173">
        <v>0</v>
      </c>
      <c r="X18" s="173">
        <v>0</v>
      </c>
      <c r="Y18" s="233" t="b">
        <f t="shared" si="1"/>
        <v>1</v>
      </c>
      <c r="Z18" s="234">
        <f t="shared" si="2"/>
        <v>0.7</v>
      </c>
      <c r="AA18" s="235" t="b">
        <f t="shared" si="3"/>
        <v>1</v>
      </c>
      <c r="AB18" s="235" t="b">
        <f t="shared" si="4"/>
        <v>1</v>
      </c>
    </row>
    <row r="19" spans="1:28" s="232" customFormat="1" ht="51" customHeight="1" x14ac:dyDescent="0.25">
      <c r="A19" s="283">
        <v>17</v>
      </c>
      <c r="B19" s="157" t="s">
        <v>199</v>
      </c>
      <c r="C19" s="158" t="s">
        <v>53</v>
      </c>
      <c r="D19" s="220" t="s">
        <v>67</v>
      </c>
      <c r="E19" s="220">
        <v>1607092</v>
      </c>
      <c r="F19" s="220" t="s">
        <v>46</v>
      </c>
      <c r="G19" s="220" t="s">
        <v>200</v>
      </c>
      <c r="H19" s="157" t="s">
        <v>84</v>
      </c>
      <c r="I19" s="225">
        <v>0.502</v>
      </c>
      <c r="J19" s="174" t="s">
        <v>201</v>
      </c>
      <c r="K19" s="173">
        <v>6234639.7999999998</v>
      </c>
      <c r="L19" s="167">
        <f t="shared" si="5"/>
        <v>4364247.8600000003</v>
      </c>
      <c r="M19" s="168">
        <f t="shared" si="0"/>
        <v>1870391.9399999995</v>
      </c>
      <c r="N19" s="147">
        <v>0.7</v>
      </c>
      <c r="O19" s="171">
        <v>0</v>
      </c>
      <c r="P19" s="173">
        <v>0</v>
      </c>
      <c r="Q19" s="169">
        <v>0</v>
      </c>
      <c r="R19" s="171">
        <v>0</v>
      </c>
      <c r="S19" s="171">
        <f>L19</f>
        <v>4364247.8600000003</v>
      </c>
      <c r="T19" s="171">
        <v>0</v>
      </c>
      <c r="U19" s="171">
        <v>0</v>
      </c>
      <c r="V19" s="171">
        <v>0</v>
      </c>
      <c r="W19" s="173">
        <v>0</v>
      </c>
      <c r="X19" s="173">
        <v>0</v>
      </c>
      <c r="Y19" s="233" t="b">
        <f t="shared" si="1"/>
        <v>1</v>
      </c>
      <c r="Z19" s="234">
        <f t="shared" si="2"/>
        <v>0.7</v>
      </c>
      <c r="AA19" s="235" t="b">
        <f t="shared" si="3"/>
        <v>1</v>
      </c>
      <c r="AB19" s="235" t="b">
        <f t="shared" si="4"/>
        <v>1</v>
      </c>
    </row>
    <row r="20" spans="1:28" s="232" customFormat="1" ht="36.75" customHeight="1" x14ac:dyDescent="0.25">
      <c r="A20" s="283">
        <v>18</v>
      </c>
      <c r="B20" s="157" t="s">
        <v>183</v>
      </c>
      <c r="C20" s="158" t="s">
        <v>53</v>
      </c>
      <c r="D20" s="220" t="s">
        <v>69</v>
      </c>
      <c r="E20" s="220">
        <v>1603042</v>
      </c>
      <c r="F20" s="220" t="s">
        <v>61</v>
      </c>
      <c r="G20" s="220" t="s">
        <v>184</v>
      </c>
      <c r="H20" s="157" t="s">
        <v>47</v>
      </c>
      <c r="I20" s="225">
        <v>0.60599999999999998</v>
      </c>
      <c r="J20" s="174" t="s">
        <v>185</v>
      </c>
      <c r="K20" s="173">
        <v>1097419.31</v>
      </c>
      <c r="L20" s="167">
        <f t="shared" si="5"/>
        <v>658451.59</v>
      </c>
      <c r="M20" s="168">
        <f t="shared" si="0"/>
        <v>438967.72000000009</v>
      </c>
      <c r="N20" s="147">
        <v>0.6</v>
      </c>
      <c r="O20" s="171">
        <v>0</v>
      </c>
      <c r="P20" s="173">
        <v>0</v>
      </c>
      <c r="Q20" s="169">
        <v>0</v>
      </c>
      <c r="R20" s="171">
        <v>0</v>
      </c>
      <c r="S20" s="171">
        <f>L20</f>
        <v>658451.59</v>
      </c>
      <c r="T20" s="171">
        <v>0</v>
      </c>
      <c r="U20" s="171">
        <v>0</v>
      </c>
      <c r="V20" s="171">
        <v>0</v>
      </c>
      <c r="W20" s="173">
        <v>0</v>
      </c>
      <c r="X20" s="173">
        <v>0</v>
      </c>
      <c r="Y20" s="233" t="b">
        <f t="shared" si="1"/>
        <v>1</v>
      </c>
      <c r="Z20" s="234">
        <f t="shared" si="2"/>
        <v>0.6</v>
      </c>
      <c r="AA20" s="235" t="b">
        <f t="shared" si="3"/>
        <v>1</v>
      </c>
      <c r="AB20" s="235" t="b">
        <f t="shared" si="4"/>
        <v>1</v>
      </c>
    </row>
    <row r="21" spans="1:28" s="232" customFormat="1" ht="30.75" customHeight="1" x14ac:dyDescent="0.25">
      <c r="A21" s="283">
        <v>19</v>
      </c>
      <c r="B21" s="157" t="s">
        <v>186</v>
      </c>
      <c r="C21" s="158" t="s">
        <v>53</v>
      </c>
      <c r="D21" s="220" t="s">
        <v>63</v>
      </c>
      <c r="E21" s="220">
        <v>1609032</v>
      </c>
      <c r="F21" s="220" t="s">
        <v>56</v>
      </c>
      <c r="G21" s="220" t="s">
        <v>187</v>
      </c>
      <c r="H21" s="157" t="s">
        <v>85</v>
      </c>
      <c r="I21" s="225">
        <v>0.45467999999999997</v>
      </c>
      <c r="J21" s="174" t="s">
        <v>188</v>
      </c>
      <c r="K21" s="173">
        <v>1057090.8500000001</v>
      </c>
      <c r="L21" s="167">
        <f t="shared" si="5"/>
        <v>739963.6</v>
      </c>
      <c r="M21" s="168">
        <f t="shared" si="0"/>
        <v>317127.25000000012</v>
      </c>
      <c r="N21" s="147">
        <v>0.7</v>
      </c>
      <c r="O21" s="171">
        <v>0</v>
      </c>
      <c r="P21" s="173">
        <v>0</v>
      </c>
      <c r="Q21" s="169">
        <v>0</v>
      </c>
      <c r="R21" s="171">
        <v>0</v>
      </c>
      <c r="S21" s="171">
        <f>L21</f>
        <v>739963.6</v>
      </c>
      <c r="T21" s="171">
        <v>0</v>
      </c>
      <c r="U21" s="171">
        <v>0</v>
      </c>
      <c r="V21" s="171">
        <v>0</v>
      </c>
      <c r="W21" s="173">
        <v>0</v>
      </c>
      <c r="X21" s="173">
        <v>0</v>
      </c>
      <c r="Y21" s="233" t="b">
        <f t="shared" si="1"/>
        <v>1</v>
      </c>
      <c r="Z21" s="234">
        <f t="shared" si="2"/>
        <v>0.7</v>
      </c>
      <c r="AA21" s="235" t="b">
        <f t="shared" si="3"/>
        <v>1</v>
      </c>
      <c r="AB21" s="235" t="b">
        <f t="shared" si="4"/>
        <v>1</v>
      </c>
    </row>
    <row r="22" spans="1:28" s="138" customFormat="1" ht="30.75" customHeight="1" x14ac:dyDescent="0.25">
      <c r="A22" s="283">
        <v>20</v>
      </c>
      <c r="B22" s="145" t="s">
        <v>189</v>
      </c>
      <c r="C22" s="159" t="s">
        <v>74</v>
      </c>
      <c r="D22" s="221" t="s">
        <v>190</v>
      </c>
      <c r="E22" s="221">
        <v>1611063</v>
      </c>
      <c r="F22" s="221" t="s">
        <v>58</v>
      </c>
      <c r="G22" s="221" t="s">
        <v>191</v>
      </c>
      <c r="H22" s="145" t="s">
        <v>84</v>
      </c>
      <c r="I22" s="237">
        <v>0.64900000000000002</v>
      </c>
      <c r="J22" s="178" t="s">
        <v>293</v>
      </c>
      <c r="K22" s="177">
        <v>2519210.42</v>
      </c>
      <c r="L22" s="217">
        <f t="shared" si="5"/>
        <v>1259605.21</v>
      </c>
      <c r="M22" s="218">
        <f t="shared" si="0"/>
        <v>1259605.21</v>
      </c>
      <c r="N22" s="160">
        <v>0.5</v>
      </c>
      <c r="O22" s="172">
        <v>0</v>
      </c>
      <c r="P22" s="177">
        <v>0</v>
      </c>
      <c r="Q22" s="170">
        <v>0</v>
      </c>
      <c r="R22" s="172">
        <v>0</v>
      </c>
      <c r="S22" s="238">
        <f>ROUND(N22*1261605.21,2)</f>
        <v>630802.61</v>
      </c>
      <c r="T22" s="238">
        <f>L22-S22</f>
        <v>628802.6</v>
      </c>
      <c r="U22" s="172">
        <v>0</v>
      </c>
      <c r="V22" s="172">
        <v>0</v>
      </c>
      <c r="W22" s="177">
        <v>0</v>
      </c>
      <c r="X22" s="177">
        <v>0</v>
      </c>
      <c r="Y22" s="212" t="b">
        <f t="shared" si="1"/>
        <v>1</v>
      </c>
      <c r="Z22" s="213">
        <f t="shared" si="2"/>
        <v>0.5</v>
      </c>
      <c r="AA22" s="214" t="b">
        <f t="shared" si="3"/>
        <v>1</v>
      </c>
      <c r="AB22" s="214" t="b">
        <f t="shared" si="4"/>
        <v>1</v>
      </c>
    </row>
    <row r="23" spans="1:28" s="232" customFormat="1" ht="35.25" customHeight="1" x14ac:dyDescent="0.25">
      <c r="A23" s="283">
        <v>21</v>
      </c>
      <c r="B23" s="157" t="s">
        <v>192</v>
      </c>
      <c r="C23" s="158" t="s">
        <v>53</v>
      </c>
      <c r="D23" s="220" t="s">
        <v>63</v>
      </c>
      <c r="E23" s="220">
        <v>1609032</v>
      </c>
      <c r="F23" s="220" t="s">
        <v>56</v>
      </c>
      <c r="G23" s="220" t="s">
        <v>193</v>
      </c>
      <c r="H23" s="157" t="s">
        <v>84</v>
      </c>
      <c r="I23" s="225">
        <v>7.2999999999999995E-2</v>
      </c>
      <c r="J23" s="174" t="s">
        <v>188</v>
      </c>
      <c r="K23" s="173">
        <v>880723.41</v>
      </c>
      <c r="L23" s="167">
        <f t="shared" si="5"/>
        <v>616506.39</v>
      </c>
      <c r="M23" s="168">
        <f t="shared" si="0"/>
        <v>264217.02</v>
      </c>
      <c r="N23" s="147">
        <v>0.7</v>
      </c>
      <c r="O23" s="171">
        <v>0</v>
      </c>
      <c r="P23" s="173">
        <v>0</v>
      </c>
      <c r="Q23" s="169">
        <v>0</v>
      </c>
      <c r="R23" s="171">
        <v>0</v>
      </c>
      <c r="S23" s="171">
        <f t="shared" ref="S23:S29" si="6">L23</f>
        <v>616506.39</v>
      </c>
      <c r="T23" s="171">
        <v>0</v>
      </c>
      <c r="U23" s="171">
        <v>0</v>
      </c>
      <c r="V23" s="171">
        <v>0</v>
      </c>
      <c r="W23" s="173">
        <v>0</v>
      </c>
      <c r="X23" s="173">
        <v>0</v>
      </c>
      <c r="Y23" s="233" t="b">
        <f t="shared" si="1"/>
        <v>1</v>
      </c>
      <c r="Z23" s="234">
        <f t="shared" si="2"/>
        <v>0.7</v>
      </c>
      <c r="AA23" s="235" t="b">
        <f t="shared" si="3"/>
        <v>1</v>
      </c>
      <c r="AB23" s="235" t="b">
        <f t="shared" si="4"/>
        <v>1</v>
      </c>
    </row>
    <row r="24" spans="1:28" s="232" customFormat="1" ht="44.25" customHeight="1" x14ac:dyDescent="0.25">
      <c r="A24" s="283">
        <v>22</v>
      </c>
      <c r="B24" s="157" t="s">
        <v>194</v>
      </c>
      <c r="C24" s="158" t="s">
        <v>53</v>
      </c>
      <c r="D24" s="220" t="s">
        <v>68</v>
      </c>
      <c r="E24" s="220">
        <v>1606023</v>
      </c>
      <c r="F24" s="220" t="s">
        <v>59</v>
      </c>
      <c r="G24" s="220" t="s">
        <v>195</v>
      </c>
      <c r="H24" s="157" t="s">
        <v>84</v>
      </c>
      <c r="I24" s="225">
        <v>0.49099999999999999</v>
      </c>
      <c r="J24" s="174" t="s">
        <v>196</v>
      </c>
      <c r="K24" s="173">
        <v>1131417.32</v>
      </c>
      <c r="L24" s="167">
        <f t="shared" si="5"/>
        <v>678850.39</v>
      </c>
      <c r="M24" s="168">
        <f t="shared" si="0"/>
        <v>452566.93000000005</v>
      </c>
      <c r="N24" s="147">
        <v>0.6</v>
      </c>
      <c r="O24" s="171">
        <v>0</v>
      </c>
      <c r="P24" s="173">
        <v>0</v>
      </c>
      <c r="Q24" s="169">
        <v>0</v>
      </c>
      <c r="R24" s="171">
        <v>0</v>
      </c>
      <c r="S24" s="171">
        <f t="shared" si="6"/>
        <v>678850.39</v>
      </c>
      <c r="T24" s="171">
        <v>0</v>
      </c>
      <c r="U24" s="171">
        <v>0</v>
      </c>
      <c r="V24" s="171">
        <v>0</v>
      </c>
      <c r="W24" s="173">
        <v>0</v>
      </c>
      <c r="X24" s="173">
        <v>0</v>
      </c>
      <c r="Y24" s="233" t="b">
        <f t="shared" si="1"/>
        <v>1</v>
      </c>
      <c r="Z24" s="234">
        <f t="shared" si="2"/>
        <v>0.6</v>
      </c>
      <c r="AA24" s="235" t="b">
        <f t="shared" si="3"/>
        <v>1</v>
      </c>
      <c r="AB24" s="235" t="b">
        <f t="shared" si="4"/>
        <v>1</v>
      </c>
    </row>
    <row r="25" spans="1:28" s="232" customFormat="1" ht="30.75" customHeight="1" x14ac:dyDescent="0.25">
      <c r="A25" s="283">
        <v>23</v>
      </c>
      <c r="B25" s="157" t="s">
        <v>197</v>
      </c>
      <c r="C25" s="158" t="s">
        <v>53</v>
      </c>
      <c r="D25" s="220" t="s">
        <v>52</v>
      </c>
      <c r="E25" s="220">
        <v>1601033</v>
      </c>
      <c r="F25" s="220" t="s">
        <v>49</v>
      </c>
      <c r="G25" s="220" t="s">
        <v>198</v>
      </c>
      <c r="H25" s="157" t="s">
        <v>47</v>
      </c>
      <c r="I25" s="225">
        <v>0.20200000000000001</v>
      </c>
      <c r="J25" s="174" t="s">
        <v>185</v>
      </c>
      <c r="K25" s="173">
        <v>2541584.13</v>
      </c>
      <c r="L25" s="167">
        <f t="shared" si="5"/>
        <v>1524950.48</v>
      </c>
      <c r="M25" s="168">
        <f t="shared" si="0"/>
        <v>1016633.6499999999</v>
      </c>
      <c r="N25" s="147">
        <v>0.6</v>
      </c>
      <c r="O25" s="171">
        <v>0</v>
      </c>
      <c r="P25" s="173">
        <v>0</v>
      </c>
      <c r="Q25" s="169">
        <v>0</v>
      </c>
      <c r="R25" s="171">
        <v>0</v>
      </c>
      <c r="S25" s="171">
        <f t="shared" si="6"/>
        <v>1524950.48</v>
      </c>
      <c r="T25" s="171">
        <v>0</v>
      </c>
      <c r="U25" s="171">
        <v>0</v>
      </c>
      <c r="V25" s="171">
        <v>0</v>
      </c>
      <c r="W25" s="173">
        <v>0</v>
      </c>
      <c r="X25" s="173">
        <v>0</v>
      </c>
      <c r="Y25" s="233" t="b">
        <f t="shared" si="1"/>
        <v>1</v>
      </c>
      <c r="Z25" s="234">
        <f t="shared" si="2"/>
        <v>0.6</v>
      </c>
      <c r="AA25" s="235" t="b">
        <f t="shared" si="3"/>
        <v>1</v>
      </c>
      <c r="AB25" s="235" t="b">
        <f t="shared" si="4"/>
        <v>1</v>
      </c>
    </row>
    <row r="26" spans="1:28" s="232" customFormat="1" ht="39.75" customHeight="1" x14ac:dyDescent="0.25">
      <c r="A26" s="283">
        <v>24</v>
      </c>
      <c r="B26" s="157" t="s">
        <v>202</v>
      </c>
      <c r="C26" s="158" t="s">
        <v>53</v>
      </c>
      <c r="D26" s="157" t="s">
        <v>203</v>
      </c>
      <c r="E26" s="157">
        <v>1610023</v>
      </c>
      <c r="F26" s="157" t="s">
        <v>50</v>
      </c>
      <c r="G26" s="157" t="s">
        <v>204</v>
      </c>
      <c r="H26" s="157" t="s">
        <v>84</v>
      </c>
      <c r="I26" s="264">
        <v>0.15029999999999999</v>
      </c>
      <c r="J26" s="174" t="s">
        <v>185</v>
      </c>
      <c r="K26" s="173">
        <v>287099.39</v>
      </c>
      <c r="L26" s="167">
        <f t="shared" si="5"/>
        <v>172259.63</v>
      </c>
      <c r="M26" s="168">
        <f t="shared" si="0"/>
        <v>114839.76000000001</v>
      </c>
      <c r="N26" s="147">
        <v>0.6</v>
      </c>
      <c r="O26" s="171">
        <v>0</v>
      </c>
      <c r="P26" s="173">
        <v>0</v>
      </c>
      <c r="Q26" s="169">
        <v>0</v>
      </c>
      <c r="R26" s="171">
        <v>0</v>
      </c>
      <c r="S26" s="171">
        <f t="shared" si="6"/>
        <v>172259.63</v>
      </c>
      <c r="T26" s="171">
        <v>0</v>
      </c>
      <c r="U26" s="171">
        <v>0</v>
      </c>
      <c r="V26" s="171">
        <v>0</v>
      </c>
      <c r="W26" s="173">
        <v>0</v>
      </c>
      <c r="X26" s="173">
        <v>0</v>
      </c>
      <c r="Y26" s="233" t="b">
        <f t="shared" si="1"/>
        <v>1</v>
      </c>
      <c r="Z26" s="234">
        <f t="shared" si="2"/>
        <v>0.6</v>
      </c>
      <c r="AA26" s="235" t="b">
        <f t="shared" si="3"/>
        <v>1</v>
      </c>
      <c r="AB26" s="235" t="b">
        <f t="shared" si="4"/>
        <v>1</v>
      </c>
    </row>
    <row r="27" spans="1:28" s="232" customFormat="1" ht="42" customHeight="1" x14ac:dyDescent="0.25">
      <c r="A27" s="283">
        <v>25</v>
      </c>
      <c r="B27" s="157" t="s">
        <v>205</v>
      </c>
      <c r="C27" s="158" t="s">
        <v>53</v>
      </c>
      <c r="D27" s="220" t="s">
        <v>54</v>
      </c>
      <c r="E27" s="220">
        <v>1601011</v>
      </c>
      <c r="F27" s="220" t="s">
        <v>49</v>
      </c>
      <c r="G27" s="220" t="s">
        <v>206</v>
      </c>
      <c r="H27" s="157" t="s">
        <v>84</v>
      </c>
      <c r="I27" s="225">
        <v>0.14649999999999999</v>
      </c>
      <c r="J27" s="174" t="s">
        <v>207</v>
      </c>
      <c r="K27" s="173">
        <v>1527984.01</v>
      </c>
      <c r="L27" s="167">
        <f t="shared" si="5"/>
        <v>1222387.21</v>
      </c>
      <c r="M27" s="168">
        <f t="shared" si="0"/>
        <v>305596.80000000005</v>
      </c>
      <c r="N27" s="147">
        <v>0.8</v>
      </c>
      <c r="O27" s="171">
        <v>0</v>
      </c>
      <c r="P27" s="173">
        <v>0</v>
      </c>
      <c r="Q27" s="169">
        <v>0</v>
      </c>
      <c r="R27" s="171">
        <v>0</v>
      </c>
      <c r="S27" s="171">
        <f t="shared" si="6"/>
        <v>1222387.21</v>
      </c>
      <c r="T27" s="171">
        <v>0</v>
      </c>
      <c r="U27" s="171">
        <v>0</v>
      </c>
      <c r="V27" s="171">
        <v>0</v>
      </c>
      <c r="W27" s="173">
        <v>0</v>
      </c>
      <c r="X27" s="173">
        <v>0</v>
      </c>
      <c r="Y27" s="233" t="b">
        <f t="shared" si="1"/>
        <v>1</v>
      </c>
      <c r="Z27" s="234">
        <f t="shared" si="2"/>
        <v>0.8</v>
      </c>
      <c r="AA27" s="235" t="b">
        <f t="shared" si="3"/>
        <v>1</v>
      </c>
      <c r="AB27" s="235" t="b">
        <f t="shared" si="4"/>
        <v>1</v>
      </c>
    </row>
    <row r="28" spans="1:28" s="231" customFormat="1" ht="36.75" customHeight="1" x14ac:dyDescent="0.25">
      <c r="A28" s="283">
        <v>26</v>
      </c>
      <c r="B28" s="157" t="s">
        <v>175</v>
      </c>
      <c r="C28" s="158" t="s">
        <v>53</v>
      </c>
      <c r="D28" s="157" t="s">
        <v>92</v>
      </c>
      <c r="E28" s="157">
        <v>1603011</v>
      </c>
      <c r="F28" s="220" t="s">
        <v>61</v>
      </c>
      <c r="G28" s="157" t="s">
        <v>176</v>
      </c>
      <c r="H28" s="157" t="s">
        <v>85</v>
      </c>
      <c r="I28" s="264">
        <v>0.107</v>
      </c>
      <c r="J28" s="174" t="s">
        <v>177</v>
      </c>
      <c r="K28" s="173">
        <v>1526769.27</v>
      </c>
      <c r="L28" s="167">
        <f t="shared" si="5"/>
        <v>763384.64</v>
      </c>
      <c r="M28" s="168">
        <f t="shared" si="0"/>
        <v>763384.63</v>
      </c>
      <c r="N28" s="147">
        <v>0.5</v>
      </c>
      <c r="O28" s="171">
        <v>0</v>
      </c>
      <c r="P28" s="173">
        <v>0</v>
      </c>
      <c r="Q28" s="169">
        <v>0</v>
      </c>
      <c r="R28" s="171">
        <v>0</v>
      </c>
      <c r="S28" s="171">
        <f t="shared" si="6"/>
        <v>763384.64</v>
      </c>
      <c r="T28" s="171">
        <v>0</v>
      </c>
      <c r="U28" s="171">
        <v>0</v>
      </c>
      <c r="V28" s="171">
        <v>0</v>
      </c>
      <c r="W28" s="173">
        <v>0</v>
      </c>
      <c r="X28" s="173">
        <v>0</v>
      </c>
      <c r="Y28" s="233" t="b">
        <f t="shared" si="1"/>
        <v>1</v>
      </c>
      <c r="Z28" s="234">
        <f t="shared" si="2"/>
        <v>0.5</v>
      </c>
      <c r="AA28" s="235" t="b">
        <f t="shared" si="3"/>
        <v>1</v>
      </c>
      <c r="AB28" s="235" t="b">
        <f t="shared" si="4"/>
        <v>1</v>
      </c>
    </row>
    <row r="29" spans="1:28" s="232" customFormat="1" ht="34.5" customHeight="1" x14ac:dyDescent="0.25">
      <c r="A29" s="283">
        <v>27</v>
      </c>
      <c r="B29" s="157" t="s">
        <v>208</v>
      </c>
      <c r="C29" s="158" t="s">
        <v>53</v>
      </c>
      <c r="D29" s="157" t="s">
        <v>62</v>
      </c>
      <c r="E29" s="157">
        <v>1610043</v>
      </c>
      <c r="F29" s="220" t="s">
        <v>50</v>
      </c>
      <c r="G29" s="157" t="s">
        <v>209</v>
      </c>
      <c r="H29" s="157" t="s">
        <v>47</v>
      </c>
      <c r="I29" s="264">
        <v>0.376</v>
      </c>
      <c r="J29" s="174" t="s">
        <v>210</v>
      </c>
      <c r="K29" s="173">
        <v>1325813.96</v>
      </c>
      <c r="L29" s="167">
        <f t="shared" si="5"/>
        <v>1060651.17</v>
      </c>
      <c r="M29" s="168">
        <f t="shared" si="0"/>
        <v>265162.79000000004</v>
      </c>
      <c r="N29" s="147">
        <v>0.8</v>
      </c>
      <c r="O29" s="171">
        <v>0</v>
      </c>
      <c r="P29" s="173">
        <v>0</v>
      </c>
      <c r="Q29" s="169">
        <v>0</v>
      </c>
      <c r="R29" s="171">
        <v>0</v>
      </c>
      <c r="S29" s="171">
        <f t="shared" si="6"/>
        <v>1060651.17</v>
      </c>
      <c r="T29" s="171">
        <v>0</v>
      </c>
      <c r="U29" s="171">
        <v>0</v>
      </c>
      <c r="V29" s="171">
        <v>0</v>
      </c>
      <c r="W29" s="173">
        <v>0</v>
      </c>
      <c r="X29" s="173">
        <v>0</v>
      </c>
      <c r="Y29" s="233" t="b">
        <f t="shared" si="1"/>
        <v>1</v>
      </c>
      <c r="Z29" s="234">
        <f t="shared" si="2"/>
        <v>0.8</v>
      </c>
      <c r="AA29" s="235" t="b">
        <f t="shared" si="3"/>
        <v>1</v>
      </c>
      <c r="AB29" s="235" t="b">
        <f t="shared" si="4"/>
        <v>1</v>
      </c>
    </row>
    <row r="30" spans="1:28" s="230" customFormat="1" ht="45.75" customHeight="1" x14ac:dyDescent="0.25">
      <c r="A30" s="283">
        <v>28</v>
      </c>
      <c r="B30" s="145" t="s">
        <v>211</v>
      </c>
      <c r="C30" s="159" t="s">
        <v>74</v>
      </c>
      <c r="D30" s="221" t="s">
        <v>81</v>
      </c>
      <c r="E30" s="221">
        <v>1611022</v>
      </c>
      <c r="F30" s="221" t="s">
        <v>58</v>
      </c>
      <c r="G30" s="221" t="s">
        <v>212</v>
      </c>
      <c r="H30" s="145" t="s">
        <v>47</v>
      </c>
      <c r="I30" s="237">
        <v>0.437</v>
      </c>
      <c r="J30" s="178" t="s">
        <v>213</v>
      </c>
      <c r="K30" s="223">
        <v>1579264.66</v>
      </c>
      <c r="L30" s="217">
        <f t="shared" si="5"/>
        <v>1105485.26</v>
      </c>
      <c r="M30" s="218">
        <f t="shared" si="0"/>
        <v>473779.39999999991</v>
      </c>
      <c r="N30" s="160">
        <v>0.7</v>
      </c>
      <c r="O30" s="172">
        <v>0</v>
      </c>
      <c r="P30" s="177">
        <v>0</v>
      </c>
      <c r="Q30" s="170">
        <v>0</v>
      </c>
      <c r="R30" s="172">
        <v>0</v>
      </c>
      <c r="S30" s="238">
        <f>ROUND(N30*923870.73,2)</f>
        <v>646709.51</v>
      </c>
      <c r="T30" s="172">
        <f>L30-S30</f>
        <v>458775.75</v>
      </c>
      <c r="U30" s="172">
        <v>0</v>
      </c>
      <c r="V30" s="172">
        <v>0</v>
      </c>
      <c r="W30" s="177">
        <v>0</v>
      </c>
      <c r="X30" s="177">
        <v>0</v>
      </c>
      <c r="Y30" s="212" t="b">
        <f t="shared" si="1"/>
        <v>1</v>
      </c>
      <c r="Z30" s="213">
        <f t="shared" si="2"/>
        <v>0.7</v>
      </c>
      <c r="AA30" s="214" t="b">
        <f t="shared" si="3"/>
        <v>1</v>
      </c>
      <c r="AB30" s="214" t="b">
        <f t="shared" si="4"/>
        <v>1</v>
      </c>
    </row>
    <row r="31" spans="1:28" s="232" customFormat="1" ht="34.5" customHeight="1" x14ac:dyDescent="0.25">
      <c r="A31" s="283">
        <v>29</v>
      </c>
      <c r="B31" s="157" t="s">
        <v>214</v>
      </c>
      <c r="C31" s="158" t="s">
        <v>53</v>
      </c>
      <c r="D31" s="157" t="s">
        <v>79</v>
      </c>
      <c r="E31" s="157">
        <v>1610013</v>
      </c>
      <c r="F31" s="157" t="s">
        <v>50</v>
      </c>
      <c r="G31" s="157" t="s">
        <v>215</v>
      </c>
      <c r="H31" s="157" t="s">
        <v>47</v>
      </c>
      <c r="I31" s="264">
        <v>0.99988999999999995</v>
      </c>
      <c r="J31" s="174" t="s">
        <v>125</v>
      </c>
      <c r="K31" s="173">
        <v>4839113.71</v>
      </c>
      <c r="L31" s="167">
        <f t="shared" si="5"/>
        <v>3387379.6</v>
      </c>
      <c r="M31" s="249">
        <f t="shared" si="0"/>
        <v>1451734.1099999999</v>
      </c>
      <c r="N31" s="147">
        <v>0.7</v>
      </c>
      <c r="O31" s="171">
        <v>0</v>
      </c>
      <c r="P31" s="173">
        <v>0</v>
      </c>
      <c r="Q31" s="250">
        <v>0</v>
      </c>
      <c r="R31" s="171">
        <v>0</v>
      </c>
      <c r="S31" s="171">
        <f>L31</f>
        <v>3387379.6</v>
      </c>
      <c r="T31" s="171">
        <v>0</v>
      </c>
      <c r="U31" s="171">
        <v>0</v>
      </c>
      <c r="V31" s="171">
        <v>0</v>
      </c>
      <c r="W31" s="173">
        <v>0</v>
      </c>
      <c r="X31" s="173">
        <v>0</v>
      </c>
      <c r="Y31" s="251" t="b">
        <f t="shared" si="1"/>
        <v>1</v>
      </c>
      <c r="Z31" s="252">
        <f t="shared" si="2"/>
        <v>0.7</v>
      </c>
      <c r="AA31" s="253" t="b">
        <f t="shared" si="3"/>
        <v>1</v>
      </c>
      <c r="AB31" s="253" t="b">
        <f t="shared" si="4"/>
        <v>1</v>
      </c>
    </row>
    <row r="32" spans="1:28" s="231" customFormat="1" ht="46.5" customHeight="1" x14ac:dyDescent="0.25">
      <c r="A32" s="283">
        <v>30</v>
      </c>
      <c r="B32" s="157" t="s">
        <v>234</v>
      </c>
      <c r="C32" s="157" t="s">
        <v>53</v>
      </c>
      <c r="D32" s="220" t="s">
        <v>92</v>
      </c>
      <c r="E32" s="236">
        <v>1603011</v>
      </c>
      <c r="F32" s="220" t="s">
        <v>61</v>
      </c>
      <c r="G32" s="220" t="s">
        <v>235</v>
      </c>
      <c r="H32" s="157" t="s">
        <v>85</v>
      </c>
      <c r="I32" s="225">
        <v>5.5E-2</v>
      </c>
      <c r="J32" s="174" t="s">
        <v>236</v>
      </c>
      <c r="K32" s="224">
        <v>1918708</v>
      </c>
      <c r="L32" s="167">
        <f t="shared" si="5"/>
        <v>959354</v>
      </c>
      <c r="M32" s="168">
        <f t="shared" si="0"/>
        <v>959354</v>
      </c>
      <c r="N32" s="147">
        <v>0.5</v>
      </c>
      <c r="O32" s="171">
        <v>0</v>
      </c>
      <c r="P32" s="173">
        <v>0</v>
      </c>
      <c r="Q32" s="169">
        <v>0</v>
      </c>
      <c r="R32" s="171">
        <v>0</v>
      </c>
      <c r="S32" s="171">
        <f>L32</f>
        <v>959354</v>
      </c>
      <c r="T32" s="171">
        <v>0</v>
      </c>
      <c r="U32" s="171">
        <v>0</v>
      </c>
      <c r="V32" s="171">
        <v>0</v>
      </c>
      <c r="W32" s="173">
        <v>0</v>
      </c>
      <c r="X32" s="173">
        <v>0</v>
      </c>
      <c r="Y32" s="233" t="b">
        <f t="shared" si="1"/>
        <v>1</v>
      </c>
      <c r="Z32" s="234">
        <f t="shared" si="2"/>
        <v>0.5</v>
      </c>
      <c r="AA32" s="235" t="b">
        <f t="shared" si="3"/>
        <v>1</v>
      </c>
      <c r="AB32" s="235" t="b">
        <f t="shared" si="4"/>
        <v>1</v>
      </c>
    </row>
    <row r="33" spans="1:28" s="231" customFormat="1" ht="46.5" customHeight="1" x14ac:dyDescent="0.25">
      <c r="A33" s="283">
        <v>31</v>
      </c>
      <c r="B33" s="157" t="s">
        <v>219</v>
      </c>
      <c r="C33" s="158" t="s">
        <v>53</v>
      </c>
      <c r="D33" s="220" t="s">
        <v>76</v>
      </c>
      <c r="E33" s="220">
        <v>1609022</v>
      </c>
      <c r="F33" s="220" t="s">
        <v>56</v>
      </c>
      <c r="G33" s="220" t="s">
        <v>220</v>
      </c>
      <c r="H33" s="157" t="s">
        <v>47</v>
      </c>
      <c r="I33" s="225">
        <v>0.79100000000000004</v>
      </c>
      <c r="J33" s="174" t="s">
        <v>161</v>
      </c>
      <c r="K33" s="173">
        <v>1199802.05</v>
      </c>
      <c r="L33" s="167">
        <f t="shared" si="5"/>
        <v>719881.23</v>
      </c>
      <c r="M33" s="168">
        <f t="shared" si="0"/>
        <v>479920.82000000007</v>
      </c>
      <c r="N33" s="147">
        <v>0.6</v>
      </c>
      <c r="O33" s="171">
        <v>0</v>
      </c>
      <c r="P33" s="173">
        <v>0</v>
      </c>
      <c r="Q33" s="169">
        <v>0</v>
      </c>
      <c r="R33" s="171">
        <v>0</v>
      </c>
      <c r="S33" s="171">
        <f>L33</f>
        <v>719881.23</v>
      </c>
      <c r="T33" s="171">
        <v>0</v>
      </c>
      <c r="U33" s="171">
        <v>0</v>
      </c>
      <c r="V33" s="171">
        <v>0</v>
      </c>
      <c r="W33" s="173">
        <v>0</v>
      </c>
      <c r="X33" s="173">
        <v>0</v>
      </c>
      <c r="Y33" s="233" t="b">
        <f t="shared" si="1"/>
        <v>1</v>
      </c>
      <c r="Z33" s="234">
        <f t="shared" si="2"/>
        <v>0.6</v>
      </c>
      <c r="AA33" s="235" t="b">
        <f t="shared" si="3"/>
        <v>1</v>
      </c>
      <c r="AB33" s="235" t="b">
        <f t="shared" si="4"/>
        <v>1</v>
      </c>
    </row>
    <row r="34" spans="1:28" s="231" customFormat="1" ht="36" customHeight="1" x14ac:dyDescent="0.25">
      <c r="A34" s="284" t="s">
        <v>295</v>
      </c>
      <c r="B34" s="157" t="s">
        <v>223</v>
      </c>
      <c r="C34" s="158" t="s">
        <v>53</v>
      </c>
      <c r="D34" s="220" t="s">
        <v>116</v>
      </c>
      <c r="E34" s="236">
        <v>1611033</v>
      </c>
      <c r="F34" s="220" t="s">
        <v>58</v>
      </c>
      <c r="G34" s="220" t="s">
        <v>224</v>
      </c>
      <c r="H34" s="157" t="s">
        <v>84</v>
      </c>
      <c r="I34" s="225">
        <v>0.48299999999999998</v>
      </c>
      <c r="J34" s="174" t="s">
        <v>225</v>
      </c>
      <c r="K34" s="224">
        <v>1341015.31</v>
      </c>
      <c r="L34" s="167">
        <v>480810.04</v>
      </c>
      <c r="M34" s="257">
        <f t="shared" si="0"/>
        <v>860205.27</v>
      </c>
      <c r="N34" s="147">
        <v>0.7</v>
      </c>
      <c r="O34" s="171">
        <v>0</v>
      </c>
      <c r="P34" s="173">
        <v>0</v>
      </c>
      <c r="Q34" s="169">
        <v>0</v>
      </c>
      <c r="R34" s="171">
        <v>0</v>
      </c>
      <c r="S34" s="171">
        <f>L34</f>
        <v>480810.04</v>
      </c>
      <c r="T34" s="171">
        <v>0</v>
      </c>
      <c r="U34" s="171">
        <v>0</v>
      </c>
      <c r="V34" s="171">
        <v>0</v>
      </c>
      <c r="W34" s="173">
        <v>0</v>
      </c>
      <c r="X34" s="173">
        <v>0</v>
      </c>
      <c r="Y34" s="233" t="b">
        <f t="shared" si="1"/>
        <v>1</v>
      </c>
      <c r="Z34" s="234">
        <f t="shared" si="2"/>
        <v>0.35849999999999999</v>
      </c>
      <c r="AA34" s="235" t="b">
        <f t="shared" si="3"/>
        <v>0</v>
      </c>
      <c r="AB34" s="235" t="b">
        <f t="shared" si="4"/>
        <v>1</v>
      </c>
    </row>
    <row r="35" spans="1:28" ht="19.5" customHeight="1" x14ac:dyDescent="0.25">
      <c r="A35" s="357" t="s">
        <v>45</v>
      </c>
      <c r="B35" s="358"/>
      <c r="C35" s="358"/>
      <c r="D35" s="358"/>
      <c r="E35" s="358"/>
      <c r="F35" s="358"/>
      <c r="G35" s="358"/>
      <c r="H35" s="153"/>
      <c r="I35" s="281">
        <f>SUM(I3:I34)</f>
        <v>22.268190000000008</v>
      </c>
      <c r="J35" s="162" t="s">
        <v>13</v>
      </c>
      <c r="K35" s="163">
        <f>SUM(K3:K34)</f>
        <v>119383034.57999995</v>
      </c>
      <c r="L35" s="163">
        <f>SUM(L3:L34)</f>
        <v>76672324.450000018</v>
      </c>
      <c r="M35" s="163">
        <f>SUM(M3:M34)</f>
        <v>42710710.130000003</v>
      </c>
      <c r="N35" s="165" t="s">
        <v>13</v>
      </c>
      <c r="O35" s="164">
        <f t="shared" ref="O35:X35" si="7">SUM(O3:O34)</f>
        <v>0</v>
      </c>
      <c r="P35" s="164">
        <f t="shared" si="7"/>
        <v>0</v>
      </c>
      <c r="Q35" s="164">
        <f t="shared" si="7"/>
        <v>4124460.83</v>
      </c>
      <c r="R35" s="164">
        <f t="shared" si="7"/>
        <v>8820838.5600000005</v>
      </c>
      <c r="S35" s="164">
        <f t="shared" si="7"/>
        <v>47147927.119999997</v>
      </c>
      <c r="T35" s="164">
        <f t="shared" si="7"/>
        <v>16579097.939999999</v>
      </c>
      <c r="U35" s="164">
        <f t="shared" si="7"/>
        <v>0</v>
      </c>
      <c r="V35" s="164">
        <f t="shared" si="7"/>
        <v>0</v>
      </c>
      <c r="W35" s="164">
        <f t="shared" si="7"/>
        <v>0</v>
      </c>
      <c r="X35" s="164">
        <f t="shared" si="7"/>
        <v>0</v>
      </c>
      <c r="Y35" s="1" t="b">
        <f>L35=SUM(O35:X35)</f>
        <v>1</v>
      </c>
      <c r="Z35" s="44">
        <f>ROUND(L35/K35,4)</f>
        <v>0.64219999999999999</v>
      </c>
      <c r="AA35" s="45" t="s">
        <v>13</v>
      </c>
      <c r="AB35" s="45" t="b">
        <f>K35=L35+M35</f>
        <v>1</v>
      </c>
    </row>
    <row r="36" spans="1:28" s="215" customFormat="1" ht="19.5" customHeight="1" x14ac:dyDescent="0.25">
      <c r="A36" s="364" t="s">
        <v>38</v>
      </c>
      <c r="B36" s="365"/>
      <c r="C36" s="365"/>
      <c r="D36" s="365"/>
      <c r="E36" s="365"/>
      <c r="F36" s="365"/>
      <c r="G36" s="365"/>
      <c r="H36" s="187"/>
      <c r="I36" s="282">
        <f>SUMIF($C$3:$C$34,"K",I3:I34)</f>
        <v>6.0389999999999997</v>
      </c>
      <c r="J36" s="208" t="s">
        <v>13</v>
      </c>
      <c r="K36" s="182">
        <f>SUMIF($C$3:$C$34,"K",K3:K34)</f>
        <v>29031076.219999999</v>
      </c>
      <c r="L36" s="182">
        <f>SUMIF($C$3:$C$34,"K",L3:L34)</f>
        <v>17237510.619999997</v>
      </c>
      <c r="M36" s="182">
        <f>SUMIF($C$3:$C$34,"K",M3:M34)</f>
        <v>11793565.6</v>
      </c>
      <c r="N36" s="183" t="s">
        <v>13</v>
      </c>
      <c r="O36" s="184">
        <f t="shared" ref="O36:X36" si="8">SUMIF($C$3:$C$34,"K",O3:O34)</f>
        <v>0</v>
      </c>
      <c r="P36" s="184">
        <f t="shared" si="8"/>
        <v>0</v>
      </c>
      <c r="Q36" s="184">
        <f t="shared" si="8"/>
        <v>4124460.83</v>
      </c>
      <c r="R36" s="184">
        <f t="shared" si="8"/>
        <v>8820838.5600000005</v>
      </c>
      <c r="S36" s="184">
        <f t="shared" si="8"/>
        <v>4292211.2300000004</v>
      </c>
      <c r="T36" s="184">
        <f t="shared" si="8"/>
        <v>0</v>
      </c>
      <c r="U36" s="184">
        <f t="shared" si="8"/>
        <v>0</v>
      </c>
      <c r="V36" s="184">
        <f t="shared" si="8"/>
        <v>0</v>
      </c>
      <c r="W36" s="184">
        <f t="shared" si="8"/>
        <v>0</v>
      </c>
      <c r="X36" s="184">
        <f t="shared" si="8"/>
        <v>0</v>
      </c>
      <c r="Y36" s="212" t="b">
        <f>L36=SUM(O36:X36)</f>
        <v>1</v>
      </c>
      <c r="Z36" s="213">
        <f>ROUND(L36/K36,4)</f>
        <v>0.59379999999999999</v>
      </c>
      <c r="AA36" s="214" t="s">
        <v>13</v>
      </c>
      <c r="AB36" s="214" t="b">
        <f>K36=L36+M36</f>
        <v>1</v>
      </c>
    </row>
    <row r="37" spans="1:28" ht="19.5" customHeight="1" x14ac:dyDescent="0.25">
      <c r="A37" s="357" t="s">
        <v>39</v>
      </c>
      <c r="B37" s="358"/>
      <c r="C37" s="358"/>
      <c r="D37" s="358"/>
      <c r="E37" s="358"/>
      <c r="F37" s="358"/>
      <c r="G37" s="358"/>
      <c r="H37" s="153"/>
      <c r="I37" s="281">
        <f>SUMIF($C$3:$C$34,"N",I3:I34)</f>
        <v>8.1647299999999987</v>
      </c>
      <c r="J37" s="162" t="s">
        <v>13</v>
      </c>
      <c r="K37" s="163">
        <f>SUMIF($C$3:$C$34,"N",K3:K34)</f>
        <v>43000691.719999999</v>
      </c>
      <c r="L37" s="163">
        <f>SUMIF($C$3:$C$34,"N",L3:L34)</f>
        <v>28488100.260000002</v>
      </c>
      <c r="M37" s="163">
        <f>SUMIF($C$3:$C$34,"N",M3:M34)</f>
        <v>14512591.460000001</v>
      </c>
      <c r="N37" s="165" t="s">
        <v>13</v>
      </c>
      <c r="O37" s="164">
        <f t="shared" ref="O37:X37" si="9">SUMIF($C$3:$C$34,"N",O3:O34)</f>
        <v>0</v>
      </c>
      <c r="P37" s="164">
        <f t="shared" si="9"/>
        <v>0</v>
      </c>
      <c r="Q37" s="164">
        <f t="shared" si="9"/>
        <v>0</v>
      </c>
      <c r="R37" s="164">
        <f t="shared" si="9"/>
        <v>0</v>
      </c>
      <c r="S37" s="164">
        <f t="shared" si="9"/>
        <v>28488100.260000002</v>
      </c>
      <c r="T37" s="164">
        <f t="shared" si="9"/>
        <v>0</v>
      </c>
      <c r="U37" s="164">
        <f t="shared" si="9"/>
        <v>0</v>
      </c>
      <c r="V37" s="164">
        <f t="shared" si="9"/>
        <v>0</v>
      </c>
      <c r="W37" s="164">
        <f t="shared" si="9"/>
        <v>0</v>
      </c>
      <c r="X37" s="164">
        <f t="shared" si="9"/>
        <v>0</v>
      </c>
      <c r="Y37" s="1" t="b">
        <f>L37=SUM(O37:X37)</f>
        <v>1</v>
      </c>
      <c r="Z37" s="44">
        <f>ROUND(L37/K37,4)</f>
        <v>0.66249999999999998</v>
      </c>
      <c r="AA37" s="45" t="s">
        <v>13</v>
      </c>
      <c r="AB37" s="45" t="b">
        <f>K37=L37+M37</f>
        <v>1</v>
      </c>
    </row>
    <row r="38" spans="1:28" ht="19.5" customHeight="1" x14ac:dyDescent="0.25">
      <c r="A38" s="364" t="s">
        <v>40</v>
      </c>
      <c r="B38" s="365"/>
      <c r="C38" s="365"/>
      <c r="D38" s="365"/>
      <c r="E38" s="365"/>
      <c r="F38" s="365"/>
      <c r="G38" s="365"/>
      <c r="H38" s="187"/>
      <c r="I38" s="282">
        <f>SUMIF($C$3:$C$34,"W",I3:I34)</f>
        <v>8.0644600000000004</v>
      </c>
      <c r="J38" s="196" t="s">
        <v>13</v>
      </c>
      <c r="K38" s="182">
        <f>SUMIF($C$3:$C$34,"W",K3:K34)</f>
        <v>47351266.639999993</v>
      </c>
      <c r="L38" s="182">
        <f>SUMIF($C$3:$C$34,"W",L3:L34)</f>
        <v>30946713.570000004</v>
      </c>
      <c r="M38" s="182">
        <f>SUMIF($C$3:$C$34,"W",M3:M34)</f>
        <v>16404553.070000002</v>
      </c>
      <c r="N38" s="183" t="s">
        <v>13</v>
      </c>
      <c r="O38" s="184">
        <f t="shared" ref="O38:X38" si="10">SUMIF($C$3:$C$34,"W",O3:O34)</f>
        <v>0</v>
      </c>
      <c r="P38" s="184">
        <f t="shared" si="10"/>
        <v>0</v>
      </c>
      <c r="Q38" s="184">
        <f t="shared" si="10"/>
        <v>0</v>
      </c>
      <c r="R38" s="184">
        <f t="shared" si="10"/>
        <v>0</v>
      </c>
      <c r="S38" s="184">
        <f t="shared" si="10"/>
        <v>14367615.629999997</v>
      </c>
      <c r="T38" s="184">
        <f t="shared" si="10"/>
        <v>16579097.939999999</v>
      </c>
      <c r="U38" s="184">
        <f t="shared" si="10"/>
        <v>0</v>
      </c>
      <c r="V38" s="184">
        <f t="shared" si="10"/>
        <v>0</v>
      </c>
      <c r="W38" s="184">
        <f t="shared" si="10"/>
        <v>0</v>
      </c>
      <c r="X38" s="184">
        <f t="shared" si="10"/>
        <v>0</v>
      </c>
      <c r="Y38" s="1" t="b">
        <f>L38=SUM(O38:X38)</f>
        <v>1</v>
      </c>
      <c r="Z38" s="44">
        <f>ROUND(L38/K38,4)</f>
        <v>0.65359999999999996</v>
      </c>
      <c r="AA38" s="45" t="s">
        <v>13</v>
      </c>
      <c r="AB38" s="45" t="b">
        <f>K38=L38+M38</f>
        <v>1</v>
      </c>
    </row>
    <row r="39" spans="1:28" ht="15.75" customHeight="1" x14ac:dyDescent="0.25">
      <c r="A39" s="32"/>
      <c r="K39" s="5"/>
      <c r="Q39" s="137"/>
    </row>
    <row r="40" spans="1:28" ht="15.75" customHeight="1" x14ac:dyDescent="0.25">
      <c r="A40" s="33" t="s">
        <v>24</v>
      </c>
      <c r="M40" s="137"/>
      <c r="Q40" s="137"/>
      <c r="R40" s="137"/>
    </row>
    <row r="41" spans="1:28" ht="15.75" customHeight="1" x14ac:dyDescent="0.25">
      <c r="A41" s="34" t="s">
        <v>25</v>
      </c>
      <c r="M41" s="137"/>
      <c r="Q41" s="137"/>
      <c r="R41" s="137"/>
    </row>
    <row r="42" spans="1:28" ht="30" customHeight="1" x14ac:dyDescent="0.25">
      <c r="A42" s="33" t="s">
        <v>43</v>
      </c>
      <c r="Q42" s="137"/>
      <c r="R42" s="137"/>
    </row>
    <row r="43" spans="1:28" x14ac:dyDescent="0.25">
      <c r="A43" s="36" t="s">
        <v>27</v>
      </c>
      <c r="R43" s="137"/>
    </row>
    <row r="46" spans="1:28" x14ac:dyDescent="0.25">
      <c r="Q46" s="137"/>
    </row>
  </sheetData>
  <mergeCells count="17">
    <mergeCell ref="H1:H2"/>
    <mergeCell ref="A38:G38"/>
    <mergeCell ref="A37:G37"/>
    <mergeCell ref="A36:G36"/>
    <mergeCell ref="A35:G35"/>
    <mergeCell ref="A1:A2"/>
    <mergeCell ref="B1:B2"/>
    <mergeCell ref="C1:C2"/>
    <mergeCell ref="G1:G2"/>
    <mergeCell ref="D1:D2"/>
    <mergeCell ref="O1:X1"/>
    <mergeCell ref="N1:N2"/>
    <mergeCell ref="L1:L2"/>
    <mergeCell ref="M1:M2"/>
    <mergeCell ref="I1:I2"/>
    <mergeCell ref="K1:K2"/>
    <mergeCell ref="J1:J2"/>
  </mergeCells>
  <conditionalFormatting sqref="Y9:AA9 AB8:AB9 Y8:AB8 Y3:AB3 Y35:AB36 Y10:AB33">
    <cfRule type="cellIs" dxfId="74" priority="44" operator="equal">
      <formula>FALSE</formula>
    </cfRule>
  </conditionalFormatting>
  <conditionalFormatting sqref="Y3:AA3 Y35:AA36 Y8:AA33">
    <cfRule type="containsText" dxfId="73" priority="42" operator="containsText" text="fałsz">
      <formula>NOT(ISERROR(SEARCH("fałsz",Y3)))</formula>
    </cfRule>
  </conditionalFormatting>
  <conditionalFormatting sqref="Z38:AA38">
    <cfRule type="cellIs" dxfId="72" priority="39" operator="equal">
      <formula>FALSE</formula>
    </cfRule>
  </conditionalFormatting>
  <conditionalFormatting sqref="Y38:AA38">
    <cfRule type="containsText" dxfId="71" priority="37" operator="containsText" text="fałsz">
      <formula>NOT(ISERROR(SEARCH("fałsz",Y38)))</formula>
    </cfRule>
  </conditionalFormatting>
  <conditionalFormatting sqref="Y38">
    <cfRule type="cellIs" dxfId="70" priority="38" operator="equal">
      <formula>FALSE</formula>
    </cfRule>
  </conditionalFormatting>
  <conditionalFormatting sqref="AB38">
    <cfRule type="cellIs" dxfId="69" priority="36" operator="equal">
      <formula>FALSE</formula>
    </cfRule>
  </conditionalFormatting>
  <conditionalFormatting sqref="AB38">
    <cfRule type="cellIs" dxfId="68" priority="35" operator="equal">
      <formula>FALSE</formula>
    </cfRule>
  </conditionalFormatting>
  <conditionalFormatting sqref="Z37:AA37">
    <cfRule type="cellIs" dxfId="67" priority="34" operator="equal">
      <formula>FALSE</formula>
    </cfRule>
  </conditionalFormatting>
  <conditionalFormatting sqref="Y37">
    <cfRule type="cellIs" dxfId="66" priority="33" operator="equal">
      <formula>FALSE</formula>
    </cfRule>
  </conditionalFormatting>
  <conditionalFormatting sqref="Y37:AA37">
    <cfRule type="containsText" dxfId="65" priority="32" operator="containsText" text="fałsz">
      <formula>NOT(ISERROR(SEARCH("fałsz",Y37)))</formula>
    </cfRule>
  </conditionalFormatting>
  <conditionalFormatting sqref="AB37">
    <cfRule type="cellIs" dxfId="64" priority="31" operator="equal">
      <formula>FALSE</formula>
    </cfRule>
  </conditionalFormatting>
  <conditionalFormatting sqref="AB37">
    <cfRule type="cellIs" dxfId="63" priority="30" operator="equal">
      <formula>FALSE</formula>
    </cfRule>
  </conditionalFormatting>
  <conditionalFormatting sqref="Y8">
    <cfRule type="cellIs" dxfId="62" priority="21" operator="equal">
      <formula>FALSE</formula>
    </cfRule>
  </conditionalFormatting>
  <conditionalFormatting sqref="Y8">
    <cfRule type="containsText" dxfId="61" priority="20" operator="containsText" text="fałsz">
      <formula>NOT(ISERROR(SEARCH("fałsz",Y8)))</formula>
    </cfRule>
  </conditionalFormatting>
  <conditionalFormatting sqref="Y6:AA6">
    <cfRule type="containsText" dxfId="60" priority="7" operator="containsText" text="fałsz">
      <formula>NOT(ISERROR(SEARCH("fałsz",Y6)))</formula>
    </cfRule>
  </conditionalFormatting>
  <conditionalFormatting sqref="Y7:AB7">
    <cfRule type="cellIs" dxfId="59" priority="14" operator="equal">
      <formula>FALSE</formula>
    </cfRule>
  </conditionalFormatting>
  <conditionalFormatting sqref="Y7:AA7">
    <cfRule type="containsText" dxfId="58" priority="13" operator="containsText" text="fałsz">
      <formula>NOT(ISERROR(SEARCH("fałsz",Y7)))</formula>
    </cfRule>
  </conditionalFormatting>
  <conditionalFormatting sqref="Y4:AB4">
    <cfRule type="cellIs" dxfId="57" priority="12" operator="equal">
      <formula>FALSE</formula>
    </cfRule>
  </conditionalFormatting>
  <conditionalFormatting sqref="Y4:AA4">
    <cfRule type="containsText" dxfId="56" priority="11" operator="containsText" text="fałsz">
      <formula>NOT(ISERROR(SEARCH("fałsz",Y4)))</formula>
    </cfRule>
  </conditionalFormatting>
  <conditionalFormatting sqref="Y5:AB5">
    <cfRule type="cellIs" dxfId="55" priority="10" operator="equal">
      <formula>FALSE</formula>
    </cfRule>
  </conditionalFormatting>
  <conditionalFormatting sqref="Y5:AA5">
    <cfRule type="containsText" dxfId="54" priority="9" operator="containsText" text="fałsz">
      <formula>NOT(ISERROR(SEARCH("fałsz",Y5)))</formula>
    </cfRule>
  </conditionalFormatting>
  <conditionalFormatting sqref="Y6:AB6">
    <cfRule type="cellIs" dxfId="53" priority="8" operator="equal">
      <formula>FALSE</formula>
    </cfRule>
  </conditionalFormatting>
  <conditionalFormatting sqref="Y34:AB34">
    <cfRule type="cellIs" dxfId="52" priority="3" operator="equal">
      <formula>FALSE</formula>
    </cfRule>
  </conditionalFormatting>
  <conditionalFormatting sqref="Y34:AA34">
    <cfRule type="containsText" dxfId="51" priority="4" operator="containsText" text="fałsz">
      <formula>NOT(ISERROR(SEARCH("fałsz",Y46)))</formula>
    </cfRule>
  </conditionalFormatting>
  <dataValidations count="3">
    <dataValidation type="list" allowBlank="1" showInputMessage="1" showErrorMessage="1" sqref="WVK4:WVK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C3:C34">
      <formula1>"N,K,W"</formula1>
    </dataValidation>
    <dataValidation type="list" allowBlank="1" showInputMessage="1" showErrorMessage="1" sqref="WVP4:WVP7 JD4:JD7 SZ4:SZ7 ACV4:ACV7 AMR4:AMR7 AWN4:AWN7 BGJ4:BGJ7 BQF4:BQF7 CAB4:CAB7 CJX4:CJX7 CTT4:CTT7 DDP4:DDP7 DNL4:DNL7 DXH4:DXH7 EHD4:EHD7 EQZ4:EQZ7 FAV4:FAV7 FKR4:FKR7 FUN4:FUN7 GEJ4:GEJ7 GOF4:GOF7 GYB4:GYB7 HHX4:HHX7 HRT4:HRT7 IBP4:IBP7 ILL4:ILL7 IVH4:IVH7 JFD4:JFD7 JOZ4:JOZ7 JYV4:JYV7 KIR4:KIR7 KSN4:KSN7 LCJ4:LCJ7 LMF4:LMF7 LWB4:LWB7 MFX4:MFX7 MPT4:MPT7 MZP4:MZP7 NJL4:NJL7 NTH4:NTH7 ODD4:ODD7 OMZ4:OMZ7 OWV4:OWV7 PGR4:PGR7 PQN4:PQN7 QAJ4:QAJ7 QKF4:QKF7 QUB4:QUB7 RDX4:RDX7 RNT4:RNT7 RXP4:RXP7 SHL4:SHL7 SRH4:SRH7 TBD4:TBD7 TKZ4:TKZ7 TUV4:TUV7 UER4:UER7 UON4:UON7 UYJ4:UYJ7 VIF4:VIF7 VSB4:VSB7 WBX4:WBX7 WLT4:WLT7 H3:H34">
      <formula1>"B,P,R"</formula1>
    </dataValidation>
    <dataValidation type="list"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formula1>"N,W"</formula1>
    </dataValidation>
  </dataValidations>
  <pageMargins left="0.25" right="0.25" top="0.75" bottom="0.75" header="0.3" footer="0.3"/>
  <pageSetup paperSize="8" scale="57" fitToHeight="0" orientation="landscape" r:id="rId1"/>
  <headerFooter>
    <oddHeader>&amp;LWojewództwo &amp;K000000Opolskie&amp;K01+000 - zadania gminne lista podstawowa</oddHeader>
    <oddFoote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
  <sheetViews>
    <sheetView showGridLines="0" view="pageBreakPreview" zoomScale="90" zoomScaleNormal="78" zoomScaleSheetLayoutView="90" workbookViewId="0">
      <selection sqref="A1:A2"/>
    </sheetView>
  </sheetViews>
  <sheetFormatPr defaultColWidth="9.140625" defaultRowHeight="15" x14ac:dyDescent="0.25"/>
  <cols>
    <col min="1" max="1" width="7.85546875" style="14" customWidth="1"/>
    <col min="2" max="2" width="12.28515625" style="14" customWidth="1"/>
    <col min="3" max="3" width="9.85546875" style="14" customWidth="1"/>
    <col min="4" max="4" width="18" style="155" customWidth="1"/>
    <col min="5" max="5" width="11.42578125" style="192" customWidth="1"/>
    <col min="6" max="6" width="43" style="14" customWidth="1"/>
    <col min="7" max="7" width="8.7109375" style="192" customWidth="1"/>
    <col min="8" max="8" width="13.28515625" style="14" customWidth="1"/>
    <col min="9" max="9" width="15.7109375" style="189" customWidth="1"/>
    <col min="10" max="10" width="15.7109375" style="39" customWidth="1"/>
    <col min="11" max="11" width="21.140625" style="14" customWidth="1"/>
    <col min="12" max="12" width="15.7109375" style="14" customWidth="1"/>
    <col min="13" max="14" width="9.42578125" style="1" customWidth="1"/>
    <col min="15" max="15" width="8.42578125" style="14" customWidth="1"/>
    <col min="16" max="16" width="15.7109375" style="14" customWidth="1"/>
    <col min="17" max="17" width="10" style="14" customWidth="1"/>
    <col min="18" max="18" width="8.85546875" style="14" customWidth="1"/>
    <col min="19" max="19" width="11.140625" style="14" customWidth="1"/>
    <col min="20" max="20" width="9.5703125" style="14" customWidth="1"/>
    <col min="21" max="21" width="10" style="14" customWidth="1"/>
    <col min="22" max="22" width="8.140625" style="14" customWidth="1"/>
    <col min="23" max="23" width="10.42578125" style="14" customWidth="1"/>
    <col min="24" max="27" width="15.7109375" style="14" customWidth="1"/>
    <col min="28" max="16384" width="9.140625" style="14"/>
  </cols>
  <sheetData>
    <row r="1" spans="1:30" ht="20.100000000000001" customHeight="1" x14ac:dyDescent="0.25">
      <c r="A1" s="360" t="s">
        <v>4</v>
      </c>
      <c r="B1" s="360" t="s">
        <v>5</v>
      </c>
      <c r="C1" s="366" t="s">
        <v>33</v>
      </c>
      <c r="D1" s="361" t="s">
        <v>6</v>
      </c>
      <c r="E1" s="370" t="s">
        <v>32</v>
      </c>
      <c r="F1" s="361" t="s">
        <v>7</v>
      </c>
      <c r="G1" s="369" t="s">
        <v>26</v>
      </c>
      <c r="H1" s="360" t="s">
        <v>83</v>
      </c>
      <c r="I1" s="369" t="s">
        <v>23</v>
      </c>
      <c r="J1" s="347" t="s">
        <v>8</v>
      </c>
      <c r="K1" s="360" t="s">
        <v>9</v>
      </c>
      <c r="L1" s="361" t="s">
        <v>12</v>
      </c>
      <c r="M1" s="360" t="s">
        <v>10</v>
      </c>
      <c r="N1" s="357" t="s">
        <v>11</v>
      </c>
      <c r="O1" s="358"/>
      <c r="P1" s="358"/>
      <c r="Q1" s="358"/>
      <c r="R1" s="190"/>
      <c r="S1" s="190"/>
      <c r="T1" s="190"/>
      <c r="U1" s="190"/>
      <c r="V1" s="190"/>
      <c r="W1" s="191"/>
    </row>
    <row r="2" spans="1:30" ht="26.25" customHeight="1" x14ac:dyDescent="0.25">
      <c r="A2" s="360"/>
      <c r="B2" s="360"/>
      <c r="C2" s="367"/>
      <c r="D2" s="362"/>
      <c r="E2" s="371"/>
      <c r="F2" s="362"/>
      <c r="G2" s="369"/>
      <c r="H2" s="360"/>
      <c r="I2" s="369"/>
      <c r="J2" s="347"/>
      <c r="K2" s="360"/>
      <c r="L2" s="362"/>
      <c r="M2" s="360"/>
      <c r="N2" s="188">
        <v>2019</v>
      </c>
      <c r="O2" s="38">
        <v>2020</v>
      </c>
      <c r="P2" s="38">
        <v>2021</v>
      </c>
      <c r="Q2" s="144">
        <v>2022</v>
      </c>
      <c r="R2" s="38">
        <v>2023</v>
      </c>
      <c r="S2" s="38">
        <v>2024</v>
      </c>
      <c r="T2" s="38">
        <v>2025</v>
      </c>
      <c r="U2" s="38">
        <v>2026</v>
      </c>
      <c r="V2" s="38">
        <v>2027</v>
      </c>
      <c r="W2" s="38">
        <v>2028</v>
      </c>
      <c r="X2" s="1" t="s">
        <v>28</v>
      </c>
      <c r="Y2" s="1" t="s">
        <v>29</v>
      </c>
      <c r="Z2" s="1" t="s">
        <v>30</v>
      </c>
      <c r="AA2" s="43" t="s">
        <v>31</v>
      </c>
    </row>
    <row r="3" spans="1:30" s="202" customFormat="1" ht="37.5" customHeight="1" thickBot="1" x14ac:dyDescent="0.3">
      <c r="A3" s="197"/>
      <c r="B3" s="209"/>
      <c r="C3" s="157"/>
      <c r="D3" s="216"/>
      <c r="E3" s="216"/>
      <c r="F3" s="216"/>
      <c r="G3" s="157"/>
      <c r="H3" s="219"/>
      <c r="I3" s="174"/>
      <c r="J3" s="210"/>
      <c r="K3" s="198"/>
      <c r="L3" s="198"/>
      <c r="M3" s="194"/>
      <c r="N3" s="173"/>
      <c r="O3" s="173"/>
      <c r="P3" s="173"/>
      <c r="Q3" s="173"/>
      <c r="R3" s="171"/>
      <c r="S3" s="171"/>
      <c r="T3" s="171"/>
      <c r="U3" s="171"/>
      <c r="V3" s="171"/>
      <c r="W3" s="173"/>
      <c r="X3" s="199" t="b">
        <f t="shared" ref="X3" si="0">K3=SUM(O3:W3)</f>
        <v>1</v>
      </c>
      <c r="Y3" s="134" t="e">
        <f t="shared" ref="Y3" si="1">ROUND(K3/J3,4)</f>
        <v>#DIV/0!</v>
      </c>
      <c r="Z3" s="135" t="s">
        <v>13</v>
      </c>
      <c r="AA3" s="135" t="b">
        <f t="shared" ref="AA3" si="2">J3=K3+L3</f>
        <v>1</v>
      </c>
      <c r="AB3" s="200"/>
      <c r="AC3" s="201"/>
      <c r="AD3" s="201"/>
    </row>
    <row r="4" spans="1:30" s="140" customFormat="1" ht="37.5" customHeight="1" x14ac:dyDescent="0.25">
      <c r="A4" s="197"/>
      <c r="B4" s="209"/>
      <c r="C4" s="157"/>
      <c r="D4" s="216"/>
      <c r="E4" s="216"/>
      <c r="F4" s="216"/>
      <c r="G4" s="157"/>
      <c r="H4" s="219"/>
      <c r="I4" s="174"/>
      <c r="J4" s="210"/>
      <c r="K4" s="198"/>
      <c r="L4" s="198"/>
      <c r="M4" s="194"/>
      <c r="N4" s="173"/>
      <c r="O4" s="173"/>
      <c r="P4" s="173"/>
      <c r="Q4" s="173"/>
      <c r="R4" s="171"/>
      <c r="S4" s="171"/>
      <c r="T4" s="171"/>
      <c r="U4" s="171"/>
      <c r="V4" s="171"/>
      <c r="W4" s="173"/>
      <c r="X4" s="199"/>
      <c r="Y4" s="134"/>
      <c r="Z4" s="135"/>
      <c r="AA4" s="135"/>
      <c r="AB4" s="254"/>
      <c r="AC4" s="255"/>
      <c r="AD4" s="255"/>
    </row>
    <row r="5" spans="1:30" s="136" customFormat="1" ht="21.75" customHeight="1" x14ac:dyDescent="0.25">
      <c r="A5" s="360" t="s">
        <v>45</v>
      </c>
      <c r="B5" s="360"/>
      <c r="C5" s="360"/>
      <c r="D5" s="360"/>
      <c r="E5" s="360"/>
      <c r="F5" s="360"/>
      <c r="G5" s="360"/>
      <c r="H5" s="203">
        <f>SUM(H3:H3)</f>
        <v>0</v>
      </c>
      <c r="I5" s="204" t="s">
        <v>13</v>
      </c>
      <c r="J5" s="205">
        <f>SUM(J3:J3)</f>
        <v>0</v>
      </c>
      <c r="K5" s="164">
        <f>SUM(K3:K3)</f>
        <v>0</v>
      </c>
      <c r="L5" s="164">
        <f>SUM(L3:L3)</f>
        <v>0</v>
      </c>
      <c r="M5" s="206" t="s">
        <v>13</v>
      </c>
      <c r="N5" s="207">
        <f t="shared" ref="N5:W5" si="3">SUM(N3:N3)</f>
        <v>0</v>
      </c>
      <c r="O5" s="207">
        <f t="shared" si="3"/>
        <v>0</v>
      </c>
      <c r="P5" s="207">
        <f t="shared" si="3"/>
        <v>0</v>
      </c>
      <c r="Q5" s="207">
        <f t="shared" si="3"/>
        <v>0</v>
      </c>
      <c r="R5" s="207">
        <f t="shared" si="3"/>
        <v>0</v>
      </c>
      <c r="S5" s="207">
        <f t="shared" si="3"/>
        <v>0</v>
      </c>
      <c r="T5" s="207">
        <f t="shared" si="3"/>
        <v>0</v>
      </c>
      <c r="U5" s="207">
        <f t="shared" si="3"/>
        <v>0</v>
      </c>
      <c r="V5" s="207">
        <f t="shared" si="3"/>
        <v>0</v>
      </c>
      <c r="W5" s="207">
        <f t="shared" si="3"/>
        <v>0</v>
      </c>
      <c r="X5" s="1" t="b">
        <f>K5=SUM(O5:W5)</f>
        <v>1</v>
      </c>
      <c r="Y5" s="44" t="e">
        <f>ROUND(K5/J5,4)</f>
        <v>#DIV/0!</v>
      </c>
      <c r="Z5" s="45" t="s">
        <v>13</v>
      </c>
      <c r="AA5" s="45" t="b">
        <f>J5=K5+L5</f>
        <v>1</v>
      </c>
      <c r="AB5" s="134"/>
      <c r="AC5" s="135"/>
      <c r="AD5" s="135"/>
    </row>
    <row r="6" spans="1:30" ht="20.100000000000001" customHeight="1" x14ac:dyDescent="0.25">
      <c r="A6" s="360" t="s">
        <v>39</v>
      </c>
      <c r="B6" s="360"/>
      <c r="C6" s="360"/>
      <c r="D6" s="360"/>
      <c r="E6" s="360"/>
      <c r="F6" s="360"/>
      <c r="G6" s="360"/>
      <c r="H6" s="176">
        <f>SUMIF($C$3:$C$3,"N",H3:H3)</f>
        <v>0</v>
      </c>
      <c r="I6" s="193" t="s">
        <v>13</v>
      </c>
      <c r="J6" s="163">
        <f>SUMIF($C$3:$C$3,"N",J3:J3)</f>
        <v>0</v>
      </c>
      <c r="K6" s="163">
        <f>SUMIF($C$3:$C$3,"N",K3:K3)</f>
        <v>0</v>
      </c>
      <c r="L6" s="163">
        <f>SUMIF($C$3:$C$3,"N",L3:L3)</f>
        <v>0</v>
      </c>
      <c r="M6" s="163" t="s">
        <v>13</v>
      </c>
      <c r="N6" s="163">
        <f t="shared" ref="N6:W6" si="4">SUMIF($C$3:$C$3,"N",N3:N3)</f>
        <v>0</v>
      </c>
      <c r="O6" s="163">
        <f t="shared" si="4"/>
        <v>0</v>
      </c>
      <c r="P6" s="163">
        <f t="shared" si="4"/>
        <v>0</v>
      </c>
      <c r="Q6" s="163">
        <f t="shared" si="4"/>
        <v>0</v>
      </c>
      <c r="R6" s="163">
        <f t="shared" si="4"/>
        <v>0</v>
      </c>
      <c r="S6" s="163">
        <f t="shared" si="4"/>
        <v>0</v>
      </c>
      <c r="T6" s="163">
        <f t="shared" si="4"/>
        <v>0</v>
      </c>
      <c r="U6" s="163">
        <f t="shared" si="4"/>
        <v>0</v>
      </c>
      <c r="V6" s="163">
        <f t="shared" si="4"/>
        <v>0</v>
      </c>
      <c r="W6" s="163">
        <f t="shared" si="4"/>
        <v>0</v>
      </c>
      <c r="X6" s="1" t="b">
        <f>K6=SUM(O6:W6)</f>
        <v>1</v>
      </c>
      <c r="Y6" s="44" t="e">
        <f>ROUND(K6/J6,4)</f>
        <v>#DIV/0!</v>
      </c>
      <c r="Z6" s="45" t="s">
        <v>13</v>
      </c>
      <c r="AA6" s="45" t="b">
        <f>J6=K6+L6</f>
        <v>1</v>
      </c>
      <c r="AB6" s="37"/>
    </row>
    <row r="7" spans="1:30" ht="20.100000000000001" customHeight="1" x14ac:dyDescent="0.25">
      <c r="A7" s="360" t="s">
        <v>40</v>
      </c>
      <c r="B7" s="360"/>
      <c r="C7" s="360"/>
      <c r="D7" s="360"/>
      <c r="E7" s="360"/>
      <c r="F7" s="360"/>
      <c r="G7" s="360"/>
      <c r="H7" s="176">
        <f>SUMIF($C$3:$C$3,"W",H3:H3)</f>
        <v>0</v>
      </c>
      <c r="I7" s="193" t="s">
        <v>13</v>
      </c>
      <c r="J7" s="163">
        <f>SUMIF($C$3:$C$3,"W",J3:J3)</f>
        <v>0</v>
      </c>
      <c r="K7" s="163">
        <f>SUMIF($C$3:$C$3,"W",K3:K3)</f>
        <v>0</v>
      </c>
      <c r="L7" s="163">
        <f>SUMIF($C$3:$C$3,"W",L3:L3)</f>
        <v>0</v>
      </c>
      <c r="M7" s="163" t="s">
        <v>13</v>
      </c>
      <c r="N7" s="163">
        <f t="shared" ref="N7:W7" si="5">SUMIF($C$3:$C$3,"W",N3:N3)</f>
        <v>0</v>
      </c>
      <c r="O7" s="163">
        <f t="shared" si="5"/>
        <v>0</v>
      </c>
      <c r="P7" s="163">
        <f t="shared" si="5"/>
        <v>0</v>
      </c>
      <c r="Q7" s="163">
        <f t="shared" si="5"/>
        <v>0</v>
      </c>
      <c r="R7" s="163">
        <f t="shared" si="5"/>
        <v>0</v>
      </c>
      <c r="S7" s="163">
        <f t="shared" si="5"/>
        <v>0</v>
      </c>
      <c r="T7" s="163">
        <f t="shared" si="5"/>
        <v>0</v>
      </c>
      <c r="U7" s="163">
        <f t="shared" si="5"/>
        <v>0</v>
      </c>
      <c r="V7" s="163">
        <f t="shared" si="5"/>
        <v>0</v>
      </c>
      <c r="W7" s="163">
        <f t="shared" si="5"/>
        <v>0</v>
      </c>
      <c r="X7" s="1" t="b">
        <f>K7=SUM(O7:W7)</f>
        <v>1</v>
      </c>
      <c r="Y7" s="44" t="e">
        <f>ROUND(K7/J7,4)</f>
        <v>#DIV/0!</v>
      </c>
      <c r="Z7" s="45" t="s">
        <v>13</v>
      </c>
      <c r="AA7" s="45" t="b">
        <f>J7=K7+L7</f>
        <v>1</v>
      </c>
      <c r="AB7" s="37"/>
    </row>
    <row r="8" spans="1:30" ht="20.100000000000001" customHeight="1" x14ac:dyDescent="0.25">
      <c r="A8" s="368" t="s">
        <v>40</v>
      </c>
      <c r="B8" s="368"/>
      <c r="C8" s="368"/>
      <c r="D8" s="368"/>
      <c r="E8" s="368"/>
      <c r="F8" s="368"/>
      <c r="G8" s="368"/>
      <c r="H8" s="181">
        <f>SUMIF($C$3:$C$3,"W",H3:H3)</f>
        <v>0</v>
      </c>
      <c r="I8" s="193" t="s">
        <v>13</v>
      </c>
      <c r="J8" s="182">
        <f>SUMIF($C$3:$C$3,"W",J3:J3)</f>
        <v>0</v>
      </c>
      <c r="K8" s="182">
        <f>SUMIF($C$3:$C$3,"W",K3:K3)</f>
        <v>0</v>
      </c>
      <c r="L8" s="182">
        <f>SUMIF($C$3:$C$3,"W",L3:L3)</f>
        <v>0</v>
      </c>
      <c r="M8" s="182" t="s">
        <v>13</v>
      </c>
      <c r="N8" s="182">
        <f t="shared" ref="N8:W8" si="6">SUMIF($C$3:$C$3,"W",N3:N3)</f>
        <v>0</v>
      </c>
      <c r="O8" s="182">
        <f t="shared" si="6"/>
        <v>0</v>
      </c>
      <c r="P8" s="182">
        <f t="shared" si="6"/>
        <v>0</v>
      </c>
      <c r="Q8" s="182">
        <f t="shared" si="6"/>
        <v>0</v>
      </c>
      <c r="R8" s="182">
        <f t="shared" si="6"/>
        <v>0</v>
      </c>
      <c r="S8" s="182">
        <f t="shared" si="6"/>
        <v>0</v>
      </c>
      <c r="T8" s="182">
        <f t="shared" si="6"/>
        <v>0</v>
      </c>
      <c r="U8" s="182">
        <f t="shared" si="6"/>
        <v>0</v>
      </c>
      <c r="V8" s="182">
        <f t="shared" si="6"/>
        <v>0</v>
      </c>
      <c r="W8" s="182">
        <f t="shared" si="6"/>
        <v>0</v>
      </c>
      <c r="X8" s="1" t="b">
        <f>K8=SUM(O8:W8)</f>
        <v>1</v>
      </c>
      <c r="Y8" s="44" t="e">
        <f>ROUND(K8/J8,4)</f>
        <v>#DIV/0!</v>
      </c>
      <c r="Z8" s="45" t="s">
        <v>13</v>
      </c>
      <c r="AA8" s="45" t="b">
        <f>J8=K8+L8</f>
        <v>1</v>
      </c>
      <c r="AB8" s="37"/>
    </row>
    <row r="9" spans="1:30" x14ac:dyDescent="0.25">
      <c r="A9" s="40"/>
      <c r="P9" s="137"/>
    </row>
    <row r="10" spans="1:30" x14ac:dyDescent="0.25">
      <c r="A10" s="33" t="s">
        <v>24</v>
      </c>
      <c r="O10" s="146"/>
      <c r="P10" s="37"/>
    </row>
    <row r="11" spans="1:30" x14ac:dyDescent="0.25">
      <c r="A11" s="34" t="s">
        <v>25</v>
      </c>
      <c r="P11" s="37"/>
    </row>
    <row r="12" spans="1:30" x14ac:dyDescent="0.25">
      <c r="A12" s="33" t="s">
        <v>36</v>
      </c>
    </row>
    <row r="13" spans="1:30" x14ac:dyDescent="0.25">
      <c r="A13" s="41"/>
    </row>
  </sheetData>
  <mergeCells count="18">
    <mergeCell ref="A8:G8"/>
    <mergeCell ref="I1:I2"/>
    <mergeCell ref="A1:A2"/>
    <mergeCell ref="B1:B2"/>
    <mergeCell ref="C1:C2"/>
    <mergeCell ref="F1:F2"/>
    <mergeCell ref="G1:G2"/>
    <mergeCell ref="H1:H2"/>
    <mergeCell ref="D1:D2"/>
    <mergeCell ref="A6:G6"/>
    <mergeCell ref="E1:E2"/>
    <mergeCell ref="A7:G7"/>
    <mergeCell ref="A5:G5"/>
    <mergeCell ref="N1:Q1"/>
    <mergeCell ref="J1:J2"/>
    <mergeCell ref="K1:K2"/>
    <mergeCell ref="L1:L2"/>
    <mergeCell ref="M1:M2"/>
  </mergeCells>
  <conditionalFormatting sqref="AA8 X3:AD5">
    <cfRule type="cellIs" dxfId="50" priority="27" operator="equal">
      <formula>FALSE</formula>
    </cfRule>
  </conditionalFormatting>
  <conditionalFormatting sqref="AB8">
    <cfRule type="cellIs" dxfId="49" priority="32" operator="equal">
      <formula>FALSE</formula>
    </cfRule>
  </conditionalFormatting>
  <conditionalFormatting sqref="AB8">
    <cfRule type="cellIs" dxfId="48" priority="31" operator="equal">
      <formula>FALSE</formula>
    </cfRule>
  </conditionalFormatting>
  <conditionalFormatting sqref="Y8:Z8">
    <cfRule type="cellIs" dxfId="47" priority="30" operator="equal">
      <formula>FALSE</formula>
    </cfRule>
  </conditionalFormatting>
  <conditionalFormatting sqref="X8">
    <cfRule type="cellIs" dxfId="46" priority="29" operator="equal">
      <formula>FALSE</formula>
    </cfRule>
  </conditionalFormatting>
  <conditionalFormatting sqref="X8:Z8 X3:Z5 AB3:AC5">
    <cfRule type="containsText" dxfId="45" priority="28" operator="containsText" text="fałsz">
      <formula>NOT(ISERROR(SEARCH("fałsz",X3)))</formula>
    </cfRule>
  </conditionalFormatting>
  <conditionalFormatting sqref="AA8">
    <cfRule type="cellIs" dxfId="44" priority="26" operator="equal">
      <formula>FALSE</formula>
    </cfRule>
  </conditionalFormatting>
  <conditionalFormatting sqref="AB6:AB7">
    <cfRule type="cellIs" dxfId="43" priority="25" operator="equal">
      <formula>FALSE</formula>
    </cfRule>
  </conditionalFormatting>
  <conditionalFormatting sqref="AB6:AB7">
    <cfRule type="cellIs" dxfId="42" priority="24" operator="equal">
      <formula>FALSE</formula>
    </cfRule>
  </conditionalFormatting>
  <conditionalFormatting sqref="Y6:Z6">
    <cfRule type="cellIs" dxfId="41" priority="23" operator="equal">
      <formula>FALSE</formula>
    </cfRule>
  </conditionalFormatting>
  <conditionalFormatting sqref="X6">
    <cfRule type="cellIs" dxfId="40" priority="22" operator="equal">
      <formula>FALSE</formula>
    </cfRule>
  </conditionalFormatting>
  <conditionalFormatting sqref="X6:Z6">
    <cfRule type="containsText" dxfId="39" priority="21" operator="containsText" text="fałsz">
      <formula>NOT(ISERROR(SEARCH("fałsz",X6)))</formula>
    </cfRule>
  </conditionalFormatting>
  <conditionalFormatting sqref="AA6">
    <cfRule type="cellIs" dxfId="38" priority="20" operator="equal">
      <formula>FALSE</formula>
    </cfRule>
  </conditionalFormatting>
  <conditionalFormatting sqref="AA6">
    <cfRule type="cellIs" dxfId="37" priority="19" operator="equal">
      <formula>FALSE</formula>
    </cfRule>
  </conditionalFormatting>
  <conditionalFormatting sqref="Y7:Z7">
    <cfRule type="cellIs" dxfId="36" priority="18" operator="equal">
      <formula>FALSE</formula>
    </cfRule>
  </conditionalFormatting>
  <conditionalFormatting sqref="X7">
    <cfRule type="cellIs" dxfId="35" priority="17" operator="equal">
      <formula>FALSE</formula>
    </cfRule>
  </conditionalFormatting>
  <conditionalFormatting sqref="X7:Z7">
    <cfRule type="containsText" dxfId="34" priority="16" operator="containsText" text="fałsz">
      <formula>NOT(ISERROR(SEARCH("fałsz",X7)))</formula>
    </cfRule>
  </conditionalFormatting>
  <conditionalFormatting sqref="AA7">
    <cfRule type="cellIs" dxfId="33" priority="15" operator="equal">
      <formula>FALSE</formula>
    </cfRule>
  </conditionalFormatting>
  <conditionalFormatting sqref="AA7">
    <cfRule type="cellIs" dxfId="32" priority="14" operator="equal">
      <formula>FALSE</formula>
    </cfRule>
  </conditionalFormatting>
  <dataValidations count="2">
    <dataValidation type="list" allowBlank="1" showInputMessage="1" showErrorMessage="1" sqref="G3:G4">
      <formula1>"B,P,R"</formula1>
    </dataValidation>
    <dataValidation type="list" allowBlank="1" showInputMessage="1" showErrorMessage="1" sqref="C3:C4">
      <formula1>"N,K,W"</formula1>
    </dataValidation>
  </dataValidations>
  <pageMargins left="0.23622047244094491" right="0.23622047244094491" top="0.74803149606299213" bottom="0.74803149606299213" header="0.31496062992125984" footer="0.31496062992125984"/>
  <pageSetup paperSize="8" scale="67" fitToHeight="0" orientation="landscape" r:id="rId1"/>
  <headerFooter>
    <oddHeader>&amp;LWojewództwo&amp;K000000 Opolskie&amp;K01+000 -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0"/>
  <sheetViews>
    <sheetView showGridLines="0" view="pageBreakPreview" topLeftCell="A28" zoomScale="90" zoomScaleNormal="78" zoomScaleSheetLayoutView="90" workbookViewId="0">
      <selection activeCell="D11" sqref="D11"/>
    </sheetView>
  </sheetViews>
  <sheetFormatPr defaultColWidth="9.140625" defaultRowHeight="15" x14ac:dyDescent="0.25"/>
  <cols>
    <col min="1" max="1" width="9.28515625" style="14" customWidth="1"/>
    <col min="2" max="2" width="14.140625" style="14" customWidth="1"/>
    <col min="3" max="3" width="8" style="14" customWidth="1"/>
    <col min="4" max="4" width="21" style="14" customWidth="1"/>
    <col min="5" max="5" width="10.42578125" style="14" bestFit="1" customWidth="1"/>
    <col min="6" max="6" width="13.5703125" style="14" customWidth="1"/>
    <col min="7" max="7" width="37.5703125" style="14" customWidth="1"/>
    <col min="8" max="8" width="13.85546875" style="14" customWidth="1"/>
    <col min="9" max="9" width="9.42578125" style="14" customWidth="1"/>
    <col min="10" max="10" width="14.42578125" style="155" customWidth="1"/>
    <col min="11" max="11" width="15.7109375" style="39" customWidth="1"/>
    <col min="12" max="13" width="15.7109375" style="14" customWidth="1"/>
    <col min="14" max="14" width="9.140625" style="1" customWidth="1"/>
    <col min="15" max="15" width="7.42578125" style="14" customWidth="1"/>
    <col min="16" max="16" width="7.28515625" style="14" customWidth="1"/>
    <col min="17" max="17" width="14.42578125" style="14" customWidth="1"/>
    <col min="18" max="18" width="13.140625" style="14" customWidth="1"/>
    <col min="19" max="19" width="16.7109375" style="14" customWidth="1"/>
    <col min="20" max="20" width="11.85546875" style="14" customWidth="1"/>
    <col min="21" max="21" width="8.7109375" style="14" customWidth="1"/>
    <col min="22" max="22" width="8.5703125" style="14" customWidth="1"/>
    <col min="23" max="23" width="6.85546875" style="14" customWidth="1"/>
    <col min="24" max="24" width="9" style="14" customWidth="1"/>
    <col min="25" max="28" width="15.7109375" style="14" customWidth="1"/>
    <col min="29" max="16384" width="9.140625" style="14"/>
  </cols>
  <sheetData>
    <row r="1" spans="1:28" ht="20.100000000000001" customHeight="1" x14ac:dyDescent="0.25">
      <c r="A1" s="360" t="s">
        <v>4</v>
      </c>
      <c r="B1" s="360" t="s">
        <v>5</v>
      </c>
      <c r="C1" s="366" t="s">
        <v>33</v>
      </c>
      <c r="D1" s="361" t="s">
        <v>6</v>
      </c>
      <c r="E1" s="148"/>
      <c r="F1" s="148"/>
      <c r="G1" s="166"/>
      <c r="H1" s="377" t="s">
        <v>26</v>
      </c>
      <c r="I1" s="376" t="s">
        <v>83</v>
      </c>
      <c r="J1" s="361" t="s">
        <v>86</v>
      </c>
      <c r="K1" s="347" t="s">
        <v>8</v>
      </c>
      <c r="L1" s="360" t="s">
        <v>9</v>
      </c>
      <c r="M1" s="361" t="s">
        <v>12</v>
      </c>
      <c r="N1" s="360" t="s">
        <v>10</v>
      </c>
      <c r="O1" s="357" t="s">
        <v>11</v>
      </c>
      <c r="P1" s="358"/>
      <c r="Q1" s="358"/>
      <c r="R1" s="358"/>
      <c r="S1" s="190"/>
      <c r="T1" s="190"/>
      <c r="U1" s="190"/>
      <c r="V1" s="190"/>
      <c r="W1" s="190"/>
      <c r="X1" s="191"/>
    </row>
    <row r="2" spans="1:28" ht="33" customHeight="1" x14ac:dyDescent="0.25">
      <c r="A2" s="360"/>
      <c r="B2" s="360"/>
      <c r="C2" s="367"/>
      <c r="D2" s="362"/>
      <c r="E2" s="149" t="s">
        <v>32</v>
      </c>
      <c r="F2" s="149" t="s">
        <v>14</v>
      </c>
      <c r="G2" s="149" t="s">
        <v>7</v>
      </c>
      <c r="H2" s="378"/>
      <c r="I2" s="362"/>
      <c r="J2" s="362"/>
      <c r="K2" s="347"/>
      <c r="L2" s="360"/>
      <c r="M2" s="362"/>
      <c r="N2" s="360"/>
      <c r="O2" s="150">
        <v>2019</v>
      </c>
      <c r="P2" s="150">
        <v>2020</v>
      </c>
      <c r="Q2" s="150">
        <v>2021</v>
      </c>
      <c r="R2" s="150">
        <v>2022</v>
      </c>
      <c r="S2" s="150">
        <v>2023</v>
      </c>
      <c r="T2" s="150">
        <v>2024</v>
      </c>
      <c r="U2" s="150">
        <v>2025</v>
      </c>
      <c r="V2" s="150">
        <v>2026</v>
      </c>
      <c r="W2" s="150">
        <v>2027</v>
      </c>
      <c r="X2" s="150">
        <v>2028</v>
      </c>
      <c r="Y2" s="1" t="s">
        <v>28</v>
      </c>
      <c r="Z2" s="1" t="s">
        <v>29</v>
      </c>
      <c r="AA2" s="1" t="s">
        <v>30</v>
      </c>
      <c r="AB2" s="43" t="s">
        <v>31</v>
      </c>
    </row>
    <row r="3" spans="1:28" s="232" customFormat="1" ht="36.75" customHeight="1" x14ac:dyDescent="0.25">
      <c r="A3" s="283">
        <v>1</v>
      </c>
      <c r="B3" s="157" t="s">
        <v>178</v>
      </c>
      <c r="C3" s="158" t="s">
        <v>53</v>
      </c>
      <c r="D3" s="220" t="s">
        <v>92</v>
      </c>
      <c r="E3" s="220">
        <v>1603011</v>
      </c>
      <c r="F3" s="220" t="s">
        <v>61</v>
      </c>
      <c r="G3" s="220" t="s">
        <v>179</v>
      </c>
      <c r="H3" s="157" t="s">
        <v>47</v>
      </c>
      <c r="I3" s="220">
        <v>0.20600000000000002</v>
      </c>
      <c r="J3" s="174" t="s">
        <v>180</v>
      </c>
      <c r="K3" s="173">
        <v>2432982.5</v>
      </c>
      <c r="L3" s="167">
        <f t="shared" ref="L3:L37" si="0">ROUND(K3*N3,2)</f>
        <v>1216491.25</v>
      </c>
      <c r="M3" s="168">
        <f t="shared" ref="M3:M37" si="1">K3-L3</f>
        <v>1216491.25</v>
      </c>
      <c r="N3" s="147">
        <v>0.5</v>
      </c>
      <c r="O3" s="171">
        <v>0</v>
      </c>
      <c r="P3" s="173">
        <v>0</v>
      </c>
      <c r="Q3" s="169">
        <v>0</v>
      </c>
      <c r="R3" s="171">
        <v>0</v>
      </c>
      <c r="S3" s="171">
        <f>L3</f>
        <v>1216491.25</v>
      </c>
      <c r="T3" s="171">
        <v>0</v>
      </c>
      <c r="U3" s="171">
        <v>0</v>
      </c>
      <c r="V3" s="171">
        <v>0</v>
      </c>
      <c r="W3" s="173">
        <v>0</v>
      </c>
      <c r="X3" s="173">
        <v>0</v>
      </c>
      <c r="Y3" s="233" t="b">
        <f t="shared" ref="Y3:Y37" si="2">L3=SUM(P3:X3)</f>
        <v>1</v>
      </c>
      <c r="Z3" s="234">
        <f t="shared" ref="Z3:Z37" si="3">ROUND(L3/K3,4)</f>
        <v>0.5</v>
      </c>
      <c r="AA3" s="235" t="b">
        <f t="shared" ref="AA3:AA37" si="4">Z3=N3</f>
        <v>1</v>
      </c>
      <c r="AB3" s="235" t="b">
        <f t="shared" ref="AB3:AB37" si="5">K3=L3+M3</f>
        <v>1</v>
      </c>
    </row>
    <row r="4" spans="1:28" s="231" customFormat="1" ht="36" customHeight="1" x14ac:dyDescent="0.25">
      <c r="A4" s="283">
        <v>2</v>
      </c>
      <c r="B4" s="157" t="s">
        <v>230</v>
      </c>
      <c r="C4" s="157" t="s">
        <v>53</v>
      </c>
      <c r="D4" s="220" t="s">
        <v>231</v>
      </c>
      <c r="E4" s="236">
        <v>1608023</v>
      </c>
      <c r="F4" s="220" t="s">
        <v>57</v>
      </c>
      <c r="G4" s="220" t="s">
        <v>232</v>
      </c>
      <c r="H4" s="157" t="s">
        <v>47</v>
      </c>
      <c r="I4" s="220">
        <v>2.4792800000000002</v>
      </c>
      <c r="J4" s="174" t="s">
        <v>233</v>
      </c>
      <c r="K4" s="224">
        <v>4895515.0599999996</v>
      </c>
      <c r="L4" s="167">
        <f t="shared" si="0"/>
        <v>3426860.54</v>
      </c>
      <c r="M4" s="168">
        <f t="shared" si="1"/>
        <v>1468654.5199999996</v>
      </c>
      <c r="N4" s="147">
        <v>0.7</v>
      </c>
      <c r="O4" s="171">
        <v>0</v>
      </c>
      <c r="P4" s="173">
        <v>0</v>
      </c>
      <c r="Q4" s="169">
        <v>0</v>
      </c>
      <c r="R4" s="171">
        <v>0</v>
      </c>
      <c r="S4" s="171">
        <f>L4</f>
        <v>3426860.54</v>
      </c>
      <c r="T4" s="171">
        <v>0</v>
      </c>
      <c r="U4" s="171">
        <v>0</v>
      </c>
      <c r="V4" s="171">
        <v>0</v>
      </c>
      <c r="W4" s="173">
        <v>0</v>
      </c>
      <c r="X4" s="173">
        <v>0</v>
      </c>
      <c r="Y4" s="233" t="b">
        <f t="shared" si="2"/>
        <v>1</v>
      </c>
      <c r="Z4" s="234">
        <f t="shared" si="3"/>
        <v>0.7</v>
      </c>
      <c r="AA4" s="235" t="b">
        <f t="shared" si="4"/>
        <v>1</v>
      </c>
      <c r="AB4" s="235" t="b">
        <f t="shared" si="5"/>
        <v>1</v>
      </c>
    </row>
    <row r="5" spans="1:28" s="138" customFormat="1" ht="39.75" customHeight="1" x14ac:dyDescent="0.25">
      <c r="A5" s="283">
        <v>3</v>
      </c>
      <c r="B5" s="145" t="s">
        <v>221</v>
      </c>
      <c r="C5" s="159" t="s">
        <v>74</v>
      </c>
      <c r="D5" s="145" t="s">
        <v>97</v>
      </c>
      <c r="E5" s="145">
        <v>1607013</v>
      </c>
      <c r="F5" s="145" t="s">
        <v>46</v>
      </c>
      <c r="G5" s="145" t="s">
        <v>222</v>
      </c>
      <c r="H5" s="145" t="s">
        <v>84</v>
      </c>
      <c r="I5" s="145">
        <v>0.23513999999999999</v>
      </c>
      <c r="J5" s="178" t="s">
        <v>174</v>
      </c>
      <c r="K5" s="177">
        <v>1507242.68</v>
      </c>
      <c r="L5" s="217">
        <f t="shared" si="0"/>
        <v>1205794.1399999999</v>
      </c>
      <c r="M5" s="243">
        <f t="shared" si="1"/>
        <v>301448.54000000004</v>
      </c>
      <c r="N5" s="160">
        <v>0.8</v>
      </c>
      <c r="O5" s="172">
        <v>0</v>
      </c>
      <c r="P5" s="177">
        <v>0</v>
      </c>
      <c r="Q5" s="244">
        <v>0</v>
      </c>
      <c r="R5" s="172">
        <v>0</v>
      </c>
      <c r="S5" s="238">
        <f>ROUND(N5*1011242.68,2)</f>
        <v>808994.14</v>
      </c>
      <c r="T5" s="172">
        <f>L5-S5</f>
        <v>396799.99999999988</v>
      </c>
      <c r="U5" s="172">
        <v>0</v>
      </c>
      <c r="V5" s="172">
        <v>0</v>
      </c>
      <c r="W5" s="177">
        <v>0</v>
      </c>
      <c r="X5" s="177">
        <v>0</v>
      </c>
      <c r="Y5" s="245" t="b">
        <f t="shared" si="2"/>
        <v>1</v>
      </c>
      <c r="Z5" s="246">
        <f t="shared" si="3"/>
        <v>0.8</v>
      </c>
      <c r="AA5" s="247" t="b">
        <f t="shared" si="4"/>
        <v>1</v>
      </c>
      <c r="AB5" s="247" t="b">
        <f t="shared" si="5"/>
        <v>1</v>
      </c>
    </row>
    <row r="6" spans="1:28" s="230" customFormat="1" ht="36" customHeight="1" x14ac:dyDescent="0.25">
      <c r="A6" s="283">
        <v>4</v>
      </c>
      <c r="B6" s="145" t="s">
        <v>237</v>
      </c>
      <c r="C6" s="145" t="s">
        <v>74</v>
      </c>
      <c r="D6" s="221" t="s">
        <v>52</v>
      </c>
      <c r="E6" s="222">
        <v>1601033</v>
      </c>
      <c r="F6" s="221" t="s">
        <v>49</v>
      </c>
      <c r="G6" s="221" t="s">
        <v>238</v>
      </c>
      <c r="H6" s="145" t="s">
        <v>85</v>
      </c>
      <c r="I6" s="221">
        <v>0.47799999999999998</v>
      </c>
      <c r="J6" s="178" t="s">
        <v>239</v>
      </c>
      <c r="K6" s="223">
        <v>2223070.79</v>
      </c>
      <c r="L6" s="217">
        <f t="shared" si="0"/>
        <v>1333842.47</v>
      </c>
      <c r="M6" s="218">
        <f t="shared" si="1"/>
        <v>889228.32000000007</v>
      </c>
      <c r="N6" s="160">
        <v>0.6</v>
      </c>
      <c r="O6" s="172">
        <v>0</v>
      </c>
      <c r="P6" s="177">
        <v>0</v>
      </c>
      <c r="Q6" s="170">
        <v>0</v>
      </c>
      <c r="R6" s="172">
        <v>0</v>
      </c>
      <c r="S6" s="238">
        <f>ROUND(N6*784539.82,2)</f>
        <v>470723.89</v>
      </c>
      <c r="T6" s="172">
        <f>L6-S6</f>
        <v>863118.58</v>
      </c>
      <c r="U6" s="172">
        <v>0</v>
      </c>
      <c r="V6" s="172">
        <v>0</v>
      </c>
      <c r="W6" s="177">
        <v>0</v>
      </c>
      <c r="X6" s="177">
        <v>0</v>
      </c>
      <c r="Y6" s="212" t="b">
        <f t="shared" si="2"/>
        <v>1</v>
      </c>
      <c r="Z6" s="213">
        <f t="shared" si="3"/>
        <v>0.6</v>
      </c>
      <c r="AA6" s="214" t="b">
        <f t="shared" si="4"/>
        <v>1</v>
      </c>
      <c r="AB6" s="214" t="b">
        <f t="shared" si="5"/>
        <v>1</v>
      </c>
    </row>
    <row r="7" spans="1:28" s="231" customFormat="1" ht="36" customHeight="1" x14ac:dyDescent="0.25">
      <c r="A7" s="283">
        <v>5</v>
      </c>
      <c r="B7" s="157" t="s">
        <v>240</v>
      </c>
      <c r="C7" s="157" t="s">
        <v>53</v>
      </c>
      <c r="D7" s="220" t="s">
        <v>116</v>
      </c>
      <c r="E7" s="236">
        <v>1611033</v>
      </c>
      <c r="F7" s="220" t="s">
        <v>58</v>
      </c>
      <c r="G7" s="220" t="s">
        <v>241</v>
      </c>
      <c r="H7" s="157" t="s">
        <v>84</v>
      </c>
      <c r="I7" s="220">
        <v>0.6</v>
      </c>
      <c r="J7" s="174" t="s">
        <v>225</v>
      </c>
      <c r="K7" s="224">
        <v>1816505.49</v>
      </c>
      <c r="L7" s="167">
        <f t="shared" si="0"/>
        <v>1271553.8400000001</v>
      </c>
      <c r="M7" s="168">
        <f t="shared" si="1"/>
        <v>544951.64999999991</v>
      </c>
      <c r="N7" s="147">
        <v>0.7</v>
      </c>
      <c r="O7" s="171">
        <v>0</v>
      </c>
      <c r="P7" s="173">
        <v>0</v>
      </c>
      <c r="Q7" s="169">
        <v>0</v>
      </c>
      <c r="R7" s="171">
        <v>0</v>
      </c>
      <c r="S7" s="171">
        <f>L7</f>
        <v>1271553.8400000001</v>
      </c>
      <c r="T7" s="171">
        <v>0</v>
      </c>
      <c r="U7" s="171">
        <v>0</v>
      </c>
      <c r="V7" s="171">
        <v>0</v>
      </c>
      <c r="W7" s="173">
        <v>0</v>
      </c>
      <c r="X7" s="173">
        <v>0</v>
      </c>
      <c r="Y7" s="233" t="b">
        <f t="shared" si="2"/>
        <v>1</v>
      </c>
      <c r="Z7" s="234">
        <f t="shared" si="3"/>
        <v>0.7</v>
      </c>
      <c r="AA7" s="235" t="b">
        <f t="shared" si="4"/>
        <v>1</v>
      </c>
      <c r="AB7" s="235" t="b">
        <f t="shared" si="5"/>
        <v>1</v>
      </c>
    </row>
    <row r="8" spans="1:28" s="230" customFormat="1" ht="36" customHeight="1" x14ac:dyDescent="0.25">
      <c r="A8" s="283">
        <v>6</v>
      </c>
      <c r="B8" s="145" t="s">
        <v>242</v>
      </c>
      <c r="C8" s="145" t="s">
        <v>74</v>
      </c>
      <c r="D8" s="221" t="s">
        <v>97</v>
      </c>
      <c r="E8" s="222">
        <v>1607013</v>
      </c>
      <c r="F8" s="221" t="s">
        <v>46</v>
      </c>
      <c r="G8" s="221" t="s">
        <v>243</v>
      </c>
      <c r="H8" s="145" t="s">
        <v>84</v>
      </c>
      <c r="I8" s="221">
        <v>1.0629999999999999</v>
      </c>
      <c r="J8" s="178" t="s">
        <v>244</v>
      </c>
      <c r="K8" s="223">
        <v>1945497.28</v>
      </c>
      <c r="L8" s="217">
        <f t="shared" si="0"/>
        <v>1556397.82</v>
      </c>
      <c r="M8" s="218">
        <f t="shared" si="1"/>
        <v>389099.45999999996</v>
      </c>
      <c r="N8" s="160">
        <v>0.8</v>
      </c>
      <c r="O8" s="172">
        <v>0</v>
      </c>
      <c r="P8" s="177">
        <v>0</v>
      </c>
      <c r="Q8" s="170">
        <v>0</v>
      </c>
      <c r="R8" s="172">
        <v>0</v>
      </c>
      <c r="S8" s="238">
        <f>ROUND(N8*974048.64,2)</f>
        <v>779238.91</v>
      </c>
      <c r="T8" s="172">
        <f>L8-S8</f>
        <v>777158.91</v>
      </c>
      <c r="U8" s="172">
        <v>0</v>
      </c>
      <c r="V8" s="172">
        <v>0</v>
      </c>
      <c r="W8" s="177">
        <v>0</v>
      </c>
      <c r="X8" s="177">
        <v>0</v>
      </c>
      <c r="Y8" s="212" t="b">
        <f t="shared" si="2"/>
        <v>1</v>
      </c>
      <c r="Z8" s="213">
        <f t="shared" si="3"/>
        <v>0.8</v>
      </c>
      <c r="AA8" s="214" t="b">
        <f t="shared" si="4"/>
        <v>1</v>
      </c>
      <c r="AB8" s="214" t="b">
        <f t="shared" si="5"/>
        <v>1</v>
      </c>
    </row>
    <row r="9" spans="1:28" s="138" customFormat="1" ht="34.5" customHeight="1" x14ac:dyDescent="0.25">
      <c r="A9" s="283">
        <v>7</v>
      </c>
      <c r="B9" s="145" t="s">
        <v>216</v>
      </c>
      <c r="C9" s="159" t="s">
        <v>74</v>
      </c>
      <c r="D9" s="145" t="s">
        <v>92</v>
      </c>
      <c r="E9" s="145">
        <v>1603011</v>
      </c>
      <c r="F9" s="145" t="s">
        <v>61</v>
      </c>
      <c r="G9" s="145" t="s">
        <v>217</v>
      </c>
      <c r="H9" s="145" t="s">
        <v>84</v>
      </c>
      <c r="I9" s="145">
        <v>0.745</v>
      </c>
      <c r="J9" s="178" t="s">
        <v>218</v>
      </c>
      <c r="K9" s="177">
        <v>7401581.4900000002</v>
      </c>
      <c r="L9" s="217">
        <f t="shared" si="0"/>
        <v>3700790.75</v>
      </c>
      <c r="M9" s="243">
        <f t="shared" si="1"/>
        <v>3700790.74</v>
      </c>
      <c r="N9" s="160">
        <v>0.5</v>
      </c>
      <c r="O9" s="172">
        <v>0</v>
      </c>
      <c r="P9" s="177">
        <v>0</v>
      </c>
      <c r="Q9" s="244">
        <v>0</v>
      </c>
      <c r="R9" s="172">
        <v>0</v>
      </c>
      <c r="S9" s="238">
        <f>ROUND(N9*2961592.6,2)</f>
        <v>1480796.3</v>
      </c>
      <c r="T9" s="172">
        <f>L9-S9</f>
        <v>2219994.4500000002</v>
      </c>
      <c r="U9" s="172">
        <v>0</v>
      </c>
      <c r="V9" s="172">
        <v>0</v>
      </c>
      <c r="W9" s="177">
        <v>0</v>
      </c>
      <c r="X9" s="177">
        <v>0</v>
      </c>
      <c r="Y9" s="245" t="b">
        <f t="shared" si="2"/>
        <v>1</v>
      </c>
      <c r="Z9" s="246">
        <f t="shared" si="3"/>
        <v>0.5</v>
      </c>
      <c r="AA9" s="247" t="b">
        <f t="shared" si="4"/>
        <v>1</v>
      </c>
      <c r="AB9" s="247" t="b">
        <f t="shared" si="5"/>
        <v>1</v>
      </c>
    </row>
    <row r="10" spans="1:28" s="231" customFormat="1" ht="36" customHeight="1" x14ac:dyDescent="0.25">
      <c r="A10" s="283">
        <v>8</v>
      </c>
      <c r="B10" s="157" t="s">
        <v>249</v>
      </c>
      <c r="C10" s="157" t="s">
        <v>53</v>
      </c>
      <c r="D10" s="220" t="s">
        <v>70</v>
      </c>
      <c r="E10" s="236">
        <v>1604023</v>
      </c>
      <c r="F10" s="220" t="s">
        <v>72</v>
      </c>
      <c r="G10" s="220" t="s">
        <v>250</v>
      </c>
      <c r="H10" s="157" t="s">
        <v>85</v>
      </c>
      <c r="I10" s="220">
        <v>0.78</v>
      </c>
      <c r="J10" s="174" t="s">
        <v>251</v>
      </c>
      <c r="K10" s="224">
        <v>2124365.5</v>
      </c>
      <c r="L10" s="167">
        <f t="shared" si="0"/>
        <v>1699492.4</v>
      </c>
      <c r="M10" s="168">
        <f t="shared" si="1"/>
        <v>424873.10000000009</v>
      </c>
      <c r="N10" s="147">
        <v>0.8</v>
      </c>
      <c r="O10" s="171">
        <v>0</v>
      </c>
      <c r="P10" s="173">
        <v>0</v>
      </c>
      <c r="Q10" s="169">
        <v>0</v>
      </c>
      <c r="R10" s="171">
        <v>0</v>
      </c>
      <c r="S10" s="171">
        <f t="shared" ref="S10:S25" si="6">L10</f>
        <v>1699492.4</v>
      </c>
      <c r="T10" s="171">
        <v>0</v>
      </c>
      <c r="U10" s="171">
        <v>0</v>
      </c>
      <c r="V10" s="171">
        <v>0</v>
      </c>
      <c r="W10" s="173">
        <v>0</v>
      </c>
      <c r="X10" s="173">
        <v>0</v>
      </c>
      <c r="Y10" s="233" t="b">
        <f t="shared" si="2"/>
        <v>1</v>
      </c>
      <c r="Z10" s="234">
        <f t="shared" si="3"/>
        <v>0.8</v>
      </c>
      <c r="AA10" s="235" t="b">
        <f t="shared" si="4"/>
        <v>1</v>
      </c>
      <c r="AB10" s="235" t="b">
        <f t="shared" si="5"/>
        <v>1</v>
      </c>
    </row>
    <row r="11" spans="1:28" s="231" customFormat="1" ht="36" customHeight="1" x14ac:dyDescent="0.25">
      <c r="A11" s="283">
        <v>9</v>
      </c>
      <c r="B11" s="157" t="s">
        <v>252</v>
      </c>
      <c r="C11" s="157" t="s">
        <v>53</v>
      </c>
      <c r="D11" s="220" t="s">
        <v>65</v>
      </c>
      <c r="E11" s="236">
        <v>1607033</v>
      </c>
      <c r="F11" s="220" t="s">
        <v>46</v>
      </c>
      <c r="G11" s="220" t="s">
        <v>101</v>
      </c>
      <c r="H11" s="157" t="s">
        <v>47</v>
      </c>
      <c r="I11" s="220">
        <v>0.16700000000000001</v>
      </c>
      <c r="J11" s="174" t="s">
        <v>253</v>
      </c>
      <c r="K11" s="224">
        <v>414459.39</v>
      </c>
      <c r="L11" s="167">
        <f t="shared" si="0"/>
        <v>290121.57</v>
      </c>
      <c r="M11" s="168">
        <f t="shared" si="1"/>
        <v>124337.82</v>
      </c>
      <c r="N11" s="147">
        <v>0.7</v>
      </c>
      <c r="O11" s="171">
        <v>0</v>
      </c>
      <c r="P11" s="173">
        <v>0</v>
      </c>
      <c r="Q11" s="169">
        <v>0</v>
      </c>
      <c r="R11" s="171">
        <v>0</v>
      </c>
      <c r="S11" s="171">
        <f t="shared" si="6"/>
        <v>290121.57</v>
      </c>
      <c r="T11" s="171">
        <v>0</v>
      </c>
      <c r="U11" s="171">
        <v>0</v>
      </c>
      <c r="V11" s="171">
        <v>0</v>
      </c>
      <c r="W11" s="173">
        <v>0</v>
      </c>
      <c r="X11" s="173">
        <v>0</v>
      </c>
      <c r="Y11" s="233" t="b">
        <f t="shared" si="2"/>
        <v>1</v>
      </c>
      <c r="Z11" s="234">
        <f t="shared" si="3"/>
        <v>0.7</v>
      </c>
      <c r="AA11" s="235" t="b">
        <f t="shared" si="4"/>
        <v>1</v>
      </c>
      <c r="AB11" s="235" t="b">
        <f t="shared" si="5"/>
        <v>1</v>
      </c>
    </row>
    <row r="12" spans="1:28" s="230" customFormat="1" ht="36" customHeight="1" x14ac:dyDescent="0.25">
      <c r="A12" s="283">
        <v>10</v>
      </c>
      <c r="B12" s="145" t="s">
        <v>226</v>
      </c>
      <c r="C12" s="145" t="s">
        <v>74</v>
      </c>
      <c r="D12" s="221" t="s">
        <v>227</v>
      </c>
      <c r="E12" s="222">
        <v>1608062</v>
      </c>
      <c r="F12" s="221" t="s">
        <v>57</v>
      </c>
      <c r="G12" s="221" t="s">
        <v>228</v>
      </c>
      <c r="H12" s="145" t="s">
        <v>47</v>
      </c>
      <c r="I12" s="221">
        <v>2.883</v>
      </c>
      <c r="J12" s="178" t="s">
        <v>229</v>
      </c>
      <c r="K12" s="223">
        <v>8798385</v>
      </c>
      <c r="L12" s="217">
        <f t="shared" si="0"/>
        <v>7038708</v>
      </c>
      <c r="M12" s="218">
        <f t="shared" si="1"/>
        <v>1759677</v>
      </c>
      <c r="N12" s="160">
        <v>0.8</v>
      </c>
      <c r="O12" s="172">
        <v>0</v>
      </c>
      <c r="P12" s="177">
        <v>0</v>
      </c>
      <c r="Q12" s="170">
        <v>0</v>
      </c>
      <c r="R12" s="172">
        <v>0</v>
      </c>
      <c r="S12" s="238">
        <f>ROUND(N12*2467533.15,2)</f>
        <v>1974026.52</v>
      </c>
      <c r="T12" s="172">
        <f>L12-S12</f>
        <v>5064681.4800000004</v>
      </c>
      <c r="U12" s="172">
        <v>0</v>
      </c>
      <c r="V12" s="172">
        <v>0</v>
      </c>
      <c r="W12" s="177">
        <v>0</v>
      </c>
      <c r="X12" s="177">
        <v>0</v>
      </c>
      <c r="Y12" s="212" t="b">
        <f t="shared" si="2"/>
        <v>1</v>
      </c>
      <c r="Z12" s="213">
        <f t="shared" si="3"/>
        <v>0.8</v>
      </c>
      <c r="AA12" s="214" t="b">
        <f t="shared" si="4"/>
        <v>1</v>
      </c>
      <c r="AB12" s="214" t="b">
        <f t="shared" si="5"/>
        <v>1</v>
      </c>
    </row>
    <row r="13" spans="1:28" s="232" customFormat="1" ht="36" customHeight="1" x14ac:dyDescent="0.25">
      <c r="A13" s="283">
        <v>11</v>
      </c>
      <c r="B13" s="157" t="s">
        <v>247</v>
      </c>
      <c r="C13" s="157" t="s">
        <v>53</v>
      </c>
      <c r="D13" s="157" t="s">
        <v>67</v>
      </c>
      <c r="E13" s="248">
        <v>1607092</v>
      </c>
      <c r="F13" s="157" t="s">
        <v>46</v>
      </c>
      <c r="G13" s="157" t="s">
        <v>248</v>
      </c>
      <c r="H13" s="157" t="s">
        <v>84</v>
      </c>
      <c r="I13" s="157">
        <v>0.75</v>
      </c>
      <c r="J13" s="174" t="s">
        <v>201</v>
      </c>
      <c r="K13" s="173">
        <v>4454111.71</v>
      </c>
      <c r="L13" s="167">
        <f t="shared" si="0"/>
        <v>3117878.2</v>
      </c>
      <c r="M13" s="249">
        <f t="shared" si="1"/>
        <v>1336233.5099999998</v>
      </c>
      <c r="N13" s="147">
        <v>0.7</v>
      </c>
      <c r="O13" s="171">
        <v>0</v>
      </c>
      <c r="P13" s="173">
        <v>0</v>
      </c>
      <c r="Q13" s="250">
        <v>0</v>
      </c>
      <c r="R13" s="171">
        <v>0</v>
      </c>
      <c r="S13" s="171">
        <f>L13</f>
        <v>3117878.2</v>
      </c>
      <c r="T13" s="171">
        <v>0</v>
      </c>
      <c r="U13" s="171">
        <v>0</v>
      </c>
      <c r="V13" s="171">
        <v>0</v>
      </c>
      <c r="W13" s="173">
        <v>0</v>
      </c>
      <c r="X13" s="173">
        <v>0</v>
      </c>
      <c r="Y13" s="251" t="b">
        <f t="shared" si="2"/>
        <v>1</v>
      </c>
      <c r="Z13" s="252">
        <f t="shared" si="3"/>
        <v>0.7</v>
      </c>
      <c r="AA13" s="253" t="b">
        <f t="shared" si="4"/>
        <v>1</v>
      </c>
      <c r="AB13" s="253" t="b">
        <f t="shared" si="5"/>
        <v>1</v>
      </c>
    </row>
    <row r="14" spans="1:28" s="231" customFormat="1" ht="36" customHeight="1" x14ac:dyDescent="0.25">
      <c r="A14" s="283">
        <v>12</v>
      </c>
      <c r="B14" s="157" t="s">
        <v>255</v>
      </c>
      <c r="C14" s="157" t="s">
        <v>53</v>
      </c>
      <c r="D14" s="220" t="s">
        <v>97</v>
      </c>
      <c r="E14" s="236">
        <v>1607013</v>
      </c>
      <c r="F14" s="220" t="s">
        <v>46</v>
      </c>
      <c r="G14" s="220" t="s">
        <v>256</v>
      </c>
      <c r="H14" s="157" t="s">
        <v>85</v>
      </c>
      <c r="I14" s="220">
        <v>0.10299999999999999</v>
      </c>
      <c r="J14" s="174" t="s">
        <v>257</v>
      </c>
      <c r="K14" s="224">
        <v>64978</v>
      </c>
      <c r="L14" s="167">
        <f t="shared" si="0"/>
        <v>51982.400000000001</v>
      </c>
      <c r="M14" s="168">
        <f t="shared" si="1"/>
        <v>12995.599999999999</v>
      </c>
      <c r="N14" s="147">
        <v>0.8</v>
      </c>
      <c r="O14" s="171">
        <v>0</v>
      </c>
      <c r="P14" s="173">
        <v>0</v>
      </c>
      <c r="Q14" s="169">
        <v>0</v>
      </c>
      <c r="R14" s="171">
        <v>0</v>
      </c>
      <c r="S14" s="171">
        <f t="shared" si="6"/>
        <v>51982.400000000001</v>
      </c>
      <c r="T14" s="171">
        <v>0</v>
      </c>
      <c r="U14" s="171">
        <v>0</v>
      </c>
      <c r="V14" s="171">
        <v>0</v>
      </c>
      <c r="W14" s="173">
        <v>0</v>
      </c>
      <c r="X14" s="173">
        <v>0</v>
      </c>
      <c r="Y14" s="233" t="b">
        <f t="shared" si="2"/>
        <v>1</v>
      </c>
      <c r="Z14" s="234">
        <f t="shared" si="3"/>
        <v>0.8</v>
      </c>
      <c r="AA14" s="235" t="b">
        <f t="shared" si="4"/>
        <v>1</v>
      </c>
      <c r="AB14" s="235" t="b">
        <f t="shared" si="5"/>
        <v>1</v>
      </c>
    </row>
    <row r="15" spans="1:28" s="231" customFormat="1" ht="51" customHeight="1" x14ac:dyDescent="0.25">
      <c r="A15" s="283">
        <v>13</v>
      </c>
      <c r="B15" s="157" t="s">
        <v>258</v>
      </c>
      <c r="C15" s="157" t="s">
        <v>53</v>
      </c>
      <c r="D15" s="220" t="s">
        <v>67</v>
      </c>
      <c r="E15" s="236">
        <v>1607092</v>
      </c>
      <c r="F15" s="220" t="s">
        <v>46</v>
      </c>
      <c r="G15" s="220" t="s">
        <v>259</v>
      </c>
      <c r="H15" s="157" t="s">
        <v>84</v>
      </c>
      <c r="I15" s="220">
        <v>0.90300000000000002</v>
      </c>
      <c r="J15" s="174" t="s">
        <v>201</v>
      </c>
      <c r="K15" s="224">
        <v>9445429.9900000002</v>
      </c>
      <c r="L15" s="167">
        <f t="shared" si="0"/>
        <v>6611800.9900000002</v>
      </c>
      <c r="M15" s="168">
        <f t="shared" si="1"/>
        <v>2833629</v>
      </c>
      <c r="N15" s="147">
        <v>0.7</v>
      </c>
      <c r="O15" s="171">
        <v>0</v>
      </c>
      <c r="P15" s="173">
        <v>0</v>
      </c>
      <c r="Q15" s="169">
        <v>0</v>
      </c>
      <c r="R15" s="171">
        <v>0</v>
      </c>
      <c r="S15" s="171">
        <f t="shared" si="6"/>
        <v>6611800.9900000002</v>
      </c>
      <c r="T15" s="171">
        <v>0</v>
      </c>
      <c r="U15" s="171">
        <v>0</v>
      </c>
      <c r="V15" s="171">
        <v>0</v>
      </c>
      <c r="W15" s="173">
        <v>0</v>
      </c>
      <c r="X15" s="173">
        <v>0</v>
      </c>
      <c r="Y15" s="233" t="b">
        <f t="shared" si="2"/>
        <v>1</v>
      </c>
      <c r="Z15" s="234">
        <f t="shared" si="3"/>
        <v>0.7</v>
      </c>
      <c r="AA15" s="235" t="b">
        <f t="shared" si="4"/>
        <v>1</v>
      </c>
      <c r="AB15" s="235" t="b">
        <f t="shared" si="5"/>
        <v>1</v>
      </c>
    </row>
    <row r="16" spans="1:28" s="232" customFormat="1" ht="51.75" customHeight="1" x14ac:dyDescent="0.25">
      <c r="A16" s="283">
        <v>14</v>
      </c>
      <c r="B16" s="157" t="s">
        <v>245</v>
      </c>
      <c r="C16" s="157" t="s">
        <v>53</v>
      </c>
      <c r="D16" s="157" t="s">
        <v>67</v>
      </c>
      <c r="E16" s="248">
        <v>1607092</v>
      </c>
      <c r="F16" s="157" t="s">
        <v>46</v>
      </c>
      <c r="G16" s="157" t="s">
        <v>246</v>
      </c>
      <c r="H16" s="157" t="s">
        <v>84</v>
      </c>
      <c r="I16" s="157">
        <v>0.432</v>
      </c>
      <c r="J16" s="174" t="s">
        <v>201</v>
      </c>
      <c r="K16" s="173">
        <v>5843496.9400000004</v>
      </c>
      <c r="L16" s="167">
        <f t="shared" si="0"/>
        <v>4090447.86</v>
      </c>
      <c r="M16" s="249">
        <f t="shared" si="1"/>
        <v>1753049.0800000005</v>
      </c>
      <c r="N16" s="147">
        <v>0.7</v>
      </c>
      <c r="O16" s="171">
        <v>0</v>
      </c>
      <c r="P16" s="173">
        <v>0</v>
      </c>
      <c r="Q16" s="250">
        <v>0</v>
      </c>
      <c r="R16" s="171">
        <v>0</v>
      </c>
      <c r="S16" s="171">
        <f>L16</f>
        <v>4090447.86</v>
      </c>
      <c r="T16" s="171">
        <v>0</v>
      </c>
      <c r="U16" s="171">
        <v>0</v>
      </c>
      <c r="V16" s="171">
        <v>0</v>
      </c>
      <c r="W16" s="173">
        <v>0</v>
      </c>
      <c r="X16" s="173">
        <v>0</v>
      </c>
      <c r="Y16" s="251" t="b">
        <f t="shared" si="2"/>
        <v>1</v>
      </c>
      <c r="Z16" s="252">
        <f t="shared" si="3"/>
        <v>0.7</v>
      </c>
      <c r="AA16" s="253" t="b">
        <f t="shared" si="4"/>
        <v>1</v>
      </c>
      <c r="AB16" s="253" t="b">
        <f t="shared" si="5"/>
        <v>1</v>
      </c>
    </row>
    <row r="17" spans="1:28" s="231" customFormat="1" ht="36" customHeight="1" x14ac:dyDescent="0.25">
      <c r="A17" s="283">
        <v>15</v>
      </c>
      <c r="B17" s="157" t="s">
        <v>260</v>
      </c>
      <c r="C17" s="157" t="s">
        <v>53</v>
      </c>
      <c r="D17" s="220" t="s">
        <v>97</v>
      </c>
      <c r="E17" s="236">
        <v>1607013</v>
      </c>
      <c r="F17" s="220" t="s">
        <v>46</v>
      </c>
      <c r="G17" s="220" t="s">
        <v>261</v>
      </c>
      <c r="H17" s="157" t="s">
        <v>85</v>
      </c>
      <c r="I17" s="220">
        <v>0.18</v>
      </c>
      <c r="J17" s="174" t="s">
        <v>257</v>
      </c>
      <c r="K17" s="224">
        <v>86703</v>
      </c>
      <c r="L17" s="167">
        <f t="shared" si="0"/>
        <v>69362.399999999994</v>
      </c>
      <c r="M17" s="168">
        <f t="shared" si="1"/>
        <v>17340.600000000006</v>
      </c>
      <c r="N17" s="147">
        <v>0.8</v>
      </c>
      <c r="O17" s="171">
        <v>0</v>
      </c>
      <c r="P17" s="173">
        <v>0</v>
      </c>
      <c r="Q17" s="169">
        <v>0</v>
      </c>
      <c r="R17" s="171">
        <v>0</v>
      </c>
      <c r="S17" s="171">
        <f t="shared" si="6"/>
        <v>69362.399999999994</v>
      </c>
      <c r="T17" s="171">
        <v>0</v>
      </c>
      <c r="U17" s="171">
        <v>0</v>
      </c>
      <c r="V17" s="171">
        <v>0</v>
      </c>
      <c r="W17" s="173">
        <v>0</v>
      </c>
      <c r="X17" s="173">
        <v>0</v>
      </c>
      <c r="Y17" s="233" t="b">
        <f t="shared" si="2"/>
        <v>1</v>
      </c>
      <c r="Z17" s="234">
        <f t="shared" si="3"/>
        <v>0.8</v>
      </c>
      <c r="AA17" s="235" t="b">
        <f t="shared" si="4"/>
        <v>1</v>
      </c>
      <c r="AB17" s="235" t="b">
        <f t="shared" si="5"/>
        <v>1</v>
      </c>
    </row>
    <row r="18" spans="1:28" s="231" customFormat="1" ht="36" customHeight="1" x14ac:dyDescent="0.25">
      <c r="A18" s="283">
        <v>16</v>
      </c>
      <c r="B18" s="157" t="s">
        <v>264</v>
      </c>
      <c r="C18" s="157" t="s">
        <v>53</v>
      </c>
      <c r="D18" s="220" t="s">
        <v>106</v>
      </c>
      <c r="E18" s="236">
        <v>1609062</v>
      </c>
      <c r="F18" s="220" t="s">
        <v>56</v>
      </c>
      <c r="G18" s="220" t="s">
        <v>265</v>
      </c>
      <c r="H18" s="157" t="s">
        <v>85</v>
      </c>
      <c r="I18" s="220">
        <v>0.314</v>
      </c>
      <c r="J18" s="174" t="s">
        <v>266</v>
      </c>
      <c r="K18" s="224">
        <v>283409.96999999997</v>
      </c>
      <c r="L18" s="167">
        <f t="shared" si="0"/>
        <v>170045.98</v>
      </c>
      <c r="M18" s="168">
        <f t="shared" si="1"/>
        <v>113363.98999999996</v>
      </c>
      <c r="N18" s="147">
        <v>0.6</v>
      </c>
      <c r="O18" s="171">
        <v>0</v>
      </c>
      <c r="P18" s="173">
        <v>0</v>
      </c>
      <c r="Q18" s="169">
        <v>0</v>
      </c>
      <c r="R18" s="171">
        <v>0</v>
      </c>
      <c r="S18" s="171">
        <f t="shared" si="6"/>
        <v>170045.98</v>
      </c>
      <c r="T18" s="171">
        <v>0</v>
      </c>
      <c r="U18" s="171">
        <v>0</v>
      </c>
      <c r="V18" s="171">
        <v>0</v>
      </c>
      <c r="W18" s="173">
        <v>0</v>
      </c>
      <c r="X18" s="173">
        <v>0</v>
      </c>
      <c r="Y18" s="233" t="b">
        <f t="shared" si="2"/>
        <v>1</v>
      </c>
      <c r="Z18" s="234">
        <f t="shared" si="3"/>
        <v>0.6</v>
      </c>
      <c r="AA18" s="235" t="b">
        <f t="shared" si="4"/>
        <v>1</v>
      </c>
      <c r="AB18" s="235" t="b">
        <f t="shared" si="5"/>
        <v>1</v>
      </c>
    </row>
    <row r="19" spans="1:28" s="232" customFormat="1" ht="36" customHeight="1" x14ac:dyDescent="0.25">
      <c r="A19" s="283">
        <v>17</v>
      </c>
      <c r="B19" s="157" t="s">
        <v>267</v>
      </c>
      <c r="C19" s="157" t="s">
        <v>53</v>
      </c>
      <c r="D19" s="157" t="s">
        <v>55</v>
      </c>
      <c r="E19" s="248">
        <v>1609052</v>
      </c>
      <c r="F19" s="157" t="s">
        <v>56</v>
      </c>
      <c r="G19" s="157" t="s">
        <v>104</v>
      </c>
      <c r="H19" s="157" t="s">
        <v>47</v>
      </c>
      <c r="I19" s="157">
        <v>0.30375999999999997</v>
      </c>
      <c r="J19" s="174" t="s">
        <v>196</v>
      </c>
      <c r="K19" s="173">
        <v>1042006.04</v>
      </c>
      <c r="L19" s="167">
        <f t="shared" si="0"/>
        <v>625203.62</v>
      </c>
      <c r="M19" s="249">
        <f t="shared" si="1"/>
        <v>416802.42000000004</v>
      </c>
      <c r="N19" s="147">
        <v>0.6</v>
      </c>
      <c r="O19" s="171">
        <v>0</v>
      </c>
      <c r="P19" s="173">
        <v>0</v>
      </c>
      <c r="Q19" s="250">
        <v>0</v>
      </c>
      <c r="R19" s="171">
        <v>0</v>
      </c>
      <c r="S19" s="171">
        <f t="shared" si="6"/>
        <v>625203.62</v>
      </c>
      <c r="T19" s="171">
        <v>0</v>
      </c>
      <c r="U19" s="171">
        <v>0</v>
      </c>
      <c r="V19" s="171">
        <v>0</v>
      </c>
      <c r="W19" s="173">
        <v>0</v>
      </c>
      <c r="X19" s="173">
        <v>0</v>
      </c>
      <c r="Y19" s="251" t="b">
        <f t="shared" si="2"/>
        <v>1</v>
      </c>
      <c r="Z19" s="252">
        <f t="shared" si="3"/>
        <v>0.6</v>
      </c>
      <c r="AA19" s="253" t="b">
        <f t="shared" si="4"/>
        <v>1</v>
      </c>
      <c r="AB19" s="253" t="b">
        <f t="shared" si="5"/>
        <v>1</v>
      </c>
    </row>
    <row r="20" spans="1:28" s="231" customFormat="1" ht="36" customHeight="1" x14ac:dyDescent="0.25">
      <c r="A20" s="283">
        <v>18</v>
      </c>
      <c r="B20" s="157" t="s">
        <v>268</v>
      </c>
      <c r="C20" s="157" t="s">
        <v>53</v>
      </c>
      <c r="D20" s="220" t="s">
        <v>68</v>
      </c>
      <c r="E20" s="236">
        <v>1606023</v>
      </c>
      <c r="F20" s="220" t="s">
        <v>59</v>
      </c>
      <c r="G20" s="220" t="s">
        <v>102</v>
      </c>
      <c r="H20" s="157" t="s">
        <v>84</v>
      </c>
      <c r="I20" s="220">
        <v>0.88800000000000001</v>
      </c>
      <c r="J20" s="174" t="s">
        <v>196</v>
      </c>
      <c r="K20" s="224">
        <v>2549179.44</v>
      </c>
      <c r="L20" s="167">
        <f t="shared" si="0"/>
        <v>1529507.66</v>
      </c>
      <c r="M20" s="168">
        <f t="shared" si="1"/>
        <v>1019671.78</v>
      </c>
      <c r="N20" s="147">
        <v>0.6</v>
      </c>
      <c r="O20" s="171">
        <v>0</v>
      </c>
      <c r="P20" s="173">
        <v>0</v>
      </c>
      <c r="Q20" s="169">
        <v>0</v>
      </c>
      <c r="R20" s="171">
        <v>0</v>
      </c>
      <c r="S20" s="171">
        <f t="shared" si="6"/>
        <v>1529507.66</v>
      </c>
      <c r="T20" s="171">
        <v>0</v>
      </c>
      <c r="U20" s="171">
        <v>0</v>
      </c>
      <c r="V20" s="171">
        <v>0</v>
      </c>
      <c r="W20" s="173">
        <v>0</v>
      </c>
      <c r="X20" s="173">
        <v>0</v>
      </c>
      <c r="Y20" s="233" t="b">
        <f t="shared" si="2"/>
        <v>1</v>
      </c>
      <c r="Z20" s="234">
        <f t="shared" si="3"/>
        <v>0.6</v>
      </c>
      <c r="AA20" s="235" t="b">
        <f t="shared" si="4"/>
        <v>1</v>
      </c>
      <c r="AB20" s="235" t="b">
        <f t="shared" si="5"/>
        <v>1</v>
      </c>
    </row>
    <row r="21" spans="1:28" s="231" customFormat="1" ht="36" customHeight="1" x14ac:dyDescent="0.25">
      <c r="A21" s="283">
        <v>19</v>
      </c>
      <c r="B21" s="157" t="s">
        <v>269</v>
      </c>
      <c r="C21" s="157" t="s">
        <v>53</v>
      </c>
      <c r="D21" s="220" t="s">
        <v>81</v>
      </c>
      <c r="E21" s="236">
        <v>1611022</v>
      </c>
      <c r="F21" s="220" t="s">
        <v>58</v>
      </c>
      <c r="G21" s="220" t="s">
        <v>103</v>
      </c>
      <c r="H21" s="157" t="s">
        <v>47</v>
      </c>
      <c r="I21" s="220">
        <v>0.11899999999999999</v>
      </c>
      <c r="J21" s="174" t="s">
        <v>139</v>
      </c>
      <c r="K21" s="224">
        <v>650574.71</v>
      </c>
      <c r="L21" s="167">
        <f t="shared" si="0"/>
        <v>455402.3</v>
      </c>
      <c r="M21" s="168">
        <f t="shared" si="1"/>
        <v>195172.40999999997</v>
      </c>
      <c r="N21" s="147">
        <v>0.7</v>
      </c>
      <c r="O21" s="171">
        <v>0</v>
      </c>
      <c r="P21" s="173">
        <v>0</v>
      </c>
      <c r="Q21" s="169">
        <v>0</v>
      </c>
      <c r="R21" s="171">
        <v>0</v>
      </c>
      <c r="S21" s="171">
        <f t="shared" si="6"/>
        <v>455402.3</v>
      </c>
      <c r="T21" s="171">
        <v>0</v>
      </c>
      <c r="U21" s="171">
        <v>0</v>
      </c>
      <c r="V21" s="171">
        <v>0</v>
      </c>
      <c r="W21" s="173">
        <v>0</v>
      </c>
      <c r="X21" s="173">
        <v>0</v>
      </c>
      <c r="Y21" s="233" t="b">
        <f t="shared" si="2"/>
        <v>1</v>
      </c>
      <c r="Z21" s="234">
        <f t="shared" si="3"/>
        <v>0.7</v>
      </c>
      <c r="AA21" s="235" t="b">
        <f t="shared" si="4"/>
        <v>1</v>
      </c>
      <c r="AB21" s="235" t="b">
        <f t="shared" si="5"/>
        <v>1</v>
      </c>
    </row>
    <row r="22" spans="1:28" s="231" customFormat="1" ht="36" customHeight="1" x14ac:dyDescent="0.25">
      <c r="A22" s="283">
        <v>20</v>
      </c>
      <c r="B22" s="157" t="s">
        <v>270</v>
      </c>
      <c r="C22" s="157" t="s">
        <v>53</v>
      </c>
      <c r="D22" s="220" t="s">
        <v>97</v>
      </c>
      <c r="E22" s="236">
        <v>1607013</v>
      </c>
      <c r="F22" s="220" t="s">
        <v>46</v>
      </c>
      <c r="G22" s="220" t="s">
        <v>271</v>
      </c>
      <c r="H22" s="157" t="s">
        <v>85</v>
      </c>
      <c r="I22" s="220">
        <v>0.216</v>
      </c>
      <c r="J22" s="174" t="s">
        <v>257</v>
      </c>
      <c r="K22" s="224">
        <v>93210</v>
      </c>
      <c r="L22" s="167">
        <f t="shared" si="0"/>
        <v>74568</v>
      </c>
      <c r="M22" s="168">
        <f t="shared" si="1"/>
        <v>18642</v>
      </c>
      <c r="N22" s="147">
        <v>0.8</v>
      </c>
      <c r="O22" s="171">
        <v>0</v>
      </c>
      <c r="P22" s="173">
        <v>0</v>
      </c>
      <c r="Q22" s="169">
        <v>0</v>
      </c>
      <c r="R22" s="171">
        <v>0</v>
      </c>
      <c r="S22" s="171">
        <f t="shared" si="6"/>
        <v>74568</v>
      </c>
      <c r="T22" s="171">
        <v>0</v>
      </c>
      <c r="U22" s="171">
        <v>0</v>
      </c>
      <c r="V22" s="171">
        <v>0</v>
      </c>
      <c r="W22" s="173">
        <v>0</v>
      </c>
      <c r="X22" s="173">
        <v>0</v>
      </c>
      <c r="Y22" s="233" t="b">
        <f t="shared" si="2"/>
        <v>1</v>
      </c>
      <c r="Z22" s="234">
        <f t="shared" si="3"/>
        <v>0.8</v>
      </c>
      <c r="AA22" s="235" t="b">
        <f t="shared" si="4"/>
        <v>1</v>
      </c>
      <c r="AB22" s="235" t="b">
        <f t="shared" si="5"/>
        <v>1</v>
      </c>
    </row>
    <row r="23" spans="1:28" s="232" customFormat="1" ht="36" customHeight="1" x14ac:dyDescent="0.25">
      <c r="A23" s="283">
        <v>21</v>
      </c>
      <c r="B23" s="157" t="s">
        <v>272</v>
      </c>
      <c r="C23" s="157" t="s">
        <v>53</v>
      </c>
      <c r="D23" s="157" t="s">
        <v>117</v>
      </c>
      <c r="E23" s="248">
        <v>1611073</v>
      </c>
      <c r="F23" s="157" t="s">
        <v>58</v>
      </c>
      <c r="G23" s="157" t="s">
        <v>273</v>
      </c>
      <c r="H23" s="157" t="s">
        <v>85</v>
      </c>
      <c r="I23" s="157">
        <v>0.57989999999999997</v>
      </c>
      <c r="J23" s="174" t="s">
        <v>253</v>
      </c>
      <c r="K23" s="173">
        <v>2031796.33</v>
      </c>
      <c r="L23" s="167">
        <f t="shared" si="0"/>
        <v>1625437.06</v>
      </c>
      <c r="M23" s="249">
        <f t="shared" si="1"/>
        <v>406359.27</v>
      </c>
      <c r="N23" s="147">
        <v>0.8</v>
      </c>
      <c r="O23" s="171">
        <v>0</v>
      </c>
      <c r="P23" s="173">
        <v>0</v>
      </c>
      <c r="Q23" s="250">
        <v>0</v>
      </c>
      <c r="R23" s="171">
        <v>0</v>
      </c>
      <c r="S23" s="171">
        <f t="shared" si="6"/>
        <v>1625437.06</v>
      </c>
      <c r="T23" s="171">
        <v>0</v>
      </c>
      <c r="U23" s="171">
        <v>0</v>
      </c>
      <c r="V23" s="171">
        <v>0</v>
      </c>
      <c r="W23" s="173">
        <v>0</v>
      </c>
      <c r="X23" s="173">
        <v>0</v>
      </c>
      <c r="Y23" s="251" t="b">
        <f t="shared" si="2"/>
        <v>1</v>
      </c>
      <c r="Z23" s="252">
        <f t="shared" si="3"/>
        <v>0.8</v>
      </c>
      <c r="AA23" s="253" t="b">
        <f t="shared" si="4"/>
        <v>1</v>
      </c>
      <c r="AB23" s="253" t="b">
        <f t="shared" si="5"/>
        <v>1</v>
      </c>
    </row>
    <row r="24" spans="1:28" s="231" customFormat="1" ht="36" customHeight="1" x14ac:dyDescent="0.25">
      <c r="A24" s="283">
        <v>22</v>
      </c>
      <c r="B24" s="157" t="s">
        <v>262</v>
      </c>
      <c r="C24" s="157" t="s">
        <v>53</v>
      </c>
      <c r="D24" s="220" t="s">
        <v>67</v>
      </c>
      <c r="E24" s="236">
        <v>1607092</v>
      </c>
      <c r="F24" s="220" t="s">
        <v>46</v>
      </c>
      <c r="G24" s="220" t="s">
        <v>263</v>
      </c>
      <c r="H24" s="157" t="s">
        <v>84</v>
      </c>
      <c r="I24" s="220">
        <v>1.101</v>
      </c>
      <c r="J24" s="174" t="s">
        <v>210</v>
      </c>
      <c r="K24" s="224">
        <v>8618531.0899999999</v>
      </c>
      <c r="L24" s="167">
        <f t="shared" si="0"/>
        <v>6032971.7599999998</v>
      </c>
      <c r="M24" s="168">
        <f t="shared" si="1"/>
        <v>2585559.33</v>
      </c>
      <c r="N24" s="147">
        <v>0.7</v>
      </c>
      <c r="O24" s="171">
        <v>0</v>
      </c>
      <c r="P24" s="173">
        <v>0</v>
      </c>
      <c r="Q24" s="169">
        <v>0</v>
      </c>
      <c r="R24" s="171">
        <v>0</v>
      </c>
      <c r="S24" s="171">
        <f>L24</f>
        <v>6032971.7599999998</v>
      </c>
      <c r="T24" s="171">
        <v>0</v>
      </c>
      <c r="U24" s="171">
        <v>0</v>
      </c>
      <c r="V24" s="171">
        <v>0</v>
      </c>
      <c r="W24" s="173">
        <v>0</v>
      </c>
      <c r="X24" s="173">
        <v>0</v>
      </c>
      <c r="Y24" s="233" t="b">
        <f t="shared" si="2"/>
        <v>1</v>
      </c>
      <c r="Z24" s="234">
        <f t="shared" si="3"/>
        <v>0.7</v>
      </c>
      <c r="AA24" s="235" t="b">
        <f t="shared" si="4"/>
        <v>1</v>
      </c>
      <c r="AB24" s="235" t="b">
        <f t="shared" si="5"/>
        <v>1</v>
      </c>
    </row>
    <row r="25" spans="1:28" s="231" customFormat="1" ht="36" customHeight="1" x14ac:dyDescent="0.25">
      <c r="A25" s="283">
        <v>23</v>
      </c>
      <c r="B25" s="157" t="s">
        <v>274</v>
      </c>
      <c r="C25" s="157" t="s">
        <v>53</v>
      </c>
      <c r="D25" s="220" t="s">
        <v>106</v>
      </c>
      <c r="E25" s="236">
        <v>1609062</v>
      </c>
      <c r="F25" s="220" t="s">
        <v>56</v>
      </c>
      <c r="G25" s="220" t="s">
        <v>275</v>
      </c>
      <c r="H25" s="157" t="s">
        <v>85</v>
      </c>
      <c r="I25" s="220">
        <v>0.443</v>
      </c>
      <c r="J25" s="174" t="s">
        <v>266</v>
      </c>
      <c r="K25" s="224">
        <v>446871.92</v>
      </c>
      <c r="L25" s="167">
        <f t="shared" si="0"/>
        <v>268123.15000000002</v>
      </c>
      <c r="M25" s="168">
        <f t="shared" si="1"/>
        <v>178748.76999999996</v>
      </c>
      <c r="N25" s="147">
        <v>0.6</v>
      </c>
      <c r="O25" s="171">
        <v>0</v>
      </c>
      <c r="P25" s="173">
        <v>0</v>
      </c>
      <c r="Q25" s="169">
        <v>0</v>
      </c>
      <c r="R25" s="171">
        <v>0</v>
      </c>
      <c r="S25" s="171">
        <f t="shared" si="6"/>
        <v>268123.15000000002</v>
      </c>
      <c r="T25" s="171">
        <v>0</v>
      </c>
      <c r="U25" s="171">
        <v>0</v>
      </c>
      <c r="V25" s="171">
        <v>0</v>
      </c>
      <c r="W25" s="173">
        <v>0</v>
      </c>
      <c r="X25" s="173">
        <v>0</v>
      </c>
      <c r="Y25" s="233" t="b">
        <f t="shared" si="2"/>
        <v>1</v>
      </c>
      <c r="Z25" s="234">
        <f t="shared" si="3"/>
        <v>0.6</v>
      </c>
      <c r="AA25" s="235" t="b">
        <f t="shared" si="4"/>
        <v>1</v>
      </c>
      <c r="AB25" s="235" t="b">
        <f t="shared" si="5"/>
        <v>1</v>
      </c>
    </row>
    <row r="26" spans="1:28" s="230" customFormat="1" ht="36" customHeight="1" x14ac:dyDescent="0.25">
      <c r="A26" s="283">
        <v>24</v>
      </c>
      <c r="B26" s="145" t="s">
        <v>276</v>
      </c>
      <c r="C26" s="145" t="s">
        <v>74</v>
      </c>
      <c r="D26" s="221" t="s">
        <v>81</v>
      </c>
      <c r="E26" s="222">
        <v>1611022</v>
      </c>
      <c r="F26" s="221" t="s">
        <v>58</v>
      </c>
      <c r="G26" s="221" t="s">
        <v>105</v>
      </c>
      <c r="H26" s="145" t="s">
        <v>47</v>
      </c>
      <c r="I26" s="221">
        <v>0.54700000000000004</v>
      </c>
      <c r="J26" s="178" t="s">
        <v>277</v>
      </c>
      <c r="K26" s="223">
        <v>2732590.55</v>
      </c>
      <c r="L26" s="217">
        <f t="shared" si="0"/>
        <v>1912813.39</v>
      </c>
      <c r="M26" s="218">
        <f t="shared" si="1"/>
        <v>819777.15999999992</v>
      </c>
      <c r="N26" s="160">
        <v>0.7</v>
      </c>
      <c r="O26" s="172">
        <v>0</v>
      </c>
      <c r="P26" s="177">
        <v>0</v>
      </c>
      <c r="Q26" s="170">
        <v>0</v>
      </c>
      <c r="R26" s="172">
        <v>0</v>
      </c>
      <c r="S26" s="238">
        <f>ROUND(N26*929687.15,2)</f>
        <v>650781.01</v>
      </c>
      <c r="T26" s="172">
        <f>L26-S26</f>
        <v>1262032.3799999999</v>
      </c>
      <c r="U26" s="172">
        <v>0</v>
      </c>
      <c r="V26" s="172">
        <v>0</v>
      </c>
      <c r="W26" s="177">
        <v>0</v>
      </c>
      <c r="X26" s="177">
        <v>0</v>
      </c>
      <c r="Y26" s="212" t="b">
        <f t="shared" si="2"/>
        <v>1</v>
      </c>
      <c r="Z26" s="213">
        <f t="shared" si="3"/>
        <v>0.7</v>
      </c>
      <c r="AA26" s="214" t="b">
        <f t="shared" si="4"/>
        <v>1</v>
      </c>
      <c r="AB26" s="214" t="b">
        <f t="shared" si="5"/>
        <v>1</v>
      </c>
    </row>
    <row r="27" spans="1:28" s="231" customFormat="1" ht="36" customHeight="1" x14ac:dyDescent="0.25">
      <c r="A27" s="283">
        <v>25</v>
      </c>
      <c r="B27" s="157" t="s">
        <v>278</v>
      </c>
      <c r="C27" s="157" t="s">
        <v>53</v>
      </c>
      <c r="D27" s="220" t="s">
        <v>67</v>
      </c>
      <c r="E27" s="236">
        <v>1607092</v>
      </c>
      <c r="F27" s="220" t="s">
        <v>46</v>
      </c>
      <c r="G27" s="220" t="s">
        <v>107</v>
      </c>
      <c r="H27" s="157" t="s">
        <v>47</v>
      </c>
      <c r="I27" s="220">
        <v>0.26100000000000001</v>
      </c>
      <c r="J27" s="174" t="s">
        <v>201</v>
      </c>
      <c r="K27" s="224">
        <v>1258582.18</v>
      </c>
      <c r="L27" s="167">
        <f t="shared" si="0"/>
        <v>881007.53</v>
      </c>
      <c r="M27" s="168">
        <f t="shared" si="1"/>
        <v>377574.64999999991</v>
      </c>
      <c r="N27" s="147">
        <v>0.7</v>
      </c>
      <c r="O27" s="171">
        <v>0</v>
      </c>
      <c r="P27" s="173">
        <v>0</v>
      </c>
      <c r="Q27" s="169">
        <v>0</v>
      </c>
      <c r="R27" s="171">
        <v>0</v>
      </c>
      <c r="S27" s="171">
        <f t="shared" ref="S27:S37" si="7">L27</f>
        <v>881007.53</v>
      </c>
      <c r="T27" s="171">
        <v>0</v>
      </c>
      <c r="U27" s="171">
        <v>0</v>
      </c>
      <c r="V27" s="171">
        <v>0</v>
      </c>
      <c r="W27" s="173">
        <v>0</v>
      </c>
      <c r="X27" s="173">
        <v>0</v>
      </c>
      <c r="Y27" s="233" t="b">
        <f t="shared" si="2"/>
        <v>1</v>
      </c>
      <c r="Z27" s="234">
        <f t="shared" si="3"/>
        <v>0.7</v>
      </c>
      <c r="AA27" s="235" t="b">
        <f t="shared" si="4"/>
        <v>1</v>
      </c>
      <c r="AB27" s="235" t="b">
        <f t="shared" si="5"/>
        <v>1</v>
      </c>
    </row>
    <row r="28" spans="1:28" s="231" customFormat="1" ht="36" customHeight="1" x14ac:dyDescent="0.25">
      <c r="A28" s="283">
        <v>26</v>
      </c>
      <c r="B28" s="157" t="s">
        <v>279</v>
      </c>
      <c r="C28" s="157" t="s">
        <v>53</v>
      </c>
      <c r="D28" s="220" t="s">
        <v>64</v>
      </c>
      <c r="E28" s="236">
        <v>1603062</v>
      </c>
      <c r="F28" s="220" t="s">
        <v>61</v>
      </c>
      <c r="G28" s="220" t="s">
        <v>108</v>
      </c>
      <c r="H28" s="157" t="s">
        <v>84</v>
      </c>
      <c r="I28" s="220">
        <v>0.40600000000000003</v>
      </c>
      <c r="J28" s="174" t="s">
        <v>254</v>
      </c>
      <c r="K28" s="224">
        <v>498301.2</v>
      </c>
      <c r="L28" s="167">
        <f t="shared" si="0"/>
        <v>348810.84</v>
      </c>
      <c r="M28" s="168">
        <f t="shared" si="1"/>
        <v>149490.35999999999</v>
      </c>
      <c r="N28" s="147">
        <v>0.7</v>
      </c>
      <c r="O28" s="171">
        <v>0</v>
      </c>
      <c r="P28" s="173">
        <v>0</v>
      </c>
      <c r="Q28" s="169">
        <v>0</v>
      </c>
      <c r="R28" s="171">
        <v>0</v>
      </c>
      <c r="S28" s="171">
        <f t="shared" si="7"/>
        <v>348810.84</v>
      </c>
      <c r="T28" s="171">
        <v>0</v>
      </c>
      <c r="U28" s="171">
        <v>0</v>
      </c>
      <c r="V28" s="171">
        <v>0</v>
      </c>
      <c r="W28" s="173">
        <v>0</v>
      </c>
      <c r="X28" s="173">
        <v>0</v>
      </c>
      <c r="Y28" s="233" t="b">
        <f t="shared" si="2"/>
        <v>1</v>
      </c>
      <c r="Z28" s="234">
        <f t="shared" si="3"/>
        <v>0.7</v>
      </c>
      <c r="AA28" s="235" t="b">
        <f t="shared" si="4"/>
        <v>1</v>
      </c>
      <c r="AB28" s="235" t="b">
        <f t="shared" si="5"/>
        <v>1</v>
      </c>
    </row>
    <row r="29" spans="1:28" s="231" customFormat="1" ht="36" customHeight="1" x14ac:dyDescent="0.25">
      <c r="A29" s="283">
        <v>27</v>
      </c>
      <c r="B29" s="157" t="s">
        <v>280</v>
      </c>
      <c r="C29" s="157" t="s">
        <v>53</v>
      </c>
      <c r="D29" s="220" t="s">
        <v>97</v>
      </c>
      <c r="E29" s="236">
        <v>1607013</v>
      </c>
      <c r="F29" s="220" t="s">
        <v>46</v>
      </c>
      <c r="G29" s="220" t="s">
        <v>111</v>
      </c>
      <c r="H29" s="157" t="s">
        <v>85</v>
      </c>
      <c r="I29" s="220">
        <v>0.21934000000000001</v>
      </c>
      <c r="J29" s="174" t="s">
        <v>257</v>
      </c>
      <c r="K29" s="224">
        <v>123514</v>
      </c>
      <c r="L29" s="167">
        <f t="shared" si="0"/>
        <v>98811.199999999997</v>
      </c>
      <c r="M29" s="168">
        <f t="shared" si="1"/>
        <v>24702.800000000003</v>
      </c>
      <c r="N29" s="147">
        <v>0.8</v>
      </c>
      <c r="O29" s="171">
        <v>0</v>
      </c>
      <c r="P29" s="173">
        <v>0</v>
      </c>
      <c r="Q29" s="169">
        <v>0</v>
      </c>
      <c r="R29" s="171">
        <v>0</v>
      </c>
      <c r="S29" s="171">
        <f t="shared" si="7"/>
        <v>98811.199999999997</v>
      </c>
      <c r="T29" s="171">
        <v>0</v>
      </c>
      <c r="U29" s="171">
        <v>0</v>
      </c>
      <c r="V29" s="171">
        <v>0</v>
      </c>
      <c r="W29" s="173">
        <v>0</v>
      </c>
      <c r="X29" s="173">
        <v>0</v>
      </c>
      <c r="Y29" s="233" t="b">
        <f t="shared" si="2"/>
        <v>1</v>
      </c>
      <c r="Z29" s="234">
        <f t="shared" si="3"/>
        <v>0.8</v>
      </c>
      <c r="AA29" s="235" t="b">
        <f t="shared" si="4"/>
        <v>1</v>
      </c>
      <c r="AB29" s="235" t="b">
        <f t="shared" si="5"/>
        <v>1</v>
      </c>
    </row>
    <row r="30" spans="1:28" s="231" customFormat="1" ht="36" customHeight="1" x14ac:dyDescent="0.25">
      <c r="A30" s="283">
        <v>28</v>
      </c>
      <c r="B30" s="157" t="s">
        <v>281</v>
      </c>
      <c r="C30" s="157" t="s">
        <v>53</v>
      </c>
      <c r="D30" s="220" t="s">
        <v>97</v>
      </c>
      <c r="E30" s="236">
        <v>1607013</v>
      </c>
      <c r="F30" s="220" t="s">
        <v>46</v>
      </c>
      <c r="G30" s="220" t="s">
        <v>110</v>
      </c>
      <c r="H30" s="157" t="s">
        <v>85</v>
      </c>
      <c r="I30" s="220">
        <v>0.25729999999999997</v>
      </c>
      <c r="J30" s="174" t="s">
        <v>257</v>
      </c>
      <c r="K30" s="224">
        <v>110629</v>
      </c>
      <c r="L30" s="167">
        <f t="shared" si="0"/>
        <v>88503.2</v>
      </c>
      <c r="M30" s="168">
        <f t="shared" si="1"/>
        <v>22125.800000000003</v>
      </c>
      <c r="N30" s="147">
        <v>0.8</v>
      </c>
      <c r="O30" s="171">
        <v>0</v>
      </c>
      <c r="P30" s="173">
        <v>0</v>
      </c>
      <c r="Q30" s="169">
        <v>0</v>
      </c>
      <c r="R30" s="171">
        <v>0</v>
      </c>
      <c r="S30" s="171">
        <f t="shared" si="7"/>
        <v>88503.2</v>
      </c>
      <c r="T30" s="171">
        <v>0</v>
      </c>
      <c r="U30" s="171">
        <v>0</v>
      </c>
      <c r="V30" s="171">
        <v>0</v>
      </c>
      <c r="W30" s="173">
        <v>0</v>
      </c>
      <c r="X30" s="173">
        <v>0</v>
      </c>
      <c r="Y30" s="233" t="b">
        <f t="shared" si="2"/>
        <v>1</v>
      </c>
      <c r="Z30" s="234">
        <f t="shared" si="3"/>
        <v>0.8</v>
      </c>
      <c r="AA30" s="235" t="b">
        <f t="shared" si="4"/>
        <v>1</v>
      </c>
      <c r="AB30" s="235" t="b">
        <f t="shared" si="5"/>
        <v>1</v>
      </c>
    </row>
    <row r="31" spans="1:28" s="231" customFormat="1" ht="36" customHeight="1" x14ac:dyDescent="0.25">
      <c r="A31" s="283">
        <v>29</v>
      </c>
      <c r="B31" s="157" t="s">
        <v>282</v>
      </c>
      <c r="C31" s="157" t="s">
        <v>53</v>
      </c>
      <c r="D31" s="220" t="s">
        <v>80</v>
      </c>
      <c r="E31" s="236">
        <v>1605053</v>
      </c>
      <c r="F31" s="220" t="s">
        <v>60</v>
      </c>
      <c r="G31" s="220" t="s">
        <v>109</v>
      </c>
      <c r="H31" s="157" t="s">
        <v>85</v>
      </c>
      <c r="I31" s="220">
        <v>0.97399999999999998</v>
      </c>
      <c r="J31" s="174" t="s">
        <v>283</v>
      </c>
      <c r="K31" s="224">
        <v>1033031.48</v>
      </c>
      <c r="L31" s="167">
        <f t="shared" si="0"/>
        <v>619818.89</v>
      </c>
      <c r="M31" s="168">
        <f t="shared" si="1"/>
        <v>413212.58999999997</v>
      </c>
      <c r="N31" s="147">
        <v>0.6</v>
      </c>
      <c r="O31" s="171">
        <v>0</v>
      </c>
      <c r="P31" s="173">
        <v>0</v>
      </c>
      <c r="Q31" s="169">
        <v>0</v>
      </c>
      <c r="R31" s="171">
        <v>0</v>
      </c>
      <c r="S31" s="171">
        <f t="shared" si="7"/>
        <v>619818.89</v>
      </c>
      <c r="T31" s="171">
        <v>0</v>
      </c>
      <c r="U31" s="171">
        <v>0</v>
      </c>
      <c r="V31" s="171">
        <v>0</v>
      </c>
      <c r="W31" s="173">
        <v>0</v>
      </c>
      <c r="X31" s="173">
        <v>0</v>
      </c>
      <c r="Y31" s="233" t="b">
        <f t="shared" si="2"/>
        <v>1</v>
      </c>
      <c r="Z31" s="234">
        <f t="shared" si="3"/>
        <v>0.6</v>
      </c>
      <c r="AA31" s="235" t="b">
        <f t="shared" si="4"/>
        <v>1</v>
      </c>
      <c r="AB31" s="235" t="b">
        <f t="shared" si="5"/>
        <v>1</v>
      </c>
    </row>
    <row r="32" spans="1:28" s="231" customFormat="1" ht="36" customHeight="1" x14ac:dyDescent="0.25">
      <c r="A32" s="283">
        <v>30</v>
      </c>
      <c r="B32" s="157" t="s">
        <v>284</v>
      </c>
      <c r="C32" s="157" t="s">
        <v>53</v>
      </c>
      <c r="D32" s="220" t="s">
        <v>97</v>
      </c>
      <c r="E32" s="236">
        <v>1607013</v>
      </c>
      <c r="F32" s="220" t="s">
        <v>46</v>
      </c>
      <c r="G32" s="220" t="s">
        <v>285</v>
      </c>
      <c r="H32" s="157" t="s">
        <v>85</v>
      </c>
      <c r="I32" s="220">
        <v>0.20599999999999999</v>
      </c>
      <c r="J32" s="174" t="s">
        <v>257</v>
      </c>
      <c r="K32" s="224">
        <v>86700</v>
      </c>
      <c r="L32" s="167">
        <f t="shared" si="0"/>
        <v>69360</v>
      </c>
      <c r="M32" s="168">
        <f t="shared" si="1"/>
        <v>17340</v>
      </c>
      <c r="N32" s="147">
        <v>0.8</v>
      </c>
      <c r="O32" s="171">
        <v>0</v>
      </c>
      <c r="P32" s="173">
        <v>0</v>
      </c>
      <c r="Q32" s="169">
        <v>0</v>
      </c>
      <c r="R32" s="171">
        <v>0</v>
      </c>
      <c r="S32" s="171">
        <f t="shared" si="7"/>
        <v>69360</v>
      </c>
      <c r="T32" s="171">
        <v>0</v>
      </c>
      <c r="U32" s="171">
        <v>0</v>
      </c>
      <c r="V32" s="171">
        <v>0</v>
      </c>
      <c r="W32" s="173">
        <v>0</v>
      </c>
      <c r="X32" s="173">
        <v>0</v>
      </c>
      <c r="Y32" s="233" t="b">
        <f t="shared" si="2"/>
        <v>1</v>
      </c>
      <c r="Z32" s="234">
        <f t="shared" si="3"/>
        <v>0.8</v>
      </c>
      <c r="AA32" s="235" t="b">
        <f t="shared" si="4"/>
        <v>1</v>
      </c>
      <c r="AB32" s="235" t="b">
        <f t="shared" si="5"/>
        <v>1</v>
      </c>
    </row>
    <row r="33" spans="1:28" s="231" customFormat="1" ht="36" customHeight="1" x14ac:dyDescent="0.25">
      <c r="A33" s="283">
        <v>31</v>
      </c>
      <c r="B33" s="157" t="s">
        <v>286</v>
      </c>
      <c r="C33" s="157" t="s">
        <v>53</v>
      </c>
      <c r="D33" s="220" t="s">
        <v>97</v>
      </c>
      <c r="E33" s="236">
        <v>1607013</v>
      </c>
      <c r="F33" s="220" t="s">
        <v>46</v>
      </c>
      <c r="G33" s="220" t="s">
        <v>112</v>
      </c>
      <c r="H33" s="157" t="s">
        <v>85</v>
      </c>
      <c r="I33" s="220">
        <v>0.47586000000000001</v>
      </c>
      <c r="J33" s="174" t="s">
        <v>257</v>
      </c>
      <c r="K33" s="224">
        <v>244164</v>
      </c>
      <c r="L33" s="167">
        <f t="shared" si="0"/>
        <v>195331.20000000001</v>
      </c>
      <c r="M33" s="168">
        <f t="shared" si="1"/>
        <v>48832.799999999988</v>
      </c>
      <c r="N33" s="147">
        <v>0.8</v>
      </c>
      <c r="O33" s="171">
        <v>0</v>
      </c>
      <c r="P33" s="173">
        <v>0</v>
      </c>
      <c r="Q33" s="169">
        <v>0</v>
      </c>
      <c r="R33" s="171">
        <v>0</v>
      </c>
      <c r="S33" s="171">
        <f t="shared" si="7"/>
        <v>195331.20000000001</v>
      </c>
      <c r="T33" s="171">
        <v>0</v>
      </c>
      <c r="U33" s="171">
        <v>0</v>
      </c>
      <c r="V33" s="171">
        <v>0</v>
      </c>
      <c r="W33" s="173">
        <v>0</v>
      </c>
      <c r="X33" s="173">
        <v>0</v>
      </c>
      <c r="Y33" s="233" t="b">
        <f t="shared" si="2"/>
        <v>1</v>
      </c>
      <c r="Z33" s="234">
        <f t="shared" si="3"/>
        <v>0.8</v>
      </c>
      <c r="AA33" s="235" t="b">
        <f t="shared" si="4"/>
        <v>1</v>
      </c>
      <c r="AB33" s="235" t="b">
        <f t="shared" si="5"/>
        <v>1</v>
      </c>
    </row>
    <row r="34" spans="1:28" s="231" customFormat="1" ht="36" customHeight="1" x14ac:dyDescent="0.25">
      <c r="A34" s="283">
        <v>32</v>
      </c>
      <c r="B34" s="157" t="s">
        <v>287</v>
      </c>
      <c r="C34" s="157" t="s">
        <v>53</v>
      </c>
      <c r="D34" s="220" t="s">
        <v>97</v>
      </c>
      <c r="E34" s="236">
        <v>1607013</v>
      </c>
      <c r="F34" s="220" t="s">
        <v>46</v>
      </c>
      <c r="G34" s="220" t="s">
        <v>288</v>
      </c>
      <c r="H34" s="157" t="s">
        <v>85</v>
      </c>
      <c r="I34" s="220">
        <v>0.17799999999999999</v>
      </c>
      <c r="J34" s="174" t="s">
        <v>257</v>
      </c>
      <c r="K34" s="224">
        <v>96842</v>
      </c>
      <c r="L34" s="167">
        <f t="shared" si="0"/>
        <v>77473.600000000006</v>
      </c>
      <c r="M34" s="168">
        <f t="shared" si="1"/>
        <v>19368.399999999994</v>
      </c>
      <c r="N34" s="147">
        <v>0.8</v>
      </c>
      <c r="O34" s="171">
        <v>0</v>
      </c>
      <c r="P34" s="173">
        <v>0</v>
      </c>
      <c r="Q34" s="169">
        <v>0</v>
      </c>
      <c r="R34" s="171">
        <v>0</v>
      </c>
      <c r="S34" s="171">
        <f t="shared" si="7"/>
        <v>77473.600000000006</v>
      </c>
      <c r="T34" s="171">
        <v>0</v>
      </c>
      <c r="U34" s="171">
        <v>0</v>
      </c>
      <c r="V34" s="171">
        <v>0</v>
      </c>
      <c r="W34" s="173">
        <v>0</v>
      </c>
      <c r="X34" s="173">
        <v>0</v>
      </c>
      <c r="Y34" s="233" t="b">
        <f t="shared" si="2"/>
        <v>1</v>
      </c>
      <c r="Z34" s="234">
        <f t="shared" si="3"/>
        <v>0.8</v>
      </c>
      <c r="AA34" s="235" t="b">
        <f t="shared" si="4"/>
        <v>1</v>
      </c>
      <c r="AB34" s="235" t="b">
        <f t="shared" si="5"/>
        <v>1</v>
      </c>
    </row>
    <row r="35" spans="1:28" s="231" customFormat="1" ht="36" customHeight="1" x14ac:dyDescent="0.25">
      <c r="A35" s="283">
        <v>33</v>
      </c>
      <c r="B35" s="157" t="s">
        <v>289</v>
      </c>
      <c r="C35" s="157" t="s">
        <v>53</v>
      </c>
      <c r="D35" s="220" t="s">
        <v>97</v>
      </c>
      <c r="E35" s="236">
        <v>1607013</v>
      </c>
      <c r="F35" s="220" t="s">
        <v>46</v>
      </c>
      <c r="G35" s="220" t="s">
        <v>113</v>
      </c>
      <c r="H35" s="157" t="s">
        <v>85</v>
      </c>
      <c r="I35" s="220">
        <v>6.9000000000000006E-2</v>
      </c>
      <c r="J35" s="174" t="s">
        <v>257</v>
      </c>
      <c r="K35" s="224">
        <v>40319</v>
      </c>
      <c r="L35" s="167">
        <f t="shared" si="0"/>
        <v>32255.200000000001</v>
      </c>
      <c r="M35" s="168">
        <f t="shared" si="1"/>
        <v>8063.7999999999993</v>
      </c>
      <c r="N35" s="147">
        <v>0.8</v>
      </c>
      <c r="O35" s="171">
        <v>0</v>
      </c>
      <c r="P35" s="173">
        <v>0</v>
      </c>
      <c r="Q35" s="169">
        <v>0</v>
      </c>
      <c r="R35" s="171">
        <v>0</v>
      </c>
      <c r="S35" s="171">
        <f t="shared" si="7"/>
        <v>32255.200000000001</v>
      </c>
      <c r="T35" s="171">
        <v>0</v>
      </c>
      <c r="U35" s="171">
        <v>0</v>
      </c>
      <c r="V35" s="171">
        <v>0</v>
      </c>
      <c r="W35" s="173">
        <v>0</v>
      </c>
      <c r="X35" s="173">
        <v>0</v>
      </c>
      <c r="Y35" s="233" t="b">
        <f t="shared" si="2"/>
        <v>1</v>
      </c>
      <c r="Z35" s="234">
        <f t="shared" si="3"/>
        <v>0.8</v>
      </c>
      <c r="AA35" s="235" t="b">
        <f t="shared" si="4"/>
        <v>1</v>
      </c>
      <c r="AB35" s="235" t="b">
        <f t="shared" si="5"/>
        <v>1</v>
      </c>
    </row>
    <row r="36" spans="1:28" s="232" customFormat="1" ht="36" customHeight="1" x14ac:dyDescent="0.25">
      <c r="A36" s="285">
        <v>34</v>
      </c>
      <c r="B36" s="157" t="s">
        <v>290</v>
      </c>
      <c r="C36" s="157" t="s">
        <v>53</v>
      </c>
      <c r="D36" s="157" t="s">
        <v>97</v>
      </c>
      <c r="E36" s="248">
        <v>1607013</v>
      </c>
      <c r="F36" s="157" t="s">
        <v>46</v>
      </c>
      <c r="G36" s="157" t="s">
        <v>114</v>
      </c>
      <c r="H36" s="157" t="s">
        <v>85</v>
      </c>
      <c r="I36" s="157">
        <v>0.26529999999999998</v>
      </c>
      <c r="J36" s="174" t="s">
        <v>257</v>
      </c>
      <c r="K36" s="173">
        <v>184688</v>
      </c>
      <c r="L36" s="167">
        <f t="shared" si="0"/>
        <v>147750.39999999999</v>
      </c>
      <c r="M36" s="249">
        <f t="shared" si="1"/>
        <v>36937.600000000006</v>
      </c>
      <c r="N36" s="147">
        <v>0.8</v>
      </c>
      <c r="O36" s="171">
        <v>0</v>
      </c>
      <c r="P36" s="173">
        <v>0</v>
      </c>
      <c r="Q36" s="250">
        <v>0</v>
      </c>
      <c r="R36" s="171">
        <v>0</v>
      </c>
      <c r="S36" s="171">
        <f t="shared" si="7"/>
        <v>147750.39999999999</v>
      </c>
      <c r="T36" s="171">
        <v>0</v>
      </c>
      <c r="U36" s="171">
        <v>0</v>
      </c>
      <c r="V36" s="171">
        <v>0</v>
      </c>
      <c r="W36" s="173">
        <v>0</v>
      </c>
      <c r="X36" s="173">
        <v>0</v>
      </c>
      <c r="Y36" s="251" t="b">
        <f t="shared" si="2"/>
        <v>1</v>
      </c>
      <c r="Z36" s="252">
        <f t="shared" si="3"/>
        <v>0.8</v>
      </c>
      <c r="AA36" s="253" t="b">
        <f t="shared" si="4"/>
        <v>1</v>
      </c>
      <c r="AB36" s="253" t="b">
        <f t="shared" si="5"/>
        <v>1</v>
      </c>
    </row>
    <row r="37" spans="1:28" s="232" customFormat="1" ht="36" customHeight="1" x14ac:dyDescent="0.25">
      <c r="A37" s="285">
        <v>35</v>
      </c>
      <c r="B37" s="226" t="s">
        <v>296</v>
      </c>
      <c r="C37" s="256" t="s">
        <v>53</v>
      </c>
      <c r="D37" s="226" t="s">
        <v>97</v>
      </c>
      <c r="E37" s="240">
        <v>1607013</v>
      </c>
      <c r="F37" s="240" t="s">
        <v>46</v>
      </c>
      <c r="G37" s="240" t="s">
        <v>297</v>
      </c>
      <c r="H37" s="240" t="s">
        <v>85</v>
      </c>
      <c r="I37" s="240">
        <v>0.105</v>
      </c>
      <c r="J37" s="241" t="s">
        <v>257</v>
      </c>
      <c r="K37" s="242">
        <v>43034</v>
      </c>
      <c r="L37" s="167">
        <f t="shared" si="0"/>
        <v>34427.199999999997</v>
      </c>
      <c r="M37" s="249">
        <f t="shared" si="1"/>
        <v>8606.8000000000029</v>
      </c>
      <c r="N37" s="147">
        <v>0.8</v>
      </c>
      <c r="O37" s="171">
        <v>0</v>
      </c>
      <c r="P37" s="173">
        <v>0</v>
      </c>
      <c r="Q37" s="250">
        <v>0</v>
      </c>
      <c r="R37" s="171">
        <v>0</v>
      </c>
      <c r="S37" s="171">
        <f t="shared" si="7"/>
        <v>34427.199999999997</v>
      </c>
      <c r="T37" s="171">
        <v>0</v>
      </c>
      <c r="U37" s="171">
        <v>0</v>
      </c>
      <c r="V37" s="171">
        <v>0</v>
      </c>
      <c r="W37" s="173">
        <v>0</v>
      </c>
      <c r="X37" s="173">
        <v>0</v>
      </c>
      <c r="Y37" s="251" t="b">
        <f t="shared" si="2"/>
        <v>1</v>
      </c>
      <c r="Z37" s="252">
        <f t="shared" si="3"/>
        <v>0.8</v>
      </c>
      <c r="AA37" s="253" t="b">
        <f t="shared" si="4"/>
        <v>1</v>
      </c>
      <c r="AB37" s="253" t="b">
        <f t="shared" si="5"/>
        <v>1</v>
      </c>
    </row>
    <row r="38" spans="1:28" ht="18.75" customHeight="1" x14ac:dyDescent="0.25">
      <c r="A38" s="367" t="s">
        <v>45</v>
      </c>
      <c r="B38" s="379"/>
      <c r="C38" s="379"/>
      <c r="D38" s="379"/>
      <c r="E38" s="379"/>
      <c r="F38" s="379"/>
      <c r="G38" s="379"/>
      <c r="H38" s="161"/>
      <c r="I38" s="203">
        <f>SUM(I3:I37)</f>
        <v>19.932879999999997</v>
      </c>
      <c r="J38" s="204" t="s">
        <v>13</v>
      </c>
      <c r="K38" s="205">
        <f>SUM(K3:K37)</f>
        <v>75622299.730000004</v>
      </c>
      <c r="L38" s="205">
        <f>SUM(L3:L37)</f>
        <v>51969146.810000002</v>
      </c>
      <c r="M38" s="205">
        <f>SUM(M3:M37)</f>
        <v>23653152.920000002</v>
      </c>
      <c r="N38" s="206" t="s">
        <v>13</v>
      </c>
      <c r="O38" s="207">
        <f t="shared" ref="O38:X38" si="8">SUM(O3:O37)</f>
        <v>0</v>
      </c>
      <c r="P38" s="207">
        <f t="shared" si="8"/>
        <v>0</v>
      </c>
      <c r="Q38" s="207">
        <f t="shared" si="8"/>
        <v>0</v>
      </c>
      <c r="R38" s="207">
        <f t="shared" si="8"/>
        <v>0</v>
      </c>
      <c r="S38" s="207">
        <f t="shared" si="8"/>
        <v>41385361.010000013</v>
      </c>
      <c r="T38" s="207">
        <f t="shared" si="8"/>
        <v>10583785.800000001</v>
      </c>
      <c r="U38" s="207">
        <f t="shared" si="8"/>
        <v>0</v>
      </c>
      <c r="V38" s="207">
        <f t="shared" si="8"/>
        <v>0</v>
      </c>
      <c r="W38" s="207">
        <f t="shared" si="8"/>
        <v>0</v>
      </c>
      <c r="X38" s="207">
        <f t="shared" si="8"/>
        <v>0</v>
      </c>
      <c r="Y38" s="1" t="b">
        <f t="shared" ref="Y38:Y39" si="9">L38=SUM(O38:X38)</f>
        <v>1</v>
      </c>
      <c r="Z38" s="44">
        <f t="shared" ref="Z38:Z39" si="10">ROUND(L38/K38,4)</f>
        <v>0.68720000000000003</v>
      </c>
    </row>
    <row r="39" spans="1:28" ht="20.100000000000001" customHeight="1" x14ac:dyDescent="0.25">
      <c r="A39" s="372" t="s">
        <v>38</v>
      </c>
      <c r="B39" s="373"/>
      <c r="C39" s="373"/>
      <c r="D39" s="373"/>
      <c r="E39" s="373"/>
      <c r="F39" s="373"/>
      <c r="G39" s="373"/>
      <c r="H39" s="153"/>
      <c r="I39" s="176">
        <f>SUMIF($C$3:$C$37,"N",I3:I37)</f>
        <v>13.981740000000002</v>
      </c>
      <c r="J39" s="239" t="s">
        <v>13</v>
      </c>
      <c r="K39" s="163">
        <f>SUMIF($C$3:$C$37,"N",K3:K37)</f>
        <v>51013931.939999998</v>
      </c>
      <c r="L39" s="163">
        <f>SUMIF($C$3:$C$37,"N",L3:L37)</f>
        <v>35220800.240000017</v>
      </c>
      <c r="M39" s="163">
        <f>SUMIF($C$3:$C$37,"N",M3:M37)</f>
        <v>15793131.700000001</v>
      </c>
      <c r="N39" s="163" t="s">
        <v>13</v>
      </c>
      <c r="O39" s="163">
        <f t="shared" ref="O39:X39" si="11">SUMIF($C$3:$C$37,"N",O3:O37)</f>
        <v>0</v>
      </c>
      <c r="P39" s="163">
        <f t="shared" si="11"/>
        <v>0</v>
      </c>
      <c r="Q39" s="163">
        <f t="shared" si="11"/>
        <v>0</v>
      </c>
      <c r="R39" s="163">
        <f t="shared" si="11"/>
        <v>0</v>
      </c>
      <c r="S39" s="163">
        <f t="shared" si="11"/>
        <v>35220800.240000017</v>
      </c>
      <c r="T39" s="163">
        <f t="shared" si="11"/>
        <v>0</v>
      </c>
      <c r="U39" s="163">
        <f t="shared" si="11"/>
        <v>0</v>
      </c>
      <c r="V39" s="163">
        <f t="shared" si="11"/>
        <v>0</v>
      </c>
      <c r="W39" s="163">
        <f t="shared" si="11"/>
        <v>0</v>
      </c>
      <c r="X39" s="163">
        <f t="shared" si="11"/>
        <v>0</v>
      </c>
      <c r="Y39" s="1" t="b">
        <f t="shared" si="9"/>
        <v>1</v>
      </c>
      <c r="Z39" s="44">
        <f t="shared" si="10"/>
        <v>0.69040000000000001</v>
      </c>
      <c r="AA39" s="45" t="s">
        <v>13</v>
      </c>
      <c r="AB39" s="45" t="b">
        <f t="shared" ref="AB39" si="12">K39=L39+M39</f>
        <v>1</v>
      </c>
    </row>
    <row r="40" spans="1:28" ht="20.100000000000001" customHeight="1" x14ac:dyDescent="0.25">
      <c r="A40" s="372" t="s">
        <v>39</v>
      </c>
      <c r="B40" s="373"/>
      <c r="C40" s="373"/>
      <c r="D40" s="373"/>
      <c r="E40" s="373"/>
      <c r="F40" s="373"/>
      <c r="G40" s="373"/>
      <c r="H40" s="152"/>
      <c r="I40" s="176">
        <f>SUMIF($C$3:$C$37,"W",I3:I37)</f>
        <v>5.9511399999999997</v>
      </c>
      <c r="J40" s="239" t="s">
        <v>13</v>
      </c>
      <c r="K40" s="163">
        <f>SUMIF($C$3:$C$37,"W",K3:K37)</f>
        <v>24608367.790000003</v>
      </c>
      <c r="L40" s="163">
        <f>SUMIF($C$3:$C$37,"W",L3:L37)</f>
        <v>16748346.57</v>
      </c>
      <c r="M40" s="163">
        <f>SUMIF($C$3:$C$37,"W",M3:M37)</f>
        <v>7860021.2200000007</v>
      </c>
      <c r="N40" s="163" t="s">
        <v>13</v>
      </c>
      <c r="O40" s="163">
        <f t="shared" ref="O40:X40" si="13">SUMIF($C$3:$C$37,"W",O3:O37)</f>
        <v>0</v>
      </c>
      <c r="P40" s="163">
        <f t="shared" si="13"/>
        <v>0</v>
      </c>
      <c r="Q40" s="163">
        <f t="shared" si="13"/>
        <v>0</v>
      </c>
      <c r="R40" s="163">
        <f t="shared" si="13"/>
        <v>0</v>
      </c>
      <c r="S40" s="163">
        <f t="shared" si="13"/>
        <v>6164560.7699999996</v>
      </c>
      <c r="T40" s="163">
        <f t="shared" si="13"/>
        <v>10583785.800000001</v>
      </c>
      <c r="U40" s="163">
        <f t="shared" si="13"/>
        <v>0</v>
      </c>
      <c r="V40" s="163">
        <f t="shared" si="13"/>
        <v>0</v>
      </c>
      <c r="W40" s="163">
        <f t="shared" si="13"/>
        <v>0</v>
      </c>
      <c r="X40" s="163">
        <f t="shared" si="13"/>
        <v>0</v>
      </c>
      <c r="Y40" s="1" t="b">
        <f t="shared" ref="Y40" si="14">L40=SUM(O40:X40)</f>
        <v>1</v>
      </c>
      <c r="Z40" s="44">
        <f t="shared" ref="Z40" si="15">ROUND(L40/K40,4)</f>
        <v>0.68059999999999998</v>
      </c>
      <c r="AA40" s="45" t="s">
        <v>13</v>
      </c>
      <c r="AB40" s="45" t="b">
        <f t="shared" ref="AB40" si="16">K40=L40+M40</f>
        <v>1</v>
      </c>
    </row>
    <row r="41" spans="1:28" ht="20.100000000000001" customHeight="1" x14ac:dyDescent="0.25">
      <c r="A41" s="374" t="s">
        <v>40</v>
      </c>
      <c r="B41" s="375"/>
      <c r="C41" s="375"/>
      <c r="D41" s="375"/>
      <c r="E41" s="375"/>
      <c r="F41" s="375"/>
      <c r="G41" s="375"/>
      <c r="H41" s="151"/>
      <c r="I41" s="181">
        <f>SUMIF($C$3:$C$37,"W",I3:I37)</f>
        <v>5.9511399999999997</v>
      </c>
      <c r="J41" s="239" t="s">
        <v>13</v>
      </c>
      <c r="K41" s="182">
        <f>SUMIF($C$3:$C$37,"W",K3:K37)</f>
        <v>24608367.790000003</v>
      </c>
      <c r="L41" s="182">
        <f>SUMIF($C$3:$C$37,"W",L3:L37)</f>
        <v>16748346.57</v>
      </c>
      <c r="M41" s="182">
        <f>SUMIF($C$3:$C$37,"W",M3:M37)</f>
        <v>7860021.2200000007</v>
      </c>
      <c r="N41" s="182" t="s">
        <v>13</v>
      </c>
      <c r="O41" s="182">
        <f t="shared" ref="O41:X41" si="17">SUMIF($C$3:$C$37,"W",O3:O37)</f>
        <v>0</v>
      </c>
      <c r="P41" s="182">
        <f t="shared" si="17"/>
        <v>0</v>
      </c>
      <c r="Q41" s="182">
        <f t="shared" si="17"/>
        <v>0</v>
      </c>
      <c r="R41" s="182">
        <f t="shared" si="17"/>
        <v>0</v>
      </c>
      <c r="S41" s="182">
        <f t="shared" si="17"/>
        <v>6164560.7699999996</v>
      </c>
      <c r="T41" s="182">
        <f t="shared" si="17"/>
        <v>10583785.800000001</v>
      </c>
      <c r="U41" s="182">
        <f t="shared" si="17"/>
        <v>0</v>
      </c>
      <c r="V41" s="182">
        <f t="shared" si="17"/>
        <v>0</v>
      </c>
      <c r="W41" s="182">
        <f t="shared" si="17"/>
        <v>0</v>
      </c>
      <c r="X41" s="182">
        <f t="shared" si="17"/>
        <v>0</v>
      </c>
      <c r="Y41" s="1" t="b">
        <f t="shared" ref="Y41" si="18">L41=SUM(O41:X41)</f>
        <v>1</v>
      </c>
      <c r="Z41" s="44">
        <f t="shared" ref="Z41" si="19">ROUND(L41/K41,4)</f>
        <v>0.68059999999999998</v>
      </c>
      <c r="AA41" s="45" t="s">
        <v>13</v>
      </c>
      <c r="AB41" s="45" t="b">
        <f t="shared" ref="AB41" si="20">K41=L41+M41</f>
        <v>1</v>
      </c>
    </row>
    <row r="42" spans="1:28" x14ac:dyDescent="0.25">
      <c r="A42" s="40"/>
      <c r="Q42" s="37"/>
      <c r="AB42" s="37"/>
    </row>
    <row r="43" spans="1:28" x14ac:dyDescent="0.25">
      <c r="A43" s="33" t="s">
        <v>24</v>
      </c>
      <c r="Q43" s="37"/>
    </row>
    <row r="44" spans="1:28" x14ac:dyDescent="0.25">
      <c r="A44" s="34" t="s">
        <v>25</v>
      </c>
      <c r="Q44" s="37"/>
    </row>
    <row r="45" spans="1:28" x14ac:dyDescent="0.25">
      <c r="A45" s="33" t="s">
        <v>36</v>
      </c>
    </row>
    <row r="46" spans="1:28" x14ac:dyDescent="0.25">
      <c r="A46" s="41"/>
      <c r="Q46" s="37"/>
    </row>
    <row r="47" spans="1:28" x14ac:dyDescent="0.25">
      <c r="P47" s="37"/>
      <c r="Q47" s="37"/>
    </row>
    <row r="50" spans="16:16" x14ac:dyDescent="0.25">
      <c r="P50" s="37"/>
    </row>
  </sheetData>
  <mergeCells count="16">
    <mergeCell ref="I1:I2"/>
    <mergeCell ref="H1:H2"/>
    <mergeCell ref="J1:J2"/>
    <mergeCell ref="A38:G38"/>
    <mergeCell ref="A39:G39"/>
    <mergeCell ref="A40:G40"/>
    <mergeCell ref="D1:D2"/>
    <mergeCell ref="A41:G41"/>
    <mergeCell ref="A1:A2"/>
    <mergeCell ref="B1:B2"/>
    <mergeCell ref="C1:C2"/>
    <mergeCell ref="M1:M2"/>
    <mergeCell ref="N1:N2"/>
    <mergeCell ref="K1:K2"/>
    <mergeCell ref="L1:L2"/>
    <mergeCell ref="O1:R1"/>
  </mergeCells>
  <conditionalFormatting sqref="AB42 Y39:AB39 Y38:Z38 Y6:AB11 Y13:AB24">
    <cfRule type="cellIs" dxfId="31" priority="34" operator="equal">
      <formula>FALSE</formula>
    </cfRule>
  </conditionalFormatting>
  <conditionalFormatting sqref="Y39:AA39 Y38:Z38">
    <cfRule type="containsText" dxfId="30" priority="27" operator="containsText" text="fałsz">
      <formula>NOT(ISERROR(SEARCH("fałsz",Y38)))</formula>
    </cfRule>
  </conditionalFormatting>
  <conditionalFormatting sqref="Z41:AA41">
    <cfRule type="cellIs" dxfId="29" priority="24" operator="equal">
      <formula>FALSE</formula>
    </cfRule>
  </conditionalFormatting>
  <conditionalFormatting sqref="Y41">
    <cfRule type="cellIs" dxfId="28" priority="23" operator="equal">
      <formula>FALSE</formula>
    </cfRule>
  </conditionalFormatting>
  <conditionalFormatting sqref="Y41:AA41">
    <cfRule type="containsText" dxfId="27" priority="22" operator="containsText" text="fałsz">
      <formula>NOT(ISERROR(SEARCH("fałsz",Y41)))</formula>
    </cfRule>
  </conditionalFormatting>
  <conditionalFormatting sqref="AB41">
    <cfRule type="cellIs" dxfId="26" priority="21" operator="equal">
      <formula>FALSE</formula>
    </cfRule>
  </conditionalFormatting>
  <conditionalFormatting sqref="AB41">
    <cfRule type="cellIs" dxfId="25" priority="20" operator="equal">
      <formula>FALSE</formula>
    </cfRule>
  </conditionalFormatting>
  <conditionalFormatting sqref="Y40:AA40">
    <cfRule type="containsText" dxfId="24" priority="17" operator="containsText" text="fałsz">
      <formula>NOT(ISERROR(SEARCH("fałsz",Y40)))</formula>
    </cfRule>
  </conditionalFormatting>
  <conditionalFormatting sqref="Z40:AA40">
    <cfRule type="cellIs" dxfId="23" priority="19" operator="equal">
      <formula>FALSE</formula>
    </cfRule>
  </conditionalFormatting>
  <conditionalFormatting sqref="Y40">
    <cfRule type="cellIs" dxfId="22" priority="18" operator="equal">
      <formula>FALSE</formula>
    </cfRule>
  </conditionalFormatting>
  <conditionalFormatting sqref="AB40">
    <cfRule type="cellIs" dxfId="21" priority="16" operator="equal">
      <formula>FALSE</formula>
    </cfRule>
  </conditionalFormatting>
  <conditionalFormatting sqref="AB40">
    <cfRule type="cellIs" dxfId="20" priority="15" operator="equal">
      <formula>FALSE</formula>
    </cfRule>
  </conditionalFormatting>
  <conditionalFormatting sqref="Y12:AB12 Y25:AB37">
    <cfRule type="cellIs" dxfId="19" priority="8" operator="equal">
      <formula>FALSE</formula>
    </cfRule>
  </conditionalFormatting>
  <conditionalFormatting sqref="Y10:AA11">
    <cfRule type="containsText" dxfId="18" priority="46" operator="containsText" text="fałsz">
      <formula>NOT(ISERROR(SEARCH("fałsz",Y29)))</formula>
    </cfRule>
  </conditionalFormatting>
  <conditionalFormatting sqref="Y20:AA20">
    <cfRule type="containsText" dxfId="17" priority="49" operator="containsText" text="fałsz">
      <formula>NOT(ISERROR(SEARCH("fałsz",#REF!)))</formula>
    </cfRule>
  </conditionalFormatting>
  <conditionalFormatting sqref="Y5:AB5">
    <cfRule type="cellIs" dxfId="16" priority="6" operator="equal">
      <formula>FALSE</formula>
    </cfRule>
  </conditionalFormatting>
  <conditionalFormatting sqref="Y5:AA5">
    <cfRule type="containsText" dxfId="15" priority="5" operator="containsText" text="fałsz">
      <formula>NOT(ISERROR(SEARCH("fałsz",Y5)))</formula>
    </cfRule>
  </conditionalFormatting>
  <conditionalFormatting sqref="Y18:AA19 Y8:AA8">
    <cfRule type="containsText" dxfId="14" priority="55" operator="containsText" text="fałsz">
      <formula>NOT(ISERROR(SEARCH("fałsz",Y25)))</formula>
    </cfRule>
  </conditionalFormatting>
  <conditionalFormatting sqref="Y16:AA16">
    <cfRule type="containsText" dxfId="13" priority="59" operator="containsText" text="fałsz">
      <formula>NOT(ISERROR(SEARCH("fałsz",Y26)))</formula>
    </cfRule>
  </conditionalFormatting>
  <conditionalFormatting sqref="Y14:AA15">
    <cfRule type="containsText" dxfId="12" priority="62" operator="containsText" text="fałsz">
      <formula>NOT(ISERROR(SEARCH("fałsz",Y31)))</formula>
    </cfRule>
  </conditionalFormatting>
  <conditionalFormatting sqref="Y12:AA12">
    <cfRule type="containsText" dxfId="11" priority="66" operator="containsText" text="fałsz">
      <formula>NOT(ISERROR(SEARCH("fałsz",Y20)))</formula>
    </cfRule>
  </conditionalFormatting>
  <conditionalFormatting sqref="Y13:AA13">
    <cfRule type="containsText" dxfId="10" priority="70" operator="containsText" text="fałsz">
      <formula>NOT(ISERROR(SEARCH("fałsz",Y28)))</formula>
    </cfRule>
  </conditionalFormatting>
  <conditionalFormatting sqref="Y9:AA9">
    <cfRule type="containsText" dxfId="9" priority="72" operator="containsText" text="fałsz">
      <formula>NOT(ISERROR(SEARCH("fałsz",Y27)))</formula>
    </cfRule>
  </conditionalFormatting>
  <conditionalFormatting sqref="Y24:AA24">
    <cfRule type="containsText" dxfId="8" priority="79" operator="containsText" text="fałsz">
      <formula>NOT(ISERROR(SEARCH("fałsz",Y34)))</formula>
    </cfRule>
  </conditionalFormatting>
  <conditionalFormatting sqref="Y17:AA17 Y6:AA7">
    <cfRule type="containsText" dxfId="7" priority="80" operator="containsText" text="fałsz">
      <formula>NOT(ISERROR(SEARCH("fałsz",Y22)))</formula>
    </cfRule>
  </conditionalFormatting>
  <conditionalFormatting sqref="Y3:AB3">
    <cfRule type="cellIs" dxfId="6" priority="3" operator="equal">
      <formula>FALSE</formula>
    </cfRule>
  </conditionalFormatting>
  <conditionalFormatting sqref="Y3:AA3">
    <cfRule type="containsText" dxfId="5" priority="4" operator="containsText" text="fałsz">
      <formula>NOT(ISERROR(SEARCH("fałsz",Y18)))</formula>
    </cfRule>
  </conditionalFormatting>
  <conditionalFormatting sqref="Y4:AB4">
    <cfRule type="cellIs" dxfId="4" priority="1" operator="equal">
      <formula>FALSE</formula>
    </cfRule>
  </conditionalFormatting>
  <conditionalFormatting sqref="Y4:AA4">
    <cfRule type="containsText" dxfId="3" priority="2" operator="containsText" text="fałsz">
      <formula>NOT(ISERROR(SEARCH("fałsz",Y20)))</formula>
    </cfRule>
  </conditionalFormatting>
  <dataValidations count="2">
    <dataValidation type="list" allowBlank="1" showInputMessage="1" showErrorMessage="1" sqref="C3:C37">
      <formula1>"N,K,W"</formula1>
    </dataValidation>
    <dataValidation type="list" allowBlank="1" showInputMessage="1" showErrorMessage="1" sqref="H3:H37">
      <formula1>"B,P,R"</formula1>
    </dataValidation>
  </dataValidations>
  <pageMargins left="0.23622047244094491" right="0.23622047244094491" top="0.74803149606299213" bottom="0.74803149606299213" header="0.31496062992125984" footer="0.31496062992125984"/>
  <pageSetup paperSize="8" scale="65" fitToHeight="0" orientation="landscape" r:id="rId1"/>
  <headerFooter>
    <oddHeader>&amp;LWojewództwo&amp;K000000 Opolskie&amp;K01+000 - zadania gminne lista rezerwowa</oddHeader>
    <oddFooter>Strona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52" operator="containsText" text="fałsz" id="{12E0A850-CCE0-4216-B50F-F50B7E29701B}">
            <xm:f>NOT(ISERROR(SEARCH("fałsz",'gm podst'!#REF!)))</xm:f>
            <x14:dxf>
              <font>
                <color rgb="FF9C0006"/>
              </font>
              <fill>
                <patternFill>
                  <bgColor rgb="FFFFC7CE"/>
                </patternFill>
              </fill>
            </x14:dxf>
          </x14:cfRule>
          <xm:sqref>Y21:AA21</xm:sqref>
        </x14:conditionalFormatting>
        <x14:conditionalFormatting xmlns:xm="http://schemas.microsoft.com/office/excel/2006/main">
          <x14:cfRule type="containsText" priority="53" operator="containsText" text="fałsz" id="{12E0A850-CCE0-4216-B50F-F50B7E29701B}">
            <xm:f>NOT(ISERROR(SEARCH("fałsz",'gm podst'!Y35)))</xm:f>
            <x14:dxf>
              <font>
                <color rgb="FF9C0006"/>
              </font>
              <fill>
                <patternFill>
                  <bgColor rgb="FFFFC7CE"/>
                </patternFill>
              </fill>
            </x14:dxf>
          </x14:cfRule>
          <xm:sqref>Y22:AA23</xm:sqref>
        </x14:conditionalFormatting>
        <x14:conditionalFormatting xmlns:xm="http://schemas.microsoft.com/office/excel/2006/main">
          <x14:cfRule type="containsText" priority="74" operator="containsText" text="fałsz" id="{12E0A850-CCE0-4216-B50F-F50B7E29701B}">
            <xm:f>NOT(ISERROR(SEARCH("fałsz",'gm podst'!Y37)))</xm:f>
            <x14:dxf>
              <font>
                <color rgb="FF9C0006"/>
              </font>
              <fill>
                <patternFill>
                  <bgColor rgb="FFFFC7CE"/>
                </patternFill>
              </fill>
            </x14:dxf>
          </x14:cfRule>
          <xm:sqref>Y25:AA37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9</vt:i4>
      </vt:variant>
    </vt:vector>
  </HeadingPairs>
  <TitlesOfParts>
    <vt:vector size="14" baseType="lpstr">
      <vt:lpstr>TERC - "nazwa woj"</vt:lpstr>
      <vt:lpstr>pow podst</vt:lpstr>
      <vt:lpstr>gm podst</vt:lpstr>
      <vt:lpstr>pow rez</vt:lpstr>
      <vt:lpstr>gm rez</vt:lpstr>
      <vt:lpstr>'gm podst'!Obszar_wydruku</vt:lpstr>
      <vt:lpstr>'gm rez'!Obszar_wydruku</vt:lpstr>
      <vt:lpstr>'pow podst'!Obszar_wydruku</vt:lpstr>
      <vt:lpstr>'pow rez'!Obszar_wydruku</vt:lpstr>
      <vt:lpstr>'TERC - "nazwa woj"'!Obszar_wydruku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Przykaza Daniel</dc:creator>
  <cp:lastModifiedBy>Chmura Karolina</cp:lastModifiedBy>
  <cp:lastPrinted>2022-11-25T14:13:29Z</cp:lastPrinted>
  <dcterms:created xsi:type="dcterms:W3CDTF">2019-02-25T10:53:14Z</dcterms:created>
  <dcterms:modified xsi:type="dcterms:W3CDTF">2023-01-30T19:49:28Z</dcterms:modified>
</cp:coreProperties>
</file>