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26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ucharska\Downloads\"/>
    </mc:Choice>
  </mc:AlternateContent>
  <bookViews>
    <workbookView xWindow="0" yWindow="0" windowWidth="28800" windowHeight="12000" activeTab="2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podst'!$A$2:$AD$74</definedName>
    <definedName name="_xlnm._FilterDatabase" localSheetId="4" hidden="1">'gm rez'!$A$2:$AD$23</definedName>
    <definedName name="_xlnm._FilterDatabase" localSheetId="1" hidden="1">'pow podst'!$A$1:$AC$19</definedName>
    <definedName name="_xlnm.Print_Area" localSheetId="2">'gm podst'!$A$1:$Z$79</definedName>
    <definedName name="_xlnm.Print_Area" localSheetId="4">'gm rez'!$A$1:$Z$27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06F9AD21_3FA5_41AD_B91F_6A904D9A0E53_.wvu.FilterData" localSheetId="2" hidden="1">'gm podst'!$A$2:$AD$74</definedName>
    <definedName name="Z_1F3D2491_4924_4C10_9067_F49DF60E2449_.wvu.FilterData" localSheetId="2" hidden="1">'gm podst'!$A$2:$AD$74</definedName>
    <definedName name="Z_37823919_1461_4422_B099_0416BBFC1D0B_.wvu.FilterData" localSheetId="2" hidden="1">'gm podst'!$A$2:$AD$74</definedName>
    <definedName name="Z_87C28BDC_EE29_4126_8B97_643AD36CC868_.wvu.FilterData" localSheetId="2" hidden="1">'gm podst'!$A$2:$AD$74</definedName>
    <definedName name="Z_952F927D_6382_4B9A_AE15_70A4ECB95DF3_.wvu.FilterData" localSheetId="2" hidden="1">'gm podst'!$A$2:$AD$74</definedName>
    <definedName name="Z_ADFB8C45_F7BA_4EFE_84E0_9C7942DB619F_.wvu.FilterData" localSheetId="2" hidden="1">'gm podst'!$A$2:$AD$74</definedName>
    <definedName name="Z_B3D4E81D_6BD4_4F4D_89DF_426FDC333056_.wvu.FilterData" localSheetId="2" hidden="1">'gm podst'!$A$2:$AD$74</definedName>
    <definedName name="Z_B3D4E81D_6BD4_4F4D_89DF_426FDC333056_.wvu.FilterData" localSheetId="1" hidden="1">'pow podst'!$A$1:$AC$19</definedName>
    <definedName name="Z_B4405FF1_036B_45AD_810F_8C9DF67F9D7F_.wvu.FilterData" localSheetId="2" hidden="1">'gm podst'!$A$2:$AD$74</definedName>
    <definedName name="Z_B4405FF1_036B_45AD_810F_8C9DF67F9D7F_.wvu.FilterData" localSheetId="4" hidden="1">'gm rez'!$A$2:$AD$23</definedName>
    <definedName name="Z_B4405FF1_036B_45AD_810F_8C9DF67F9D7F_.wvu.FilterData" localSheetId="1" hidden="1">'pow podst'!$A$1:$AC$19</definedName>
    <definedName name="Z_B4405FF1_036B_45AD_810F_8C9DF67F9D7F_.wvu.PrintArea" localSheetId="2" hidden="1">'gm podst'!$A$1:$Z$79</definedName>
    <definedName name="Z_B4405FF1_036B_45AD_810F_8C9DF67F9D7F_.wvu.PrintArea" localSheetId="4" hidden="1">'gm rez'!$A$1:$Z$27</definedName>
    <definedName name="Z_B4405FF1_036B_45AD_810F_8C9DF67F9D7F_.wvu.PrintArea" localSheetId="1" hidden="1">'pow podst'!$A$1:$Y$19</definedName>
    <definedName name="Z_B4405FF1_036B_45AD_810F_8C9DF67F9D7F_.wvu.PrintArea" localSheetId="3" hidden="1">'pow rez'!$A$1:$Y$12</definedName>
    <definedName name="Z_B4405FF1_036B_45AD_810F_8C9DF67F9D7F_.wvu.PrintArea" localSheetId="0" hidden="1">'TERC - "nazwa woj"'!$A$1:$Q$36</definedName>
    <definedName name="Z_B4405FF1_036B_45AD_810F_8C9DF67F9D7F_.wvu.PrintTitles" localSheetId="2" hidden="1">'gm podst'!$1:$2</definedName>
    <definedName name="Z_B4405FF1_036B_45AD_810F_8C9DF67F9D7F_.wvu.PrintTitles" localSheetId="4" hidden="1">'gm rez'!$1:$2</definedName>
    <definedName name="Z_B4405FF1_036B_45AD_810F_8C9DF67F9D7F_.wvu.PrintTitles" localSheetId="1" hidden="1">'pow podst'!$1:$2</definedName>
    <definedName name="Z_B4405FF1_036B_45AD_810F_8C9DF67F9D7F_.wvu.PrintTitles" localSheetId="3" hidden="1">'pow rez'!$1:$2</definedName>
    <definedName name="Z_BC2203D1_9BFA_4826_9EB5_9CD7911A037A_.wvu.FilterData" localSheetId="2" hidden="1">'gm podst'!$A$2:$AD$74</definedName>
    <definedName name="Z_C76DCD22_0DC9_4799_A058_B64B837BBA0E_.wvu.FilterData" localSheetId="2" hidden="1">'gm podst'!$A$2:$AD$74</definedName>
    <definedName name="Z_C76DCD22_0DC9_4799_A058_B64B837BBA0E_.wvu.FilterData" localSheetId="4" hidden="1">'gm rez'!$A$2:$AD$23</definedName>
    <definedName name="Z_C76DCD22_0DC9_4799_A058_B64B837BBA0E_.wvu.FilterData" localSheetId="1" hidden="1">'pow podst'!$A$1:$AC$19</definedName>
    <definedName name="Z_C76DCD22_0DC9_4799_A058_B64B837BBA0E_.wvu.PrintArea" localSheetId="2" hidden="1">'gm podst'!$A$1:$Z$79</definedName>
    <definedName name="Z_C76DCD22_0DC9_4799_A058_B64B837BBA0E_.wvu.PrintArea" localSheetId="4" hidden="1">'gm rez'!$A$1:$Z$27</definedName>
    <definedName name="Z_C76DCD22_0DC9_4799_A058_B64B837BBA0E_.wvu.PrintArea" localSheetId="1" hidden="1">'pow podst'!$A$1:$Y$26</definedName>
    <definedName name="Z_C76DCD22_0DC9_4799_A058_B64B837BBA0E_.wvu.PrintArea" localSheetId="3" hidden="1">'pow rez'!$A$1:$Y$12</definedName>
    <definedName name="Z_C76DCD22_0DC9_4799_A058_B64B837BBA0E_.wvu.PrintArea" localSheetId="0" hidden="1">'TERC - "nazwa woj"'!$A$1:$Q$36</definedName>
    <definedName name="Z_C76DCD22_0DC9_4799_A058_B64B837BBA0E_.wvu.PrintTitles" localSheetId="2" hidden="1">'gm podst'!$1:$2</definedName>
    <definedName name="Z_C76DCD22_0DC9_4799_A058_B64B837BBA0E_.wvu.PrintTitles" localSheetId="4" hidden="1">'gm rez'!$1:$2</definedName>
    <definedName name="Z_C76DCD22_0DC9_4799_A058_B64B837BBA0E_.wvu.PrintTitles" localSheetId="1" hidden="1">'pow podst'!$1:$2</definedName>
    <definedName name="Z_C76DCD22_0DC9_4799_A058_B64B837BBA0E_.wvu.PrintTitles" localSheetId="3" hidden="1">'pow rez'!$1:$2</definedName>
    <definedName name="Z_C781238C_4222_437A_A3FC_3CB220927BA7_.wvu.FilterData" localSheetId="1" hidden="1">'pow podst'!$A$1:$AC$19</definedName>
    <definedName name="Z_CB410AB3_2DDF_47B7_B021_1F68EEA98257_.wvu.FilterData" localSheetId="2" hidden="1">'gm podst'!$A$2:$AD$74</definedName>
    <definedName name="Z_CB410AB3_2DDF_47B7_B021_1F68EEA98257_.wvu.FilterData" localSheetId="4" hidden="1">'gm rez'!$A$2:$AD$23</definedName>
    <definedName name="Z_CB410AB3_2DDF_47B7_B021_1F68EEA98257_.wvu.FilterData" localSheetId="1" hidden="1">'pow podst'!$A$1:$AC$19</definedName>
    <definedName name="Z_CB410AB3_2DDF_47B7_B021_1F68EEA98257_.wvu.PrintArea" localSheetId="2" hidden="1">'gm podst'!$A$1:$Z$79</definedName>
    <definedName name="Z_CB410AB3_2DDF_47B7_B021_1F68EEA98257_.wvu.PrintArea" localSheetId="4" hidden="1">'gm rez'!$A$1:$Z$27</definedName>
    <definedName name="Z_CB410AB3_2DDF_47B7_B021_1F68EEA98257_.wvu.PrintArea" localSheetId="1" hidden="1">'pow podst'!$A$1:$Y$19</definedName>
    <definedName name="Z_CB410AB3_2DDF_47B7_B021_1F68EEA98257_.wvu.PrintArea" localSheetId="3" hidden="1">'pow rez'!$A$1:$Y$12</definedName>
    <definedName name="Z_CB410AB3_2DDF_47B7_B021_1F68EEA98257_.wvu.PrintArea" localSheetId="0" hidden="1">'TERC - "nazwa woj"'!$A$1:$Q$36</definedName>
    <definedName name="Z_CB410AB3_2DDF_47B7_B021_1F68EEA98257_.wvu.PrintTitles" localSheetId="2" hidden="1">'gm podst'!$1:$2</definedName>
    <definedName name="Z_CB410AB3_2DDF_47B7_B021_1F68EEA98257_.wvu.PrintTitles" localSheetId="4" hidden="1">'gm rez'!$1:$2</definedName>
    <definedName name="Z_CB410AB3_2DDF_47B7_B021_1F68EEA98257_.wvu.PrintTitles" localSheetId="1" hidden="1">'pow podst'!$1:$2</definedName>
    <definedName name="Z_CB410AB3_2DDF_47B7_B021_1F68EEA98257_.wvu.PrintTitles" localSheetId="3" hidden="1">'pow rez'!$1:$2</definedName>
    <definedName name="Z_CF17DA04_EBA2_4EDA_9B20_8BFCBE182783_.wvu.FilterData" localSheetId="2" hidden="1">'gm podst'!$A$2:$AD$74</definedName>
    <definedName name="Z_E7CAF9DC_53CB_464B_97B7_E2DEFBC16359_.wvu.FilterData" localSheetId="2" hidden="1">'gm podst'!$A$2:$AD$74</definedName>
    <definedName name="Z_E7CAF9DC_53CB_464B_97B7_E2DEFBC16359_.wvu.FilterData" localSheetId="4" hidden="1">'gm rez'!$A$2:$AD$23</definedName>
    <definedName name="Z_E7CAF9DC_53CB_464B_97B7_E2DEFBC16359_.wvu.FilterData" localSheetId="1" hidden="1">'pow podst'!$A$1:$AC$19</definedName>
    <definedName name="Z_E7CAF9DC_53CB_464B_97B7_E2DEFBC16359_.wvu.PrintArea" localSheetId="2" hidden="1">'gm podst'!$A$1:$Z$79</definedName>
    <definedName name="Z_E7CAF9DC_53CB_464B_97B7_E2DEFBC16359_.wvu.PrintArea" localSheetId="4" hidden="1">'gm rez'!$A$1:$Z$27</definedName>
    <definedName name="Z_E7CAF9DC_53CB_464B_97B7_E2DEFBC16359_.wvu.PrintArea" localSheetId="1" hidden="1">'pow podst'!$A$1:$Y$19</definedName>
    <definedName name="Z_E7CAF9DC_53CB_464B_97B7_E2DEFBC16359_.wvu.PrintArea" localSheetId="3" hidden="1">'pow rez'!$A$1:$Y$12</definedName>
    <definedName name="Z_E7CAF9DC_53CB_464B_97B7_E2DEFBC16359_.wvu.PrintArea" localSheetId="0" hidden="1">'TERC - "nazwa woj"'!$A$1:$Q$36</definedName>
    <definedName name="Z_E7CAF9DC_53CB_464B_97B7_E2DEFBC16359_.wvu.PrintTitles" localSheetId="2" hidden="1">'gm podst'!$1:$2</definedName>
    <definedName name="Z_E7CAF9DC_53CB_464B_97B7_E2DEFBC16359_.wvu.PrintTitles" localSheetId="4" hidden="1">'gm rez'!$1:$2</definedName>
    <definedName name="Z_E7CAF9DC_53CB_464B_97B7_E2DEFBC16359_.wvu.PrintTitles" localSheetId="1" hidden="1">'pow podst'!$1:$2</definedName>
    <definedName name="Z_E7CAF9DC_53CB_464B_97B7_E2DEFBC16359_.wvu.PrintTitles" localSheetId="3" hidden="1">'pow rez'!$1:$2</definedName>
    <definedName name="Z_EA415797_4476_40E1_ACE5_0AB68E4A71AB_.wvu.FilterData" localSheetId="2" hidden="1">'gm podst'!$A$2:$AD$74</definedName>
  </definedNames>
  <calcPr calcId="152511" iterateDelta="1E-4"/>
  <customWorkbookViews>
    <customWorkbookView name="Zofia Malik - Widok osobisty" guid="{B4405FF1-036B-45AD-810F-8C9DF67F9D7F}" mergeInterval="0" personalView="1" maximized="1" xWindow="1912" yWindow="-3" windowWidth="1936" windowHeight="1056" activeSheetId="3"/>
    <customWorkbookView name="Kinga Kucharska - Widok osobisty" guid="{CB410AB3-2DDF-47B7-B021-1F68EEA98257}" mergeInterval="0" personalView="1" maximized="1" xWindow="-8" yWindow="-8" windowWidth="1936" windowHeight="1056" activeSheetId="3"/>
    <customWorkbookView name="Agnieszka Wagner - Widok osobisty" guid="{E7CAF9DC-53CB-464B-97B7-E2DEFBC16359}" mergeInterval="0" personalView="1" xWindow="-33" windowWidth="1936" windowHeight="1040" activeSheetId="3"/>
    <customWorkbookView name="Katarzyna Juszczak - Widok osobisty" guid="{C76DCD22-0DC9-4799-A058-B64B837BBA0E}" mergeInterval="0" personalView="1" maximized="1" xWindow="-8" yWindow="-8" windowWidth="1936" windowHeight="1176" activeSheetId="3"/>
  </customWorkbookViews>
</workbook>
</file>

<file path=xl/calcChain.xml><?xml version="1.0" encoding="utf-8"?>
<calcChain xmlns="http://schemas.openxmlformats.org/spreadsheetml/2006/main">
  <c r="AB65" i="3" l="1"/>
  <c r="M65" i="3" l="1"/>
  <c r="M3" i="3" l="1"/>
  <c r="L63" i="3" l="1"/>
  <c r="L59" i="3" l="1"/>
  <c r="M35" i="3" l="1"/>
  <c r="T37" i="3" l="1"/>
  <c r="AB66" i="3"/>
  <c r="AC66" i="3" s="1"/>
  <c r="L67" i="3"/>
  <c r="M67" i="3" s="1"/>
  <c r="L68" i="3"/>
  <c r="M68" i="3" s="1"/>
  <c r="L69" i="3"/>
  <c r="M69" i="3" s="1"/>
  <c r="L70" i="3"/>
  <c r="AB67" i="3" l="1"/>
  <c r="AC67" i="3" s="1"/>
  <c r="AD68" i="3"/>
  <c r="M66" i="3"/>
  <c r="AD66" i="3" s="1"/>
  <c r="AB68" i="3"/>
  <c r="AC68" i="3" s="1"/>
  <c r="AC65" i="3"/>
  <c r="AB69" i="3"/>
  <c r="AC69" i="3" s="1"/>
  <c r="T69" i="3"/>
  <c r="AA69" i="3" s="1"/>
  <c r="T68" i="3"/>
  <c r="AA68" i="3" s="1"/>
  <c r="T67" i="3"/>
  <c r="AA67" i="3" s="1"/>
  <c r="T66" i="3"/>
  <c r="AA66" i="3" s="1"/>
  <c r="AD69" i="3"/>
  <c r="AD67" i="3"/>
  <c r="AD65" i="3"/>
  <c r="T65" i="3"/>
  <c r="AA65" i="3" s="1"/>
  <c r="AB64" i="3"/>
  <c r="AC64" i="3" s="1"/>
  <c r="AD64" i="3"/>
  <c r="AA64" i="3"/>
  <c r="M62" i="3" l="1"/>
  <c r="M63" i="3"/>
  <c r="M70" i="3"/>
  <c r="T62" i="3" l="1"/>
  <c r="AA62" i="3" s="1"/>
  <c r="AD61" i="3"/>
  <c r="AD63" i="3"/>
  <c r="AD62" i="3"/>
  <c r="AD70" i="3"/>
  <c r="AA61" i="3"/>
  <c r="T70" i="3"/>
  <c r="AA70" i="3" s="1"/>
  <c r="AB62" i="3"/>
  <c r="AC62" i="3" s="1"/>
  <c r="AB61" i="3"/>
  <c r="AC61" i="3" s="1"/>
  <c r="T63" i="3"/>
  <c r="AA63" i="3" s="1"/>
  <c r="AB70" i="3"/>
  <c r="AC70" i="3" s="1"/>
  <c r="AB63" i="3"/>
  <c r="AC63" i="3" s="1"/>
  <c r="L60" i="3" l="1"/>
  <c r="AB60" i="3" l="1"/>
  <c r="AC60" i="3" s="1"/>
  <c r="T60" i="3"/>
  <c r="AA60" i="3" s="1"/>
  <c r="M60" i="3"/>
  <c r="AD60" i="3" s="1"/>
  <c r="M59" i="3" l="1"/>
  <c r="L57" i="3"/>
  <c r="AB57" i="3" s="1"/>
  <c r="AC57" i="3" s="1"/>
  <c r="AB59" i="3" l="1"/>
  <c r="AC59" i="3" s="1"/>
  <c r="AD59" i="3"/>
  <c r="T59" i="3"/>
  <c r="AA59" i="3" s="1"/>
  <c r="AD58" i="3"/>
  <c r="AB58" i="3"/>
  <c r="AC58" i="3" s="1"/>
  <c r="AA58" i="3"/>
  <c r="M57" i="3"/>
  <c r="AD57" i="3" s="1"/>
  <c r="T57" i="3"/>
  <c r="AA57" i="3" s="1"/>
  <c r="L55" i="3" l="1"/>
  <c r="M55" i="3" s="1"/>
  <c r="AD55" i="3" s="1"/>
  <c r="L56" i="3"/>
  <c r="M56" i="3" s="1"/>
  <c r="AB55" i="3" l="1"/>
  <c r="AC55" i="3" s="1"/>
  <c r="T55" i="3"/>
  <c r="AA55" i="3" s="1"/>
  <c r="AB56" i="3"/>
  <c r="AC56" i="3" s="1"/>
  <c r="T56" i="3"/>
  <c r="AA56" i="3" s="1"/>
  <c r="AD56" i="3"/>
  <c r="T43" i="3" l="1"/>
  <c r="L13" i="3" l="1"/>
  <c r="K10" i="2" l="1"/>
  <c r="L10" i="2" l="1"/>
  <c r="K15" i="2"/>
  <c r="L6" i="3"/>
  <c r="AA6" i="3" s="1"/>
  <c r="L7" i="3"/>
  <c r="M7" i="3" s="1"/>
  <c r="L8" i="3"/>
  <c r="AA8" i="3" s="1"/>
  <c r="L9" i="3"/>
  <c r="M10" i="3"/>
  <c r="AD10" i="3" s="1"/>
  <c r="AD11" i="3"/>
  <c r="L4" i="3"/>
  <c r="M4" i="3" s="1"/>
  <c r="AD4" i="3" s="1"/>
  <c r="L54" i="3"/>
  <c r="M54" i="3" s="1"/>
  <c r="AD54" i="3" s="1"/>
  <c r="L53" i="3"/>
  <c r="T53" i="3" s="1"/>
  <c r="AA53" i="3" s="1"/>
  <c r="L12" i="3"/>
  <c r="AB12" i="3" s="1"/>
  <c r="AC12" i="3" s="1"/>
  <c r="M13" i="3"/>
  <c r="AD13" i="3" s="1"/>
  <c r="T14" i="3"/>
  <c r="AA14" i="3" s="1"/>
  <c r="L15" i="3"/>
  <c r="M15" i="3" s="1"/>
  <c r="AD15" i="3" s="1"/>
  <c r="L16" i="3"/>
  <c r="M16" i="3" s="1"/>
  <c r="L17" i="3"/>
  <c r="AB17" i="3" s="1"/>
  <c r="AC17" i="3" s="1"/>
  <c r="T18" i="3"/>
  <c r="AA18" i="3" s="1"/>
  <c r="AD19" i="3"/>
  <c r="L21" i="3"/>
  <c r="T21" i="3" s="1"/>
  <c r="AA21" i="3" s="1"/>
  <c r="L22" i="3"/>
  <c r="T22" i="3" s="1"/>
  <c r="AA22" i="3" s="1"/>
  <c r="L23" i="3"/>
  <c r="M23" i="3" s="1"/>
  <c r="AD23" i="3" s="1"/>
  <c r="L24" i="3"/>
  <c r="M24" i="3" s="1"/>
  <c r="L25" i="3"/>
  <c r="AB25" i="3" s="1"/>
  <c r="AC25" i="3" s="1"/>
  <c r="L26" i="3"/>
  <c r="T26" i="3" s="1"/>
  <c r="AA26" i="3" s="1"/>
  <c r="M27" i="3"/>
  <c r="AD27" i="3" s="1"/>
  <c r="L28" i="3"/>
  <c r="AB28" i="3" s="1"/>
  <c r="AC28" i="3" s="1"/>
  <c r="L29" i="3"/>
  <c r="M29" i="3" s="1"/>
  <c r="L30" i="3"/>
  <c r="T30" i="3" s="1"/>
  <c r="AA30" i="3" s="1"/>
  <c r="L31" i="3"/>
  <c r="M31" i="3" s="1"/>
  <c r="AD31" i="3" s="1"/>
  <c r="L32" i="3"/>
  <c r="M32" i="3" s="1"/>
  <c r="L33" i="3"/>
  <c r="AB33" i="3" s="1"/>
  <c r="AC33" i="3" s="1"/>
  <c r="L34" i="3"/>
  <c r="M34" i="3" s="1"/>
  <c r="AD35" i="3"/>
  <c r="L36" i="3"/>
  <c r="AB36" i="3" s="1"/>
  <c r="AC36" i="3" s="1"/>
  <c r="L37" i="3"/>
  <c r="M37" i="3" s="1"/>
  <c r="AD37" i="3" s="1"/>
  <c r="L38" i="3"/>
  <c r="T38" i="3" s="1"/>
  <c r="AA38" i="3" s="1"/>
  <c r="L39" i="3"/>
  <c r="M39" i="3" s="1"/>
  <c r="AD39" i="3" s="1"/>
  <c r="L40" i="3"/>
  <c r="M40" i="3" s="1"/>
  <c r="AD40" i="3" s="1"/>
  <c r="L41" i="3"/>
  <c r="T41" i="3" s="1"/>
  <c r="L42" i="3"/>
  <c r="M42" i="3" s="1"/>
  <c r="L43" i="3"/>
  <c r="M43" i="3" s="1"/>
  <c r="L44" i="3"/>
  <c r="M44" i="3" s="1"/>
  <c r="L45" i="3"/>
  <c r="T45" i="3" s="1"/>
  <c r="L46" i="3"/>
  <c r="T46" i="3" s="1"/>
  <c r="L47" i="3"/>
  <c r="M47" i="3" s="1"/>
  <c r="L48" i="3"/>
  <c r="M48" i="3" s="1"/>
  <c r="L49" i="3"/>
  <c r="M49" i="3" s="1"/>
  <c r="L50" i="3"/>
  <c r="T50" i="3" s="1"/>
  <c r="L51" i="3"/>
  <c r="M51" i="3" s="1"/>
  <c r="L52" i="3"/>
  <c r="M52" i="3" s="1"/>
  <c r="M5" i="3"/>
  <c r="AD5" i="3" s="1"/>
  <c r="T42" i="3"/>
  <c r="U17" i="3"/>
  <c r="T17" i="3"/>
  <c r="AB5" i="3"/>
  <c r="AC5" i="3" s="1"/>
  <c r="AA5" i="3"/>
  <c r="K5" i="2"/>
  <c r="K6" i="2"/>
  <c r="L6" i="2" s="1"/>
  <c r="S7" i="2"/>
  <c r="K8" i="2"/>
  <c r="S8" i="2" s="1"/>
  <c r="K9" i="2"/>
  <c r="L9" i="2" s="1"/>
  <c r="S10" i="2"/>
  <c r="T20" i="3" l="1"/>
  <c r="AA20" i="3" s="1"/>
  <c r="M20" i="3"/>
  <c r="AD20" i="3" s="1"/>
  <c r="AB17" i="5"/>
  <c r="AC17" i="5" s="1"/>
  <c r="AB29" i="3"/>
  <c r="AC29" i="3" s="1"/>
  <c r="T40" i="3"/>
  <c r="AA40" i="3" s="1"/>
  <c r="AB9" i="3"/>
  <c r="AC9" i="3" s="1"/>
  <c r="T9" i="3"/>
  <c r="AB4" i="3"/>
  <c r="AC4" i="3" s="1"/>
  <c r="AB32" i="3"/>
  <c r="AC32" i="3" s="1"/>
  <c r="AB37" i="3"/>
  <c r="AC37" i="3" s="1"/>
  <c r="U13" i="3"/>
  <c r="AA13" i="3" s="1"/>
  <c r="AB13" i="3"/>
  <c r="AC13" i="3" s="1"/>
  <c r="M45" i="3"/>
  <c r="S6" i="2"/>
  <c r="AB21" i="3"/>
  <c r="AC21" i="3" s="1"/>
  <c r="M21" i="3"/>
  <c r="AD21" i="3" s="1"/>
  <c r="T29" i="3"/>
  <c r="AA29" i="3" s="1"/>
  <c r="AD29" i="3"/>
  <c r="U37" i="3"/>
  <c r="AA37" i="3" s="1"/>
  <c r="AB10" i="3"/>
  <c r="AC10" i="3" s="1"/>
  <c r="T28" i="3"/>
  <c r="AA28" i="3" s="1"/>
  <c r="M12" i="3"/>
  <c r="AD12" i="3" s="1"/>
  <c r="M28" i="3"/>
  <c r="AD28" i="3" s="1"/>
  <c r="T32" i="3"/>
  <c r="AA32" i="3" s="1"/>
  <c r="M38" i="3"/>
  <c r="AD38" i="3" s="1"/>
  <c r="M14" i="3"/>
  <c r="AD14" i="3" s="1"/>
  <c r="AB27" i="3"/>
  <c r="AC27" i="3" s="1"/>
  <c r="AB22" i="3"/>
  <c r="AC22" i="3" s="1"/>
  <c r="T25" i="3"/>
  <c r="AA25" i="3" s="1"/>
  <c r="U43" i="3"/>
  <c r="M25" i="3"/>
  <c r="AD25" i="3" s="1"/>
  <c r="M22" i="3"/>
  <c r="AD22" i="3" s="1"/>
  <c r="AB31" i="3"/>
  <c r="AC31" i="3" s="1"/>
  <c r="M41" i="3"/>
  <c r="AA5" i="5"/>
  <c r="AB6" i="3"/>
  <c r="AC6" i="3" s="1"/>
  <c r="V17" i="3"/>
  <c r="AA17" i="3" s="1"/>
  <c r="M6" i="3"/>
  <c r="AD6" i="3" s="1"/>
  <c r="AB15" i="5"/>
  <c r="AC15" i="5" s="1"/>
  <c r="T33" i="3"/>
  <c r="AA33" i="3" s="1"/>
  <c r="T48" i="3"/>
  <c r="AB13" i="5"/>
  <c r="AC13" i="5" s="1"/>
  <c r="T49" i="3"/>
  <c r="M33" i="3"/>
  <c r="AD33" i="3" s="1"/>
  <c r="M17" i="3"/>
  <c r="AD17" i="3" s="1"/>
  <c r="AB9" i="5"/>
  <c r="AC9" i="5" s="1"/>
  <c r="T52" i="3"/>
  <c r="AA13" i="5"/>
  <c r="AB7" i="5"/>
  <c r="AC7" i="5" s="1"/>
  <c r="AA10" i="5"/>
  <c r="AB5" i="5"/>
  <c r="AC5" i="5" s="1"/>
  <c r="T47" i="3"/>
  <c r="M18" i="3"/>
  <c r="AD18" i="3" s="1"/>
  <c r="AA4" i="3"/>
  <c r="T51" i="3"/>
  <c r="AA15" i="5"/>
  <c r="AD19" i="5"/>
  <c r="AD17" i="5"/>
  <c r="AD15" i="5"/>
  <c r="AD13" i="5"/>
  <c r="AD11" i="5"/>
  <c r="AD9" i="5"/>
  <c r="AD7" i="5"/>
  <c r="AD5" i="5"/>
  <c r="AD34" i="3"/>
  <c r="AB11" i="5"/>
  <c r="AC11" i="5" s="1"/>
  <c r="AB39" i="3"/>
  <c r="AC39" i="3" s="1"/>
  <c r="T35" i="3"/>
  <c r="AA35" i="3" s="1"/>
  <c r="T44" i="3"/>
  <c r="AA20" i="5"/>
  <c r="AA12" i="5"/>
  <c r="AA7" i="5"/>
  <c r="AB19" i="5"/>
  <c r="AC19" i="5" s="1"/>
  <c r="AB15" i="3"/>
  <c r="AC15" i="3" s="1"/>
  <c r="T15" i="3"/>
  <c r="AA15" i="3" s="1"/>
  <c r="T27" i="3"/>
  <c r="AA27" i="3" s="1"/>
  <c r="T36" i="3"/>
  <c r="AA36" i="3" s="1"/>
  <c r="M46" i="3"/>
  <c r="M30" i="3"/>
  <c r="AD30" i="3" s="1"/>
  <c r="M9" i="3"/>
  <c r="AD9" i="3" s="1"/>
  <c r="AB53" i="3"/>
  <c r="AC53" i="3" s="1"/>
  <c r="AA19" i="5"/>
  <c r="AA11" i="5"/>
  <c r="AD20" i="5"/>
  <c r="AD18" i="5"/>
  <c r="AD16" i="5"/>
  <c r="AD14" i="5"/>
  <c r="AD12" i="5"/>
  <c r="AD10" i="5"/>
  <c r="AD8" i="5"/>
  <c r="AD6" i="5"/>
  <c r="AD4" i="5"/>
  <c r="M50" i="3"/>
  <c r="T39" i="3"/>
  <c r="AA39" i="3" s="1"/>
  <c r="M53" i="3"/>
  <c r="AD53" i="3" s="1"/>
  <c r="AA17" i="5"/>
  <c r="AA9" i="5"/>
  <c r="AB20" i="5"/>
  <c r="AC20" i="5" s="1"/>
  <c r="AB18" i="5"/>
  <c r="AC18" i="5" s="1"/>
  <c r="AB16" i="5"/>
  <c r="AC16" i="5" s="1"/>
  <c r="AB14" i="5"/>
  <c r="AC14" i="5" s="1"/>
  <c r="AB12" i="5"/>
  <c r="AC12" i="5" s="1"/>
  <c r="AB10" i="5"/>
  <c r="AC10" i="5" s="1"/>
  <c r="AB8" i="5"/>
  <c r="AC8" i="5" s="1"/>
  <c r="AB6" i="5"/>
  <c r="AC6" i="5" s="1"/>
  <c r="AB4" i="5"/>
  <c r="AC4" i="5" s="1"/>
  <c r="AB34" i="3"/>
  <c r="AC34" i="3" s="1"/>
  <c r="L8" i="2"/>
  <c r="AA19" i="3"/>
  <c r="T31" i="3"/>
  <c r="AA31" i="3" s="1"/>
  <c r="M26" i="3"/>
  <c r="AD26" i="3" s="1"/>
  <c r="AA16" i="5"/>
  <c r="AA8" i="5"/>
  <c r="AA18" i="5"/>
  <c r="AA14" i="5"/>
  <c r="AA6" i="5"/>
  <c r="AA4" i="5"/>
  <c r="AB7" i="3"/>
  <c r="AC7" i="3" s="1"/>
  <c r="M8" i="3"/>
  <c r="AD8" i="3" s="1"/>
  <c r="AA11" i="3"/>
  <c r="AB19" i="3"/>
  <c r="AC19" i="3" s="1"/>
  <c r="AB38" i="3"/>
  <c r="AC38" i="3" s="1"/>
  <c r="AB35" i="3"/>
  <c r="AC35" i="3" s="1"/>
  <c r="AA10" i="3"/>
  <c r="AB11" i="3"/>
  <c r="AC11" i="3" s="1"/>
  <c r="AB14" i="3"/>
  <c r="AC14" i="3" s="1"/>
  <c r="AB23" i="3"/>
  <c r="AC23" i="3" s="1"/>
  <c r="M36" i="3"/>
  <c r="AD36" i="3" s="1"/>
  <c r="AB54" i="3"/>
  <c r="AC54" i="3" s="1"/>
  <c r="T54" i="3"/>
  <c r="AA54" i="3" s="1"/>
  <c r="AD7" i="3"/>
  <c r="AA24" i="3"/>
  <c r="AB30" i="3"/>
  <c r="AC30" i="3" s="1"/>
  <c r="AB26" i="3"/>
  <c r="AC26" i="3" s="1"/>
  <c r="AA7" i="3"/>
  <c r="AB18" i="3"/>
  <c r="AC18" i="3" s="1"/>
  <c r="U23" i="3"/>
  <c r="AA23" i="3" s="1"/>
  <c r="U34" i="3"/>
  <c r="AA34" i="3" s="1"/>
  <c r="U42" i="3"/>
  <c r="AD32" i="3"/>
  <c r="AD24" i="3"/>
  <c r="AB8" i="3"/>
  <c r="AC8" i="3" s="1"/>
  <c r="AB20" i="3"/>
  <c r="AC20" i="3" s="1"/>
  <c r="AB24" i="3"/>
  <c r="AC24" i="3" s="1"/>
  <c r="AB40" i="3"/>
  <c r="AC40" i="3" s="1"/>
  <c r="AB16" i="3"/>
  <c r="AC16" i="3" s="1"/>
  <c r="U12" i="3"/>
  <c r="AA12" i="3" s="1"/>
  <c r="T16" i="3"/>
  <c r="AA16" i="3" s="1"/>
  <c r="AD16" i="3"/>
  <c r="S9" i="2"/>
  <c r="L7" i="2"/>
  <c r="L5" i="2"/>
  <c r="AA9" i="3" l="1"/>
  <c r="B19" i="1"/>
  <c r="B18" i="1"/>
  <c r="B15" i="1"/>
  <c r="B13" i="1"/>
  <c r="B17" i="1"/>
  <c r="B14" i="1"/>
  <c r="K3" i="2"/>
  <c r="S3" i="2" s="1"/>
  <c r="K12" i="1" s="1"/>
  <c r="B27" i="1" l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AA3" i="5"/>
  <c r="Z4" i="4"/>
  <c r="Z5" i="4"/>
  <c r="Z3" i="4"/>
  <c r="Z23" i="5"/>
  <c r="Y23" i="5"/>
  <c r="Z22" i="5"/>
  <c r="Y22" i="5"/>
  <c r="Z21" i="5"/>
  <c r="Y21" i="5"/>
  <c r="Y8" i="4"/>
  <c r="X8" i="4"/>
  <c r="Y7" i="4"/>
  <c r="X7" i="4"/>
  <c r="Y6" i="4"/>
  <c r="X6" i="4"/>
  <c r="AA41" i="3"/>
  <c r="AA42" i="3"/>
  <c r="AA43" i="3"/>
  <c r="AA44" i="3"/>
  <c r="AA45" i="3"/>
  <c r="AA46" i="3"/>
  <c r="AA47" i="3"/>
  <c r="AA48" i="3"/>
  <c r="AA49" i="3"/>
  <c r="AA50" i="3"/>
  <c r="AA51" i="3"/>
  <c r="AA52" i="3"/>
  <c r="AB3" i="3"/>
  <c r="AA3" i="3"/>
  <c r="Z74" i="3"/>
  <c r="Y74" i="3"/>
  <c r="Z73" i="3"/>
  <c r="Y73" i="3"/>
  <c r="Z72" i="3"/>
  <c r="Y72" i="3"/>
  <c r="Z71" i="3"/>
  <c r="Y71" i="3"/>
  <c r="Z4" i="2"/>
  <c r="Z5" i="2"/>
  <c r="Z6" i="2"/>
  <c r="Z7" i="2"/>
  <c r="Z8" i="2"/>
  <c r="Z9" i="2"/>
  <c r="Z10" i="2"/>
  <c r="Z3" i="2"/>
  <c r="Y11" i="2"/>
  <c r="Y14" i="2"/>
  <c r="Y13" i="2"/>
  <c r="Y12" i="2"/>
  <c r="X14" i="2"/>
  <c r="X13" i="2"/>
  <c r="X12" i="2"/>
  <c r="X11" i="2"/>
  <c r="Q20" i="1" l="1"/>
  <c r="Q37" i="1" s="1"/>
  <c r="P20" i="1"/>
  <c r="P37" i="1" s="1"/>
  <c r="P22" i="1"/>
  <c r="P39" i="1" s="1"/>
  <c r="Q22" i="1"/>
  <c r="Q39" i="1" s="1"/>
  <c r="P31" i="1"/>
  <c r="P42" i="1" s="1"/>
  <c r="Q30" i="1"/>
  <c r="P30" i="1"/>
  <c r="Q31" i="1"/>
  <c r="Q42" i="1" s="1"/>
  <c r="Q21" i="1"/>
  <c r="Q34" i="1" s="1"/>
  <c r="P21" i="1"/>
  <c r="P34" i="1" s="1"/>
  <c r="Q23" i="1"/>
  <c r="Q32" i="1"/>
  <c r="Q43" i="1" s="1"/>
  <c r="P32" i="1"/>
  <c r="P43" i="1" s="1"/>
  <c r="P23" i="1"/>
  <c r="J8" i="4"/>
  <c r="P33" i="1" l="1"/>
  <c r="P44" i="1" s="1"/>
  <c r="Q33" i="1"/>
  <c r="Q44" i="1" s="1"/>
  <c r="P38" i="1"/>
  <c r="Q38" i="1"/>
  <c r="Q41" i="1"/>
  <c r="P41" i="1"/>
  <c r="P36" i="1"/>
  <c r="Q36" i="1"/>
  <c r="P35" i="1"/>
  <c r="Q35" i="1"/>
  <c r="Q40" i="1"/>
  <c r="P40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J18" i="1"/>
  <c r="I18" i="1"/>
  <c r="H18" i="1"/>
  <c r="G18" i="1"/>
  <c r="F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O13" i="1"/>
  <c r="N13" i="1"/>
  <c r="M13" i="1"/>
  <c r="L13" i="1"/>
  <c r="K13" i="1"/>
  <c r="J13" i="1"/>
  <c r="I13" i="1"/>
  <c r="H13" i="1"/>
  <c r="G13" i="1"/>
  <c r="F13" i="1"/>
  <c r="E13" i="1"/>
  <c r="D13" i="1"/>
  <c r="C29" i="1"/>
  <c r="C26" i="1"/>
  <c r="C19" i="1"/>
  <c r="C18" i="1"/>
  <c r="C17" i="1"/>
  <c r="S15" i="1" l="1"/>
  <c r="S13" i="1"/>
  <c r="S14" i="1"/>
  <c r="R29" i="1"/>
  <c r="R25" i="1"/>
  <c r="S29" i="1"/>
  <c r="S28" i="1"/>
  <c r="R26" i="1"/>
  <c r="S26" i="1"/>
  <c r="S25" i="1"/>
  <c r="R19" i="1"/>
  <c r="S17" i="1"/>
  <c r="S19" i="1"/>
  <c r="C15" i="1"/>
  <c r="C14" i="1"/>
  <c r="C13" i="1"/>
  <c r="R15" i="1" l="1"/>
  <c r="R13" i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D32" i="1"/>
  <c r="D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J22" i="1"/>
  <c r="J39" i="1" s="1"/>
  <c r="I22" i="1"/>
  <c r="I39" i="1" s="1"/>
  <c r="H22" i="1"/>
  <c r="H39" i="1" s="1"/>
  <c r="G22" i="1"/>
  <c r="G39" i="1" s="1"/>
  <c r="F22" i="1"/>
  <c r="F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14" i="2"/>
  <c r="V14" i="2"/>
  <c r="U14" i="2"/>
  <c r="T14" i="2"/>
  <c r="S14" i="2"/>
  <c r="R14" i="2"/>
  <c r="Q14" i="2"/>
  <c r="P14" i="2"/>
  <c r="O14" i="2"/>
  <c r="N14" i="2"/>
  <c r="W13" i="2"/>
  <c r="V13" i="2"/>
  <c r="U13" i="2"/>
  <c r="T13" i="2"/>
  <c r="S13" i="2"/>
  <c r="R13" i="2"/>
  <c r="Q13" i="2"/>
  <c r="P13" i="2"/>
  <c r="O13" i="2"/>
  <c r="N13" i="2"/>
  <c r="W12" i="2"/>
  <c r="V12" i="2"/>
  <c r="U12" i="2"/>
  <c r="T12" i="2"/>
  <c r="S12" i="2"/>
  <c r="R12" i="2"/>
  <c r="Q12" i="2"/>
  <c r="P12" i="2"/>
  <c r="O12" i="2"/>
  <c r="N12" i="2"/>
  <c r="L14" i="2"/>
  <c r="K14" i="2"/>
  <c r="J14" i="2"/>
  <c r="K13" i="2"/>
  <c r="J13" i="2"/>
  <c r="J12" i="2"/>
  <c r="H13" i="2"/>
  <c r="H12" i="2"/>
  <c r="X74" i="3"/>
  <c r="W74" i="3"/>
  <c r="V74" i="3"/>
  <c r="U74" i="3"/>
  <c r="T74" i="3"/>
  <c r="S74" i="3"/>
  <c r="R74" i="3"/>
  <c r="Q74" i="3"/>
  <c r="P74" i="3"/>
  <c r="O74" i="3"/>
  <c r="X73" i="3"/>
  <c r="W73" i="3"/>
  <c r="V73" i="3"/>
  <c r="U73" i="3"/>
  <c r="S73" i="3"/>
  <c r="R73" i="3"/>
  <c r="Q73" i="3"/>
  <c r="P73" i="3"/>
  <c r="O73" i="3"/>
  <c r="X72" i="3"/>
  <c r="W72" i="3"/>
  <c r="V72" i="3"/>
  <c r="U72" i="3"/>
  <c r="T72" i="3"/>
  <c r="S72" i="3"/>
  <c r="R72" i="3"/>
  <c r="Q72" i="3"/>
  <c r="P72" i="3"/>
  <c r="O72" i="3"/>
  <c r="M74" i="3"/>
  <c r="L74" i="3"/>
  <c r="K74" i="3"/>
  <c r="K73" i="3"/>
  <c r="L72" i="3"/>
  <c r="K72" i="3"/>
  <c r="I73" i="3"/>
  <c r="I72" i="3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22" i="5"/>
  <c r="W22" i="5"/>
  <c r="V22" i="5"/>
  <c r="U22" i="5"/>
  <c r="T22" i="5"/>
  <c r="S22" i="5"/>
  <c r="R22" i="5"/>
  <c r="Q22" i="5"/>
  <c r="P22" i="5"/>
  <c r="O22" i="5"/>
  <c r="L22" i="5"/>
  <c r="K22" i="5"/>
  <c r="I22" i="5"/>
  <c r="Z7" i="4" l="1"/>
  <c r="AA22" i="5"/>
  <c r="AA74" i="3"/>
  <c r="AA72" i="3"/>
  <c r="Z14" i="2"/>
  <c r="Z13" i="2"/>
  <c r="G34" i="1"/>
  <c r="G38" i="1"/>
  <c r="K34" i="1"/>
  <c r="K38" i="1"/>
  <c r="O34" i="1"/>
  <c r="O38" i="1"/>
  <c r="H34" i="1"/>
  <c r="H38" i="1"/>
  <c r="L34" i="1"/>
  <c r="L38" i="1"/>
  <c r="S21" i="1"/>
  <c r="E38" i="1"/>
  <c r="I34" i="1"/>
  <c r="I38" i="1"/>
  <c r="M34" i="1"/>
  <c r="M38" i="1"/>
  <c r="B34" i="1"/>
  <c r="B38" i="1"/>
  <c r="F34" i="1"/>
  <c r="F38" i="1"/>
  <c r="J34" i="1"/>
  <c r="J38" i="1"/>
  <c r="N34" i="1"/>
  <c r="N38" i="1"/>
  <c r="R32" i="1"/>
  <c r="AA7" i="4"/>
  <c r="S32" i="1"/>
  <c r="S31" i="1"/>
  <c r="C34" i="1"/>
  <c r="E34" i="1"/>
  <c r="M35" i="1"/>
  <c r="H35" i="1"/>
  <c r="AB72" i="3"/>
  <c r="L35" i="1"/>
  <c r="I35" i="1"/>
  <c r="C35" i="1"/>
  <c r="G35" i="1"/>
  <c r="O35" i="1"/>
  <c r="B35" i="1"/>
  <c r="F35" i="1"/>
  <c r="J35" i="1"/>
  <c r="N35" i="1"/>
  <c r="AB22" i="5"/>
  <c r="AC7" i="4"/>
  <c r="K12" i="2"/>
  <c r="Z12" i="2" s="1"/>
  <c r="AD3" i="3" l="1"/>
  <c r="D17" i="1"/>
  <c r="M72" i="3"/>
  <c r="AD72" i="3" s="1"/>
  <c r="S34" i="1"/>
  <c r="M21" i="5"/>
  <c r="D24" i="1"/>
  <c r="B24" i="1"/>
  <c r="L3" i="2"/>
  <c r="AA12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23" i="5"/>
  <c r="W23" i="5"/>
  <c r="V23" i="5"/>
  <c r="U23" i="5"/>
  <c r="T23" i="5"/>
  <c r="S23" i="5"/>
  <c r="R23" i="5"/>
  <c r="Q23" i="5"/>
  <c r="P23" i="5"/>
  <c r="O23" i="5"/>
  <c r="M23" i="5"/>
  <c r="L23" i="5"/>
  <c r="K23" i="5"/>
  <c r="I23" i="5"/>
  <c r="X21" i="5"/>
  <c r="W21" i="5"/>
  <c r="V21" i="5"/>
  <c r="U21" i="5"/>
  <c r="T21" i="5"/>
  <c r="S21" i="5"/>
  <c r="R21" i="5"/>
  <c r="Q21" i="5"/>
  <c r="P21" i="5"/>
  <c r="O21" i="5"/>
  <c r="L21" i="5"/>
  <c r="K21" i="5"/>
  <c r="I21" i="5"/>
  <c r="W8" i="4"/>
  <c r="V8" i="4"/>
  <c r="U8" i="4"/>
  <c r="T8" i="4"/>
  <c r="S8" i="4"/>
  <c r="R8" i="4"/>
  <c r="Q8" i="4"/>
  <c r="P8" i="4"/>
  <c r="O8" i="4"/>
  <c r="N8" i="4"/>
  <c r="L8" i="4"/>
  <c r="K8" i="4"/>
  <c r="H8" i="4"/>
  <c r="I74" i="3"/>
  <c r="H14" i="2"/>
  <c r="Z8" i="4" l="1"/>
  <c r="D27" i="1"/>
  <c r="R27" i="1" s="1"/>
  <c r="D28" i="1"/>
  <c r="M22" i="5"/>
  <c r="AD22" i="5" s="1"/>
  <c r="R17" i="1"/>
  <c r="D21" i="1"/>
  <c r="D38" i="1" s="1"/>
  <c r="D36" i="1"/>
  <c r="D40" i="1"/>
  <c r="H36" i="1"/>
  <c r="H40" i="1"/>
  <c r="I36" i="1"/>
  <c r="I40" i="1"/>
  <c r="M36" i="1"/>
  <c r="M40" i="1"/>
  <c r="D14" i="1"/>
  <c r="L13" i="2"/>
  <c r="AC13" i="2" s="1"/>
  <c r="B36" i="1"/>
  <c r="B40" i="1"/>
  <c r="F36" i="1"/>
  <c r="F40" i="1"/>
  <c r="J36" i="1"/>
  <c r="J40" i="1"/>
  <c r="N36" i="1"/>
  <c r="N40" i="1"/>
  <c r="L36" i="1"/>
  <c r="L40" i="1"/>
  <c r="G36" i="1"/>
  <c r="G40" i="1"/>
  <c r="K36" i="1"/>
  <c r="K40" i="1"/>
  <c r="O36" i="1"/>
  <c r="O40" i="1"/>
  <c r="AA23" i="5"/>
  <c r="AA21" i="5"/>
  <c r="L12" i="2"/>
  <c r="AC12" i="2" s="1"/>
  <c r="AC3" i="2"/>
  <c r="R24" i="1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D30" i="1"/>
  <c r="D41" i="1" s="1"/>
  <c r="B30" i="1"/>
  <c r="B41" i="1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23" i="5"/>
  <c r="AD23" i="5"/>
  <c r="AB74" i="3"/>
  <c r="AD74" i="3"/>
  <c r="AA13" i="2"/>
  <c r="AA14" i="2"/>
  <c r="AC14" i="2"/>
  <c r="B12" i="1"/>
  <c r="O16" i="1"/>
  <c r="N16" i="1"/>
  <c r="M16" i="1"/>
  <c r="L16" i="1"/>
  <c r="J16" i="1"/>
  <c r="I16" i="1"/>
  <c r="H16" i="1"/>
  <c r="O12" i="1"/>
  <c r="N12" i="1"/>
  <c r="M12" i="1"/>
  <c r="L12" i="1"/>
  <c r="J12" i="1"/>
  <c r="I12" i="1"/>
  <c r="H12" i="1"/>
  <c r="AB21" i="5"/>
  <c r="AD21" i="5"/>
  <c r="AD3" i="5"/>
  <c r="AB3" i="5"/>
  <c r="AA4" i="4"/>
  <c r="AB4" i="4" s="1"/>
  <c r="AC4" i="4"/>
  <c r="AA5" i="4"/>
  <c r="AB5" i="4" s="1"/>
  <c r="AC5" i="4"/>
  <c r="AC3" i="4"/>
  <c r="AA3" i="4"/>
  <c r="AB3" i="4" s="1"/>
  <c r="AB41" i="3"/>
  <c r="AC41" i="3" s="1"/>
  <c r="AD41" i="3"/>
  <c r="AB42" i="3"/>
  <c r="AC42" i="3" s="1"/>
  <c r="AD42" i="3"/>
  <c r="AB43" i="3"/>
  <c r="AC43" i="3" s="1"/>
  <c r="AD43" i="3"/>
  <c r="AB44" i="3"/>
  <c r="AC44" i="3" s="1"/>
  <c r="AD44" i="3"/>
  <c r="AB45" i="3"/>
  <c r="AC45" i="3" s="1"/>
  <c r="AD45" i="3"/>
  <c r="AB46" i="3"/>
  <c r="AC46" i="3" s="1"/>
  <c r="AD46" i="3"/>
  <c r="AB47" i="3"/>
  <c r="AC47" i="3" s="1"/>
  <c r="AD47" i="3"/>
  <c r="AB48" i="3"/>
  <c r="AC48" i="3" s="1"/>
  <c r="AD48" i="3"/>
  <c r="AB49" i="3"/>
  <c r="AC49" i="3" s="1"/>
  <c r="AD49" i="3"/>
  <c r="AB50" i="3"/>
  <c r="AC50" i="3" s="1"/>
  <c r="AD50" i="3"/>
  <c r="AB51" i="3"/>
  <c r="AC51" i="3" s="1"/>
  <c r="AD51" i="3"/>
  <c r="AB52" i="3"/>
  <c r="AC52" i="3" s="1"/>
  <c r="AD52" i="3"/>
  <c r="Z6" i="4" l="1"/>
  <c r="R28" i="1"/>
  <c r="D31" i="1"/>
  <c r="R21" i="1"/>
  <c r="D34" i="1"/>
  <c r="R34" i="1" s="1"/>
  <c r="N20" i="1"/>
  <c r="N37" i="1" s="1"/>
  <c r="O20" i="1"/>
  <c r="O37" i="1" s="1"/>
  <c r="J20" i="1"/>
  <c r="J37" i="1" s="1"/>
  <c r="H20" i="1"/>
  <c r="H33" i="1" s="1"/>
  <c r="S36" i="1"/>
  <c r="R14" i="1"/>
  <c r="AA6" i="4"/>
  <c r="S30" i="1"/>
  <c r="AC3" i="5"/>
  <c r="R30" i="1"/>
  <c r="AC3" i="3"/>
  <c r="M20" i="1"/>
  <c r="M37" i="1" s="1"/>
  <c r="I20" i="1"/>
  <c r="R36" i="1"/>
  <c r="L20" i="1"/>
  <c r="AC6" i="4"/>
  <c r="O11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D42" i="1" l="1"/>
  <c r="R31" i="1"/>
  <c r="O33" i="1"/>
  <c r="O44" i="1" s="1"/>
  <c r="H37" i="1"/>
  <c r="J33" i="1"/>
  <c r="J44" i="1" s="1"/>
  <c r="M33" i="1"/>
  <c r="M44" i="1" s="1"/>
  <c r="N33" i="1"/>
  <c r="N44" i="1" s="1"/>
  <c r="I33" i="1"/>
  <c r="I44" i="1" s="1"/>
  <c r="I37" i="1"/>
  <c r="H44" i="1"/>
  <c r="L33" i="1"/>
  <c r="L44" i="1" s="1"/>
  <c r="L37" i="1"/>
  <c r="S27" i="1"/>
  <c r="AA8" i="2"/>
  <c r="AB8" i="2" s="1"/>
  <c r="AC8" i="2"/>
  <c r="AA3" i="2" l="1"/>
  <c r="E12" i="1" l="1"/>
  <c r="G12" i="1" l="1"/>
  <c r="G16" i="1"/>
  <c r="F16" i="1"/>
  <c r="F12" i="1"/>
  <c r="C16" i="1"/>
  <c r="C12" i="1"/>
  <c r="X71" i="3"/>
  <c r="W71" i="3"/>
  <c r="V71" i="3"/>
  <c r="U71" i="3"/>
  <c r="S71" i="3"/>
  <c r="R71" i="3"/>
  <c r="Q71" i="3"/>
  <c r="P71" i="3"/>
  <c r="O71" i="3"/>
  <c r="K71" i="3"/>
  <c r="I71" i="3"/>
  <c r="W11" i="2"/>
  <c r="V11" i="2"/>
  <c r="U11" i="2"/>
  <c r="T11" i="2"/>
  <c r="S11" i="2"/>
  <c r="R11" i="2"/>
  <c r="Q11" i="2"/>
  <c r="P11" i="2"/>
  <c r="N11" i="2"/>
  <c r="K11" i="2"/>
  <c r="J11" i="2"/>
  <c r="H11" i="2"/>
  <c r="AC10" i="2"/>
  <c r="AC9" i="2"/>
  <c r="AC7" i="2"/>
  <c r="AC6" i="2"/>
  <c r="AC5" i="2"/>
  <c r="AC4" i="2"/>
  <c r="S12" i="1" l="1"/>
  <c r="Z11" i="2"/>
  <c r="C20" i="1"/>
  <c r="C37" i="1" s="1"/>
  <c r="F20" i="1"/>
  <c r="G20" i="1"/>
  <c r="AA8" i="4"/>
  <c r="AA11" i="2"/>
  <c r="AB3" i="2"/>
  <c r="L11" i="2"/>
  <c r="AC11" i="2" s="1"/>
  <c r="D12" i="1"/>
  <c r="AC8" i="4"/>
  <c r="C33" i="1" l="1"/>
  <c r="C44" i="1" s="1"/>
  <c r="G33" i="1"/>
  <c r="G44" i="1" s="1"/>
  <c r="G37" i="1"/>
  <c r="F37" i="1"/>
  <c r="R12" i="1"/>
  <c r="F33" i="1"/>
  <c r="F44" i="1" l="1"/>
  <c r="L73" i="3" l="1"/>
  <c r="AB73" i="3" s="1"/>
  <c r="B16" i="1"/>
  <c r="B20" i="1" s="1"/>
  <c r="B33" i="1" s="1"/>
  <c r="E18" i="1"/>
  <c r="L71" i="3"/>
  <c r="E16" i="1"/>
  <c r="E20" i="1" s="1"/>
  <c r="E33" i="1" s="1"/>
  <c r="T73" i="3"/>
  <c r="D16" i="1"/>
  <c r="K18" i="1" l="1"/>
  <c r="K22" i="1" s="1"/>
  <c r="K35" i="1" s="1"/>
  <c r="E37" i="1"/>
  <c r="B37" i="1"/>
  <c r="R16" i="1"/>
  <c r="D20" i="1"/>
  <c r="D37" i="1" s="1"/>
  <c r="T71" i="3"/>
  <c r="AA71" i="3" s="1"/>
  <c r="E22" i="1"/>
  <c r="E39" i="1" s="1"/>
  <c r="M73" i="3"/>
  <c r="AD73" i="3" s="1"/>
  <c r="B44" i="1"/>
  <c r="M71" i="3"/>
  <c r="AD71" i="3" s="1"/>
  <c r="D18" i="1"/>
  <c r="AB71" i="3"/>
  <c r="E44" i="1"/>
  <c r="AA73" i="3"/>
  <c r="K16" i="1"/>
  <c r="S18" i="1" l="1"/>
  <c r="S16" i="1"/>
  <c r="K20" i="1"/>
  <c r="K39" i="1"/>
  <c r="D33" i="1"/>
  <c r="R33" i="1" s="1"/>
  <c r="R20" i="1"/>
  <c r="R18" i="1"/>
  <c r="D22" i="1"/>
  <c r="E35" i="1"/>
  <c r="S35" i="1" s="1"/>
  <c r="S22" i="1"/>
  <c r="K37" i="1" l="1"/>
  <c r="D44" i="1"/>
  <c r="D35" i="1"/>
  <c r="R35" i="1" s="1"/>
  <c r="R22" i="1"/>
  <c r="K33" i="1"/>
  <c r="S33" i="1" s="1"/>
  <c r="S20" i="1"/>
  <c r="D39" i="1"/>
  <c r="K44" i="1" l="1"/>
</calcChain>
</file>

<file path=xl/sharedStrings.xml><?xml version="1.0" encoding="utf-8"?>
<sst xmlns="http://schemas.openxmlformats.org/spreadsheetml/2006/main" count="811" uniqueCount="331">
  <si>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</si>
  <si>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</si>
  <si>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</si>
  <si>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</si>
  <si>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</si>
  <si>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</si>
  <si>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</si>
  <si>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</si>
  <si>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</si>
  <si>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</si>
  <si>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</si>
  <si>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</si>
  <si>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</si>
  <si>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</si>
  <si>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</si>
  <si>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</si>
  <si>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</si>
  <si>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</si>
  <si>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</si>
  <si>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</si>
  <si>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</si>
  <si>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</si>
  <si>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</si>
  <si>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</si>
  <si>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</si>
  <si>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</si>
  <si>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</si>
  <si>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</si>
  <si>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</si>
  <si>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</si>
  <si>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</si>
  <si>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</si>
  <si>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</si>
  <si>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</si>
  <si>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</si>
  <si>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</si>
  <si>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</si>
  <si>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</si>
  <si>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</si>
  <si>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</si>
  <si>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</si>
  <si>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</si>
  <si>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</si>
  <si>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</si>
  <si>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</si>
  <si>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</si>
  <si>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</si>
  <si>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</si>
  <si>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</si>
  <si>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RFRD/2023/P/11</t>
  </si>
  <si>
    <t>N</t>
  </si>
  <si>
    <t>Powiat Namysłowski</t>
  </si>
  <si>
    <t xml:space="preserve">Remont drogi powiatowej nr 1117 O w m. Ziemiełowice </t>
  </si>
  <si>
    <t>R</t>
  </si>
  <si>
    <t>RFRD/2023/P/4</t>
  </si>
  <si>
    <t>Powiat Nyski</t>
  </si>
  <si>
    <t>Przebudowa skrzyżowania dróg powiatowych nr 1673 O, 2233 O i 2234 O w Paczkowie</t>
  </si>
  <si>
    <t>P</t>
  </si>
  <si>
    <t>RFRD/2023/P/18</t>
  </si>
  <si>
    <t>W</t>
  </si>
  <si>
    <t>Powiat Kluczborski</t>
  </si>
  <si>
    <t>Remont drogi powiatowej nr 1321 O na odcinku o długości 3470 m (od km 11+990 do km 15+460)</t>
  </si>
  <si>
    <t>RFRD/2023/P/14</t>
  </si>
  <si>
    <t>Powiat Strzelecki</t>
  </si>
  <si>
    <t>Rozbudowa mostu JNI 30004499 w ciągu drogi powiatowej 1822 O Sucha - Rozmierka
 w m. Sucha ul. Kościelna</t>
  </si>
  <si>
    <t>B</t>
  </si>
  <si>
    <t>RFRD/2023/P/17</t>
  </si>
  <si>
    <t>Powiat Krapkowicki</t>
  </si>
  <si>
    <t>Rozbudowa skrzyżowania drogi powiatowej 1832 O ulicy Głównej z ulicami Wiejską i Kamienną w m. Górażdże</t>
  </si>
  <si>
    <t>RFRD/2023/P/15</t>
  </si>
  <si>
    <t>Rozbudowa drogi powiatowej nr 1810 na odcinku Walce- Dobieszowice</t>
  </si>
  <si>
    <t>maj 2024 październik 2024</t>
  </si>
  <si>
    <t>RFRD/2023/P/16</t>
  </si>
  <si>
    <t xml:space="preserve">Remont drogi powiatowej nr 1817 O na odcinku Kamień Śląski - granica powiatu - etap 2 </t>
  </si>
  <si>
    <t>RFRD/2023/P/2</t>
  </si>
  <si>
    <t>Powiat Głubczycki</t>
  </si>
  <si>
    <t>Przebudowa drogi nr 1225 O relacji Baborów - Sucha Psina na odcinku Czerwonków - Baborów</t>
  </si>
  <si>
    <t>RFRD/2022/G/52</t>
  </si>
  <si>
    <t>K</t>
  </si>
  <si>
    <t>Gmina Reńska Wieś</t>
  </si>
  <si>
    <t>Powiat Kędzierzyńsko - Kozielski</t>
  </si>
  <si>
    <t>Przebudowa z rozbudową ul. Pawłowickiej i ul. Kozielskiej w Reńskiej Wsi</t>
  </si>
  <si>
    <t>czerwiec 2023 lipiec 2024</t>
  </si>
  <si>
    <t>RFRD/2022/G/31</t>
  </si>
  <si>
    <t>Gmina Niemodlin</t>
  </si>
  <si>
    <t>Powiat Opolski</t>
  </si>
  <si>
    <t>Przebudowa i rozbudowa ul. Spacerowej i Gazowej w Niemodlinie</t>
  </si>
  <si>
    <t>kwiecień 2023 
sierpień 2024</t>
  </si>
  <si>
    <t>RFRD/2022/G/39</t>
  </si>
  <si>
    <t>Gmina Głuchołazy</t>
  </si>
  <si>
    <t>Rozbudowa drogi gminnej w miejscowości Jarnołtówek</t>
  </si>
  <si>
    <t>RFRD/2022/G/24</t>
  </si>
  <si>
    <t>Gmina Kędzierzyn - Koźle</t>
  </si>
  <si>
    <t>Poprawa atrakcyjności i dostępności terenów inwestycyjnych poprzez przebudowę skrzyżowania ul. Szkolnej z ul. Zwycięstwa w Kędzierzynie - Koźlu</t>
  </si>
  <si>
    <t>RFRD/2022/G/83</t>
  </si>
  <si>
    <t>Gmina Ujazd</t>
  </si>
  <si>
    <t>Budowa dróg na osiedlu Piaski w Ujeździe</t>
  </si>
  <si>
    <t>czerwiec 2023 czerwiec 2024</t>
  </si>
  <si>
    <t>RFRD/2022/G/59</t>
  </si>
  <si>
    <t>Gmina Jemielnica</t>
  </si>
  <si>
    <t>Przebudowa dróg gminnych ul. Tulipanowej i części ul. Leśnej w miejscowości Jemielnica</t>
  </si>
  <si>
    <t>maj 2023 maj 2024</t>
  </si>
  <si>
    <t xml:space="preserve">RFRD/2022/G/92 </t>
  </si>
  <si>
    <t>Gmina Grodków</t>
  </si>
  <si>
    <t>Powiat Brzeski</t>
  </si>
  <si>
    <t>Remont układu komunikacyjnego na zapleczu rynku w Grodkowie</t>
  </si>
  <si>
    <t xml:space="preserve">RFRD/2022/G/34 </t>
  </si>
  <si>
    <t>Budowa drogi dojazdowej ul. Królowej Jadwigi w Głuchołazach</t>
  </si>
  <si>
    <t>RFRD/2022/G/7</t>
  </si>
  <si>
    <t>Gmina Rudniki</t>
  </si>
  <si>
    <t>Powiat Oleski</t>
  </si>
  <si>
    <t>Przebudowa drogi gminnej nr 101036 O Nowy Bugaj - granica województwa śląskiego</t>
  </si>
  <si>
    <t>RFRD/2023/G/79</t>
  </si>
  <si>
    <t>Gmina Łubniany</t>
  </si>
  <si>
    <t>Budowa drogi gminnej ul. Osiedlowej w m. Jełowa</t>
  </si>
  <si>
    <t>RFRD/2023/G/20</t>
  </si>
  <si>
    <t>Budowa odcinka łącznika obwodnicy północnej miasta Kędzierzyn-Koźle (od ronda na ul. Szpaków do obwodnicy)</t>
  </si>
  <si>
    <t>RFRD/2023/G/77</t>
  </si>
  <si>
    <t>Gmina Dobrzeń Wielki</t>
  </si>
  <si>
    <t>Rozbudowa drogi gminnej ul. Sienkiewicza w m. Dobrzeń Wielki</t>
  </si>
  <si>
    <t>RFRD/2023/G/38</t>
  </si>
  <si>
    <t>Gmina Ozimek</t>
  </si>
  <si>
    <t>Rozbudowa drogi gminnej ul. Powstańców Śląskich w miejscowości Schodnia - etap II</t>
  </si>
  <si>
    <t>RFRD/2023/G/48</t>
  </si>
  <si>
    <t>Gmina Olesno</t>
  </si>
  <si>
    <t>Remont drogi relacji Łowoszów - Wojciechów</t>
  </si>
  <si>
    <t>RFRD/2023/G/57</t>
  </si>
  <si>
    <t>Gmina Brzeg</t>
  </si>
  <si>
    <t>Przebudowa ulicy Poprzecznej w Brzegu</t>
  </si>
  <si>
    <t>RFRD/2023/G/78</t>
  </si>
  <si>
    <t>Remont drogi powiatowej nr 1921 O Strojec - Żytniów na terenie Gminy Rudniki</t>
  </si>
  <si>
    <t>kwiecień 2024 listopad 2024</t>
  </si>
  <si>
    <t>RFRD/2023/G/21</t>
  </si>
  <si>
    <t>Remont drogi gminnej – ul. Sienkiewicza w Kędzierzynie-Koźlu</t>
  </si>
  <si>
    <t>RFRD/2023/G/31</t>
  </si>
  <si>
    <t xml:space="preserve"> Przebudowa ul. Grabskiego w Kędzierzynie-Koźlu</t>
  </si>
  <si>
    <t>RFRD/2023/G/63</t>
  </si>
  <si>
    <t>Gmina Krapkowice</t>
  </si>
  <si>
    <t xml:space="preserve">Powiat Krapkowicki </t>
  </si>
  <si>
    <t>Przebudowa_x000D_ ul. Mickiewicza w Steblowie</t>
  </si>
  <si>
    <t>RFRD/2023/G/76</t>
  </si>
  <si>
    <t>Rozbudowa drogi gminnej ul. Jańskiego w m. Dobrzeń Wielki - Etap II</t>
  </si>
  <si>
    <t>RFRD/2023/G/23</t>
  </si>
  <si>
    <t>Gmina Prudnik</t>
  </si>
  <si>
    <t>Powiat Prudnicki</t>
  </si>
  <si>
    <t>Przebudowa i rozbudowa ciągu ulic Ogrodowa, Chrobrego i Kochanowskiego w Prudniku</t>
  </si>
  <si>
    <t>RFRD/2023/G/92</t>
  </si>
  <si>
    <t>Budowa dróg na Osiedlu Kościuszki- Racławicka w Grodkowie</t>
  </si>
  <si>
    <t>RFRD/2023/G/52</t>
  </si>
  <si>
    <t>Gmina Dąbrowa</t>
  </si>
  <si>
    <t>Przebudowa ul. Szkolnej w Karczowie</t>
  </si>
  <si>
    <t>RFRD/2023/G/16</t>
  </si>
  <si>
    <t>Przebudowa ul. Miarki i Traugutta w Grodkowie</t>
  </si>
  <si>
    <t>RFRD/2023/G/62</t>
  </si>
  <si>
    <t>Budowa drogi stanowiącej łącznik pomiędzy drogą gminną - ul. Obuwników i drogą wojewódzką nr 415 - ul. Opolską w Krapkowicach</t>
  </si>
  <si>
    <t>RFRD/2023/G/80</t>
  </si>
  <si>
    <t xml:space="preserve"> Gmina Radłów</t>
  </si>
  <si>
    <t>Przebudowa drogi gminnej nr 101106 O Ligota Oleska - Wolęcin od km 1+880 do km 3+192</t>
  </si>
  <si>
    <t>RFRD/2023/G/65</t>
  </si>
  <si>
    <t>Gmina Dobrodzień</t>
  </si>
  <si>
    <t>Przebudowa ul. Opolskiej do skrzyżowania z ul. Powstańców Śląskich wraz z niezbędną infrastrukturą</t>
  </si>
  <si>
    <t>RFRD/2023/G/95</t>
  </si>
  <si>
    <t>Gmina Wołczyn</t>
  </si>
  <si>
    <t>Przebudowa dróg koło świetlicy wiejskiej w Brunach</t>
  </si>
  <si>
    <t>maj 2024 listopad 2024</t>
  </si>
  <si>
    <t>RFRD/2023/G/33</t>
  </si>
  <si>
    <t xml:space="preserve">Gmina Bierawa </t>
  </si>
  <si>
    <t>Przebudowa ulicy Cichej i odcinka ulicy Zbożowej w Bierawie</t>
  </si>
  <si>
    <t>marzec 2024 grudzień 2024</t>
  </si>
  <si>
    <t>RFRD/2023/G/41</t>
  </si>
  <si>
    <t>Gmina Kluczbork</t>
  </si>
  <si>
    <t>RFRD/2023/G/50</t>
  </si>
  <si>
    <t>Gmina Strzelce Opolskie</t>
  </si>
  <si>
    <t>Przebudowa ul. Marka Prawego w Strzelcach Opolskich – etap I</t>
  </si>
  <si>
    <t>RFRD/2023/G/56</t>
  </si>
  <si>
    <t>Budowa ul. Śliwkowej w Brzegu</t>
  </si>
  <si>
    <t>RFRD/2023/G/46</t>
  </si>
  <si>
    <t>Budowa drogi gminnej - ul. Złota w Większycach</t>
  </si>
  <si>
    <t>czerwiec 2024 wrzesień 2024</t>
  </si>
  <si>
    <t>RFRD/2023/G/19</t>
  </si>
  <si>
    <t>Gmina Gogolin</t>
  </si>
  <si>
    <t>Budowa drogi wewnętrznej ulicy Johanna Krolla wraz z odwodnieniem i przebudową słupów energetycznych w miejscowości Gogolin</t>
  </si>
  <si>
    <t>RFRD/2023/G/88</t>
  </si>
  <si>
    <t>Przebudowa dróg gminnych ul. Sosnowej i Brzozowej w miejscowości Jemielnica</t>
  </si>
  <si>
    <t>RFRD/2023/G/32</t>
  </si>
  <si>
    <t>Przebudowa i rozbudowa ul. Nektarowej w Kędzierzynie-Koźlu</t>
  </si>
  <si>
    <t>RFRD/2023/G/12</t>
  </si>
  <si>
    <t>Budowa drogi ul. Lompy w Głuchołazach</t>
  </si>
  <si>
    <t>RFRD/2023/G/17</t>
  </si>
  <si>
    <t>Budowa drogi gminnej w Olszowej położonej na działce nr 116/9</t>
  </si>
  <si>
    <t>RFRD/2023/G/90</t>
  </si>
  <si>
    <t>Budowa drogi gminnej ulicy Madalińskiego - boczna w m. Piotrówka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</si>
  <si>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</si>
  <si>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</si>
  <si>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</si>
  <si>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</si>
  <si>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</si>
  <si>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</si>
  <si>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RFRD/2023/G/86</t>
  </si>
  <si>
    <t>Gmina Prószków</t>
  </si>
  <si>
    <t xml:space="preserve">Powiat Opolski </t>
  </si>
  <si>
    <t xml:space="preserve">Przebudowa ul. Stawowej w miejscowości Prószków </t>
  </si>
  <si>
    <t>styczeń 2024 sierpień 2024</t>
  </si>
  <si>
    <t>RFRD/2023/G/68</t>
  </si>
  <si>
    <t>Przebudowa drogi w Przeczowie</t>
  </si>
  <si>
    <t>styczeń 2024 listopad 2024</t>
  </si>
  <si>
    <t>RFRD/2023/G/55</t>
  </si>
  <si>
    <t>Gmina Kietrz</t>
  </si>
  <si>
    <t>RFRD/2023/G/54</t>
  </si>
  <si>
    <t>Przebudowa drogi wewnętrznej do parametrów drogi publicznej zlokalizowanej na działkach nr 1135,1164,1136,1142/2,1134/2 w miejscowości Nowa Cerekwia</t>
  </si>
  <si>
    <t>RFRD/2023/G/67</t>
  </si>
  <si>
    <t>Przebudowa ul. Dębowej w m. Gosławice</t>
  </si>
  <si>
    <t>RFRD/2023/G/1</t>
  </si>
  <si>
    <t>Gmina Strzeleczki</t>
  </si>
  <si>
    <t>1605032</t>
  </si>
  <si>
    <t>Remont ulicy Słowackiego wraz z przebudową kanalizacji deszczowej w Strzeleczkach</t>
  </si>
  <si>
    <t>RFRD/2023/G/47</t>
  </si>
  <si>
    <t>Remont drogi gminnej - ul. Żabnik w Długomiłowicach - odcinek 3</t>
  </si>
  <si>
    <t>RFRD/2023/G/30</t>
  </si>
  <si>
    <t>Gmina Skoroszyce</t>
  </si>
  <si>
    <t xml:space="preserve">Przebudowa i rozbudowa dróg w Skoroszycach - ulice: Słoneczna, Ogrodowa, Działkowa - Etap 1. ulica Słoneczna </t>
  </si>
  <si>
    <t>RFRD/2023/G/7</t>
  </si>
  <si>
    <t>Przebudowa i rozbudowa dróg w Skoroszycach - ulice: Słoneczna, Ogrodowa, Działkowa - Etap 2. ulice. Słoneczna i Ogrodowa</t>
  </si>
  <si>
    <t>RFRD/2023/G/37</t>
  </si>
  <si>
    <t xml:space="preserve"> Powiat Opolski</t>
  </si>
  <si>
    <t>Remont_x000D_ nawierzchni jezdni drogi gminnej nr 103380 O - ul. Korczaka w m. Ozimek</t>
  </si>
  <si>
    <t>RFRD/2023/G/40</t>
  </si>
  <si>
    <t>Remont drogi gminnej ul. Szkolnej w m. Chróścina</t>
  </si>
  <si>
    <t>RFRD/2023/G/13</t>
  </si>
  <si>
    <t>Budowa drogi ul. Lutosławskiego, Ornowskiego, Nowowiejskiego w Głuchołazach</t>
  </si>
  <si>
    <t>9*</t>
  </si>
  <si>
    <t>Gmina Zawadzkie</t>
  </si>
  <si>
    <t>Remont nawierzchni jezdni i chodników ulicy Mickiewicza w Zawadzkiem wraz z przebudową kanalizacji deszczowej</t>
  </si>
  <si>
    <t>lipiec 2024 grudzień 2024</t>
  </si>
  <si>
    <t>Przebudowa i rozbudowa ul. Krótkiej i ul. Sportowej w Sidzinie</t>
  </si>
  <si>
    <t>Przebudowa drogi gminnej ul. Dębowej w miejscowości Jemielnica</t>
  </si>
  <si>
    <t>lipiec 2024 listopad 2024</t>
  </si>
  <si>
    <t>Przebudowa ul. Leśnej w Ciepielowicach</t>
  </si>
  <si>
    <t>RFRD/2023/G/9</t>
  </si>
  <si>
    <t>Remont nawierzchni asfaltowej ul. Kopernika</t>
  </si>
  <si>
    <t>luty 2024 listopad 2024</t>
  </si>
  <si>
    <t>Przebudowa drogi gminnej ul. Krótkiej w m. Jemielnica</t>
  </si>
  <si>
    <t>Przebudowa dróg w miejscowości Smarchowice Wielkie</t>
  </si>
  <si>
    <t>Rozbudowa dróg w Chróścinie ETAP 2. - ul. Słoneczna, Leśna, Cicha i części ul. Kasztanowej</t>
  </si>
  <si>
    <t>RFRD/2023/G/8</t>
  </si>
  <si>
    <t>Remont nawierzchni asfaltowej ul. Koszyka w Głuchołazach</t>
  </si>
  <si>
    <t xml:space="preserve">Gmina Walce </t>
  </si>
  <si>
    <t>Remont ulicy Grobla i Krzewiaki w Walcach</t>
  </si>
  <si>
    <t>kwiecień 2024 padździernik 2024</t>
  </si>
  <si>
    <t>Przebudowa drogi w miejscowości Giełczyce</t>
  </si>
  <si>
    <t>Gmina Leśnica</t>
  </si>
  <si>
    <t>Remont drogi gminnej nr 105932 O ul. Słowackiego w Raszowej</t>
  </si>
  <si>
    <t>styczeń 2024 wrzesień 2024</t>
  </si>
  <si>
    <t>Budowa drogi gminnej - ul. Pogodna w Większycach</t>
  </si>
  <si>
    <t>Remont nawierzchni asfaltowej ul. Poprzeczna w Głuchołazach</t>
  </si>
  <si>
    <t>Remont nawierzchni asfaltowej ul. Ogińskiego w Głuchołazach</t>
  </si>
  <si>
    <t>Remont nawierzchni bitumicznej ul. Wyspiańskiego w Głuchołazach</t>
  </si>
  <si>
    <t>Remont nawierzchni asfaltowej ul. Mickiewicza w Głuchołazach</t>
  </si>
  <si>
    <t>Remont nawierzchni asfaltowej ul. Okulickiego w Głuchołazach</t>
  </si>
  <si>
    <t>Województwo: Opolskie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</si>
  <si>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2024 r.</t>
    </r>
  </si>
  <si>
    <t>REZYGNACJA</t>
  </si>
  <si>
    <t>wrzesień 2023 sierpień 2025</t>
  </si>
  <si>
    <t xml:space="preserve"> </t>
  </si>
  <si>
    <t>grudzień 2023 wrzesień 2024</t>
  </si>
  <si>
    <t>styczeń 2024 październik 2024</t>
  </si>
  <si>
    <t>styczeń 2024 luty 2025</t>
  </si>
  <si>
    <t>luty 2024 sierpień 2024</t>
  </si>
  <si>
    <t>RFRD/2023/G/58 przeniesiono z listy rezerwowej</t>
  </si>
  <si>
    <t>RFRD/2023/G/89 przeniesiono z listy rezerwowej</t>
  </si>
  <si>
    <t>RFRD/2023/G/58 zadanie przeniesione na listę podstawową</t>
  </si>
  <si>
    <t xml:space="preserve">RFRD/2023/G/5 </t>
  </si>
  <si>
    <t>RFRD/2023/G/89 zadanie przeniesione na listę podstawową</t>
  </si>
  <si>
    <t xml:space="preserve">styczeń 2024 luty 2025 </t>
  </si>
  <si>
    <t>styczeń 2024 kwiecień 2024</t>
  </si>
  <si>
    <t>luty 2024 październik 2024</t>
  </si>
  <si>
    <t>styczeń 2024 lipiec 2024</t>
  </si>
  <si>
    <t>RFRD/2023/G/51 przeniesiono z listy rezerwowej</t>
  </si>
  <si>
    <t>RFRD/2023/G/91 przeniesiono z listy rezerwowej</t>
  </si>
  <si>
    <t>RFRD/2023/G/69 przeniesiono z listy rezerwowej</t>
  </si>
  <si>
    <t>RFRD/2023/G/51 zadanie przeniesione na listę podstawową</t>
  </si>
  <si>
    <t>RFRD/2023/G/91 zadanie przeniesione na listę podstawową</t>
  </si>
  <si>
    <t>RFRD/2023/G/69 zadanie przeniesione na listę podstawową</t>
  </si>
  <si>
    <t>styczeń 2024 maj 2024</t>
  </si>
  <si>
    <t>luty 2024 maj 2024</t>
  </si>
  <si>
    <t>maj 2023 
kwiecień 2024</t>
  </si>
  <si>
    <t>październik 2023 październik 2024</t>
  </si>
  <si>
    <t>maj 2024 czerwiec 2026</t>
  </si>
  <si>
    <t>kwiwcień 2024 listopad 2025</t>
  </si>
  <si>
    <t>marzec 2024 wrzesień 2024</t>
  </si>
  <si>
    <t>Remont drogi ul. Grunwaldzkiej w Kluczborku</t>
  </si>
  <si>
    <t>luty 2024 lipiec 2024</t>
  </si>
  <si>
    <t>RFRD/2023/G/4 przeniesiono z listy rezerwowej</t>
  </si>
  <si>
    <t>RFRD/2023/G/4 zadanie przeniesione na listę podstawową</t>
  </si>
  <si>
    <t>luty 2024 wrzesień 2024</t>
  </si>
  <si>
    <t>luty 2024 czerwiec 2024</t>
  </si>
  <si>
    <t>luty 2024 maj 2025</t>
  </si>
  <si>
    <t>luty 2024 czerwiec 2025</t>
  </si>
  <si>
    <t>marzec 2024 marzec 2025</t>
  </si>
  <si>
    <t>RFRD/2023/G/87 przeniesiono z listy rezerwowej</t>
  </si>
  <si>
    <t>RFRD/2023/G/3 przeniesiono z listy rezerwowej</t>
  </si>
  <si>
    <t>RFRD/2023/G/64 przeniesiono z listy rezerwowej</t>
  </si>
  <si>
    <t>RFRD/2023/G/87 zadanie przeniesione na listę podstawową</t>
  </si>
  <si>
    <t>RFRD/2023/G/3 zadanie przeniesione na listę podstawową</t>
  </si>
  <si>
    <t>RFRD/2023/G/64 zadanie przeniesione na listę podstawową</t>
  </si>
  <si>
    <t>marzec 2024 sierpień  2025</t>
  </si>
  <si>
    <t>maj 2023                    wrzesień 2024</t>
  </si>
  <si>
    <t>RFRD/2023/G/44 przeniesiono z listy rezerwowej</t>
  </si>
  <si>
    <t>RFRD/2023/G/28 przeniesiono z listy rezerwowej</t>
  </si>
  <si>
    <t>RFRD/2023/G/27 przeniesiono z listy rezerwowej</t>
  </si>
  <si>
    <t>RFRD/2023/G/24 przeniesiono z listy rezerwowej</t>
  </si>
  <si>
    <t>RFRD/2023/G/25 przeniesiono z listy rezerwowej</t>
  </si>
  <si>
    <t>RFRD/2023/G/26 przeniesiono z listy rezerwowej</t>
  </si>
  <si>
    <t>RFRD/2023/G/44 zadanie przeniesione na listę podstawową</t>
  </si>
  <si>
    <t>RFRD/2023/G/28 zadanie przeniesione na listę podstawową</t>
  </si>
  <si>
    <t>RFRD/2023/G/27 zadanie przeniesione na listę podstawową</t>
  </si>
  <si>
    <t>RFRD/2023/G/24 zadanie przeniesione na listę podstawową</t>
  </si>
  <si>
    <t>RFRD/2023/G/25 zadanie przeniesione na listę podstawową</t>
  </si>
  <si>
    <t>RFRD/2023/G/26 zadanie przeniesione na listę podstawową</t>
  </si>
  <si>
    <t>marzec 2024 lipiec 2025</t>
  </si>
  <si>
    <t>kwiecień 2024 lipiec 2024</t>
  </si>
  <si>
    <t>maj 2024 lipiec 2025</t>
  </si>
  <si>
    <t>czerwiec 2024 styczeń 2025</t>
  </si>
  <si>
    <t>czerwiec 2024 kwiecień 2025</t>
  </si>
  <si>
    <t>Przebudowa drogi gminnej - ulicy Lubotyńskiej wraz z budową sieci oświetlenia ulicznego, rozbudową sieci kanalizacji deszczowej oraz budową parkingu</t>
  </si>
  <si>
    <t>czerwiec 2024 grudzień 2024</t>
  </si>
  <si>
    <t>Lista zmieniona nr 4</t>
  </si>
  <si>
    <t>kwiecień 2024 wrzesień 2025</t>
  </si>
  <si>
    <t>październik 2023 wrzesień 2024</t>
  </si>
  <si>
    <t>wrzesień 2024 kwiecień 2025</t>
  </si>
  <si>
    <t>sierpień 2024 listopad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</si>
</sst>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#,##0.00_ ;\-#,##0.00\ 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9" fillId="5" borderId="23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right" vertical="center" wrapText="1"/>
    </xf>
    <xf numFmtId="166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19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19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19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5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5" fontId="20" fillId="3" borderId="33" xfId="0" applyNumberFormat="1" applyFont="1" applyFill="1" applyBorder="1" applyAlignment="1">
      <alignment vertical="center"/>
    </xf>
    <xf numFmtId="165" fontId="20" fillId="3" borderId="34" xfId="0" applyNumberFormat="1" applyFont="1" applyFill="1" applyBorder="1" applyAlignment="1">
      <alignment vertical="center"/>
    </xf>
    <xf numFmtId="165" fontId="20" fillId="5" borderId="35" xfId="0" applyNumberFormat="1" applyFont="1" applyFill="1" applyBorder="1" applyAlignment="1">
      <alignment vertical="center"/>
    </xf>
    <xf numFmtId="165" fontId="20" fillId="3" borderId="32" xfId="0" applyNumberFormat="1" applyFont="1" applyFill="1" applyBorder="1" applyAlignment="1">
      <alignment vertical="center"/>
    </xf>
    <xf numFmtId="165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5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5" fontId="19" fillId="3" borderId="41" xfId="0" applyNumberFormat="1" applyFont="1" applyFill="1" applyBorder="1" applyAlignment="1">
      <alignment vertical="center"/>
    </xf>
    <xf numFmtId="165" fontId="19" fillId="3" borderId="42" xfId="0" applyNumberFormat="1" applyFont="1" applyFill="1" applyBorder="1" applyAlignment="1">
      <alignment vertical="center"/>
    </xf>
    <xf numFmtId="165" fontId="19" fillId="3" borderId="40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5" fontId="19" fillId="4" borderId="4" xfId="0" applyNumberFormat="1" applyFont="1" applyFill="1" applyBorder="1" applyAlignment="1">
      <alignment vertical="center"/>
    </xf>
    <xf numFmtId="165" fontId="19" fillId="4" borderId="7" xfId="0" applyNumberFormat="1" applyFont="1" applyFill="1" applyBorder="1" applyAlignment="1">
      <alignment vertical="center"/>
    </xf>
    <xf numFmtId="165" fontId="19" fillId="5" borderId="25" xfId="0" applyNumberFormat="1" applyFont="1" applyFill="1" applyBorder="1" applyAlignment="1">
      <alignment vertical="center"/>
    </xf>
    <xf numFmtId="165" fontId="19" fillId="4" borderId="26" xfId="0" applyNumberFormat="1" applyFont="1" applyFill="1" applyBorder="1" applyAlignment="1">
      <alignment vertical="center"/>
    </xf>
    <xf numFmtId="165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5" fontId="19" fillId="6" borderId="41" xfId="0" applyNumberFormat="1" applyFont="1" applyFill="1" applyBorder="1" applyAlignment="1">
      <alignment vertical="center"/>
    </xf>
    <xf numFmtId="165" fontId="19" fillId="6" borderId="42" xfId="0" applyNumberFormat="1" applyFont="1" applyFill="1" applyBorder="1" applyAlignment="1">
      <alignment vertical="center"/>
    </xf>
    <xf numFmtId="165" fontId="19" fillId="6" borderId="40" xfId="0" applyNumberFormat="1" applyFont="1" applyFill="1" applyBorder="1" applyAlignment="1">
      <alignment vertical="center"/>
    </xf>
    <xf numFmtId="165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5" fontId="19" fillId="2" borderId="1" xfId="0" applyNumberFormat="1" applyFont="1" applyFill="1" applyBorder="1" applyAlignment="1">
      <alignment vertical="center"/>
    </xf>
    <xf numFmtId="165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5" fontId="19" fillId="2" borderId="41" xfId="0" applyNumberFormat="1" applyFont="1" applyFill="1" applyBorder="1" applyAlignment="1">
      <alignment vertical="center"/>
    </xf>
    <xf numFmtId="165" fontId="19" fillId="2" borderId="42" xfId="0" applyNumberFormat="1" applyFont="1" applyFill="1" applyBorder="1" applyAlignment="1">
      <alignment vertical="center"/>
    </xf>
    <xf numFmtId="165" fontId="19" fillId="2" borderId="3" xfId="0" applyNumberFormat="1" applyFont="1" applyFill="1" applyBorder="1" applyAlignment="1">
      <alignment vertical="center"/>
    </xf>
    <xf numFmtId="165" fontId="19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19" fillId="2" borderId="40" xfId="0" applyNumberFormat="1" applyFont="1" applyFill="1" applyBorder="1" applyAlignment="1">
      <alignment vertical="center"/>
    </xf>
    <xf numFmtId="165" fontId="19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5" fontId="19" fillId="6" borderId="1" xfId="0" applyNumberFormat="1" applyFont="1" applyFill="1" applyBorder="1" applyAlignment="1">
      <alignment vertical="center"/>
    </xf>
    <xf numFmtId="165" fontId="19" fillId="6" borderId="2" xfId="0" applyNumberFormat="1" applyFont="1" applyFill="1" applyBorder="1" applyAlignment="1">
      <alignment vertical="center"/>
    </xf>
    <xf numFmtId="165" fontId="19" fillId="6" borderId="3" xfId="0" applyNumberFormat="1" applyFont="1" applyFill="1" applyBorder="1" applyAlignment="1">
      <alignment vertical="center"/>
    </xf>
    <xf numFmtId="165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167" fontId="29" fillId="0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9" fontId="28" fillId="0" borderId="0" xfId="2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7" fontId="29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168" fontId="29" fillId="0" borderId="1" xfId="5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/>
    <xf numFmtId="2" fontId="35" fillId="0" borderId="1" xfId="0" applyNumberFormat="1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9" fontId="32" fillId="0" borderId="5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vertical="center"/>
    </xf>
    <xf numFmtId="2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4" fontId="21" fillId="7" borderId="1" xfId="0" applyNumberFormat="1" applyFont="1" applyFill="1" applyBorder="1" applyAlignment="1">
      <alignment vertical="center" wrapText="1"/>
    </xf>
    <xf numFmtId="4" fontId="4" fillId="7" borderId="2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vertical="center" wrapText="1"/>
    </xf>
    <xf numFmtId="9" fontId="4" fillId="7" borderId="1" xfId="0" applyNumberFormat="1" applyFont="1" applyFill="1" applyBorder="1" applyAlignment="1">
      <alignment horizontal="center" vertical="center" wrapText="1"/>
    </xf>
    <xf numFmtId="2" fontId="21" fillId="7" borderId="2" xfId="0" applyNumberFormat="1" applyFont="1" applyFill="1" applyBorder="1" applyAlignment="1">
      <alignment vertical="center"/>
    </xf>
    <xf numFmtId="2" fontId="22" fillId="7" borderId="1" xfId="0" applyNumberFormat="1" applyFont="1" applyFill="1" applyBorder="1" applyAlignment="1">
      <alignment vertical="center"/>
    </xf>
    <xf numFmtId="0" fontId="18" fillId="7" borderId="0" xfId="0" applyFont="1" applyFill="1" applyAlignment="1">
      <alignment horizontal="center" vertical="center"/>
    </xf>
    <xf numFmtId="9" fontId="18" fillId="7" borderId="0" xfId="2" applyFont="1" applyFill="1" applyAlignment="1">
      <alignment horizontal="center" vertical="center"/>
    </xf>
    <xf numFmtId="4" fontId="18" fillId="7" borderId="0" xfId="0" applyNumberFormat="1" applyFont="1" applyFill="1" applyAlignment="1">
      <alignment horizontal="center" vertical="center"/>
    </xf>
    <xf numFmtId="0" fontId="18" fillId="7" borderId="0" xfId="0" applyFont="1" applyFill="1"/>
    <xf numFmtId="4" fontId="0" fillId="0" borderId="0" xfId="0" applyNumberFormat="1"/>
    <xf numFmtId="0" fontId="4" fillId="0" borderId="2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10" fontId="0" fillId="0" borderId="0" xfId="0" applyNumberFormat="1"/>
    <xf numFmtId="0" fontId="2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4" fontId="7" fillId="7" borderId="2" xfId="0" applyNumberFormat="1" applyFont="1" applyFill="1" applyBorder="1" applyAlignment="1">
      <alignment vertical="center"/>
    </xf>
    <xf numFmtId="9" fontId="4" fillId="7" borderId="1" xfId="0" applyNumberFormat="1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vertical="center" wrapText="1"/>
    </xf>
    <xf numFmtId="0" fontId="0" fillId="7" borderId="0" xfId="0" applyFill="1" applyAlignment="1">
      <alignment horizontal="center" vertical="center"/>
    </xf>
    <xf numFmtId="9" fontId="0" fillId="7" borderId="0" xfId="2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0" fontId="0" fillId="7" borderId="0" xfId="0" applyFill="1"/>
    <xf numFmtId="0" fontId="4" fillId="7" borderId="1" xfId="0" applyNumberFormat="1" applyFont="1" applyFill="1" applyBorder="1" applyAlignment="1">
      <alignment horizontal="center" vertical="center" wrapText="1"/>
    </xf>
    <xf numFmtId="9" fontId="32" fillId="7" borderId="1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34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NumberFormat="1" applyFont="1" applyFill="1" applyBorder="1" applyAlignment="1">
      <alignment horizontal="center" vertical="center" wrapText="1"/>
    </xf>
    <xf numFmtId="4" fontId="29" fillId="7" borderId="1" xfId="0" applyNumberFormat="1" applyFont="1" applyFill="1" applyBorder="1" applyAlignment="1">
      <alignment horizontal="center" vertical="center" wrapText="1"/>
    </xf>
    <xf numFmtId="4" fontId="29" fillId="7" borderId="1" xfId="0" applyNumberFormat="1" applyFont="1" applyFill="1" applyBorder="1" applyAlignment="1">
      <alignment horizontal="center" vertical="center"/>
    </xf>
    <xf numFmtId="4" fontId="29" fillId="7" borderId="2" xfId="0" applyNumberFormat="1" applyFont="1" applyFill="1" applyBorder="1" applyAlignment="1">
      <alignment horizontal="center" vertical="center"/>
    </xf>
    <xf numFmtId="4" fontId="31" fillId="7" borderId="1" xfId="0" applyNumberFormat="1" applyFont="1" applyFill="1" applyBorder="1" applyAlignment="1">
      <alignment vertical="center" wrapText="1"/>
    </xf>
    <xf numFmtId="9" fontId="29" fillId="7" borderId="1" xfId="0" applyNumberFormat="1" applyFont="1" applyFill="1" applyBorder="1" applyAlignment="1">
      <alignment horizontal="center" vertical="center"/>
    </xf>
    <xf numFmtId="2" fontId="30" fillId="7" borderId="2" xfId="0" applyNumberFormat="1" applyFont="1" applyFill="1" applyBorder="1" applyAlignment="1">
      <alignment vertical="center"/>
    </xf>
    <xf numFmtId="2" fontId="35" fillId="7" borderId="1" xfId="0" applyNumberFormat="1" applyFont="1" applyFill="1" applyBorder="1" applyAlignment="1">
      <alignment vertical="center"/>
    </xf>
    <xf numFmtId="168" fontId="29" fillId="7" borderId="1" xfId="5" applyNumberFormat="1" applyFont="1" applyFill="1" applyBorder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9" fontId="28" fillId="7" borderId="0" xfId="2" applyFont="1" applyFill="1" applyAlignment="1">
      <alignment horizontal="center" vertical="center"/>
    </xf>
    <xf numFmtId="4" fontId="28" fillId="7" borderId="0" xfId="0" applyNumberFormat="1" applyFont="1" applyFill="1" applyAlignment="1">
      <alignment horizontal="center" vertical="center"/>
    </xf>
    <xf numFmtId="0" fontId="28" fillId="7" borderId="0" xfId="0" applyFont="1" applyFill="1"/>
    <xf numFmtId="4" fontId="31" fillId="0" borderId="2" xfId="0" applyNumberFormat="1" applyFont="1" applyFill="1" applyBorder="1" applyAlignment="1">
      <alignment vertical="center"/>
    </xf>
    <xf numFmtId="2" fontId="30" fillId="0" borderId="1" xfId="0" applyNumberFormat="1" applyFont="1" applyFill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9" fontId="25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4" fontId="37" fillId="0" borderId="0" xfId="0" applyNumberFormat="1" applyFont="1"/>
    <xf numFmtId="4" fontId="4" fillId="7" borderId="8" xfId="0" applyNumberFormat="1" applyFont="1" applyFill="1" applyBorder="1" applyAlignment="1">
      <alignment horizontal="center" vertical="center"/>
    </xf>
    <xf numFmtId="4" fontId="38" fillId="0" borderId="0" xfId="0" applyNumberFormat="1" applyFont="1" applyAlignment="1">
      <alignment horizontal="right" vertical="center"/>
    </xf>
    <xf numFmtId="4" fontId="38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4" fontId="28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10" fontId="32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4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4" fontId="12" fillId="0" borderId="0" xfId="0" applyNumberFormat="1" applyFont="1" applyFill="1" applyBorder="1" applyAlignment="1">
      <alignment vertical="center"/>
    </xf>
    <xf numFmtId="4" fontId="29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vertical="center" wrapText="1"/>
    </xf>
    <xf numFmtId="4" fontId="39" fillId="0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7">
    <cellStyle name="Dziesiętny 2" xfId="4"/>
    <cellStyle name="Normalny" xfId="0" builtinId="0"/>
    <cellStyle name="Normalny 2" xfId="3"/>
    <cellStyle name="Normalny 2 2" xfId="6"/>
    <cellStyle name="Normalny 3" xfId="1"/>
    <cellStyle name="Procentowy 2" xfId="2"/>
    <cellStyle name="Walutowy" xfId="5" builtinId="4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4ECC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6.xml"/><Relationship Id="rId117" Type="http://schemas.openxmlformats.org/officeDocument/2006/relationships/revisionLog" Target="revisionLog100.xml"/><Relationship Id="rId21" Type="http://schemas.openxmlformats.org/officeDocument/2006/relationships/revisionLog" Target="revisionLog21.xml"/><Relationship Id="rId42" Type="http://schemas.openxmlformats.org/officeDocument/2006/relationships/revisionLog" Target="revisionLog1.xml"/><Relationship Id="rId47" Type="http://schemas.openxmlformats.org/officeDocument/2006/relationships/revisionLog" Target="revisionLog6.xml"/><Relationship Id="rId63" Type="http://schemas.openxmlformats.org/officeDocument/2006/relationships/revisionLog" Target="revisionLog46.xml"/><Relationship Id="rId68" Type="http://schemas.openxmlformats.org/officeDocument/2006/relationships/revisionLog" Target="revisionLog51.xml"/><Relationship Id="rId84" Type="http://schemas.openxmlformats.org/officeDocument/2006/relationships/revisionLog" Target="revisionLog67.xml"/><Relationship Id="rId89" Type="http://schemas.openxmlformats.org/officeDocument/2006/relationships/revisionLog" Target="revisionLog72.xml"/><Relationship Id="rId112" Type="http://schemas.openxmlformats.org/officeDocument/2006/relationships/revisionLog" Target="revisionLog95.xml"/><Relationship Id="rId107" Type="http://schemas.openxmlformats.org/officeDocument/2006/relationships/revisionLog" Target="revisionLog90.xml"/><Relationship Id="rId37" Type="http://schemas.openxmlformats.org/officeDocument/2006/relationships/revisionLog" Target="revisionLog37.xml"/><Relationship Id="rId32" Type="http://schemas.openxmlformats.org/officeDocument/2006/relationships/revisionLog" Target="revisionLog32.xml"/><Relationship Id="rId53" Type="http://schemas.openxmlformats.org/officeDocument/2006/relationships/revisionLog" Target="revisionLog12.xml"/><Relationship Id="rId58" Type="http://schemas.openxmlformats.org/officeDocument/2006/relationships/revisionLog" Target="revisionLog17.xml"/><Relationship Id="rId74" Type="http://schemas.openxmlformats.org/officeDocument/2006/relationships/revisionLog" Target="revisionLog57.xml"/><Relationship Id="rId79" Type="http://schemas.openxmlformats.org/officeDocument/2006/relationships/revisionLog" Target="revisionLog62.xml"/><Relationship Id="rId102" Type="http://schemas.openxmlformats.org/officeDocument/2006/relationships/revisionLog" Target="revisionLog85.xml"/><Relationship Id="rId123" Type="http://schemas.openxmlformats.org/officeDocument/2006/relationships/revisionLog" Target="revisionLog106.xml"/><Relationship Id="rId128" Type="http://schemas.openxmlformats.org/officeDocument/2006/relationships/revisionLog" Target="revisionLog111.xml"/><Relationship Id="rId90" Type="http://schemas.openxmlformats.org/officeDocument/2006/relationships/revisionLog" Target="revisionLog73.xml"/><Relationship Id="rId95" Type="http://schemas.openxmlformats.org/officeDocument/2006/relationships/revisionLog" Target="revisionLog78.xml"/><Relationship Id="rId27" Type="http://schemas.openxmlformats.org/officeDocument/2006/relationships/revisionLog" Target="revisionLog27.xml"/><Relationship Id="rId22" Type="http://schemas.openxmlformats.org/officeDocument/2006/relationships/revisionLog" Target="revisionLog22.xml"/><Relationship Id="rId43" Type="http://schemas.openxmlformats.org/officeDocument/2006/relationships/revisionLog" Target="revisionLog2.xml"/><Relationship Id="rId48" Type="http://schemas.openxmlformats.org/officeDocument/2006/relationships/revisionLog" Target="revisionLog7.xml"/><Relationship Id="rId64" Type="http://schemas.openxmlformats.org/officeDocument/2006/relationships/revisionLog" Target="revisionLog47.xml"/><Relationship Id="rId69" Type="http://schemas.openxmlformats.org/officeDocument/2006/relationships/revisionLog" Target="revisionLog52.xml"/><Relationship Id="rId113" Type="http://schemas.openxmlformats.org/officeDocument/2006/relationships/revisionLog" Target="revisionLog96.xml"/><Relationship Id="rId118" Type="http://schemas.openxmlformats.org/officeDocument/2006/relationships/revisionLog" Target="revisionLog101.xml"/><Relationship Id="rId80" Type="http://schemas.openxmlformats.org/officeDocument/2006/relationships/revisionLog" Target="revisionLog63.xml"/><Relationship Id="rId85" Type="http://schemas.openxmlformats.org/officeDocument/2006/relationships/revisionLog" Target="revisionLog68.xml"/><Relationship Id="rId38" Type="http://schemas.openxmlformats.org/officeDocument/2006/relationships/revisionLog" Target="revisionLog38.xml"/><Relationship Id="rId33" Type="http://schemas.openxmlformats.org/officeDocument/2006/relationships/revisionLog" Target="revisionLog33.xml"/><Relationship Id="rId59" Type="http://schemas.openxmlformats.org/officeDocument/2006/relationships/revisionLog" Target="revisionLog42.xml"/><Relationship Id="rId103" Type="http://schemas.openxmlformats.org/officeDocument/2006/relationships/revisionLog" Target="revisionLog86.xml"/><Relationship Id="rId108" Type="http://schemas.openxmlformats.org/officeDocument/2006/relationships/revisionLog" Target="revisionLog91.xml"/><Relationship Id="rId124" Type="http://schemas.openxmlformats.org/officeDocument/2006/relationships/revisionLog" Target="revisionLog107.xml"/><Relationship Id="rId129" Type="http://schemas.openxmlformats.org/officeDocument/2006/relationships/revisionLog" Target="revisionLog112.xml"/><Relationship Id="rId54" Type="http://schemas.openxmlformats.org/officeDocument/2006/relationships/revisionLog" Target="revisionLog13.xml"/><Relationship Id="rId70" Type="http://schemas.openxmlformats.org/officeDocument/2006/relationships/revisionLog" Target="revisionLog53.xml"/><Relationship Id="rId75" Type="http://schemas.openxmlformats.org/officeDocument/2006/relationships/revisionLog" Target="revisionLog58.xml"/><Relationship Id="rId91" Type="http://schemas.openxmlformats.org/officeDocument/2006/relationships/revisionLog" Target="revisionLog74.xml"/><Relationship Id="rId96" Type="http://schemas.openxmlformats.org/officeDocument/2006/relationships/revisionLog" Target="revisionLog79.xml"/><Relationship Id="rId36" Type="http://schemas.openxmlformats.org/officeDocument/2006/relationships/revisionLog" Target="revisionLog36.xml"/><Relationship Id="rId28" Type="http://schemas.openxmlformats.org/officeDocument/2006/relationships/revisionLog" Target="revisionLog28.xml"/><Relationship Id="rId23" Type="http://schemas.openxmlformats.org/officeDocument/2006/relationships/revisionLog" Target="revisionLog23.xml"/><Relationship Id="rId49" Type="http://schemas.openxmlformats.org/officeDocument/2006/relationships/revisionLog" Target="revisionLog8.xml"/><Relationship Id="rId57" Type="http://schemas.openxmlformats.org/officeDocument/2006/relationships/revisionLog" Target="revisionLog16.xml"/><Relationship Id="rId106" Type="http://schemas.openxmlformats.org/officeDocument/2006/relationships/revisionLog" Target="revisionLog89.xml"/><Relationship Id="rId114" Type="http://schemas.openxmlformats.org/officeDocument/2006/relationships/revisionLog" Target="revisionLog97.xml"/><Relationship Id="rId119" Type="http://schemas.openxmlformats.org/officeDocument/2006/relationships/revisionLog" Target="revisionLog102.xml"/><Relationship Id="rId127" Type="http://schemas.openxmlformats.org/officeDocument/2006/relationships/revisionLog" Target="revisionLog110.xml"/><Relationship Id="rId31" Type="http://schemas.openxmlformats.org/officeDocument/2006/relationships/revisionLog" Target="revisionLog31.xml"/><Relationship Id="rId44" Type="http://schemas.openxmlformats.org/officeDocument/2006/relationships/revisionLog" Target="revisionLog3.xml"/><Relationship Id="rId52" Type="http://schemas.openxmlformats.org/officeDocument/2006/relationships/revisionLog" Target="revisionLog11.xml"/><Relationship Id="rId60" Type="http://schemas.openxmlformats.org/officeDocument/2006/relationships/revisionLog" Target="revisionLog43.xml"/><Relationship Id="rId65" Type="http://schemas.openxmlformats.org/officeDocument/2006/relationships/revisionLog" Target="revisionLog48.xml"/><Relationship Id="rId73" Type="http://schemas.openxmlformats.org/officeDocument/2006/relationships/revisionLog" Target="revisionLog56.xml"/><Relationship Id="rId78" Type="http://schemas.openxmlformats.org/officeDocument/2006/relationships/revisionLog" Target="revisionLog61.xml"/><Relationship Id="rId81" Type="http://schemas.openxmlformats.org/officeDocument/2006/relationships/revisionLog" Target="revisionLog64.xml"/><Relationship Id="rId86" Type="http://schemas.openxmlformats.org/officeDocument/2006/relationships/revisionLog" Target="revisionLog69.xml"/><Relationship Id="rId94" Type="http://schemas.openxmlformats.org/officeDocument/2006/relationships/revisionLog" Target="revisionLog77.xml"/><Relationship Id="rId99" Type="http://schemas.openxmlformats.org/officeDocument/2006/relationships/revisionLog" Target="revisionLog82.xml"/><Relationship Id="rId101" Type="http://schemas.openxmlformats.org/officeDocument/2006/relationships/revisionLog" Target="revisionLog84.xml"/><Relationship Id="rId122" Type="http://schemas.openxmlformats.org/officeDocument/2006/relationships/revisionLog" Target="revisionLog105.xml"/><Relationship Id="rId130" Type="http://schemas.openxmlformats.org/officeDocument/2006/relationships/revisionLog" Target="revisionLog113.xml"/><Relationship Id="rId39" Type="http://schemas.openxmlformats.org/officeDocument/2006/relationships/revisionLog" Target="revisionLog39.xml"/><Relationship Id="rId18" Type="http://schemas.openxmlformats.org/officeDocument/2006/relationships/revisionLog" Target="revisionLog18.xml"/><Relationship Id="rId109" Type="http://schemas.openxmlformats.org/officeDocument/2006/relationships/revisionLog" Target="revisionLog92.xml"/><Relationship Id="rId34" Type="http://schemas.openxmlformats.org/officeDocument/2006/relationships/revisionLog" Target="revisionLog34.xml"/><Relationship Id="rId50" Type="http://schemas.openxmlformats.org/officeDocument/2006/relationships/revisionLog" Target="revisionLog9.xml"/><Relationship Id="rId55" Type="http://schemas.openxmlformats.org/officeDocument/2006/relationships/revisionLog" Target="revisionLog14.xml"/><Relationship Id="rId76" Type="http://schemas.openxmlformats.org/officeDocument/2006/relationships/revisionLog" Target="revisionLog59.xml"/><Relationship Id="rId97" Type="http://schemas.openxmlformats.org/officeDocument/2006/relationships/revisionLog" Target="revisionLog80.xml"/><Relationship Id="rId104" Type="http://schemas.openxmlformats.org/officeDocument/2006/relationships/revisionLog" Target="revisionLog87.xml"/><Relationship Id="rId120" Type="http://schemas.openxmlformats.org/officeDocument/2006/relationships/revisionLog" Target="revisionLog103.xml"/><Relationship Id="rId125" Type="http://schemas.openxmlformats.org/officeDocument/2006/relationships/revisionLog" Target="revisionLog108.xml"/><Relationship Id="rId71" Type="http://schemas.openxmlformats.org/officeDocument/2006/relationships/revisionLog" Target="revisionLog54.xml"/><Relationship Id="rId92" Type="http://schemas.openxmlformats.org/officeDocument/2006/relationships/revisionLog" Target="revisionLog75.xml"/><Relationship Id="rId29" Type="http://schemas.openxmlformats.org/officeDocument/2006/relationships/revisionLog" Target="revisionLog29.xml"/><Relationship Id="rId40" Type="http://schemas.openxmlformats.org/officeDocument/2006/relationships/revisionLog" Target="revisionLog40.xml"/><Relationship Id="rId24" Type="http://schemas.openxmlformats.org/officeDocument/2006/relationships/revisionLog" Target="revisionLog24.xml"/><Relationship Id="rId45" Type="http://schemas.openxmlformats.org/officeDocument/2006/relationships/revisionLog" Target="revisionLog4.xml"/><Relationship Id="rId66" Type="http://schemas.openxmlformats.org/officeDocument/2006/relationships/revisionLog" Target="revisionLog49.xml"/><Relationship Id="rId87" Type="http://schemas.openxmlformats.org/officeDocument/2006/relationships/revisionLog" Target="revisionLog70.xml"/><Relationship Id="rId110" Type="http://schemas.openxmlformats.org/officeDocument/2006/relationships/revisionLog" Target="revisionLog93.xml"/><Relationship Id="rId115" Type="http://schemas.openxmlformats.org/officeDocument/2006/relationships/revisionLog" Target="revisionLog98.xml"/><Relationship Id="rId131" Type="http://schemas.openxmlformats.org/officeDocument/2006/relationships/revisionLog" Target="revisionLog114.xml"/><Relationship Id="rId61" Type="http://schemas.openxmlformats.org/officeDocument/2006/relationships/revisionLog" Target="revisionLog44.xml"/><Relationship Id="rId82" Type="http://schemas.openxmlformats.org/officeDocument/2006/relationships/revisionLog" Target="revisionLog65.xml"/><Relationship Id="rId19" Type="http://schemas.openxmlformats.org/officeDocument/2006/relationships/revisionLog" Target="revisionLog19.xml"/><Relationship Id="rId35" Type="http://schemas.openxmlformats.org/officeDocument/2006/relationships/revisionLog" Target="revisionLog35.xml"/><Relationship Id="rId30" Type="http://schemas.openxmlformats.org/officeDocument/2006/relationships/revisionLog" Target="revisionLog30.xml"/><Relationship Id="rId56" Type="http://schemas.openxmlformats.org/officeDocument/2006/relationships/revisionLog" Target="revisionLog15.xml"/><Relationship Id="rId77" Type="http://schemas.openxmlformats.org/officeDocument/2006/relationships/revisionLog" Target="revisionLog60.xml"/><Relationship Id="rId100" Type="http://schemas.openxmlformats.org/officeDocument/2006/relationships/revisionLog" Target="revisionLog83.xml"/><Relationship Id="rId105" Type="http://schemas.openxmlformats.org/officeDocument/2006/relationships/revisionLog" Target="revisionLog88.xml"/><Relationship Id="rId126" Type="http://schemas.openxmlformats.org/officeDocument/2006/relationships/revisionLog" Target="revisionLog109.xml"/><Relationship Id="rId51" Type="http://schemas.openxmlformats.org/officeDocument/2006/relationships/revisionLog" Target="revisionLog10.xml"/><Relationship Id="rId72" Type="http://schemas.openxmlformats.org/officeDocument/2006/relationships/revisionLog" Target="revisionLog55.xml"/><Relationship Id="rId93" Type="http://schemas.openxmlformats.org/officeDocument/2006/relationships/revisionLog" Target="revisionLog76.xml"/><Relationship Id="rId98" Type="http://schemas.openxmlformats.org/officeDocument/2006/relationships/revisionLog" Target="revisionLog81.xml"/><Relationship Id="rId121" Type="http://schemas.openxmlformats.org/officeDocument/2006/relationships/revisionLog" Target="revisionLog104.xml"/><Relationship Id="rId25" Type="http://schemas.openxmlformats.org/officeDocument/2006/relationships/revisionLog" Target="revisionLog25.xml"/><Relationship Id="rId46" Type="http://schemas.openxmlformats.org/officeDocument/2006/relationships/revisionLog" Target="revisionLog5.xml"/><Relationship Id="rId67" Type="http://schemas.openxmlformats.org/officeDocument/2006/relationships/revisionLog" Target="revisionLog50.xml"/><Relationship Id="rId116" Type="http://schemas.openxmlformats.org/officeDocument/2006/relationships/revisionLog" Target="revisionLog99.xml"/><Relationship Id="rId41" Type="http://schemas.openxmlformats.org/officeDocument/2006/relationships/revisionLog" Target="revisionLog41.xml"/><Relationship Id="rId20" Type="http://schemas.openxmlformats.org/officeDocument/2006/relationships/revisionLog" Target="revisionLog20.xml"/><Relationship Id="rId62" Type="http://schemas.openxmlformats.org/officeDocument/2006/relationships/revisionLog" Target="revisionLog45.xml"/><Relationship Id="rId83" Type="http://schemas.openxmlformats.org/officeDocument/2006/relationships/revisionLog" Target="revisionLog66.xml"/><Relationship Id="rId88" Type="http://schemas.openxmlformats.org/officeDocument/2006/relationships/revisionLog" Target="revisionLog71.xml"/><Relationship Id="rId111" Type="http://schemas.openxmlformats.org/officeDocument/2006/relationships/revisionLog" Target="revisionLog94.xml"/><Relationship Id="rId132" Type="http://schemas.openxmlformats.org/officeDocument/2006/relationships/revisionLog" Target="revisionLog11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0D69BF-D4FA-4FEC-89B2-28A513127FB5}" diskRevisions="1" revisionId="1799" version="132">
  <header guid="{687C3CB1-E1F9-4EC7-BF69-17D6B024C034}" dateTime="2024-02-26T14:38:46" maxSheetId="6" userName="Kinga Kucharska" r:id="rId18" minRId="307" maxRId="310">
    <sheetIdMap count="5">
      <sheetId val="1"/>
      <sheetId val="2"/>
      <sheetId val="3"/>
      <sheetId val="4"/>
      <sheetId val="5"/>
    </sheetIdMap>
  </header>
  <header guid="{F9D7F9DB-4DC6-4974-A475-6B00E954A8F8}" dateTime="2024-02-26T15:15:47" maxSheetId="6" userName="Kinga Kucharska" r:id="rId19">
    <sheetIdMap count="5">
      <sheetId val="1"/>
      <sheetId val="2"/>
      <sheetId val="3"/>
      <sheetId val="4"/>
      <sheetId val="5"/>
    </sheetIdMap>
  </header>
  <header guid="{AE349F2D-23E6-4317-A751-EF8B89A6211B}" dateTime="2024-02-26T15:20:56" maxSheetId="6" userName="Kinga Kucharska" r:id="rId20" minRId="323">
    <sheetIdMap count="5">
      <sheetId val="1"/>
      <sheetId val="2"/>
      <sheetId val="3"/>
      <sheetId val="4"/>
      <sheetId val="5"/>
    </sheetIdMap>
  </header>
  <header guid="{1A4074CF-273C-4EC0-B768-F09756CBC1D2}" dateTime="2024-02-27T10:35:05" maxSheetId="6" userName="Kinga Kucharska" r:id="rId21" minRId="324" maxRId="329">
    <sheetIdMap count="5">
      <sheetId val="1"/>
      <sheetId val="2"/>
      <sheetId val="3"/>
      <sheetId val="4"/>
      <sheetId val="5"/>
    </sheetIdMap>
  </header>
  <header guid="{61890AA0-EA0F-401B-BA2E-62F1B6F53347}" dateTime="2024-03-01T11:12:49" maxSheetId="6" userName="Agnieszka Wagner" r:id="rId22" minRId="342" maxRId="343">
    <sheetIdMap count="5">
      <sheetId val="1"/>
      <sheetId val="2"/>
      <sheetId val="3"/>
      <sheetId val="4"/>
      <sheetId val="5"/>
    </sheetIdMap>
  </header>
  <header guid="{EAA2E4FA-0F28-418A-A0AC-C79216813315}" dateTime="2024-03-01T11:13:12" maxSheetId="6" userName="Agnieszka Wagner" r:id="rId23">
    <sheetIdMap count="5">
      <sheetId val="1"/>
      <sheetId val="2"/>
      <sheetId val="3"/>
      <sheetId val="4"/>
      <sheetId val="5"/>
    </sheetIdMap>
  </header>
  <header guid="{EA5E017D-9725-4C4D-817D-FB24D263831C}" dateTime="2024-03-01T14:03:38" maxSheetId="6" userName="Kinga Kucharska" r:id="rId24" minRId="356" maxRId="439">
    <sheetIdMap count="5">
      <sheetId val="1"/>
      <sheetId val="2"/>
      <sheetId val="3"/>
      <sheetId val="4"/>
      <sheetId val="5"/>
    </sheetIdMap>
  </header>
  <header guid="{D4F15A19-2D99-419B-93F8-6F71531D4CE4}" dateTime="2024-03-04T14:34:45" maxSheetId="6" userName="Zofia Malik" r:id="rId25" minRId="440" maxRId="443">
    <sheetIdMap count="5">
      <sheetId val="1"/>
      <sheetId val="2"/>
      <sheetId val="3"/>
      <sheetId val="4"/>
      <sheetId val="5"/>
    </sheetIdMap>
  </header>
  <header guid="{F1C023ED-F23B-437E-BAF2-FDA0BA488EEE}" dateTime="2024-03-04T15:13:49" maxSheetId="6" userName="Agnieszka Wagner" r:id="rId26" minRId="456" maxRId="457">
    <sheetIdMap count="5">
      <sheetId val="1"/>
      <sheetId val="2"/>
      <sheetId val="3"/>
      <sheetId val="4"/>
      <sheetId val="5"/>
    </sheetIdMap>
  </header>
  <header guid="{895672AB-3F71-473F-ACEA-793D80F742BE}" dateTime="2024-03-05T11:52:37" maxSheetId="6" userName="Kinga Kucharska" r:id="rId27" minRId="470" maxRId="472">
    <sheetIdMap count="5">
      <sheetId val="1"/>
      <sheetId val="2"/>
      <sheetId val="3"/>
      <sheetId val="4"/>
      <sheetId val="5"/>
    </sheetIdMap>
  </header>
  <header guid="{8CDB01F1-9178-41DE-A490-22FC601C12B8}" dateTime="2024-03-05T15:25:10" maxSheetId="6" userName="Zofia Malik" r:id="rId28" minRId="473" maxRId="476">
    <sheetIdMap count="5">
      <sheetId val="1"/>
      <sheetId val="2"/>
      <sheetId val="3"/>
      <sheetId val="4"/>
      <sheetId val="5"/>
    </sheetIdMap>
  </header>
  <header guid="{54B252FC-0D30-41A9-9449-46D4F7AE4313}" dateTime="2024-03-06T08:09:55" maxSheetId="6" userName="Kinga Kucharska" r:id="rId29" minRId="477">
    <sheetIdMap count="5">
      <sheetId val="1"/>
      <sheetId val="2"/>
      <sheetId val="3"/>
      <sheetId val="4"/>
      <sheetId val="5"/>
    </sheetIdMap>
  </header>
  <header guid="{7E4B66BE-E660-42A3-9E04-7CB6EE61584C}" dateTime="2024-03-06T14:35:58" maxSheetId="6" userName="Zofia Malik" r:id="rId30" minRId="490" maxRId="491">
    <sheetIdMap count="5">
      <sheetId val="1"/>
      <sheetId val="2"/>
      <sheetId val="3"/>
      <sheetId val="4"/>
      <sheetId val="5"/>
    </sheetIdMap>
  </header>
  <header guid="{D1035AE0-9026-412F-8E4B-292BE34866C4}" dateTime="2024-03-07T08:16:42" maxSheetId="6" userName="Kinga Kucharska" r:id="rId31" minRId="504" maxRId="522">
    <sheetIdMap count="5">
      <sheetId val="1"/>
      <sheetId val="2"/>
      <sheetId val="3"/>
      <sheetId val="4"/>
      <sheetId val="5"/>
    </sheetIdMap>
  </header>
  <header guid="{45360E9B-0D5E-438A-934B-9669800940C4}" dateTime="2024-03-07T14:54:34" maxSheetId="6" userName="Zofia Malik" r:id="rId32" minRId="535" maxRId="538">
    <sheetIdMap count="5">
      <sheetId val="1"/>
      <sheetId val="2"/>
      <sheetId val="3"/>
      <sheetId val="4"/>
      <sheetId val="5"/>
    </sheetIdMap>
  </header>
  <header guid="{7A71AEB0-929F-4C7F-97AD-E2041340EC69}" dateTime="2024-03-07T15:07:07" maxSheetId="6" userName="Kinga Kucharska" r:id="rId33" minRId="551" maxRId="555">
    <sheetIdMap count="5">
      <sheetId val="1"/>
      <sheetId val="2"/>
      <sheetId val="3"/>
      <sheetId val="4"/>
      <sheetId val="5"/>
    </sheetIdMap>
  </header>
  <header guid="{0FF9C9F0-FCB6-4B53-AB61-131E4FA31A06}" dateTime="2024-03-07T15:19:49" maxSheetId="6" userName="Zofia Malik" r:id="rId34">
    <sheetIdMap count="5">
      <sheetId val="1"/>
      <sheetId val="2"/>
      <sheetId val="3"/>
      <sheetId val="4"/>
      <sheetId val="5"/>
    </sheetIdMap>
  </header>
  <header guid="{9DC1D862-DD45-44B3-936D-1811B8579068}" dateTime="2024-03-12T10:06:02" maxSheetId="6" userName="Agnieszka Wagner" r:id="rId35" minRId="568" maxRId="569">
    <sheetIdMap count="5">
      <sheetId val="1"/>
      <sheetId val="2"/>
      <sheetId val="3"/>
      <sheetId val="4"/>
      <sheetId val="5"/>
    </sheetIdMap>
  </header>
  <header guid="{D0F12CF1-6642-4F81-BF7A-D13D15DB6A32}" dateTime="2024-03-12T10:38:58" maxSheetId="6" userName="Zofia Malik" r:id="rId36" minRId="570" maxRId="571">
    <sheetIdMap count="5">
      <sheetId val="1"/>
      <sheetId val="2"/>
      <sheetId val="3"/>
      <sheetId val="4"/>
      <sheetId val="5"/>
    </sheetIdMap>
  </header>
  <header guid="{D0CBDD42-E7B5-48EA-97AB-58E2D20E8E7D}" dateTime="2024-03-12T13:58:28" maxSheetId="6" userName="Agnieszka Wagner" r:id="rId37" minRId="584" maxRId="585">
    <sheetIdMap count="5">
      <sheetId val="1"/>
      <sheetId val="2"/>
      <sheetId val="3"/>
      <sheetId val="4"/>
      <sheetId val="5"/>
    </sheetIdMap>
  </header>
  <header guid="{BF5FFAB7-7218-4F1A-A4A8-0BE1D4B813AA}" dateTime="2024-03-14T08:55:54" maxSheetId="6" userName="Agnieszka Wagner" r:id="rId38" minRId="586">
    <sheetIdMap count="5">
      <sheetId val="1"/>
      <sheetId val="2"/>
      <sheetId val="3"/>
      <sheetId val="4"/>
      <sheetId val="5"/>
    </sheetIdMap>
  </header>
  <header guid="{2C8CF854-4239-412A-9B66-92B944ED75B5}" dateTime="2024-03-14T13:10:31" maxSheetId="6" userName="Agnieszka Wagner" r:id="rId39" minRId="599" maxRId="600">
    <sheetIdMap count="5">
      <sheetId val="1"/>
      <sheetId val="2"/>
      <sheetId val="3"/>
      <sheetId val="4"/>
      <sheetId val="5"/>
    </sheetIdMap>
  </header>
  <header guid="{11E02636-28A7-4BA2-8EF0-E66A75A431E9}" dateTime="2024-03-15T12:56:44" maxSheetId="6" userName="Agnieszka Wagner" r:id="rId40" minRId="601">
    <sheetIdMap count="5">
      <sheetId val="1"/>
      <sheetId val="2"/>
      <sheetId val="3"/>
      <sheetId val="4"/>
      <sheetId val="5"/>
    </sheetIdMap>
  </header>
  <header guid="{33490752-3A62-48AE-B1D4-E424954AEADE}" dateTime="2024-03-15T14:23:59" maxSheetId="6" userName="Zofia Malik" r:id="rId41" minRId="602" maxRId="603">
    <sheetIdMap count="5">
      <sheetId val="1"/>
      <sheetId val="2"/>
      <sheetId val="3"/>
      <sheetId val="4"/>
      <sheetId val="5"/>
    </sheetIdMap>
  </header>
  <header guid="{34B3540A-B591-4AA1-B986-FE31178EF124}" dateTime="2024-03-28T11:56:05" maxSheetId="6" userName="Agnieszka Wagner" r:id="rId42" minRId="616" maxRId="617">
    <sheetIdMap count="5">
      <sheetId val="1"/>
      <sheetId val="2"/>
      <sheetId val="3"/>
      <sheetId val="4"/>
      <sheetId val="5"/>
    </sheetIdMap>
  </header>
  <header guid="{F5875E64-16BD-45AD-915F-144D9D7BCFBA}" dateTime="2024-04-02T15:26:12" maxSheetId="6" userName="Zofia Malik" r:id="rId43" minRId="618" maxRId="619">
    <sheetIdMap count="5">
      <sheetId val="1"/>
      <sheetId val="2"/>
      <sheetId val="3"/>
      <sheetId val="4"/>
      <sheetId val="5"/>
    </sheetIdMap>
  </header>
  <header guid="{2DBF0888-2EDC-42F1-B1A1-1DB1813BC251}" dateTime="2024-04-04T13:20:07" maxSheetId="6" userName="Kinga Kucharska" r:id="rId44" minRId="620" maxRId="623">
    <sheetIdMap count="5">
      <sheetId val="1"/>
      <sheetId val="2"/>
      <sheetId val="3"/>
      <sheetId val="4"/>
      <sheetId val="5"/>
    </sheetIdMap>
  </header>
  <header guid="{108A3E72-0CCE-4F06-8226-29CAAC2A2532}" dateTime="2024-04-04T13:28:41" maxSheetId="6" userName="Kinga Kucharska" r:id="rId45" minRId="636" maxRId="666">
    <sheetIdMap count="5">
      <sheetId val="1"/>
      <sheetId val="2"/>
      <sheetId val="3"/>
      <sheetId val="4"/>
      <sheetId val="5"/>
    </sheetIdMap>
  </header>
  <header guid="{A5617154-E079-411F-B6F9-A55885E798A9}" dateTime="2024-04-04T13:52:40" maxSheetId="6" userName="Kinga Kucharska" r:id="rId46" minRId="667" maxRId="801">
    <sheetIdMap count="5">
      <sheetId val="1"/>
      <sheetId val="2"/>
      <sheetId val="3"/>
      <sheetId val="4"/>
      <sheetId val="5"/>
    </sheetIdMap>
  </header>
  <header guid="{61811FD7-8C96-4E7B-A277-5A2E388F9182}" dateTime="2024-04-08T11:29:30" maxSheetId="6" userName="Agnieszka Wagner" r:id="rId47" minRId="814" maxRId="816">
    <sheetIdMap count="5">
      <sheetId val="1"/>
      <sheetId val="2"/>
      <sheetId val="3"/>
      <sheetId val="4"/>
      <sheetId val="5"/>
    </sheetIdMap>
  </header>
  <header guid="{AB781498-C0B1-4A6C-B02D-09DC5EB5B1CF}" dateTime="2024-04-09T07:46:55" maxSheetId="6" userName="Agnieszka Wagner" r:id="rId48" minRId="829">
    <sheetIdMap count="5">
      <sheetId val="1"/>
      <sheetId val="2"/>
      <sheetId val="3"/>
      <sheetId val="4"/>
      <sheetId val="5"/>
    </sheetIdMap>
  </header>
  <header guid="{52F71678-3E38-4129-8EAC-4A78B93BD116}" dateTime="2024-04-16T13:25:01" maxSheetId="6" userName="Kinga Kucharska" r:id="rId49" minRId="842" maxRId="879">
    <sheetIdMap count="5">
      <sheetId val="1"/>
      <sheetId val="2"/>
      <sheetId val="3"/>
      <sheetId val="4"/>
      <sheetId val="5"/>
    </sheetIdMap>
  </header>
  <header guid="{AA97F181-B566-4C46-9A1A-0E5193FC4D6A}" dateTime="2024-04-16T13:25:03" maxSheetId="6" userName="Kinga Kucharska" r:id="rId50">
    <sheetIdMap count="5">
      <sheetId val="1"/>
      <sheetId val="2"/>
      <sheetId val="3"/>
      <sheetId val="4"/>
      <sheetId val="5"/>
    </sheetIdMap>
  </header>
  <header guid="{F70CBBD0-F1C7-4C2F-B733-88B94CCE7838}" dateTime="2024-04-16T13:25:04" maxSheetId="6" userName="Kinga Kucharska" r:id="rId51">
    <sheetIdMap count="5">
      <sheetId val="1"/>
      <sheetId val="2"/>
      <sheetId val="3"/>
      <sheetId val="4"/>
      <sheetId val="5"/>
    </sheetIdMap>
  </header>
  <header guid="{B0447745-0482-4641-B53B-4047BAD754DF}" dateTime="2024-04-16T13:27:03" maxSheetId="6" userName="Kinga Kucharska" r:id="rId52" minRId="916" maxRId="1065">
    <sheetIdMap count="5">
      <sheetId val="1"/>
      <sheetId val="2"/>
      <sheetId val="3"/>
      <sheetId val="4"/>
      <sheetId val="5"/>
    </sheetIdMap>
  </header>
  <header guid="{5F7FF4BA-524A-495B-883E-8AEA1E563D87}" dateTime="2024-04-16T13:33:21" maxSheetId="6" userName="Kinga Kucharska" r:id="rId53" minRId="1078" maxRId="1084">
    <sheetIdMap count="5">
      <sheetId val="1"/>
      <sheetId val="2"/>
      <sheetId val="3"/>
      <sheetId val="4"/>
      <sheetId val="5"/>
    </sheetIdMap>
  </header>
  <header guid="{A6C22DB7-07AC-42F3-96E5-40BD598FD025}" dateTime="2024-04-16T13:56:11" maxSheetId="6" userName="Kinga Kucharska" r:id="rId54" minRId="1085" maxRId="1205">
    <sheetIdMap count="5">
      <sheetId val="1"/>
      <sheetId val="2"/>
      <sheetId val="3"/>
      <sheetId val="4"/>
      <sheetId val="5"/>
    </sheetIdMap>
  </header>
  <header guid="{55367A55-B969-4D63-A829-F3311FF1D056}" dateTime="2024-04-16T14:59:01" maxSheetId="6" userName="Zofia Malik" r:id="rId55" minRId="1218" maxRId="1220">
    <sheetIdMap count="5">
      <sheetId val="1"/>
      <sheetId val="2"/>
      <sheetId val="3"/>
      <sheetId val="4"/>
      <sheetId val="5"/>
    </sheetIdMap>
  </header>
  <header guid="{D8DBD0FC-24B5-45E8-AE65-9B6A9AB20F48}" dateTime="2024-04-17T13:07:39" maxSheetId="6" userName="Agnieszka Wagner" r:id="rId56" minRId="1221" maxRId="1223">
    <sheetIdMap count="5">
      <sheetId val="1"/>
      <sheetId val="2"/>
      <sheetId val="3"/>
      <sheetId val="4"/>
      <sheetId val="5"/>
    </sheetIdMap>
  </header>
  <header guid="{08F6FF99-5060-4B3D-B428-A48E6FBB11FD}" dateTime="2024-04-17T13:48:55" maxSheetId="6" userName="Agnieszka Wagner" r:id="rId57">
    <sheetIdMap count="5">
      <sheetId val="1"/>
      <sheetId val="2"/>
      <sheetId val="3"/>
      <sheetId val="4"/>
      <sheetId val="5"/>
    </sheetIdMap>
  </header>
  <header guid="{EA19268D-ECD2-4BE0-A436-A1CC08A009B1}" dateTime="2024-04-17T15:45:40" maxSheetId="6" userName="Katarzyna Juszczak" r:id="rId58">
    <sheetIdMap count="5">
      <sheetId val="1"/>
      <sheetId val="2"/>
      <sheetId val="3"/>
      <sheetId val="4"/>
      <sheetId val="5"/>
    </sheetIdMap>
  </header>
  <header guid="{5C7950FB-2262-4E86-9F66-AF92403047AB}" dateTime="2024-04-18T10:47:37" maxSheetId="6" userName="Agnieszka Wagner" r:id="rId59" minRId="1236">
    <sheetIdMap count="5">
      <sheetId val="1"/>
      <sheetId val="2"/>
      <sheetId val="3"/>
      <sheetId val="4"/>
      <sheetId val="5"/>
    </sheetIdMap>
  </header>
  <header guid="{36468983-3013-40C8-9AA0-5F9183B414E2}" dateTime="2024-04-18T12:42:16" maxSheetId="6" userName="Kinga Kucharska" r:id="rId60" minRId="1237">
    <sheetIdMap count="5">
      <sheetId val="1"/>
      <sheetId val="2"/>
      <sheetId val="3"/>
      <sheetId val="4"/>
      <sheetId val="5"/>
    </sheetIdMap>
  </header>
  <header guid="{89072989-4BF5-471F-B8F1-DCD8AB45723E}" dateTime="2024-04-18T15:07:31" maxSheetId="6" userName="Kinga Kucharska" r:id="rId61">
    <sheetIdMap count="5">
      <sheetId val="1"/>
      <sheetId val="2"/>
      <sheetId val="3"/>
      <sheetId val="4"/>
      <sheetId val="5"/>
    </sheetIdMap>
  </header>
  <header guid="{EB7AC5BD-03B1-4EA5-A664-387F4186405E}" dateTime="2024-04-18T15:19:23" maxSheetId="6" userName="Zofia Malik" r:id="rId62" minRId="1250" maxRId="1251">
    <sheetIdMap count="5">
      <sheetId val="1"/>
      <sheetId val="2"/>
      <sheetId val="3"/>
      <sheetId val="4"/>
      <sheetId val="5"/>
    </sheetIdMap>
  </header>
  <header guid="{BD6B8D49-92E2-4A1D-B01D-0C07EC9D681E}" dateTime="2024-04-19T14:40:41" maxSheetId="6" userName="Zofia Malik" r:id="rId63" minRId="1252" maxRId="1254">
    <sheetIdMap count="5">
      <sheetId val="1"/>
      <sheetId val="2"/>
      <sheetId val="3"/>
      <sheetId val="4"/>
      <sheetId val="5"/>
    </sheetIdMap>
  </header>
  <header guid="{203D13AD-FE10-416C-992B-0C957A541ACC}" dateTime="2024-04-22T14:53:23" maxSheetId="6" userName="Kinga Kucharska" r:id="rId64">
    <sheetIdMap count="5">
      <sheetId val="1"/>
      <sheetId val="2"/>
      <sheetId val="3"/>
      <sheetId val="4"/>
      <sheetId val="5"/>
    </sheetIdMap>
  </header>
  <header guid="{E117BBFF-FE86-4839-838C-6AB79347BEF2}" dateTime="2024-04-22T15:18:25" maxSheetId="6" userName="Kinga Kucharska" r:id="rId65">
    <sheetIdMap count="5">
      <sheetId val="1"/>
      <sheetId val="2"/>
      <sheetId val="3"/>
      <sheetId val="4"/>
      <sheetId val="5"/>
    </sheetIdMap>
  </header>
  <header guid="{220DCBC6-2E95-4A7E-8390-212B1AE8A3E9}" dateTime="2024-04-23T09:58:40" maxSheetId="6" userName="Agnieszka Wagner" r:id="rId66">
    <sheetIdMap count="5">
      <sheetId val="1"/>
      <sheetId val="2"/>
      <sheetId val="3"/>
      <sheetId val="4"/>
      <sheetId val="5"/>
    </sheetIdMap>
  </header>
  <header guid="{40D8BB34-A5A7-4FB2-B3EA-25F7F3559304}" dateTime="2024-04-23T09:58:55" maxSheetId="6" userName="Agnieszka Wagner" r:id="rId67">
    <sheetIdMap count="5">
      <sheetId val="1"/>
      <sheetId val="2"/>
      <sheetId val="3"/>
      <sheetId val="4"/>
      <sheetId val="5"/>
    </sheetIdMap>
  </header>
  <header guid="{A7925B68-042B-47DB-928B-253DFEF85A78}" dateTime="2024-04-23T10:51:41" maxSheetId="6" userName="Agnieszka Wagner" r:id="rId68">
    <sheetIdMap count="5">
      <sheetId val="1"/>
      <sheetId val="2"/>
      <sheetId val="3"/>
      <sheetId val="4"/>
      <sheetId val="5"/>
    </sheetIdMap>
  </header>
  <header guid="{A407C0AA-CC54-4800-A345-BE50BC7CF9D1}" dateTime="2024-04-23T14:45:30" maxSheetId="6" userName="Zofia Malik" r:id="rId69" minRId="1279" maxRId="1280">
    <sheetIdMap count="5">
      <sheetId val="1"/>
      <sheetId val="2"/>
      <sheetId val="3"/>
      <sheetId val="4"/>
      <sheetId val="5"/>
    </sheetIdMap>
  </header>
  <header guid="{3D24ACC7-2ED7-424B-B097-F0EDF6B963A2}" dateTime="2024-04-25T09:13:45" maxSheetId="6" userName="Agnieszka Wagner" r:id="rId70">
    <sheetIdMap count="5">
      <sheetId val="1"/>
      <sheetId val="2"/>
      <sheetId val="3"/>
      <sheetId val="4"/>
      <sheetId val="5"/>
    </sheetIdMap>
  </header>
  <header guid="{3A349A9A-8556-40F4-B4C8-3B2351AA0AFB}" dateTime="2024-04-25T12:54:08" maxSheetId="6" userName="Agnieszka Wagner" r:id="rId71" minRId="1281">
    <sheetIdMap count="5">
      <sheetId val="1"/>
      <sheetId val="2"/>
      <sheetId val="3"/>
      <sheetId val="4"/>
      <sheetId val="5"/>
    </sheetIdMap>
  </header>
  <header guid="{19E7D4A1-1E37-43DC-933D-9B9BF6F7CE28}" dateTime="2024-04-25T12:54:29" maxSheetId="6" userName="Agnieszka Wagner" r:id="rId72" minRId="1294">
    <sheetIdMap count="5">
      <sheetId val="1"/>
      <sheetId val="2"/>
      <sheetId val="3"/>
      <sheetId val="4"/>
      <sheetId val="5"/>
    </sheetIdMap>
  </header>
  <header guid="{A8662883-9A13-4509-B1CF-5E64E84DE135}" dateTime="2024-04-25T15:11:42" maxSheetId="6" userName="Kinga Kucharska" r:id="rId73">
    <sheetIdMap count="5">
      <sheetId val="1"/>
      <sheetId val="2"/>
      <sheetId val="3"/>
      <sheetId val="4"/>
      <sheetId val="5"/>
    </sheetIdMap>
  </header>
  <header guid="{8C2CE914-4DF0-46FA-9AB8-DAEF8BE217F6}" dateTime="2024-04-26T08:13:28" maxSheetId="6" userName="Katarzyna Juszczak" r:id="rId74">
    <sheetIdMap count="5">
      <sheetId val="1"/>
      <sheetId val="2"/>
      <sheetId val="3"/>
      <sheetId val="4"/>
      <sheetId val="5"/>
    </sheetIdMap>
  </header>
  <header guid="{0B34C554-CC23-448B-9D1A-08DC4D5FD6DE}" dateTime="2024-04-26T15:23:45" maxSheetId="6" userName="Kinga Kucharska" r:id="rId75" minRId="1319" maxRId="1320">
    <sheetIdMap count="5">
      <sheetId val="1"/>
      <sheetId val="2"/>
      <sheetId val="3"/>
      <sheetId val="4"/>
      <sheetId val="5"/>
    </sheetIdMap>
  </header>
  <header guid="{DEF46AEB-C700-46F1-9B46-F5A0479A6C2E}" dateTime="2024-04-30T09:18:18" maxSheetId="6" userName="Agnieszka Wagner" r:id="rId76" minRId="1321">
    <sheetIdMap count="5">
      <sheetId val="1"/>
      <sheetId val="2"/>
      <sheetId val="3"/>
      <sheetId val="4"/>
      <sheetId val="5"/>
    </sheetIdMap>
  </header>
  <header guid="{A84D2950-E527-482F-8F42-77FD4E6EC8E1}" dateTime="2024-04-30T14:28:13" maxSheetId="6" userName="Agnieszka Wagner" r:id="rId77">
    <sheetIdMap count="5">
      <sheetId val="1"/>
      <sheetId val="2"/>
      <sheetId val="3"/>
      <sheetId val="4"/>
      <sheetId val="5"/>
    </sheetIdMap>
  </header>
  <header guid="{D9DD363F-D6DB-45A0-BD80-CB38E8CBA5F4}" dateTime="2024-04-30T14:28:20" maxSheetId="6" userName="Katarzyna Juszczak" r:id="rId78">
    <sheetIdMap count="5">
      <sheetId val="1"/>
      <sheetId val="2"/>
      <sheetId val="3"/>
      <sheetId val="4"/>
      <sheetId val="5"/>
    </sheetIdMap>
  </header>
  <header guid="{8C6C584A-E548-4913-9D61-13C468C64296}" dateTime="2024-04-30T14:28:58" maxSheetId="6" userName="Agnieszka Wagner" r:id="rId79" minRId="1346">
    <sheetIdMap count="5">
      <sheetId val="1"/>
      <sheetId val="2"/>
      <sheetId val="3"/>
      <sheetId val="4"/>
      <sheetId val="5"/>
    </sheetIdMap>
  </header>
  <header guid="{7613411D-C617-42EF-9F96-07E2D0D9FABD}" dateTime="2024-05-06T12:29:12" maxSheetId="6" userName="Zofia Malik" r:id="rId80" minRId="1347" maxRId="1349">
    <sheetIdMap count="5">
      <sheetId val="1"/>
      <sheetId val="2"/>
      <sheetId val="3"/>
      <sheetId val="4"/>
      <sheetId val="5"/>
    </sheetIdMap>
  </header>
  <header guid="{07D0324F-8F2F-4893-9EE8-1FDF8C8AC753}" dateTime="2024-05-06T14:58:33" maxSheetId="6" userName="Zofia Malik" r:id="rId81" minRId="1362" maxRId="1364">
    <sheetIdMap count="5">
      <sheetId val="1"/>
      <sheetId val="2"/>
      <sheetId val="3"/>
      <sheetId val="4"/>
      <sheetId val="5"/>
    </sheetIdMap>
  </header>
  <header guid="{BD7121B4-ED60-4086-A04D-AC3FACF745A7}" dateTime="2024-05-07T13:31:04" maxSheetId="6" userName="Zofia Malik" r:id="rId82" minRId="1365" maxRId="1367">
    <sheetIdMap count="5">
      <sheetId val="1"/>
      <sheetId val="2"/>
      <sheetId val="3"/>
      <sheetId val="4"/>
      <sheetId val="5"/>
    </sheetIdMap>
  </header>
  <header guid="{DC4B1536-EC8B-44B3-890C-5CBA79A7632E}" dateTime="2024-05-08T09:10:50" maxSheetId="6" userName="Katarzyna Juszczak" r:id="rId83">
    <sheetIdMap count="5">
      <sheetId val="1"/>
      <sheetId val="2"/>
      <sheetId val="3"/>
      <sheetId val="4"/>
      <sheetId val="5"/>
    </sheetIdMap>
  </header>
  <header guid="{476C12F1-8C12-4418-9949-C9EC26A69569}" dateTime="2024-05-09T15:30:24" maxSheetId="6" userName="Kinga Kucharska" r:id="rId84" minRId="1380" maxRId="1381">
    <sheetIdMap count="5">
      <sheetId val="1"/>
      <sheetId val="2"/>
      <sheetId val="3"/>
      <sheetId val="4"/>
      <sheetId val="5"/>
    </sheetIdMap>
  </header>
  <header guid="{6ACF6516-5C96-4EDA-9DFB-7E52D0FABD25}" dateTime="2024-05-15T09:44:43" maxSheetId="6" userName="Kinga Kucharska" r:id="rId85">
    <sheetIdMap count="5">
      <sheetId val="1"/>
      <sheetId val="2"/>
      <sheetId val="3"/>
      <sheetId val="4"/>
      <sheetId val="5"/>
    </sheetIdMap>
  </header>
  <header guid="{66EF8785-29CB-41B9-B166-2631013DD5CD}" dateTime="2024-05-15T12:36:12" maxSheetId="6" userName="Kinga Kucharska" r:id="rId86">
    <sheetIdMap count="5">
      <sheetId val="1"/>
      <sheetId val="2"/>
      <sheetId val="3"/>
      <sheetId val="4"/>
      <sheetId val="5"/>
    </sheetIdMap>
  </header>
  <header guid="{FFF6688F-0FF0-4412-8202-8AA9B63AAC60}" dateTime="2024-05-23T08:28:55" maxSheetId="6" userName="Kinga Kucharska" r:id="rId87" minRId="1406" maxRId="1408">
    <sheetIdMap count="5">
      <sheetId val="1"/>
      <sheetId val="2"/>
      <sheetId val="3"/>
      <sheetId val="4"/>
      <sheetId val="5"/>
    </sheetIdMap>
  </header>
  <header guid="{BFB4B4A4-F974-4EA0-9B66-5AF1EC8AE7AA}" dateTime="2024-05-24T08:08:13" maxSheetId="6" userName="Agnieszka Wagner" r:id="rId88" minRId="1421" maxRId="1438">
    <sheetIdMap count="5">
      <sheetId val="1"/>
      <sheetId val="2"/>
      <sheetId val="3"/>
      <sheetId val="4"/>
      <sheetId val="5"/>
    </sheetIdMap>
  </header>
  <header guid="{EA99D231-CBD3-4B1C-9C2B-CB64F8ACDAA9}" dateTime="2024-05-24T08:08:24" maxSheetId="6" userName="Agnieszka Wagner" r:id="rId89">
    <sheetIdMap count="5">
      <sheetId val="1"/>
      <sheetId val="2"/>
      <sheetId val="3"/>
      <sheetId val="4"/>
      <sheetId val="5"/>
    </sheetIdMap>
  </header>
  <header guid="{379D29B6-584B-4FC3-804B-DC43A732FDAF}" dateTime="2024-05-24T08:08:49" maxSheetId="6" userName="Agnieszka Wagner" r:id="rId90">
    <sheetIdMap count="5">
      <sheetId val="1"/>
      <sheetId val="2"/>
      <sheetId val="3"/>
      <sheetId val="4"/>
      <sheetId val="5"/>
    </sheetIdMap>
  </header>
  <header guid="{9A530D7E-AE3F-421D-9C36-27186AD514D7}" dateTime="2024-05-24T11:23:08" maxSheetId="6" userName="Kinga Kucharska" r:id="rId91" minRId="1463">
    <sheetIdMap count="5">
      <sheetId val="1"/>
      <sheetId val="2"/>
      <sheetId val="3"/>
      <sheetId val="4"/>
      <sheetId val="5"/>
    </sheetIdMap>
  </header>
  <header guid="{B12E7550-8C5D-4C54-961B-2D4269739A1A}" dateTime="2024-05-24T15:26:26" maxSheetId="6" userName="Kinga Kucharska" r:id="rId92" minRId="1464">
    <sheetIdMap count="5">
      <sheetId val="1"/>
      <sheetId val="2"/>
      <sheetId val="3"/>
      <sheetId val="4"/>
      <sheetId val="5"/>
    </sheetIdMap>
  </header>
  <header guid="{444923D7-BB08-45D8-930B-0770C2D931DF}" dateTime="2024-05-27T08:48:26" maxSheetId="6" userName="Kinga Kucharska" r:id="rId93" minRId="1465" maxRId="1468">
    <sheetIdMap count="5">
      <sheetId val="1"/>
      <sheetId val="2"/>
      <sheetId val="3"/>
      <sheetId val="4"/>
      <sheetId val="5"/>
    </sheetIdMap>
  </header>
  <header guid="{976D733E-CB8B-48A6-A543-42BC17BE2AC2}" dateTime="2024-05-27T15:26:10" maxSheetId="6" userName="Kinga Kucharska" r:id="rId94" minRId="1469" maxRId="1471">
    <sheetIdMap count="5">
      <sheetId val="1"/>
      <sheetId val="2"/>
      <sheetId val="3"/>
      <sheetId val="4"/>
      <sheetId val="5"/>
    </sheetIdMap>
  </header>
  <header guid="{81F7757F-07A4-4941-89F9-85CD8960563B}" dateTime="2024-05-28T08:17:27" maxSheetId="6" userName="Zofia Malik" r:id="rId95" minRId="1472" maxRId="1475">
    <sheetIdMap count="5">
      <sheetId val="1"/>
      <sheetId val="2"/>
      <sheetId val="3"/>
      <sheetId val="4"/>
      <sheetId val="5"/>
    </sheetIdMap>
  </header>
  <header guid="{5759CE69-DAE0-41B8-A0D7-480924EA3856}" dateTime="2024-05-28T11:25:22" maxSheetId="6" userName="Zofia Malik" r:id="rId96" minRId="1476">
    <sheetIdMap count="5">
      <sheetId val="1"/>
      <sheetId val="2"/>
      <sheetId val="3"/>
      <sheetId val="4"/>
      <sheetId val="5"/>
    </sheetIdMap>
  </header>
  <header guid="{EE35AEBA-3D56-4ED4-98A8-2A00154E89EC}" dateTime="2024-05-28T13:45:51" maxSheetId="6" userName="Agnieszka Wagner" r:id="rId97" minRId="1477">
    <sheetIdMap count="5">
      <sheetId val="1"/>
      <sheetId val="2"/>
      <sheetId val="3"/>
      <sheetId val="4"/>
      <sheetId val="5"/>
    </sheetIdMap>
  </header>
  <header guid="{DD154D77-990C-4546-9ABB-6CB91A844791}" dateTime="2024-05-28T14:25:00" maxSheetId="6" userName="Agnieszka Wagner" r:id="rId98" minRId="1490">
    <sheetIdMap count="5">
      <sheetId val="1"/>
      <sheetId val="2"/>
      <sheetId val="3"/>
      <sheetId val="4"/>
      <sheetId val="5"/>
    </sheetIdMap>
  </header>
  <header guid="{EF8732D6-7B07-4A6B-8839-742652A278F1}" dateTime="2024-06-05T15:12:55" maxSheetId="6" userName="Kinga Kucharska" r:id="rId99" minRId="1491">
    <sheetIdMap count="5">
      <sheetId val="1"/>
      <sheetId val="2"/>
      <sheetId val="3"/>
      <sheetId val="4"/>
      <sheetId val="5"/>
    </sheetIdMap>
  </header>
  <header guid="{BF064D31-E0AD-4255-B27E-E930EFF9D5E3}" dateTime="2024-06-06T11:37:26" maxSheetId="6" userName="Kinga Kucharska" r:id="rId100" minRId="1492" maxRId="1493">
    <sheetIdMap count="5">
      <sheetId val="1"/>
      <sheetId val="2"/>
      <sheetId val="3"/>
      <sheetId val="4"/>
      <sheetId val="5"/>
    </sheetIdMap>
  </header>
  <header guid="{DEA981BA-9C20-47EA-9821-C0DA055C64C4}" dateTime="2024-06-06T12:49:48" maxSheetId="6" userName="Kinga Kucharska" r:id="rId101" minRId="1506" maxRId="1507">
    <sheetIdMap count="5">
      <sheetId val="1"/>
      <sheetId val="2"/>
      <sheetId val="3"/>
      <sheetId val="4"/>
      <sheetId val="5"/>
    </sheetIdMap>
  </header>
  <header guid="{AEE70C4D-A62F-4225-A46C-2FDDA82489F3}" dateTime="2024-06-06T13:30:22" maxSheetId="6" userName="Kinga Kucharska" r:id="rId102" minRId="1508" maxRId="1510">
    <sheetIdMap count="5">
      <sheetId val="1"/>
      <sheetId val="2"/>
      <sheetId val="3"/>
      <sheetId val="4"/>
      <sheetId val="5"/>
    </sheetIdMap>
  </header>
  <header guid="{D2A2DF21-A976-4058-AF58-46425EA484C1}" dateTime="2024-06-19T15:29:33" maxSheetId="6" userName="Kinga Kucharska" r:id="rId103" minRId="1511" maxRId="1529">
    <sheetIdMap count="5">
      <sheetId val="1"/>
      <sheetId val="2"/>
      <sheetId val="3"/>
      <sheetId val="4"/>
      <sheetId val="5"/>
    </sheetIdMap>
  </header>
  <header guid="{1EF817A6-FD91-4930-9CDF-EF2BAF21AC60}" dateTime="2024-06-20T11:15:00" maxSheetId="6" userName="Agnieszka Wagner" r:id="rId104" minRId="1530" maxRId="1531">
    <sheetIdMap count="5">
      <sheetId val="1"/>
      <sheetId val="2"/>
      <sheetId val="3"/>
      <sheetId val="4"/>
      <sheetId val="5"/>
    </sheetIdMap>
  </header>
  <header guid="{1F10C580-949C-41C5-884E-8A0CE7A3EF7D}" dateTime="2024-06-21T12:52:10" maxSheetId="6" userName="Kinga Kucharska" r:id="rId105" minRId="1544" maxRId="1562">
    <sheetIdMap count="5">
      <sheetId val="1"/>
      <sheetId val="2"/>
      <sheetId val="3"/>
      <sheetId val="4"/>
      <sheetId val="5"/>
    </sheetIdMap>
  </header>
  <header guid="{4CFEEC40-CFBB-445D-8C9E-D005B7C8DA04}" dateTime="2024-06-24T08:14:53" maxSheetId="6" userName="Kinga Kucharska" r:id="rId106" minRId="1563" maxRId="1564">
    <sheetIdMap count="5">
      <sheetId val="1"/>
      <sheetId val="2"/>
      <sheetId val="3"/>
      <sheetId val="4"/>
      <sheetId val="5"/>
    </sheetIdMap>
  </header>
  <header guid="{13B3E9E6-4537-49E8-8497-297C3AD63A6E}" dateTime="2024-06-24T08:16:16" maxSheetId="6" userName="Kinga Kucharska" r:id="rId107" minRId="1565" maxRId="1582">
    <sheetIdMap count="5">
      <sheetId val="1"/>
      <sheetId val="2"/>
      <sheetId val="3"/>
      <sheetId val="4"/>
      <sheetId val="5"/>
    </sheetIdMap>
  </header>
  <header guid="{3BE66995-F8BE-4FCA-A9DE-47648DC6FA5A}" dateTime="2024-06-24T09:32:21" maxSheetId="6" userName="Kinga Kucharska" r:id="rId108" minRId="1595">
    <sheetIdMap count="5">
      <sheetId val="1"/>
      <sheetId val="2"/>
      <sheetId val="3"/>
      <sheetId val="4"/>
      <sheetId val="5"/>
    </sheetIdMap>
  </header>
  <header guid="{9FA19752-2568-43F2-A99D-1004846DCE84}" dateTime="2024-06-24T12:29:53" maxSheetId="6" userName="Kinga Kucharska" r:id="rId109" minRId="1596" maxRId="1599">
    <sheetIdMap count="5">
      <sheetId val="1"/>
      <sheetId val="2"/>
      <sheetId val="3"/>
      <sheetId val="4"/>
      <sheetId val="5"/>
    </sheetIdMap>
  </header>
  <header guid="{C1DB54F1-11BF-4E6A-ABF9-36C3CC2AC0DA}" dateTime="2024-06-24T12:32:59" maxSheetId="6" userName="Kinga Kucharska" r:id="rId110" minRId="1612">
    <sheetIdMap count="5">
      <sheetId val="1"/>
      <sheetId val="2"/>
      <sheetId val="3"/>
      <sheetId val="4"/>
      <sheetId val="5"/>
    </sheetIdMap>
  </header>
  <header guid="{B1BB0915-4000-4300-AF9E-28F63231ACA2}" dateTime="2024-06-24T12:33:37" maxSheetId="6" userName="Kinga Kucharska" r:id="rId111" minRId="1625" maxRId="1628">
    <sheetIdMap count="5">
      <sheetId val="1"/>
      <sheetId val="2"/>
      <sheetId val="3"/>
      <sheetId val="4"/>
      <sheetId val="5"/>
    </sheetIdMap>
  </header>
  <header guid="{25EEF4FE-D1EB-4EEB-82D1-E9AB5E529FFA}" dateTime="2024-07-03T07:32:26" maxSheetId="6" userName="Kinga Kucharska" r:id="rId112" minRId="1629">
    <sheetIdMap count="5">
      <sheetId val="1"/>
      <sheetId val="2"/>
      <sheetId val="3"/>
      <sheetId val="4"/>
      <sheetId val="5"/>
    </sheetIdMap>
  </header>
  <header guid="{31C96B8C-56F1-4F09-B031-8989AA6E7B57}" dateTime="2024-07-04T10:16:46" maxSheetId="6" userName="Kinga Kucharska" r:id="rId113" minRId="1642" maxRId="1649">
    <sheetIdMap count="5">
      <sheetId val="1"/>
      <sheetId val="2"/>
      <sheetId val="3"/>
      <sheetId val="4"/>
      <sheetId val="5"/>
    </sheetIdMap>
  </header>
  <header guid="{4AE2EAD6-BABA-40FA-A558-F10EEA6836AA}" dateTime="2024-07-04T14:12:02" maxSheetId="6" userName="Katarzyna Juszczak" r:id="rId114" minRId="1662">
    <sheetIdMap count="5">
      <sheetId val="1"/>
      <sheetId val="2"/>
      <sheetId val="3"/>
      <sheetId val="4"/>
      <sheetId val="5"/>
    </sheetIdMap>
  </header>
  <header guid="{09624D53-C9E6-4480-BD37-816DF7C26BC9}" dateTime="2024-07-11T14:36:08" maxSheetId="6" userName="Katarzyna Juszczak" r:id="rId115" minRId="1675">
    <sheetIdMap count="5">
      <sheetId val="1"/>
      <sheetId val="2"/>
      <sheetId val="3"/>
      <sheetId val="4"/>
      <sheetId val="5"/>
    </sheetIdMap>
  </header>
  <header guid="{CC03A3B6-668C-48AF-B260-8D346A96FD95}" dateTime="2024-07-11T16:10:49" maxSheetId="6" userName="Katarzyna Juszczak" r:id="rId116">
    <sheetIdMap count="5">
      <sheetId val="1"/>
      <sheetId val="2"/>
      <sheetId val="3"/>
      <sheetId val="4"/>
      <sheetId val="5"/>
    </sheetIdMap>
  </header>
  <header guid="{6348AA40-4580-48AC-837F-AF9C1554F322}" dateTime="2024-07-12T07:59:12" maxSheetId="6" userName="Agnieszka Wagner" r:id="rId117" minRId="1676">
    <sheetIdMap count="5">
      <sheetId val="1"/>
      <sheetId val="2"/>
      <sheetId val="3"/>
      <sheetId val="4"/>
      <sheetId val="5"/>
    </sheetIdMap>
  </header>
  <header guid="{392FEBA6-523E-48DC-9A7B-771E7648BDE6}" dateTime="2024-07-12T15:24:59" maxSheetId="6" userName="Katarzyna Juszczak" r:id="rId118" minRId="1689" maxRId="1701">
    <sheetIdMap count="5">
      <sheetId val="1"/>
      <sheetId val="2"/>
      <sheetId val="3"/>
      <sheetId val="4"/>
      <sheetId val="5"/>
    </sheetIdMap>
  </header>
  <header guid="{EAF40F2C-46C2-4FF6-BE0C-B695550524A5}" dateTime="2024-08-20T11:18:08" maxSheetId="6" userName="Kinga Kucharska" r:id="rId119" minRId="1702" maxRId="1713">
    <sheetIdMap count="5">
      <sheetId val="1"/>
      <sheetId val="2"/>
      <sheetId val="3"/>
      <sheetId val="4"/>
      <sheetId val="5"/>
    </sheetIdMap>
  </header>
  <header guid="{AEB49CF5-F461-40C7-B2B9-6FF5185B684F}" dateTime="2024-08-22T08:28:43" maxSheetId="6" userName="Kinga Kucharska" r:id="rId120" minRId="1714">
    <sheetIdMap count="5">
      <sheetId val="1"/>
      <sheetId val="2"/>
      <sheetId val="3"/>
      <sheetId val="4"/>
      <sheetId val="5"/>
    </sheetIdMap>
  </header>
  <header guid="{9D1110DB-3C1E-4152-947B-35F136798DA0}" dateTime="2024-08-30T11:44:01" maxSheetId="6" userName="Kinga Kucharska" r:id="rId121" minRId="1727">
    <sheetIdMap count="5">
      <sheetId val="1"/>
      <sheetId val="2"/>
      <sheetId val="3"/>
      <sheetId val="4"/>
      <sheetId val="5"/>
    </sheetIdMap>
  </header>
  <header guid="{3831F6B8-D777-4A1A-8800-06F30E21C6A9}" dateTime="2024-09-03T14:47:39" maxSheetId="6" userName="Zofia Malik" r:id="rId122" minRId="1728" maxRId="1732">
    <sheetIdMap count="5">
      <sheetId val="1"/>
      <sheetId val="2"/>
      <sheetId val="3"/>
      <sheetId val="4"/>
      <sheetId val="5"/>
    </sheetIdMap>
  </header>
  <header guid="{2E697051-2F39-4A55-B0D6-DEFC69BB1725}" dateTime="2024-09-06T10:52:19" maxSheetId="6" userName="Agnieszka Wagner" r:id="rId123" minRId="1733" maxRId="1734">
    <sheetIdMap count="5">
      <sheetId val="1"/>
      <sheetId val="2"/>
      <sheetId val="3"/>
      <sheetId val="4"/>
      <sheetId val="5"/>
    </sheetIdMap>
  </header>
  <header guid="{2FF199A1-B5B7-4FCE-8AC9-BB2BBCEC74DF}" dateTime="2024-09-06T11:11:27" maxSheetId="6" userName="Agnieszka Wagner" r:id="rId124" minRId="1747" maxRId="1748">
    <sheetIdMap count="5">
      <sheetId val="1"/>
      <sheetId val="2"/>
      <sheetId val="3"/>
      <sheetId val="4"/>
      <sheetId val="5"/>
    </sheetIdMap>
  </header>
  <header guid="{85BB0B8B-679F-4F03-B63F-9F6F06C3D104}" dateTime="2024-09-06T11:32:58" maxSheetId="6" userName="Zofia Malik" r:id="rId125" minRId="1749" maxRId="1751">
    <sheetIdMap count="5">
      <sheetId val="1"/>
      <sheetId val="2"/>
      <sheetId val="3"/>
      <sheetId val="4"/>
      <sheetId val="5"/>
    </sheetIdMap>
  </header>
  <header guid="{0D686F96-66D5-4E90-880C-D61F3D79F88C}" dateTime="2024-09-06T13:13:06" maxSheetId="6" userName="Kinga Kucharska" r:id="rId126" minRId="1752" maxRId="1755">
    <sheetIdMap count="5">
      <sheetId val="1"/>
      <sheetId val="2"/>
      <sheetId val="3"/>
      <sheetId val="4"/>
      <sheetId val="5"/>
    </sheetIdMap>
  </header>
  <header guid="{AC3A8B67-40A8-44A9-81EB-A690E536A04D}" dateTime="2024-09-13T09:14:22" maxSheetId="6" userName="Kinga Kucharska" r:id="rId127" minRId="1756" maxRId="1757">
    <sheetIdMap count="5">
      <sheetId val="1"/>
      <sheetId val="2"/>
      <sheetId val="3"/>
      <sheetId val="4"/>
      <sheetId val="5"/>
    </sheetIdMap>
  </header>
  <header guid="{1076C51B-87B3-4ECC-8DCB-D28BFA962F46}" dateTime="2024-09-13T10:46:37" maxSheetId="6" userName="Zofia Malik" r:id="rId128" minRId="1758">
    <sheetIdMap count="5">
      <sheetId val="1"/>
      <sheetId val="2"/>
      <sheetId val="3"/>
      <sheetId val="4"/>
      <sheetId val="5"/>
    </sheetIdMap>
  </header>
  <header guid="{C2F11862-F7E6-4672-A8A7-41B53BE9E5D5}" dateTime="2024-09-13T10:46:49" maxSheetId="6" userName="Kinga Kucharska" r:id="rId129" minRId="1771" maxRId="1772">
    <sheetIdMap count="5">
      <sheetId val="1"/>
      <sheetId val="2"/>
      <sheetId val="3"/>
      <sheetId val="4"/>
      <sheetId val="5"/>
    </sheetIdMap>
  </header>
  <header guid="{43255D36-7A50-4070-99E3-165F2FC62B45}" dateTime="2024-09-13T10:49:31" maxSheetId="6" userName="Zofia Malik" r:id="rId130" minRId="1773">
    <sheetIdMap count="5">
      <sheetId val="1"/>
      <sheetId val="2"/>
      <sheetId val="3"/>
      <sheetId val="4"/>
      <sheetId val="5"/>
    </sheetIdMap>
  </header>
  <header guid="{42CAEE6E-42A9-462C-A69E-36AFBC5549A0}" dateTime="2024-09-23T09:13:36" maxSheetId="6" userName="Kinga Kucharska" r:id="rId131" minRId="1774">
    <sheetIdMap count="5">
      <sheetId val="1"/>
      <sheetId val="2"/>
      <sheetId val="3"/>
      <sheetId val="4"/>
      <sheetId val="5"/>
    </sheetIdMap>
  </header>
  <header guid="{430D69BF-D4FA-4FEC-89B2-28A513127FB5}" dateTime="2024-09-24T11:04:37" maxSheetId="6" userName="Katarzyna Juszczak" r:id="rId132" minRId="1775" maxRId="1787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" sId="3" numFmtId="4">
    <oc r="K20">
      <v>2761128.78</v>
    </oc>
    <nc r="K20">
      <v>1886130.14</v>
    </nc>
  </rcc>
  <rcc rId="617" sId="3">
    <oc r="J20" t="inlineStr">
      <is>
        <t>kwiecień 2024 listopad 2024</t>
      </is>
    </oc>
    <nc r="J20" t="inlineStr">
      <is>
        <t>luty 2024 październik 2024</t>
      </is>
    </nc>
  </rcc>
  <rfmt sheetId="3" sqref="J20:M20">
    <dxf>
      <fill>
        <patternFill patternType="solid">
          <bgColor rgb="FFFFFF00"/>
        </patternFill>
      </fill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0">
    <dxf>
      <fill>
        <patternFill patternType="solid">
          <bgColor rgb="FFFFFF00"/>
        </patternFill>
      </fill>
    </dxf>
  </rfmt>
  <rcc rId="1676" sId="2">
    <oc r="I10" t="inlineStr">
      <is>
        <t>luty 2024 sierpień 2024</t>
      </is>
    </oc>
    <nc r="I10" t="inlineStr">
      <is>
        <t>luty 2024 październik 2024</t>
      </is>
    </nc>
  </rcc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" sId="2" odxf="1" dxf="1">
    <nc r="T22">
      <f>T5+'gm podst'!U71</f>
    </nc>
    <odxf>
      <numFmt numFmtId="0" formatCode="General"/>
    </odxf>
    <ndxf>
      <numFmt numFmtId="4" formatCode="#,##0.00"/>
    </ndxf>
  </rcc>
  <rcc rId="1690" sId="2">
    <nc r="S22">
      <v>56373857.619999997</v>
    </nc>
  </rcc>
  <rrc rId="1691" sId="2" eol="1" ref="A23:XFD23" action="insertRow"/>
  <rcc rId="1692" sId="2" odxf="1" dxf="1" numFmtId="13">
    <nc r="R23">
      <v>0.7</v>
    </nc>
    <odxf>
      <numFmt numFmtId="0" formatCode="General"/>
    </odxf>
    <ndxf>
      <numFmt numFmtId="13" formatCode="0%"/>
    </ndxf>
  </rcc>
  <rrc rId="1693" sId="2" eol="1" ref="A24:XFD24" action="insertRow"/>
  <rcc rId="1694" sId="2" odxf="1" dxf="1" numFmtId="13">
    <nc r="R24">
      <v>0.3</v>
    </nc>
    <odxf>
      <numFmt numFmtId="0" formatCode="General"/>
    </odxf>
    <ndxf>
      <numFmt numFmtId="13" formatCode="0%"/>
    </ndxf>
  </rcc>
  <rcc rId="1695" sId="2">
    <nc r="S23">
      <f>S22*R23</f>
    </nc>
  </rcc>
  <rcc rId="1696" sId="2">
    <nc r="S24">
      <f>S22*R24</f>
    </nc>
  </rcc>
  <rrc rId="1697" sId="2" eol="1" ref="A25:XFD25" action="insertRow"/>
  <rcc rId="1698" sId="2" odxf="1" dxf="1" numFmtId="13">
    <nc r="R25">
      <v>0.5</v>
    </nc>
    <odxf>
      <numFmt numFmtId="0" formatCode="General"/>
    </odxf>
    <ndxf>
      <numFmt numFmtId="13" formatCode="0%"/>
    </ndxf>
  </rcc>
  <rcc rId="1699" sId="2">
    <nc r="S25">
      <f>S22*R25</f>
    </nc>
  </rcc>
  <rfmt sheetId="2" sqref="S21:S25">
    <dxf>
      <numFmt numFmtId="2" formatCode="0.00"/>
    </dxf>
  </rfmt>
  <rfmt sheetId="2" sqref="S21:S25">
    <dxf>
      <numFmt numFmtId="4" formatCode="#,##0.00"/>
    </dxf>
  </rfmt>
  <rcc rId="1700" sId="2" odxf="1" dxf="1">
    <nc r="U22">
      <f>S22-T22</f>
    </nc>
    <odxf>
      <numFmt numFmtId="0" formatCode="General"/>
    </odxf>
    <ndxf>
      <numFmt numFmtId="4" formatCode="#,##0.00"/>
    </ndxf>
  </rcc>
  <rfmt sheetId="2" sqref="U22" start="0" length="2147483647">
    <dxf>
      <font>
        <b/>
      </font>
    </dxf>
  </rfmt>
  <rcc rId="1701" sId="2">
    <nc r="S21" t="inlineStr">
      <is>
        <t>NABÓR 2025</t>
      </is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" sId="3">
    <oc r="J67" t="inlineStr">
      <is>
        <t>lipiec 2024 listopad 2024</t>
      </is>
    </oc>
    <nc r="J67" t="inlineStr">
      <is>
        <t>lipiec 2024 grudzień 2024</t>
      </is>
    </nc>
  </rcc>
  <rfmt sheetId="3" sqref="J67:M67">
    <dxf>
      <fill>
        <patternFill patternType="solid">
          <bgColor rgb="FFFFFF00"/>
        </patternFill>
      </fill>
    </dxf>
  </rfmt>
  <rfmt sheetId="3" sqref="T67">
    <dxf>
      <fill>
        <patternFill patternType="solid">
          <bgColor rgb="FFFFFF00"/>
        </patternFill>
      </fill>
    </dxf>
  </rfmt>
  <rcc rId="1703" sId="3" numFmtId="4">
    <oc r="K67">
      <v>132194</v>
    </oc>
    <nc r="K67">
      <v>129801.35</v>
    </nc>
  </rcc>
  <rfmt sheetId="3" sqref="J70:M70">
    <dxf>
      <fill>
        <patternFill patternType="solid">
          <bgColor rgb="FFFFFF00"/>
        </patternFill>
      </fill>
    </dxf>
  </rfmt>
  <rfmt sheetId="3" sqref="T70">
    <dxf>
      <fill>
        <patternFill patternType="solid">
          <bgColor rgb="FFFFFF00"/>
        </patternFill>
      </fill>
    </dxf>
  </rfmt>
  <rcc rId="1704" sId="3" numFmtId="4">
    <oc r="K70">
      <v>51320</v>
    </oc>
    <nc r="K70">
      <v>48296.84</v>
    </nc>
  </rcc>
  <rcc rId="1705" sId="3">
    <oc r="J70" t="inlineStr">
      <is>
        <t>lipiec 2024 listopad 2024</t>
      </is>
    </oc>
    <nc r="J70" t="inlineStr">
      <is>
        <t>lipiec 2024 grudzień 2024</t>
      </is>
    </nc>
  </rcc>
  <rfmt sheetId="3" sqref="J68:M68">
    <dxf>
      <fill>
        <patternFill patternType="solid">
          <bgColor rgb="FFFFFF00"/>
        </patternFill>
      </fill>
    </dxf>
  </rfmt>
  <rfmt sheetId="3" sqref="T68">
    <dxf>
      <fill>
        <patternFill patternType="solid">
          <bgColor rgb="FFFFFF00"/>
        </patternFill>
      </fill>
    </dxf>
  </rfmt>
  <rcc rId="1706" sId="3">
    <oc r="J68" t="inlineStr">
      <is>
        <t>lipiec 2024 listopad 2024</t>
      </is>
    </oc>
    <nc r="J68" t="inlineStr">
      <is>
        <t>lipiec 2024 grudzień 2024</t>
      </is>
    </nc>
  </rcc>
  <rcc rId="1707" sId="3" numFmtId="4">
    <oc r="K68">
      <v>291876</v>
    </oc>
    <nc r="K68">
      <v>267046.45</v>
    </nc>
  </rcc>
  <rfmt sheetId="3" sqref="J66:M66">
    <dxf>
      <fill>
        <patternFill>
          <bgColor rgb="FFFFFF00"/>
        </patternFill>
      </fill>
    </dxf>
  </rfmt>
  <rfmt sheetId="3" sqref="T66">
    <dxf>
      <fill>
        <patternFill patternType="solid">
          <bgColor rgb="FFFFFF00"/>
        </patternFill>
      </fill>
    </dxf>
  </rfmt>
  <rcc rId="1708" sId="3">
    <oc r="J66" t="inlineStr">
      <is>
        <t>lipiec 2024 listopad 2024</t>
      </is>
    </oc>
    <nc r="J66" t="inlineStr">
      <is>
        <t>lipiec 2024 grudzień 2024</t>
      </is>
    </nc>
  </rcc>
  <rcc rId="1709" sId="3" numFmtId="4">
    <oc r="L66">
      <f>ROUNDDOWN(K66*N66,2)</f>
    </oc>
    <nc r="L66">
      <v>92568</v>
    </nc>
  </rcc>
  <rcc rId="1710" sId="3" numFmtId="4">
    <oc r="K66">
      <v>115710</v>
    </oc>
    <nc r="K66">
      <v>116260.04</v>
    </nc>
  </rcc>
  <rfmt sheetId="3" sqref="L66">
    <dxf>
      <fill>
        <patternFill patternType="none">
          <bgColor auto="1"/>
        </patternFill>
      </fill>
    </dxf>
  </rfmt>
  <rfmt sheetId="3" sqref="T66">
    <dxf>
      <fill>
        <patternFill patternType="none">
          <bgColor auto="1"/>
        </patternFill>
      </fill>
    </dxf>
  </rfmt>
  <rcc rId="1711" sId="3" numFmtId="13">
    <oc r="N66">
      <v>0.8</v>
    </oc>
    <nc r="N66">
      <v>0.79620000000000002</v>
    </nc>
  </rcc>
  <rfmt sheetId="3" sqref="N66">
    <dxf>
      <numFmt numFmtId="14" formatCode="0.00%"/>
    </dxf>
  </rfmt>
  <rfmt sheetId="3" sqref="N66">
    <dxf>
      <fill>
        <patternFill patternType="solid">
          <bgColor rgb="FFFFFF00"/>
        </patternFill>
      </fill>
    </dxf>
  </rfmt>
  <rcc rId="1712" sId="3" odxf="1" dxf="1">
    <oc r="J69" t="inlineStr">
      <is>
        <t>lipiec 2024 listopad 2024</t>
      </is>
    </oc>
    <nc r="J69" t="inlineStr">
      <is>
        <t>lipiec 2024 grudzień 2024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T69">
    <dxf>
      <fill>
        <patternFill patternType="solid">
          <bgColor rgb="FFFFFF00"/>
        </patternFill>
      </fill>
    </dxf>
  </rfmt>
  <rfmt sheetId="3" sqref="K69:M69">
    <dxf>
      <fill>
        <patternFill patternType="solid">
          <bgColor rgb="FFFFFF00"/>
        </patternFill>
      </fill>
    </dxf>
  </rfmt>
  <rcc rId="1713" sId="3" numFmtId="4">
    <oc r="K69">
      <v>220785</v>
    </oc>
    <nc r="K69">
      <v>216901.94</v>
    </nc>
  </rcc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" sId="3" numFmtId="4">
    <oc r="K66">
      <v>116260.04</v>
    </oc>
    <nc r="K66">
      <v>116260.07</v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21:M21">
    <dxf>
      <fill>
        <patternFill patternType="solid">
          <bgColor rgb="FFFFFF00"/>
        </patternFill>
      </fill>
    </dxf>
  </rfmt>
  <rfmt sheetId="3" sqref="T21">
    <dxf>
      <fill>
        <patternFill patternType="solid">
          <bgColor rgb="FFFFFF00"/>
        </patternFill>
      </fill>
    </dxf>
  </rfmt>
  <rcc rId="1727" sId="3" numFmtId="4">
    <oc r="K21">
      <v>919458.07</v>
    </oc>
    <nc r="K21">
      <v>906527.35</v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8" sId="3">
    <oc r="J65" t="inlineStr">
      <is>
        <t>lipiec 2024 paźdzernik 2024</t>
      </is>
    </oc>
    <nc r="J65" t="inlineStr">
      <is>
        <t>sierpień 2024 paźdzernik 2024</t>
      </is>
    </nc>
  </rcc>
  <rcc rId="1729" sId="3" numFmtId="4">
    <oc r="K65">
      <v>571096.38</v>
    </oc>
    <nc r="K65">
      <v>571110</v>
    </nc>
  </rcc>
  <rcc rId="1730" sId="3" xfDxf="1" dxf="1" numFmtId="4">
    <oc r="L65">
      <f>ROUNDDOWN(K65*N65,2)</f>
    </oc>
    <nc r="L65">
      <v>399767.46</v>
    </nc>
    <ndxf>
      <font>
        <sz val="8"/>
        <color auto="1"/>
        <name val="Arial"/>
        <scheme val="none"/>
      </font>
      <numFmt numFmtId="4" formatCode="#,##0.00"/>
      <alignment horizontal="center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731" sId="3">
    <oc r="M65">
      <f>K65-L65</f>
    </oc>
    <nc r="M65">
      <f>K65-L65</f>
    </nc>
  </rcc>
  <rcc rId="1732" sId="3" numFmtId="13">
    <oc r="N65">
      <v>0.7</v>
    </oc>
    <nc r="N65">
      <v>0.69989999999999997</v>
    </nc>
  </rcc>
  <rfmt sheetId="3" sqref="N65">
    <dxf>
      <numFmt numFmtId="173" formatCode="0.0%"/>
    </dxf>
  </rfmt>
  <rfmt sheetId="3" sqref="N65">
    <dxf>
      <numFmt numFmtId="14" formatCode="0.00%"/>
    </dxf>
  </rfmt>
  <rfmt sheetId="3" sqref="J65:N65">
    <dxf>
      <fill>
        <patternFill patternType="solid">
          <bgColor rgb="FFFFFF00"/>
        </patternFill>
      </fill>
    </dxf>
  </rfmt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3" sId="3" numFmtId="4">
    <oc r="L20">
      <f>ROUNDDOWN(K20*N20,2)</f>
    </oc>
    <nc r="L20">
      <v>943065.07</v>
    </nc>
  </rcc>
  <rcc rId="1734" sId="3" numFmtId="4">
    <oc r="K20">
      <v>1886130.14</v>
    </oc>
    <nc r="K20">
      <v>1893967.03</v>
    </nc>
  </rcc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7" sId="3">
    <oc r="J20" t="inlineStr">
      <is>
        <t>luty 2024 październik 2024</t>
      </is>
    </oc>
    <nc r="J20" t="inlineStr">
      <is>
        <t>luty 2024 listopad 2024</t>
      </is>
    </nc>
  </rcc>
  <rfmt sheetId="3" sqref="J20:N20">
    <dxf>
      <fill>
        <patternFill patternType="solid">
          <bgColor rgb="FFFFFF00"/>
        </patternFill>
      </fill>
    </dxf>
  </rfmt>
  <rcc rId="1748" sId="3" numFmtId="13">
    <oc r="N20">
      <v>0.5</v>
    </oc>
    <nc r="N20">
      <v>0.49790000000000001</v>
    </nc>
  </rcc>
  <rfmt sheetId="3" sqref="N20">
    <dxf>
      <numFmt numFmtId="14" formatCode="0.00%"/>
    </dxf>
  </rfmt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9" sId="3" xfDxf="1" dxf="1" numFmtId="4">
    <oc r="L14">
      <f>ROUNDDOWN(K14*N14,2)</f>
    </oc>
    <nc r="L14">
      <v>1545121.06</v>
    </nc>
    <ndxf>
      <font>
        <sz val="8"/>
        <color auto="1"/>
        <name val="Arial"/>
        <scheme val="none"/>
      </font>
      <numFmt numFmtId="4" formatCode="#,##0.00"/>
      <alignment horizontal="center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750" sId="3" numFmtId="4">
    <oc r="K14">
      <v>2209067.6800000002</v>
    </oc>
    <nc r="K14">
      <v>2203041.39</v>
    </nc>
  </rcc>
  <rcc rId="1751" sId="3">
    <oc r="J14" t="inlineStr">
      <is>
        <t>luty 2024 październik 2024</t>
      </is>
    </oc>
    <nc r="J14" t="inlineStr">
      <is>
        <t>luty 2024 listopad 2024</t>
      </is>
    </nc>
  </rcc>
  <rfmt sheetId="3" sqref="J14:N14">
    <dxf>
      <fill>
        <patternFill patternType="solid">
          <bgColor rgb="FFFFFF00"/>
        </patternFill>
      </fill>
    </dxf>
  </rfmt>
  <rfmt sheetId="3" sqref="J14:N14">
    <dxf>
      <fill>
        <patternFill>
          <bgColor theme="5" tint="0.39997558519241921"/>
        </patternFill>
      </fill>
    </dxf>
  </rfmt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2" sId="3">
    <oc r="J10" t="inlineStr">
      <is>
        <t>wrzesień 2023 
sierpień 2024</t>
      </is>
    </oc>
    <nc r="J10" t="inlineStr">
      <is>
        <t>październik 2023 wrzesień 2024</t>
      </is>
    </nc>
  </rcc>
  <rcc rId="1753" sId="3" numFmtId="4">
    <oc r="L10">
      <f>ROUND(K10*N10,2)</f>
    </oc>
    <nc r="L10">
      <v>1347604.57</v>
    </nc>
  </rcc>
  <rcc rId="1754" sId="3" numFmtId="4">
    <oc r="K10">
      <v>1684505.71</v>
    </oc>
    <nc r="K10">
      <v>1685023.7</v>
    </nc>
  </rcc>
  <rfmt sheetId="3" sqref="K10">
    <dxf>
      <fill>
        <patternFill patternType="solid">
          <bgColor rgb="FFFFFF00"/>
        </patternFill>
      </fill>
    </dxf>
  </rfmt>
  <rfmt sheetId="3" sqref="M10:N10">
    <dxf>
      <fill>
        <patternFill patternType="solid">
          <bgColor rgb="FFFFFF00"/>
        </patternFill>
      </fill>
    </dxf>
  </rfmt>
  <rcc rId="1755" sId="3" numFmtId="13">
    <oc r="N10">
      <v>0.8</v>
    </oc>
    <nc r="N10">
      <v>0.79979999999999996</v>
    </nc>
  </rcc>
  <rfmt sheetId="3" sqref="N10">
    <dxf>
      <numFmt numFmtId="14" formatCode="0.00%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3">
    <oc r="A70">
      <v>62</v>
    </oc>
    <nc r="A70"/>
  </rcc>
  <rcc rId="917" sId="3" numFmtId="13">
    <oc r="N70">
      <v>0.6</v>
    </oc>
    <nc r="N70"/>
  </rcc>
  <rcc rId="918" sId="3">
    <nc r="L65">
      <f>ROUNDDOWN(K65*N65,2)</f>
    </nc>
  </rcc>
  <rcc rId="919" sId="3">
    <nc r="M65">
      <f>K65-L65</f>
    </nc>
  </rcc>
  <rcc rId="920" sId="3">
    <nc r="L66">
      <f>ROUNDDOWN(K66*N66,2)</f>
    </nc>
  </rcc>
  <rcc rId="921" sId="3">
    <nc r="M66">
      <f>K66-L66</f>
    </nc>
  </rcc>
  <rcc rId="922" sId="3">
    <nc r="L67">
      <f>ROUNDDOWN(K67*N67,2)</f>
    </nc>
  </rcc>
  <rcc rId="923" sId="3">
    <nc r="M67">
      <f>K67-L67</f>
    </nc>
  </rcc>
  <rcc rId="924" sId="3">
    <nc r="L68">
      <f>ROUNDDOWN(K68*N68,2)</f>
    </nc>
  </rcc>
  <rcc rId="925" sId="3">
    <nc r="M68">
      <f>K68-L68</f>
    </nc>
  </rcc>
  <rcc rId="926" sId="3">
    <nc r="L69">
      <f>ROUNDDOWN(K69*N69,2)</f>
    </nc>
  </rcc>
  <rcc rId="927" sId="3">
    <nc r="M69">
      <f>K69-L69</f>
    </nc>
  </rcc>
  <rcc rId="928" sId="3" numFmtId="4">
    <nc r="O65">
      <v>0</v>
    </nc>
  </rcc>
  <rcc rId="929" sId="3" numFmtId="4">
    <nc r="P65">
      <v>0</v>
    </nc>
  </rcc>
  <rcc rId="930" sId="3" numFmtId="4">
    <nc r="Q65">
      <v>0</v>
    </nc>
  </rcc>
  <rcc rId="931" sId="3" numFmtId="4">
    <nc r="R65">
      <v>0</v>
    </nc>
  </rcc>
  <rcc rId="932" sId="3" numFmtId="4">
    <nc r="S65">
      <v>0</v>
    </nc>
  </rcc>
  <rcc rId="933" sId="3">
    <nc r="T65">
      <f>L65</f>
    </nc>
  </rcc>
  <rcc rId="934" sId="3" numFmtId="4">
    <nc r="U65">
      <v>0</v>
    </nc>
  </rcc>
  <rcc rId="935" sId="3" numFmtId="4">
    <nc r="V65">
      <v>0</v>
    </nc>
  </rcc>
  <rcc rId="936" sId="3" numFmtId="4">
    <nc r="W65">
      <v>0</v>
    </nc>
  </rcc>
  <rcc rId="937" sId="3" numFmtId="4">
    <nc r="X65">
      <v>0</v>
    </nc>
  </rcc>
  <rcc rId="938" sId="3" numFmtId="4">
    <nc r="Y65">
      <v>0</v>
    </nc>
  </rcc>
  <rcc rId="939" sId="3" numFmtId="4">
    <nc r="Z65">
      <v>0</v>
    </nc>
  </rcc>
  <rcc rId="940" sId="3">
    <nc r="AA65">
      <f>L65=SUM(O65:Z65)</f>
    </nc>
  </rcc>
  <rcc rId="941" sId="3">
    <nc r="AB65">
      <f>ROUND(L65/K65,4)</f>
    </nc>
  </rcc>
  <rcc rId="942" sId="3">
    <nc r="AC65">
      <f>AB65=N65</f>
    </nc>
  </rcc>
  <rcc rId="943" sId="3">
    <nc r="AD65">
      <f>K65=L65+M65</f>
    </nc>
  </rcc>
  <rcc rId="944" sId="3" numFmtId="4">
    <nc r="O66">
      <v>0</v>
    </nc>
  </rcc>
  <rcc rId="945" sId="3" numFmtId="4">
    <nc r="P66">
      <v>0</v>
    </nc>
  </rcc>
  <rcc rId="946" sId="3" numFmtId="4">
    <nc r="Q66">
      <v>0</v>
    </nc>
  </rcc>
  <rcc rId="947" sId="3" numFmtId="4">
    <nc r="R66">
      <v>0</v>
    </nc>
  </rcc>
  <rcc rId="948" sId="3" numFmtId="4">
    <nc r="S66">
      <v>0</v>
    </nc>
  </rcc>
  <rcc rId="949" sId="3">
    <nc r="T66">
      <f>L66</f>
    </nc>
  </rcc>
  <rcc rId="950" sId="3" numFmtId="4">
    <nc r="U66">
      <v>0</v>
    </nc>
  </rcc>
  <rcc rId="951" sId="3" numFmtId="4">
    <nc r="V66">
      <v>0</v>
    </nc>
  </rcc>
  <rcc rId="952" sId="3" numFmtId="4">
    <nc r="W66">
      <v>0</v>
    </nc>
  </rcc>
  <rcc rId="953" sId="3" numFmtId="4">
    <nc r="X66">
      <v>0</v>
    </nc>
  </rcc>
  <rcc rId="954" sId="3" numFmtId="4">
    <nc r="Y66">
      <v>0</v>
    </nc>
  </rcc>
  <rcc rId="955" sId="3" numFmtId="4">
    <nc r="Z66">
      <v>0</v>
    </nc>
  </rcc>
  <rcc rId="956" sId="3">
    <nc r="AA66">
      <f>L66=SUM(O66:Z66)</f>
    </nc>
  </rcc>
  <rcc rId="957" sId="3">
    <nc r="AB66">
      <f>ROUND(L66/K66,4)</f>
    </nc>
  </rcc>
  <rcc rId="958" sId="3">
    <nc r="AC66">
      <f>AB66=N66</f>
    </nc>
  </rcc>
  <rcc rId="959" sId="3">
    <nc r="AD66">
      <f>K66=L66+M66</f>
    </nc>
  </rcc>
  <rcc rId="960" sId="3" numFmtId="4">
    <nc r="O67">
      <v>0</v>
    </nc>
  </rcc>
  <rcc rId="961" sId="3" numFmtId="4">
    <nc r="P67">
      <v>0</v>
    </nc>
  </rcc>
  <rcc rId="962" sId="3" numFmtId="4">
    <nc r="Q67">
      <v>0</v>
    </nc>
  </rcc>
  <rcc rId="963" sId="3" numFmtId="4">
    <nc r="R67">
      <v>0</v>
    </nc>
  </rcc>
  <rcc rId="964" sId="3" numFmtId="4">
    <nc r="S67">
      <v>0</v>
    </nc>
  </rcc>
  <rcc rId="965" sId="3">
    <nc r="T67">
      <f>L67</f>
    </nc>
  </rcc>
  <rcc rId="966" sId="3" numFmtId="4">
    <nc r="U67">
      <v>0</v>
    </nc>
  </rcc>
  <rcc rId="967" sId="3" numFmtId="4">
    <nc r="V67">
      <v>0</v>
    </nc>
  </rcc>
  <rcc rId="968" sId="3" numFmtId="4">
    <nc r="W67">
      <v>0</v>
    </nc>
  </rcc>
  <rcc rId="969" sId="3" numFmtId="4">
    <nc r="X67">
      <v>0</v>
    </nc>
  </rcc>
  <rcc rId="970" sId="3" numFmtId="4">
    <nc r="Y67">
      <v>0</v>
    </nc>
  </rcc>
  <rcc rId="971" sId="3" numFmtId="4">
    <nc r="Z67">
      <v>0</v>
    </nc>
  </rcc>
  <rcc rId="972" sId="3">
    <nc r="AA67">
      <f>L67=SUM(O67:Z67)</f>
    </nc>
  </rcc>
  <rcc rId="973" sId="3">
    <nc r="AB67">
      <f>ROUND(L67/K67,4)</f>
    </nc>
  </rcc>
  <rcc rId="974" sId="3">
    <nc r="AC67">
      <f>AB67=N67</f>
    </nc>
  </rcc>
  <rcc rId="975" sId="3">
    <nc r="AD67">
      <f>K67=L67+M67</f>
    </nc>
  </rcc>
  <rcc rId="976" sId="3" numFmtId="4">
    <nc r="O68">
      <v>0</v>
    </nc>
  </rcc>
  <rcc rId="977" sId="3" numFmtId="4">
    <nc r="P68">
      <v>0</v>
    </nc>
  </rcc>
  <rcc rId="978" sId="3" numFmtId="4">
    <nc r="Q68">
      <v>0</v>
    </nc>
  </rcc>
  <rcc rId="979" sId="3" numFmtId="4">
    <nc r="R68">
      <v>0</v>
    </nc>
  </rcc>
  <rcc rId="980" sId="3" numFmtId="4">
    <nc r="S68">
      <v>0</v>
    </nc>
  </rcc>
  <rcc rId="981" sId="3">
    <nc r="T68">
      <f>L68</f>
    </nc>
  </rcc>
  <rcc rId="982" sId="3" numFmtId="4">
    <nc r="U68">
      <v>0</v>
    </nc>
  </rcc>
  <rcc rId="983" sId="3" numFmtId="4">
    <nc r="V68">
      <v>0</v>
    </nc>
  </rcc>
  <rcc rId="984" sId="3" numFmtId="4">
    <nc r="W68">
      <v>0</v>
    </nc>
  </rcc>
  <rcc rId="985" sId="3" numFmtId="4">
    <nc r="X68">
      <v>0</v>
    </nc>
  </rcc>
  <rcc rId="986" sId="3" numFmtId="4">
    <nc r="Y68">
      <v>0</v>
    </nc>
  </rcc>
  <rcc rId="987" sId="3" numFmtId="4">
    <nc r="Z68">
      <v>0</v>
    </nc>
  </rcc>
  <rcc rId="988" sId="3">
    <nc r="AA68">
      <f>L68=SUM(O68:Z68)</f>
    </nc>
  </rcc>
  <rcc rId="989" sId="3">
    <nc r="AB68">
      <f>ROUND(L68/K68,4)</f>
    </nc>
  </rcc>
  <rcc rId="990" sId="3">
    <nc r="AC68">
      <f>AB68=N68</f>
    </nc>
  </rcc>
  <rcc rId="991" sId="3">
    <nc r="AD68">
      <f>K68=L68+M68</f>
    </nc>
  </rcc>
  <rcc rId="992" sId="3" numFmtId="4">
    <nc r="O69">
      <v>0</v>
    </nc>
  </rcc>
  <rcc rId="993" sId="3" numFmtId="4">
    <nc r="P69">
      <v>0</v>
    </nc>
  </rcc>
  <rcc rId="994" sId="3" numFmtId="4">
    <nc r="Q69">
      <v>0</v>
    </nc>
  </rcc>
  <rcc rId="995" sId="3" numFmtId="4">
    <nc r="R69">
      <v>0</v>
    </nc>
  </rcc>
  <rcc rId="996" sId="3" numFmtId="4">
    <nc r="S69">
      <v>0</v>
    </nc>
  </rcc>
  <rcc rId="997" sId="3">
    <nc r="T69">
      <f>L69</f>
    </nc>
  </rcc>
  <rcc rId="998" sId="3" numFmtId="4">
    <nc r="U69">
      <v>0</v>
    </nc>
  </rcc>
  <rcc rId="999" sId="3" numFmtId="4">
    <nc r="V69">
      <v>0</v>
    </nc>
  </rcc>
  <rcc rId="1000" sId="3" numFmtId="4">
    <nc r="W69">
      <v>0</v>
    </nc>
  </rcc>
  <rcc rId="1001" sId="3" numFmtId="4">
    <nc r="X69">
      <v>0</v>
    </nc>
  </rcc>
  <rcc rId="1002" sId="3" numFmtId="4">
    <nc r="Y69">
      <v>0</v>
    </nc>
  </rcc>
  <rcc rId="1003" sId="3" numFmtId="4">
    <nc r="Z69">
      <v>0</v>
    </nc>
  </rcc>
  <rcc rId="1004" sId="3">
    <nc r="AA69">
      <f>L69=SUM(O69:Z69)</f>
    </nc>
  </rcc>
  <rcc rId="1005" sId="3">
    <nc r="AB69">
      <f>ROUND(L69/K69,4)</f>
    </nc>
  </rcc>
  <rcc rId="1006" sId="3">
    <nc r="AC69">
      <f>AB69=N69</f>
    </nc>
  </rcc>
  <rcc rId="1007" sId="3">
    <nc r="AD69">
      <f>K69=L69+M69</f>
    </nc>
  </rcc>
  <rcc rId="1008" sId="3">
    <nc r="B65" t="inlineStr">
      <is>
        <t>RFRD/2023/G/44</t>
      </is>
    </nc>
  </rcc>
  <rcc rId="1009" sId="3">
    <nc r="C65" t="inlineStr">
      <is>
        <t>N</t>
      </is>
    </nc>
  </rcc>
  <rcc rId="1010" sId="3">
    <nc r="D65" t="inlineStr">
      <is>
        <t>Gmina Reńska Wieś</t>
      </is>
    </nc>
  </rcc>
  <rcc rId="1011" sId="3">
    <nc r="E65">
      <v>1603062</v>
    </nc>
  </rcc>
  <rcc rId="1012" sId="3">
    <nc r="F65" t="inlineStr">
      <is>
        <t>Powiat Kędzierzyńsko - Kozielski</t>
      </is>
    </nc>
  </rcc>
  <rcc rId="1013" sId="3">
    <nc r="G65" t="inlineStr">
      <is>
        <t>Budowa drogi gminnej - ul. Pogodna w Większycach</t>
      </is>
    </nc>
  </rcc>
  <rcc rId="1014" sId="3">
    <nc r="H65" t="inlineStr">
      <is>
        <t>B</t>
      </is>
    </nc>
  </rcc>
  <rcc rId="1015" sId="3" numFmtId="4">
    <nc r="I65">
      <v>0.40600000000000003</v>
    </nc>
  </rcc>
  <rcc rId="1016" sId="3">
    <nc r="J65" t="inlineStr">
      <is>
        <t>czerwiec 2024 wrzesień 2024</t>
      </is>
    </nc>
  </rcc>
  <rcc rId="1017" sId="3" numFmtId="4">
    <nc r="K65">
      <v>571096.38</v>
    </nc>
  </rcc>
  <rcc rId="1018" sId="3">
    <nc r="B66" t="inlineStr">
      <is>
        <t>RFRD/2023/G/28</t>
      </is>
    </nc>
  </rcc>
  <rcc rId="1019" sId="3">
    <nc r="C66" t="inlineStr">
      <is>
        <t>N</t>
      </is>
    </nc>
  </rcc>
  <rcc rId="1020" sId="3">
    <nc r="D66" t="inlineStr">
      <is>
        <t>Gmina Głuchołazy</t>
      </is>
    </nc>
  </rcc>
  <rcc rId="1021" sId="3">
    <nc r="E66">
      <v>1607013</v>
    </nc>
  </rcc>
  <rcc rId="1022" sId="3">
    <nc r="F66" t="inlineStr">
      <is>
        <t>Powiat Nyski</t>
      </is>
    </nc>
  </rcc>
  <rcc rId="1023" sId="3">
    <nc r="G66" t="inlineStr">
      <is>
        <t>Remont nawierzchni asfaltowej ul. Poprzeczna w Głuchołazach</t>
      </is>
    </nc>
  </rcc>
  <rcc rId="1024" sId="3">
    <nc r="H66" t="inlineStr">
      <is>
        <t>R</t>
      </is>
    </nc>
  </rcc>
  <rcc rId="1025" sId="3" numFmtId="4">
    <nc r="I66">
      <v>0.17799999999999999</v>
    </nc>
  </rcc>
  <rcc rId="1026" sId="3">
    <nc r="J66" t="inlineStr">
      <is>
        <t>luty 2024 listopad 2024</t>
      </is>
    </nc>
  </rcc>
  <rcc rId="1027" sId="3" numFmtId="4">
    <nc r="K66">
      <v>115710</v>
    </nc>
  </rcc>
  <rcc rId="1028" sId="3">
    <nc r="B67" t="inlineStr">
      <is>
        <t>RFRD/2023/G/27</t>
      </is>
    </nc>
  </rcc>
  <rcc rId="1029" sId="3">
    <nc r="C67" t="inlineStr">
      <is>
        <t>N</t>
      </is>
    </nc>
  </rcc>
  <rcc rId="1030" sId="3">
    <nc r="D67" t="inlineStr">
      <is>
        <t>Gmina Głuchołazy</t>
      </is>
    </nc>
  </rcc>
  <rcc rId="1031" sId="3" odxf="1" dxf="1">
    <nc r="E67">
      <v>1607013</v>
    </nc>
    <odxf/>
    <ndxf/>
  </rcc>
  <rcc rId="1032" sId="3">
    <nc r="F67" t="inlineStr">
      <is>
        <t>Powiat Nyski</t>
      </is>
    </nc>
  </rcc>
  <rcc rId="1033" sId="3">
    <nc r="G67" t="inlineStr">
      <is>
        <t>Remont nawierzchni asfaltowej ul. Ogińskiego w Głuchołazach</t>
      </is>
    </nc>
  </rcc>
  <rcc rId="1034" sId="3">
    <nc r="H67" t="inlineStr">
      <is>
        <t>R</t>
      </is>
    </nc>
  </rcc>
  <rcc rId="1035" sId="3" odxf="1" dxf="1">
    <nc r="I67">
      <v>0.25729999999999997</v>
    </nc>
    <odxf>
      <numFmt numFmtId="167" formatCode="0.000"/>
    </odxf>
    <ndxf>
      <numFmt numFmtId="0" formatCode="General"/>
    </ndxf>
  </rcc>
  <rcc rId="1036" sId="3">
    <nc r="J67" t="inlineStr">
      <is>
        <t>luty 2024 listopad 2024</t>
      </is>
    </nc>
  </rcc>
  <rcc rId="1037" sId="3" odxf="1" dxf="1" numFmtId="4">
    <nc r="K67">
      <v>132194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038" sId="3">
    <nc r="B68" t="inlineStr">
      <is>
        <t>RFRD/2023/G/24</t>
      </is>
    </nc>
  </rcc>
  <rcc rId="1039" sId="3">
    <nc r="C68" t="inlineStr">
      <is>
        <t>N</t>
      </is>
    </nc>
  </rcc>
  <rcc rId="1040" sId="3">
    <nc r="D68" t="inlineStr">
      <is>
        <t>Gmina Głuchołazy</t>
      </is>
    </nc>
  </rcc>
  <rcc rId="1041" sId="3" odxf="1" dxf="1">
    <nc r="E68">
      <v>1607013</v>
    </nc>
    <odxf/>
    <ndxf/>
  </rcc>
  <rcc rId="1042" sId="3">
    <nc r="F68" t="inlineStr">
      <is>
        <t>Powiat Nyski</t>
      </is>
    </nc>
  </rcc>
  <rcc rId="1043" sId="3">
    <nc r="G68" t="inlineStr">
      <is>
        <t>Remont nawierzchni bitumicznej ul. Wyspiańskiego w Głuchołazach</t>
      </is>
    </nc>
  </rcc>
  <rcc rId="1044" sId="3">
    <nc r="H68" t="inlineStr">
      <is>
        <t>R</t>
      </is>
    </nc>
  </rcc>
  <rcc rId="1045" sId="3" odxf="1" dxf="1">
    <nc r="I68">
      <v>0.47586000000000001</v>
    </nc>
    <odxf>
      <numFmt numFmtId="167" formatCode="0.000"/>
    </odxf>
    <ndxf>
      <numFmt numFmtId="0" formatCode="General"/>
    </ndxf>
  </rcc>
  <rcc rId="1046" sId="3">
    <nc r="J68" t="inlineStr">
      <is>
        <t>luty 2024 listopad 2024</t>
      </is>
    </nc>
  </rcc>
  <rcc rId="1047" sId="3" odxf="1" dxf="1" numFmtId="4">
    <nc r="K68">
      <v>291876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048" sId="3">
    <nc r="B69" t="inlineStr">
      <is>
        <t>RFRD/2023/G/25</t>
      </is>
    </nc>
  </rcc>
  <rcc rId="1049" sId="3">
    <nc r="C69" t="inlineStr">
      <is>
        <t>N</t>
      </is>
    </nc>
  </rcc>
  <rcc rId="1050" sId="3">
    <nc r="D69" t="inlineStr">
      <is>
        <t>Gmina Głuchołazy</t>
      </is>
    </nc>
  </rcc>
  <rcc rId="1051" sId="3" odxf="1" dxf="1">
    <nc r="E69">
      <v>1607013</v>
    </nc>
    <odxf/>
    <ndxf/>
  </rcc>
  <rcc rId="1052" sId="3">
    <nc r="F69" t="inlineStr">
      <is>
        <t>Powiat Nyski</t>
      </is>
    </nc>
  </rcc>
  <rcc rId="1053" sId="3">
    <nc r="G69" t="inlineStr">
      <is>
        <t>Remont nawierzchni asfaltowej ul. Mickiewicza w Głuchołazach</t>
      </is>
    </nc>
  </rcc>
  <rcc rId="1054" sId="3">
    <nc r="H69" t="inlineStr">
      <is>
        <t>R</t>
      </is>
    </nc>
  </rcc>
  <rcc rId="1055" sId="3" odxf="1" dxf="1">
    <nc r="I69">
      <v>0.26529999999999998</v>
    </nc>
    <odxf>
      <numFmt numFmtId="167" formatCode="0.000"/>
    </odxf>
    <ndxf>
      <numFmt numFmtId="0" formatCode="General"/>
    </ndxf>
  </rcc>
  <rcc rId="1056" sId="3">
    <nc r="J69" t="inlineStr">
      <is>
        <t>luty 2024 listopad 2024</t>
      </is>
    </nc>
  </rcc>
  <rcc rId="1057" sId="3" odxf="1" dxf="1" numFmtId="4">
    <nc r="K69">
      <v>220785</v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058" sId="3">
    <oc r="B70" t="inlineStr">
      <is>
        <t>RFRD/2023/G/64 przeniesiono z listy rezerwowej</t>
      </is>
    </oc>
    <nc r="B70" t="inlineStr">
      <is>
        <t>RFRD/2023/G/26</t>
      </is>
    </nc>
  </rcc>
  <rcc rId="1059" sId="3">
    <oc r="D70" t="inlineStr">
      <is>
        <t>Gmina Leśnica</t>
      </is>
    </oc>
    <nc r="D70" t="inlineStr">
      <is>
        <t>Gmina Głuchołazy</t>
      </is>
    </nc>
  </rcc>
  <rcc rId="1060" sId="3" odxf="1" dxf="1">
    <oc r="E70">
      <v>1611043</v>
    </oc>
    <nc r="E70">
      <v>1607013</v>
    </nc>
    <ndxf/>
  </rcc>
  <rcc rId="1061" sId="3">
    <oc r="F70" t="inlineStr">
      <is>
        <t>Powiat Strzelecki</t>
      </is>
    </oc>
    <nc r="F70" t="inlineStr">
      <is>
        <t>Powiat Nyski</t>
      </is>
    </nc>
  </rcc>
  <rcc rId="1062" sId="3">
    <oc r="G70" t="inlineStr">
      <is>
        <t>Remont drogi gminnej nr 105932 O ul. Słowackiego w Raszowej</t>
      </is>
    </oc>
    <nc r="G70" t="inlineStr">
      <is>
        <t>Remont nawierzchni asfaltowej ul. Okulickiego w Głuchołazach</t>
      </is>
    </nc>
  </rcc>
  <rcc rId="1063" sId="3" odxf="1" dxf="1">
    <oc r="I70">
      <v>0.34386</v>
    </oc>
    <nc r="I70">
      <v>0.105</v>
    </nc>
    <ndxf>
      <numFmt numFmtId="0" formatCode="General"/>
    </ndxf>
  </rcc>
  <rcc rId="1064" sId="3">
    <oc r="J70" t="inlineStr">
      <is>
        <t>styczeń 2024 wrzesień 2024</t>
      </is>
    </oc>
    <nc r="J70" t="inlineStr">
      <is>
        <t>luty 2024 listopad 2024</t>
      </is>
    </nc>
  </rcc>
  <rcc rId="1065" sId="3" odxf="1" dxf="1" numFmtId="4">
    <oc r="K70">
      <v>530696.95999999996</v>
    </oc>
    <nc r="K70">
      <v>51320</v>
    </nc>
    <ndxf>
      <fill>
        <patternFill patternType="none">
          <bgColor indexed="65"/>
        </patternFill>
      </fill>
    </ndxf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6" sId="3">
    <oc r="J63" t="inlineStr">
      <is>
        <t>lipiec 2024 marzec 2025</t>
      </is>
    </oc>
    <nc r="J63" t="inlineStr">
      <is>
        <t>wrzesień 2024 kwiecień 2025</t>
      </is>
    </nc>
  </rcc>
  <rcc rId="1757" sId="3" numFmtId="4">
    <oc r="K63">
      <v>1392866.8</v>
    </oc>
    <nc r="K63">
      <v>937086.1</v>
    </nc>
  </rcc>
  <rfmt sheetId="3" sqref="J63:M63">
    <dxf>
      <fill>
        <patternFill>
          <bgColor rgb="FFFFFF00"/>
        </patternFill>
      </fill>
    </dxf>
  </rfmt>
  <rfmt sheetId="3" sqref="T63">
    <dxf>
      <fill>
        <patternFill patternType="solid">
          <bgColor rgb="FFFFFF00"/>
        </patternFill>
      </fill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xfDxf="1" sqref="L14" start="0" length="0">
    <dxf>
      <font>
        <sz val="8"/>
        <color auto="1"/>
        <name val="Arial"/>
        <scheme val="none"/>
      </font>
      <numFmt numFmtId="4" formatCode="#,##0.00"/>
      <fill>
        <patternFill patternType="solid">
          <bgColor theme="5" tint="0.39997558519241921"/>
        </patternFill>
      </fill>
      <alignment horizontal="center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cc rId="1758" sId="3" numFmtId="4">
    <oc r="L14">
      <v>1545121.06</v>
    </oc>
    <nc r="L14">
      <v>1542128.97</v>
    </nc>
  </rcc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podst'!$A$1:$Z$79</formula>
    <oldFormula>'gm podst'!$A$1:$Z$79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podst'!$A$2:$AD$74</formula>
    <oldFormula>'gm podst'!$A$2:$AD$74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1" sId="3" numFmtId="4">
    <oc r="L77">
      <v>84822584.780000016</v>
    </oc>
    <nc r="L77">
      <f>'TERC - "nazwa woj"'!K20</f>
    </nc>
  </rcc>
  <rfmt sheetId="3" sqref="J56:M56">
    <dxf>
      <fill>
        <patternFill>
          <bgColor rgb="FF00B0F0"/>
        </patternFill>
      </fill>
    </dxf>
  </rfmt>
  <rfmt sheetId="3" sqref="T56">
    <dxf>
      <fill>
        <patternFill>
          <bgColor rgb="FF00B0F0"/>
        </patternFill>
      </fill>
    </dxf>
  </rfmt>
  <rcc rId="1772" sId="3">
    <oc r="J65" t="inlineStr">
      <is>
        <t>sierpień 2024 paźdzernik 2024</t>
      </is>
    </oc>
    <nc r="J65" t="inlineStr">
      <is>
        <t>sierpień 2024 listopad 2024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3" sId="3">
    <oc r="J14" t="inlineStr">
      <is>
        <t>luty 2024 listopad 2024</t>
      </is>
    </oc>
    <nc r="J14" t="inlineStr">
      <is>
        <t>luty 2024 październik 2024</t>
      </is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4" sId="3" numFmtId="4">
    <oc r="K56">
      <v>2069744.68</v>
    </oc>
    <nc r="K56">
      <v>2082000.67</v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0">
    <dxf>
      <fill>
        <patternFill patternType="none">
          <bgColor auto="1"/>
        </patternFill>
      </fill>
    </dxf>
  </rfmt>
  <rfmt sheetId="2" sqref="S5:T5">
    <dxf>
      <fill>
        <patternFill patternType="none">
          <bgColor auto="1"/>
        </patternFill>
      </fill>
    </dxf>
  </rfmt>
  <rrc rId="1775" sId="2" ref="A20:XFD20" action="deleteRow">
    <rfmt sheetId="2" xfDxf="1" sqref="A20:XFD20" start="0" length="0"/>
  </rrc>
  <rrc rId="1776" sId="2" ref="A20:XFD20" action="deleteRow">
    <rfmt sheetId="2" xfDxf="1" sqref="A20:XFD20" start="0" length="0"/>
    <rfmt sheetId="2" sqref="M20" start="0" length="0">
      <dxf>
        <alignment horizontal="center" vertical="center"/>
      </dxf>
    </rfmt>
    <rcc rId="0" sId="2" dxf="1">
      <nc r="S20" t="inlineStr">
        <is>
          <t>NABÓR 2025</t>
        </is>
      </nc>
      <ndxf>
        <numFmt numFmtId="4" formatCode="#,##0.00"/>
      </ndxf>
    </rcc>
    <rfmt sheetId="2" sqref="Z20" start="0" length="0">
      <dxf>
        <alignment horizontal="center" vertical="top"/>
      </dxf>
    </rfmt>
    <rfmt sheetId="2" sqref="AA20" start="0" length="0">
      <dxf>
        <alignment horizontal="center" vertical="center"/>
      </dxf>
    </rfmt>
    <rfmt sheetId="2" sqref="AB20" start="0" length="0">
      <dxf>
        <alignment horizontal="center" vertical="center"/>
      </dxf>
    </rfmt>
    <rfmt sheetId="2" sqref="AC20" start="0" length="0">
      <dxf>
        <alignment horizontal="center" vertical="top"/>
      </dxf>
    </rfmt>
  </rrc>
  <rrc rId="1777" sId="2" ref="A20:XFD20" action="deleteRow">
    <undo index="0" exp="ref" v="1" dr="S20" r="S23" sId="2"/>
    <undo index="0" exp="ref" v="1" dr="S20" r="S22" sId="2"/>
    <undo index="0" exp="ref" v="1" dr="S20" r="S21" sId="2"/>
    <rfmt sheetId="2" xfDxf="1" sqref="A20:XFD20" start="0" length="0"/>
    <rfmt sheetId="2" sqref="M20" start="0" length="0">
      <dxf>
        <alignment horizontal="center" vertical="center"/>
      </dxf>
    </rfmt>
    <rcc rId="0" sId="2" dxf="1" numFmtId="4">
      <nc r="S20">
        <v>56373857.619999997</v>
      </nc>
      <ndxf>
        <numFmt numFmtId="4" formatCode="#,##0.00"/>
      </ndxf>
    </rcc>
    <rcc rId="0" sId="2" dxf="1">
      <nc r="T20">
        <f>T5+'gm podst'!U71</f>
      </nc>
      <ndxf>
        <numFmt numFmtId="4" formatCode="#,##0.00"/>
      </ndxf>
    </rcc>
    <rcc rId="0" sId="2" dxf="1">
      <nc r="U20">
        <f>S20-T20</f>
      </nc>
      <ndxf>
        <font>
          <b/>
          <sz val="11"/>
          <color theme="1"/>
          <name val="Calibri"/>
          <family val="2"/>
          <charset val="238"/>
          <scheme val="minor"/>
        </font>
        <numFmt numFmtId="4" formatCode="#,##0.00"/>
      </ndxf>
    </rcc>
    <rfmt sheetId="2" sqref="Z20" start="0" length="0">
      <dxf>
        <alignment horizontal="center" vertical="top"/>
      </dxf>
    </rfmt>
    <rfmt sheetId="2" sqref="AA20" start="0" length="0">
      <dxf>
        <alignment horizontal="center" vertical="center"/>
      </dxf>
    </rfmt>
    <rfmt sheetId="2" sqref="AB20" start="0" length="0">
      <dxf>
        <alignment horizontal="center" vertical="center"/>
      </dxf>
    </rfmt>
    <rfmt sheetId="2" sqref="AC20" start="0" length="0">
      <dxf>
        <alignment horizontal="center" vertical="top"/>
      </dxf>
    </rfmt>
  </rrc>
  <rrc rId="1778" sId="2" ref="A20:XFD20" action="deleteRow">
    <rfmt sheetId="2" xfDxf="1" sqref="A20:XFD20" start="0" length="0"/>
    <rfmt sheetId="2" sqref="M20" start="0" length="0">
      <dxf>
        <alignment horizontal="center" vertical="center"/>
      </dxf>
    </rfmt>
    <rcc rId="0" sId="2" dxf="1" numFmtId="13">
      <nc r="R20">
        <v>0.7</v>
      </nc>
      <ndxf>
        <numFmt numFmtId="13" formatCode="0%"/>
      </ndxf>
    </rcc>
    <rcc rId="0" sId="2" dxf="1">
      <nc r="S20">
        <f>#REF!*R20</f>
      </nc>
      <ndxf>
        <numFmt numFmtId="4" formatCode="#,##0.00"/>
      </ndxf>
    </rcc>
    <rfmt sheetId="2" sqref="Z20" start="0" length="0">
      <dxf>
        <alignment horizontal="center" vertical="top"/>
      </dxf>
    </rfmt>
    <rfmt sheetId="2" sqref="AA20" start="0" length="0">
      <dxf>
        <alignment horizontal="center" vertical="center"/>
      </dxf>
    </rfmt>
    <rfmt sheetId="2" sqref="AB20" start="0" length="0">
      <dxf>
        <alignment horizontal="center" vertical="center"/>
      </dxf>
    </rfmt>
    <rfmt sheetId="2" sqref="AC20" start="0" length="0">
      <dxf>
        <alignment horizontal="center" vertical="top"/>
      </dxf>
    </rfmt>
  </rrc>
  <rrc rId="1779" sId="2" ref="A20:XFD20" action="deleteRow">
    <rfmt sheetId="2" xfDxf="1" sqref="A20:XFD20" start="0" length="0"/>
    <rfmt sheetId="2" sqref="M20" start="0" length="0">
      <dxf>
        <alignment horizontal="center" vertical="center"/>
      </dxf>
    </rfmt>
    <rcc rId="0" sId="2" dxf="1" numFmtId="13">
      <nc r="R20">
        <v>0.3</v>
      </nc>
      <ndxf>
        <numFmt numFmtId="13" formatCode="0%"/>
      </ndxf>
    </rcc>
    <rcc rId="0" sId="2" dxf="1">
      <nc r="S20">
        <f>#REF!*R20</f>
      </nc>
      <ndxf>
        <numFmt numFmtId="4" formatCode="#,##0.00"/>
      </ndxf>
    </rcc>
    <rfmt sheetId="2" sqref="Z20" start="0" length="0">
      <dxf>
        <alignment horizontal="center" vertical="top"/>
      </dxf>
    </rfmt>
    <rfmt sheetId="2" sqref="AA20" start="0" length="0">
      <dxf>
        <alignment horizontal="center" vertical="center"/>
      </dxf>
    </rfmt>
    <rfmt sheetId="2" sqref="AB20" start="0" length="0">
      <dxf>
        <alignment horizontal="center" vertical="center"/>
      </dxf>
    </rfmt>
    <rfmt sheetId="2" sqref="AC20" start="0" length="0">
      <dxf>
        <alignment horizontal="center" vertical="top"/>
      </dxf>
    </rfmt>
  </rrc>
  <rrc rId="1780" sId="2" ref="A20:XFD20" action="deleteRow">
    <rfmt sheetId="2" xfDxf="1" sqref="A20:XFD20" start="0" length="0"/>
    <rfmt sheetId="2" sqref="M20" start="0" length="0">
      <dxf>
        <alignment horizontal="center" vertical="center"/>
      </dxf>
    </rfmt>
    <rcc rId="0" sId="2" dxf="1" numFmtId="13">
      <nc r="R20">
        <v>0.5</v>
      </nc>
      <ndxf>
        <numFmt numFmtId="13" formatCode="0%"/>
      </ndxf>
    </rcc>
    <rcc rId="0" sId="2" dxf="1">
      <nc r="S20">
        <f>#REF!*R20</f>
      </nc>
      <ndxf>
        <numFmt numFmtId="4" formatCode="#,##0.00"/>
      </ndxf>
    </rcc>
    <rfmt sheetId="2" sqref="Z20" start="0" length="0">
      <dxf>
        <alignment horizontal="center" vertical="top"/>
      </dxf>
    </rfmt>
    <rfmt sheetId="2" sqref="AA20" start="0" length="0">
      <dxf>
        <alignment horizontal="center" vertical="center"/>
      </dxf>
    </rfmt>
    <rfmt sheetId="2" sqref="AB20" start="0" length="0">
      <dxf>
        <alignment horizontal="center" vertical="center"/>
      </dxf>
    </rfmt>
    <rfmt sheetId="2" sqref="AC20" start="0" length="0">
      <dxf>
        <alignment horizontal="center" vertical="top"/>
      </dxf>
    </rfmt>
  </rrc>
  <rfmt sheetId="3" sqref="K10:N10">
    <dxf>
      <fill>
        <patternFill patternType="none">
          <bgColor auto="1"/>
        </patternFill>
      </fill>
    </dxf>
  </rfmt>
  <rfmt sheetId="3" sqref="T12:U17">
    <dxf>
      <fill>
        <patternFill patternType="none">
          <bgColor auto="1"/>
        </patternFill>
      </fill>
    </dxf>
  </rfmt>
  <rfmt sheetId="3" sqref="J14:N15">
    <dxf>
      <fill>
        <patternFill patternType="none">
          <bgColor auto="1"/>
        </patternFill>
      </fill>
    </dxf>
  </rfmt>
  <rfmt sheetId="3" sqref="V17">
    <dxf>
      <fill>
        <patternFill patternType="none">
          <bgColor auto="1"/>
        </patternFill>
      </fill>
    </dxf>
  </rfmt>
  <rfmt sheetId="3" sqref="J20:V34">
    <dxf>
      <fill>
        <patternFill patternType="none">
          <bgColor auto="1"/>
        </patternFill>
      </fill>
    </dxf>
  </rfmt>
  <rfmt sheetId="3" sqref="T37:U44">
    <dxf>
      <fill>
        <patternFill patternType="none">
          <bgColor auto="1"/>
        </patternFill>
      </fill>
    </dxf>
  </rfmt>
  <rfmt sheetId="3" sqref="G46">
    <dxf>
      <fill>
        <patternFill patternType="none">
          <bgColor auto="1"/>
        </patternFill>
      </fill>
    </dxf>
  </rfmt>
  <rfmt sheetId="3" sqref="J56:Y56">
    <dxf>
      <fill>
        <patternFill patternType="none">
          <bgColor auto="1"/>
        </patternFill>
      </fill>
    </dxf>
  </rfmt>
  <rfmt sheetId="3" sqref="J63:V63">
    <dxf>
      <fill>
        <patternFill patternType="none">
          <bgColor auto="1"/>
        </patternFill>
      </fill>
    </dxf>
  </rfmt>
  <rfmt sheetId="3" sqref="J65:U70">
    <dxf>
      <fill>
        <patternFill patternType="none">
          <bgColor auto="1"/>
        </patternFill>
      </fill>
    </dxf>
  </rfmt>
  <rfmt sheetId="3" sqref="A62:XFD63">
    <dxf>
      <fill>
        <patternFill patternType="none">
          <bgColor auto="1"/>
        </patternFill>
      </fill>
    </dxf>
  </rfmt>
  <rfmt sheetId="3" sqref="AB65" start="0" length="0">
    <dxf>
      <fill>
        <patternFill patternType="solid">
          <bgColor theme="0" tint="-0.249977111117893"/>
        </patternFill>
      </fill>
    </dxf>
  </rfmt>
  <rcc rId="1781" sId="3">
    <oc r="AB65">
      <f>ROUND(L65/K65,4)</f>
    </oc>
    <nc r="AB65">
      <f>N65</f>
    </nc>
  </rcc>
  <rfmt sheetId="3" sqref="AB65">
    <dxf>
      <fill>
        <patternFill patternType="none">
          <bgColor auto="1"/>
        </patternFill>
      </fill>
    </dxf>
  </rfmt>
  <rfmt sheetId="3" sqref="A65:XFD70">
    <dxf>
      <fill>
        <patternFill patternType="none">
          <bgColor auto="1"/>
        </patternFill>
      </fill>
    </dxf>
  </rfmt>
  <rfmt sheetId="3" sqref="A56:XFD56">
    <dxf>
      <fill>
        <patternFill patternType="none">
          <bgColor auto="1"/>
        </patternFill>
      </fill>
    </dxf>
  </rfmt>
  <rcc rId="1782" sId="3">
    <oc r="K76" t="inlineStr">
      <is>
        <t>LZ nr 3</t>
      </is>
    </oc>
    <nc r="K76"/>
  </rcc>
  <rcc rId="1783" sId="3" numFmtId="4">
    <oc r="L76">
      <v>85236063.310000017</v>
    </oc>
    <nc r="L76"/>
  </rcc>
  <rcc rId="1784" sId="3">
    <oc r="K77" t="inlineStr">
      <is>
        <t>LZ nr 4</t>
      </is>
    </oc>
    <nc r="K77"/>
  </rcc>
  <rcc rId="1785" sId="3">
    <oc r="L77">
      <f>'TERC - "nazwa woj"'!K20</f>
    </oc>
    <nc r="L77"/>
  </rcc>
  <rcc rId="1786" sId="3">
    <oc r="K78" t="inlineStr">
      <is>
        <t>oszczędność:</t>
      </is>
    </oc>
    <nc r="K78"/>
  </rcc>
  <rcc rId="1787" sId="3">
    <oc r="L78">
      <f>L76-L77</f>
    </oc>
    <nc r="L78"/>
  </rcc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podst'!$A$1:$Y$26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" sId="3" numFmtId="13">
    <nc r="N65">
      <v>0.7</v>
    </nc>
  </rcc>
  <rcc rId="1079" sId="3" numFmtId="13">
    <nc r="N66">
      <v>0.8</v>
    </nc>
  </rcc>
  <rcc rId="1080" sId="3" numFmtId="13">
    <nc r="N67">
      <v>0.8</v>
    </nc>
  </rcc>
  <rcc rId="1081" sId="3" numFmtId="13">
    <nc r="N68">
      <v>0.8</v>
    </nc>
  </rcc>
  <rcc rId="1082" sId="3" numFmtId="13">
    <nc r="N69">
      <v>0.8</v>
    </nc>
  </rcc>
  <rcc rId="1083" sId="3" numFmtId="13">
    <nc r="N70">
      <v>0.8</v>
    </nc>
  </rcc>
  <rcc rId="1084" sId="3" odxf="1" dxf="1">
    <oc r="T37">
      <f>ROUNDDOWN(N37*1326689.15,2)</f>
    </oc>
    <nc r="T37">
      <f>ROUNDDOWN(N37*1739360.59,2)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5" sId="3">
    <nc r="A65">
      <v>63</v>
    </nc>
  </rcc>
  <rcc rId="1086" sId="3">
    <nc r="A66">
      <v>64</v>
    </nc>
  </rcc>
  <rcc rId="1087" sId="3">
    <nc r="A67">
      <v>65</v>
    </nc>
  </rcc>
  <rcc rId="1088" sId="3">
    <nc r="A68">
      <v>66</v>
    </nc>
  </rcc>
  <rcc rId="1089" sId="3">
    <nc r="A69">
      <v>67</v>
    </nc>
  </rcc>
  <rcc rId="1090" sId="3">
    <nc r="A70">
      <v>68</v>
    </nc>
  </rcc>
  <rcc rId="1091" sId="3">
    <oc r="B65" t="inlineStr">
      <is>
        <t>RFRD/2023/G/44</t>
      </is>
    </oc>
    <nc r="B65" t="inlineStr">
      <is>
        <t>RFRD/2023/G/44 przeniesiono z listy rezerwowej</t>
      </is>
    </nc>
  </rcc>
  <rcc rId="1092" sId="3">
    <oc r="B66" t="inlineStr">
      <is>
        <t>RFRD/2023/G/28</t>
      </is>
    </oc>
    <nc r="B66" t="inlineStr">
      <is>
        <t>RFRD/2023/G/28 przeniesiono z listy rezerwowej</t>
      </is>
    </nc>
  </rcc>
  <rcc rId="1093" sId="3">
    <oc r="B67" t="inlineStr">
      <is>
        <t>RFRD/2023/G/27</t>
      </is>
    </oc>
    <nc r="B67" t="inlineStr">
      <is>
        <t>RFRD/2023/G/27 przeniesiono z listy rezerwowej</t>
      </is>
    </nc>
  </rcc>
  <rcc rId="1094" sId="3">
    <oc r="B68" t="inlineStr">
      <is>
        <t>RFRD/2023/G/24</t>
      </is>
    </oc>
    <nc r="B68" t="inlineStr">
      <is>
        <t>RFRD/2023/G/24 przeniesiono z listy rezerwowej</t>
      </is>
    </nc>
  </rcc>
  <rcc rId="1095" sId="3">
    <oc r="B69" t="inlineStr">
      <is>
        <t>RFRD/2023/G/25</t>
      </is>
    </oc>
    <nc r="B69" t="inlineStr">
      <is>
        <t>RFRD/2023/G/25 przeniesiono z listy rezerwowej</t>
      </is>
    </nc>
  </rcc>
  <rcc rId="1096" sId="3">
    <oc r="B70" t="inlineStr">
      <is>
        <t>RFRD/2023/G/26</t>
      </is>
    </oc>
    <nc r="B70" t="inlineStr">
      <is>
        <t>RFRD/2023/G/26 przeniesiono z listy rezerwowej</t>
      </is>
    </nc>
  </rcc>
  <rcc rId="1097" sId="5">
    <oc r="B15" t="inlineStr">
      <is>
        <t>RFRD/2023/G/44</t>
      </is>
    </oc>
    <nc r="B15" t="inlineStr">
      <is>
        <t>RFRD/2023/G/44 zadanie przeniesione na listę podstawową</t>
      </is>
    </nc>
  </rcc>
  <rcc rId="1098" sId="5">
    <oc r="B16" t="inlineStr">
      <is>
        <t>RFRD/2023/G/28</t>
      </is>
    </oc>
    <nc r="B16" t="inlineStr">
      <is>
        <t>RFRD/2023/G/28 zadanie przeniesione na listę podstawową</t>
      </is>
    </nc>
  </rcc>
  <rcc rId="1099" sId="5">
    <oc r="B17" t="inlineStr">
      <is>
        <t>RFRD/2023/G/27</t>
      </is>
    </oc>
    <nc r="B17" t="inlineStr">
      <is>
        <t>RFRD/2023/G/27 zadanie przeniesione na listę podstawową</t>
      </is>
    </nc>
  </rcc>
  <rcc rId="1100" sId="5">
    <oc r="B18" t="inlineStr">
      <is>
        <t>RFRD/2023/G/24</t>
      </is>
    </oc>
    <nc r="B18" t="inlineStr">
      <is>
        <t>RFRD/2023/G/24 zadanie przeniesione na listę podstawową</t>
      </is>
    </nc>
  </rcc>
  <rcc rId="1101" sId="5">
    <oc r="B19" t="inlineStr">
      <is>
        <t>RFRD/2023/G/25</t>
      </is>
    </oc>
    <nc r="B19" t="inlineStr">
      <is>
        <t>RFRD/2023/G/25 zadanie przeniesione na listę podstawową</t>
      </is>
    </nc>
  </rcc>
  <rcc rId="1102" sId="5">
    <oc r="B20" t="inlineStr">
      <is>
        <t>RFRD/2023/G/26</t>
      </is>
    </oc>
    <nc r="B20" t="inlineStr">
      <is>
        <t>RFRD/2023/G/26 zadanie przeniesione na listę podstawową</t>
      </is>
    </nc>
  </rcc>
  <rcc rId="1103" sId="5">
    <oc r="C15" t="inlineStr">
      <is>
        <t>N</t>
      </is>
    </oc>
    <nc r="C15"/>
  </rcc>
  <rcc rId="1104" sId="5">
    <oc r="C16" t="inlineStr">
      <is>
        <t>N</t>
      </is>
    </oc>
    <nc r="C16"/>
  </rcc>
  <rcc rId="1105" sId="5">
    <oc r="C17" t="inlineStr">
      <is>
        <t>N</t>
      </is>
    </oc>
    <nc r="C17"/>
  </rcc>
  <rcc rId="1106" sId="5">
    <oc r="C18" t="inlineStr">
      <is>
        <t>N</t>
      </is>
    </oc>
    <nc r="C18"/>
  </rcc>
  <rcc rId="1107" sId="5">
    <oc r="C19" t="inlineStr">
      <is>
        <t>N</t>
      </is>
    </oc>
    <nc r="C19"/>
  </rcc>
  <rcc rId="1108" sId="5">
    <oc r="C20" t="inlineStr">
      <is>
        <t>N</t>
      </is>
    </oc>
    <nc r="C20"/>
  </rcc>
  <rcc rId="1109" sId="5" numFmtId="4">
    <oc r="I15">
      <v>0.40600000000000003</v>
    </oc>
    <nc r="I15"/>
  </rcc>
  <rcc rId="1110" sId="5" numFmtId="4">
    <oc r="I16">
      <v>0.17799999999999999</v>
    </oc>
    <nc r="I16"/>
  </rcc>
  <rcc rId="1111" sId="5">
    <oc r="I17">
      <v>0.25729999999999997</v>
    </oc>
    <nc r="I17"/>
  </rcc>
  <rcc rId="1112" sId="5">
    <oc r="I18">
      <v>0.47586000000000001</v>
    </oc>
    <nc r="I18"/>
  </rcc>
  <rcc rId="1113" sId="5">
    <oc r="I19">
      <v>0.26529999999999998</v>
    </oc>
    <nc r="I19"/>
  </rcc>
  <rcc rId="1114" sId="5">
    <oc r="I20">
      <v>0.105</v>
    </oc>
    <nc r="I20"/>
  </rcc>
  <rcc rId="1115" sId="5" numFmtId="4">
    <oc r="K15">
      <v>571096.38</v>
    </oc>
    <nc r="K15"/>
  </rcc>
  <rcc rId="1116" sId="5">
    <oc r="L15">
      <f>ROUNDDOWN(K15*N15,2)</f>
    </oc>
    <nc r="L15"/>
  </rcc>
  <rcc rId="1117" sId="5">
    <oc r="M15">
      <f>K15-L15</f>
    </oc>
    <nc r="M15"/>
  </rcc>
  <rcc rId="1118" sId="5" numFmtId="4">
    <oc r="K16">
      <v>115710</v>
    </oc>
    <nc r="K16"/>
  </rcc>
  <rcc rId="1119" sId="5">
    <oc r="L16">
      <f>ROUNDDOWN(K16*N16,2)</f>
    </oc>
    <nc r="L16"/>
  </rcc>
  <rcc rId="1120" sId="5">
    <oc r="M16">
      <f>K16-L16</f>
    </oc>
    <nc r="M16"/>
  </rcc>
  <rcc rId="1121" sId="5" numFmtId="4">
    <oc r="K17">
      <v>132194</v>
    </oc>
    <nc r="K17"/>
  </rcc>
  <rcc rId="1122" sId="5">
    <oc r="L17">
      <f>ROUNDDOWN(K17*N17,2)</f>
    </oc>
    <nc r="L17"/>
  </rcc>
  <rcc rId="1123" sId="5">
    <oc r="M17">
      <f>K17-L17</f>
    </oc>
    <nc r="M17"/>
  </rcc>
  <rcc rId="1124" sId="5" numFmtId="4">
    <oc r="K18">
      <v>291876</v>
    </oc>
    <nc r="K18"/>
  </rcc>
  <rcc rId="1125" sId="5">
    <oc r="L18">
      <f>ROUNDDOWN(K18*N18,2)</f>
    </oc>
    <nc r="L18"/>
  </rcc>
  <rcc rId="1126" sId="5">
    <oc r="M18">
      <f>K18-L18</f>
    </oc>
    <nc r="M18"/>
  </rcc>
  <rcc rId="1127" sId="5" numFmtId="4">
    <oc r="K19">
      <v>220785</v>
    </oc>
    <nc r="K19"/>
  </rcc>
  <rcc rId="1128" sId="5">
    <oc r="L19">
      <f>ROUNDDOWN(K19*N19,2)</f>
    </oc>
    <nc r="L19"/>
  </rcc>
  <rcc rId="1129" sId="5">
    <oc r="M19">
      <f>K19-L19</f>
    </oc>
    <nc r="M19"/>
  </rcc>
  <rcc rId="1130" sId="5" numFmtId="4">
    <oc r="K20">
      <v>51320</v>
    </oc>
    <nc r="K20"/>
  </rcc>
  <rcc rId="1131" sId="5">
    <oc r="L20">
      <f>ROUNDDOWN(K20*N20,2)</f>
    </oc>
    <nc r="L20"/>
  </rcc>
  <rcc rId="1132" sId="5">
    <oc r="M20">
      <f>K20-L20</f>
    </oc>
    <nc r="M20"/>
  </rcc>
  <rcc rId="1133" sId="5" numFmtId="4">
    <oc r="O15">
      <v>0</v>
    </oc>
    <nc r="O15"/>
  </rcc>
  <rcc rId="1134" sId="5" numFmtId="4">
    <oc r="P15">
      <v>0</v>
    </oc>
    <nc r="P15"/>
  </rcc>
  <rcc rId="1135" sId="5" numFmtId="4">
    <oc r="Q15">
      <v>0</v>
    </oc>
    <nc r="Q15"/>
  </rcc>
  <rcc rId="1136" sId="5" numFmtId="4">
    <oc r="R15">
      <v>0</v>
    </oc>
    <nc r="R15"/>
  </rcc>
  <rcc rId="1137" sId="5" numFmtId="4">
    <oc r="S15">
      <v>0</v>
    </oc>
    <nc r="S15"/>
  </rcc>
  <rcc rId="1138" sId="5">
    <oc r="T15">
      <f>L15</f>
    </oc>
    <nc r="T15"/>
  </rcc>
  <rcc rId="1139" sId="5" numFmtId="4">
    <oc r="U15">
      <v>0</v>
    </oc>
    <nc r="U15"/>
  </rcc>
  <rcc rId="1140" sId="5" numFmtId="4">
    <oc r="V15">
      <v>0</v>
    </oc>
    <nc r="V15"/>
  </rcc>
  <rcc rId="1141" sId="5" numFmtId="4">
    <oc r="W15">
      <v>0</v>
    </oc>
    <nc r="W15"/>
  </rcc>
  <rcc rId="1142" sId="5" numFmtId="4">
    <oc r="X15">
      <v>0</v>
    </oc>
    <nc r="X15"/>
  </rcc>
  <rcc rId="1143" sId="5" numFmtId="4">
    <oc r="Y15">
      <v>0</v>
    </oc>
    <nc r="Y15"/>
  </rcc>
  <rcc rId="1144" sId="5" numFmtId="4">
    <oc r="Z15">
      <v>0</v>
    </oc>
    <nc r="Z15"/>
  </rcc>
  <rcc rId="1145" sId="5" numFmtId="4">
    <oc r="O16">
      <v>0</v>
    </oc>
    <nc r="O16"/>
  </rcc>
  <rcc rId="1146" sId="5" numFmtId="4">
    <oc r="P16">
      <v>0</v>
    </oc>
    <nc r="P16"/>
  </rcc>
  <rcc rId="1147" sId="5" numFmtId="4">
    <oc r="Q16">
      <v>0</v>
    </oc>
    <nc r="Q16"/>
  </rcc>
  <rcc rId="1148" sId="5" numFmtId="4">
    <oc r="R16">
      <v>0</v>
    </oc>
    <nc r="R16"/>
  </rcc>
  <rcc rId="1149" sId="5" numFmtId="4">
    <oc r="S16">
      <v>0</v>
    </oc>
    <nc r="S16"/>
  </rcc>
  <rcc rId="1150" sId="5">
    <oc r="T16">
      <f>L16</f>
    </oc>
    <nc r="T16"/>
  </rcc>
  <rcc rId="1151" sId="5" numFmtId="4">
    <oc r="U16">
      <v>0</v>
    </oc>
    <nc r="U16"/>
  </rcc>
  <rcc rId="1152" sId="5" numFmtId="4">
    <oc r="V16">
      <v>0</v>
    </oc>
    <nc r="V16"/>
  </rcc>
  <rcc rId="1153" sId="5" numFmtId="4">
    <oc r="W16">
      <v>0</v>
    </oc>
    <nc r="W16"/>
  </rcc>
  <rcc rId="1154" sId="5" numFmtId="4">
    <oc r="X16">
      <v>0</v>
    </oc>
    <nc r="X16"/>
  </rcc>
  <rcc rId="1155" sId="5" numFmtId="4">
    <oc r="Y16">
      <v>0</v>
    </oc>
    <nc r="Y16"/>
  </rcc>
  <rcc rId="1156" sId="5" numFmtId="4">
    <oc r="Z16">
      <v>0</v>
    </oc>
    <nc r="Z16"/>
  </rcc>
  <rcc rId="1157" sId="5" numFmtId="4">
    <oc r="O17">
      <v>0</v>
    </oc>
    <nc r="O17"/>
  </rcc>
  <rcc rId="1158" sId="5" numFmtId="4">
    <oc r="P17">
      <v>0</v>
    </oc>
    <nc r="P17"/>
  </rcc>
  <rcc rId="1159" sId="5" numFmtId="4">
    <oc r="Q17">
      <v>0</v>
    </oc>
    <nc r="Q17"/>
  </rcc>
  <rcc rId="1160" sId="5" numFmtId="4">
    <oc r="R17">
      <v>0</v>
    </oc>
    <nc r="R17"/>
  </rcc>
  <rcc rId="1161" sId="5" numFmtId="4">
    <oc r="S17">
      <v>0</v>
    </oc>
    <nc r="S17"/>
  </rcc>
  <rcc rId="1162" sId="5">
    <oc r="T17">
      <f>L17</f>
    </oc>
    <nc r="T17"/>
  </rcc>
  <rcc rId="1163" sId="5" numFmtId="4">
    <oc r="U17">
      <v>0</v>
    </oc>
    <nc r="U17"/>
  </rcc>
  <rcc rId="1164" sId="5" numFmtId="4">
    <oc r="V17">
      <v>0</v>
    </oc>
    <nc r="V17"/>
  </rcc>
  <rcc rId="1165" sId="5" numFmtId="4">
    <oc r="W17">
      <v>0</v>
    </oc>
    <nc r="W17"/>
  </rcc>
  <rcc rId="1166" sId="5" numFmtId="4">
    <oc r="X17">
      <v>0</v>
    </oc>
    <nc r="X17"/>
  </rcc>
  <rcc rId="1167" sId="5" numFmtId="4">
    <oc r="Y17">
      <v>0</v>
    </oc>
    <nc r="Y17"/>
  </rcc>
  <rcc rId="1168" sId="5" numFmtId="4">
    <oc r="Z17">
      <v>0</v>
    </oc>
    <nc r="Z17"/>
  </rcc>
  <rcc rId="1169" sId="5" numFmtId="4">
    <oc r="O18">
      <v>0</v>
    </oc>
    <nc r="O18"/>
  </rcc>
  <rcc rId="1170" sId="5" numFmtId="4">
    <oc r="P18">
      <v>0</v>
    </oc>
    <nc r="P18"/>
  </rcc>
  <rcc rId="1171" sId="5" numFmtId="4">
    <oc r="Q18">
      <v>0</v>
    </oc>
    <nc r="Q18"/>
  </rcc>
  <rcc rId="1172" sId="5" numFmtId="4">
    <oc r="R18">
      <v>0</v>
    </oc>
    <nc r="R18"/>
  </rcc>
  <rcc rId="1173" sId="5" numFmtId="4">
    <oc r="S18">
      <v>0</v>
    </oc>
    <nc r="S18"/>
  </rcc>
  <rcc rId="1174" sId="5">
    <oc r="T18">
      <f>L18</f>
    </oc>
    <nc r="T18"/>
  </rcc>
  <rcc rId="1175" sId="5" numFmtId="4">
    <oc r="U18">
      <v>0</v>
    </oc>
    <nc r="U18"/>
  </rcc>
  <rcc rId="1176" sId="5" numFmtId="4">
    <oc r="V18">
      <v>0</v>
    </oc>
    <nc r="V18"/>
  </rcc>
  <rcc rId="1177" sId="5" numFmtId="4">
    <oc r="W18">
      <v>0</v>
    </oc>
    <nc r="W18"/>
  </rcc>
  <rcc rId="1178" sId="5" numFmtId="4">
    <oc r="X18">
      <v>0</v>
    </oc>
    <nc r="X18"/>
  </rcc>
  <rcc rId="1179" sId="5" numFmtId="4">
    <oc r="Y18">
      <v>0</v>
    </oc>
    <nc r="Y18"/>
  </rcc>
  <rcc rId="1180" sId="5" numFmtId="4">
    <oc r="Z18">
      <v>0</v>
    </oc>
    <nc r="Z18"/>
  </rcc>
  <rcc rId="1181" sId="5" numFmtId="4">
    <oc r="O19">
      <v>0</v>
    </oc>
    <nc r="O19"/>
  </rcc>
  <rcc rId="1182" sId="5" numFmtId="4">
    <oc r="P19">
      <v>0</v>
    </oc>
    <nc r="P19"/>
  </rcc>
  <rcc rId="1183" sId="5" numFmtId="4">
    <oc r="Q19">
      <v>0</v>
    </oc>
    <nc r="Q19"/>
  </rcc>
  <rcc rId="1184" sId="5" numFmtId="4">
    <oc r="R19">
      <v>0</v>
    </oc>
    <nc r="R19"/>
  </rcc>
  <rcc rId="1185" sId="5" numFmtId="4">
    <oc r="S19">
      <v>0</v>
    </oc>
    <nc r="S19"/>
  </rcc>
  <rcc rId="1186" sId="5">
    <oc r="T19">
      <f>L19</f>
    </oc>
    <nc r="T19"/>
  </rcc>
  <rcc rId="1187" sId="5" numFmtId="4">
    <oc r="U19">
      <v>0</v>
    </oc>
    <nc r="U19"/>
  </rcc>
  <rcc rId="1188" sId="5" numFmtId="4">
    <oc r="V19">
      <v>0</v>
    </oc>
    <nc r="V19"/>
  </rcc>
  <rcc rId="1189" sId="5" numFmtId="4">
    <oc r="W19">
      <v>0</v>
    </oc>
    <nc r="W19"/>
  </rcc>
  <rcc rId="1190" sId="5" numFmtId="4">
    <oc r="X19">
      <v>0</v>
    </oc>
    <nc r="X19"/>
  </rcc>
  <rcc rId="1191" sId="5" numFmtId="4">
    <oc r="Y19">
      <v>0</v>
    </oc>
    <nc r="Y19"/>
  </rcc>
  <rcc rId="1192" sId="5" numFmtId="4">
    <oc r="Z19">
      <v>0</v>
    </oc>
    <nc r="Z19"/>
  </rcc>
  <rcc rId="1193" sId="5" numFmtId="4">
    <oc r="O20">
      <v>0</v>
    </oc>
    <nc r="O20"/>
  </rcc>
  <rcc rId="1194" sId="5" numFmtId="4">
    <oc r="P20">
      <v>0</v>
    </oc>
    <nc r="P20"/>
  </rcc>
  <rcc rId="1195" sId="5" numFmtId="4">
    <oc r="Q20">
      <v>0</v>
    </oc>
    <nc r="Q20"/>
  </rcc>
  <rcc rId="1196" sId="5" numFmtId="4">
    <oc r="R20">
      <v>0</v>
    </oc>
    <nc r="R20"/>
  </rcc>
  <rcc rId="1197" sId="5" numFmtId="4">
    <oc r="S20">
      <v>0</v>
    </oc>
    <nc r="S20"/>
  </rcc>
  <rcc rId="1198" sId="5">
    <oc r="T20">
      <f>L20</f>
    </oc>
    <nc r="T20"/>
  </rcc>
  <rcc rId="1199" sId="5" numFmtId="4">
    <oc r="U20">
      <v>0</v>
    </oc>
    <nc r="U20"/>
  </rcc>
  <rcc rId="1200" sId="5" numFmtId="4">
    <oc r="V20">
      <v>0</v>
    </oc>
    <nc r="V20"/>
  </rcc>
  <rcc rId="1201" sId="5" numFmtId="4">
    <oc r="W20">
      <v>0</v>
    </oc>
    <nc r="W20"/>
  </rcc>
  <rcc rId="1202" sId="5" numFmtId="4">
    <oc r="X20">
      <v>0</v>
    </oc>
    <nc r="X20"/>
  </rcc>
  <rcc rId="1203" sId="5" numFmtId="4">
    <oc r="Y20">
      <v>0</v>
    </oc>
    <nc r="Y20"/>
  </rcc>
  <rcc rId="1204" sId="5" numFmtId="4">
    <oc r="Z20">
      <v>0</v>
    </oc>
    <nc r="Z20"/>
  </rcc>
  <rcc rId="1205" sId="3">
    <oc r="L99">
      <v>849</v>
    </oc>
    <nc r="L99"/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" sId="3" numFmtId="4">
    <oc r="K24">
      <v>3480762.95</v>
    </oc>
    <nc r="K24">
      <v>1975602.31</v>
    </nc>
  </rcc>
  <rcc rId="1219" sId="3" numFmtId="4">
    <oc r="T24">
      <f>ROUNDDOWN(N24*1016017.85,2)</f>
    </oc>
    <nc r="T24">
      <v>550762.67000000004</v>
    </nc>
  </rcc>
  <rcc rId="1220" sId="3" numFmtId="4">
    <oc r="U24">
      <f>L24-T24</f>
    </oc>
    <nc r="U24">
      <v>634598.72</v>
    </nc>
  </rcc>
  <rfmt sheetId="3" sqref="K24:N24">
    <dxf>
      <fill>
        <patternFill patternType="solid">
          <bgColor rgb="FFFFFF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1" sId="3" numFmtId="4">
    <oc r="K23">
      <v>6262790.71</v>
    </oc>
    <nc r="K23">
      <v>5709333.3499999996</v>
    </nc>
  </rcc>
  <rfmt sheetId="3" sqref="K23:L23">
    <dxf>
      <fill>
        <patternFill patternType="solid">
          <bgColor rgb="FFFFFF00"/>
        </patternFill>
      </fill>
    </dxf>
  </rfmt>
  <rcc rId="1222" sId="3" numFmtId="4">
    <oc r="T23">
      <f>ROUNDDOWN(N23*3879074.69,2)</f>
    </oc>
    <nc r="T23">
      <v>3095987.81</v>
    </nc>
  </rcc>
  <rfmt sheetId="3" sqref="T23:U23">
    <dxf>
      <fill>
        <patternFill patternType="solid">
          <bgColor rgb="FFFFFF00"/>
        </patternFill>
      </fill>
    </dxf>
  </rfmt>
  <rcc rId="1223" sId="3">
    <oc r="J23" t="inlineStr">
      <is>
        <t>marzec 2024 październik 2025</t>
      </is>
    </oc>
    <nc r="J23" t="inlineStr">
      <is>
        <t>marzec 2024 lipiec 2025</t>
      </is>
    </nc>
  </rcc>
  <rfmt sheetId="3" sqref="J23">
    <dxf>
      <fill>
        <patternFill patternType="solid">
          <bgColor rgb="FFFFFF00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3:L23">
    <dxf>
      <fill>
        <patternFill>
          <bgColor theme="4"/>
        </patternFill>
      </fill>
    </dxf>
  </rfmt>
  <rfmt sheetId="3" sqref="T23:U23">
    <dxf>
      <fill>
        <patternFill>
          <bgColor theme="4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</rdn>
  <rcv guid="{C76DCD22-0DC9-4799-A058-B64B837BBA0E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" sId="1">
    <oc r="K20">
      <f>K12+K16</f>
    </oc>
    <nc r="K20">
      <f>K12+K16</f>
    </nc>
  </rcc>
  <rcc rId="308" sId="3">
    <oc r="M66">
      <v>98513579.649999991</v>
    </oc>
    <nc r="M66">
      <v>98061724.710000023</v>
    </nc>
  </rcc>
  <rcc rId="309" sId="3" numFmtId="4">
    <oc r="L60">
      <v>259655.23999999464</v>
    </oc>
    <nc r="L60">
      <v>711510.18</v>
    </nc>
  </rcc>
  <rcc rId="310" sId="3" numFmtId="4">
    <oc r="T60">
      <v>451854.93999996781</v>
    </oc>
    <nc r="T60">
      <v>711510.18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5:U11">
    <dxf>
      <fill>
        <patternFill patternType="none">
          <bgColor auto="1"/>
        </patternFill>
      </fill>
    </dxf>
  </rfmt>
  <rfmt sheetId="2" sqref="I3:S3">
    <dxf>
      <fill>
        <patternFill patternType="none">
          <bgColor auto="1"/>
        </patternFill>
      </fill>
    </dxf>
  </rfmt>
  <rfmt sheetId="3" sqref="J5:U10">
    <dxf>
      <fill>
        <patternFill patternType="none">
          <bgColor auto="1"/>
        </patternFill>
      </fill>
    </dxf>
  </rfmt>
  <rfmt sheetId="3" sqref="J12:V18">
    <dxf>
      <fill>
        <patternFill patternType="none">
          <bgColor auto="1"/>
        </patternFill>
      </fill>
    </dxf>
  </rfmt>
  <rfmt sheetId="3" sqref="J20:V60">
    <dxf>
      <fill>
        <patternFill patternType="none">
          <bgColor auto="1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podst'!$A$1:$Z$69</formula>
    <oldFormula>'gm podst'!$A$1:$Z$69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podst'!$A$2:$AD$64</formula>
    <oldFormula>'gm podst'!$A$2:$AD$64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" sId="3" numFmtId="4">
    <oc r="K16">
      <v>1867568.65</v>
    </oc>
    <nc r="K16">
      <v>1800478.04</v>
    </nc>
  </rcc>
  <rcc rId="619" sId="3">
    <oc r="J16" t="inlineStr">
      <is>
        <t>lipiec 2024 wrzesień 2024</t>
      </is>
    </oc>
    <nc r="J16" t="inlineStr">
      <is>
        <t>luty 2024 czerwiec 2024</t>
      </is>
    </nc>
  </rcc>
  <rfmt sheetId="3" sqref="J16:L16">
    <dxf>
      <fill>
        <patternFill patternType="solid">
          <bgColor rgb="FFFFFF00"/>
        </patternFill>
      </fill>
    </dxf>
  </rfmt>
  <rfmt sheetId="3" sqref="J16:M16">
    <dxf>
      <fill>
        <patternFill>
          <bgColor rgb="FFFFFF00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oc r="J1" t="inlineStr">
      <is>
        <t>Lista zmieniona nr 1</t>
      </is>
    </oc>
    <nc r="J1" t="inlineStr">
      <is>
        <t>Lista zmieniona nr 2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" sId="3" numFmtId="4">
    <oc r="K54">
      <v>1007900.83</v>
    </oc>
    <nc r="K54">
      <v>686075.35</v>
    </nc>
  </rcc>
  <rcc rId="325" sId="3">
    <oc r="J54" t="inlineStr">
      <is>
        <t>marzec 2024 sierpień 2024</t>
      </is>
    </oc>
    <nc r="J54" t="inlineStr">
      <is>
        <t>luty 2024 lipiec 2024</t>
      </is>
    </nc>
  </rcc>
  <rfmt sheetId="3" sqref="J54:M54">
    <dxf>
      <fill>
        <patternFill patternType="solid">
          <bgColor rgb="FFFFFF00"/>
        </patternFill>
      </fill>
    </dxf>
  </rfmt>
  <rfmt sheetId="3" sqref="T54">
    <dxf>
      <fill>
        <patternFill patternType="solid">
          <bgColor rgb="FFFFFF00"/>
        </patternFill>
      </fill>
    </dxf>
  </rfmt>
  <rcc rId="326" sId="3">
    <oc r="M66">
      <v>98061724.710000023</v>
    </oc>
    <nc r="M66">
      <f>'TERC - "nazwa woj"'!K20</f>
    </nc>
  </rcc>
  <rfmt sheetId="3" sqref="M66:M68">
    <dxf>
      <numFmt numFmtId="4" formatCode="#,##0.00"/>
    </dxf>
  </rfmt>
  <rcc rId="327" sId="3">
    <oc r="K66">
      <f>100-69.96</f>
    </oc>
    <nc r="K66"/>
  </rcc>
  <rfmt sheetId="3" sqref="M66:M68" start="0" length="2147483647">
    <dxf>
      <font>
        <color rgb="FF00B050"/>
      </font>
    </dxf>
  </rfmt>
  <rfmt sheetId="3" sqref="M66:M68" start="0" length="2147483647">
    <dxf>
      <font>
        <b/>
      </font>
    </dxf>
  </rfmt>
  <rfmt sheetId="3" sqref="N68" start="0" length="2147483647">
    <dxf>
      <font>
        <color rgb="FF00B050"/>
      </font>
    </dxf>
  </rfmt>
  <rfmt sheetId="3" sqref="N68" start="0" length="2147483647">
    <dxf>
      <font>
        <b/>
      </font>
    </dxf>
  </rfmt>
  <rm rId="328" sheetId="3" source="N68" destination="L68" sourceSheetId="3"/>
  <rcc rId="329" sId="3">
    <nc r="L68" t="inlineStr">
      <is>
        <t>oszczędność:</t>
      </is>
    </nc>
  </rcc>
  <rfmt sheetId="3" sqref="L68">
    <dxf>
      <alignment horizontal="right" readingOrder="0"/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podst'!$A$1:$Z$69</formula>
    <oldFormula>'gm podst'!$A$1:$Z$69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podst'!$A$2:$AD$64</formula>
    <oldFormula>'gm podst'!$A$2:$AD$64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" sId="3" numFmtId="4">
    <oc r="K29">
      <v>2704749.42</v>
    </oc>
    <nc r="K29">
      <v>2118569.56</v>
    </nc>
  </rcc>
  <rcc rId="343" sId="3">
    <oc r="J29" t="inlineStr">
      <is>
        <t>marzec 2024 październik 2024</t>
      </is>
    </oc>
    <nc r="J29" t="inlineStr">
      <is>
        <t>luty 2024 październik 2024</t>
      </is>
    </nc>
  </rcc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podst'!$A$1:$Z$69</formula>
    <oldFormula>'gm podst'!$A$1:$Z$69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podst'!$A$2:$AD$64</formula>
    <oldFormula>'gm podst'!$A$2:$AD$64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</rdn>
  <rcv guid="{E7CAF9DC-53CB-464B-97B7-E2DEFBC16359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9">
    <dxf>
      <fill>
        <patternFill patternType="solid">
          <bgColor rgb="FFFFFF00"/>
        </patternFill>
      </fill>
    </dxf>
  </rfmt>
  <rfmt sheetId="3" sqref="K29">
    <dxf>
      <fill>
        <patternFill patternType="solid">
          <bgColor rgb="FFFFFF00"/>
        </patternFill>
      </fill>
    </dxf>
  </rfmt>
  <rfmt sheetId="3" sqref="L29">
    <dxf>
      <fill>
        <patternFill patternType="solid">
          <bgColor rgb="FFFFFF00"/>
        </patternFill>
      </fill>
    </dxf>
  </rfmt>
  <rfmt sheetId="3" sqref="M29">
    <dxf>
      <fill>
        <patternFill patternType="solid">
          <bgColor rgb="FFFFFF00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9:M29">
    <dxf>
      <fill>
        <patternFill patternType="none">
          <bgColor auto="1"/>
        </patternFill>
      </fill>
    </dxf>
  </rfmt>
  <rfmt sheetId="3" sqref="I41">
    <dxf>
      <fill>
        <patternFill patternType="none">
          <bgColor auto="1"/>
        </patternFill>
      </fill>
    </dxf>
  </rfmt>
  <rfmt sheetId="3" sqref="J54:T54">
    <dxf>
      <fill>
        <patternFill patternType="none">
          <bgColor auto="1"/>
        </patternFill>
      </fill>
    </dxf>
  </rfmt>
  <rrc rId="356" sId="3" ref="A60:XFD60" action="insertRow"/>
  <rfmt sheetId="3" sqref="A60" start="0" length="0">
    <dxf>
      <font>
        <sz val="9"/>
        <color rgb="FFFFC000"/>
        <name val="Arial"/>
        <scheme val="none"/>
      </font>
    </dxf>
  </rfmt>
  <rcc rId="357" sId="3">
    <nc r="B60" t="inlineStr">
      <is>
        <t>RFRD/2023/G/69 przeniesiono z listy rezerwowej</t>
      </is>
    </nc>
  </rcc>
  <rcc rId="358" sId="3">
    <nc r="C60" t="inlineStr">
      <is>
        <t>N</t>
      </is>
    </nc>
  </rcc>
  <rcc rId="359" sId="3">
    <nc r="D60" t="inlineStr">
      <is>
        <t>Gmina Namysłów</t>
      </is>
    </nc>
  </rcc>
  <rcc rId="360" sId="3">
    <nc r="E60">
      <v>1606023</v>
    </nc>
  </rcc>
  <rcc rId="361" sId="3">
    <nc r="F60" t="inlineStr">
      <is>
        <t>Powiat Namysłowski</t>
      </is>
    </nc>
  </rcc>
  <rcc rId="362" sId="3">
    <nc r="G60" t="inlineStr">
      <is>
        <t>Przebudowa dróg w miejscowości Smarchowice Wielkie</t>
      </is>
    </nc>
  </rcc>
  <rcc rId="363" sId="3">
    <nc r="H60" t="inlineStr">
      <is>
        <t>P</t>
      </is>
    </nc>
  </rcc>
  <rcc rId="364" sId="3" numFmtId="4">
    <nc r="I60">
      <v>0.77800000000000002</v>
    </nc>
  </rcc>
  <rcc rId="365" sId="3">
    <nc r="J60" t="inlineStr">
      <is>
        <t>styczeń 2024 listopad 2024</t>
      </is>
    </nc>
  </rcc>
  <rcc rId="366" sId="3" numFmtId="4">
    <nc r="K60">
      <v>2036938.03</v>
    </nc>
  </rcc>
  <rcc rId="367" sId="3">
    <nc r="L60">
      <f>ROUNDDOWN(K60*N60,2)</f>
    </nc>
  </rcc>
  <rcc rId="368" sId="3">
    <nc r="M60">
      <f>K60-L60</f>
    </nc>
  </rcc>
  <rcc rId="369" sId="3" numFmtId="13">
    <nc r="N60">
      <v>0.6</v>
    </nc>
  </rcc>
  <rcc rId="370" sId="3" numFmtId="4">
    <nc r="O60">
      <v>0</v>
    </nc>
  </rcc>
  <rcc rId="371" sId="3" numFmtId="4">
    <nc r="P60">
      <v>0</v>
    </nc>
  </rcc>
  <rcc rId="372" sId="3" numFmtId="4">
    <nc r="Q60">
      <v>0</v>
    </nc>
  </rcc>
  <rcc rId="373" sId="3" numFmtId="4">
    <nc r="R60">
      <v>0</v>
    </nc>
  </rcc>
  <rcc rId="374" sId="3" numFmtId="4">
    <nc r="S60">
      <v>0</v>
    </nc>
  </rcc>
  <rcc rId="375" sId="3" numFmtId="4">
    <nc r="U60">
      <v>0</v>
    </nc>
  </rcc>
  <rcc rId="376" sId="3" numFmtId="4">
    <nc r="V60">
      <v>0</v>
    </nc>
  </rcc>
  <rcc rId="377" sId="3" numFmtId="4">
    <nc r="W60">
      <v>0</v>
    </nc>
  </rcc>
  <rcc rId="378" sId="3" numFmtId="4">
    <nc r="X60">
      <v>0</v>
    </nc>
  </rcc>
  <rcc rId="379" sId="3" numFmtId="4">
    <nc r="Y60">
      <v>0</v>
    </nc>
  </rcc>
  <rcc rId="380" sId="3" numFmtId="4">
    <nc r="Z60">
      <v>0</v>
    </nc>
  </rcc>
  <rcc rId="381" sId="3">
    <nc r="AA60">
      <f>L60=SUM(O60:Z60)</f>
    </nc>
  </rcc>
  <rcc rId="382" sId="3">
    <nc r="AB60">
      <f>ROUND(L60/K60,4)</f>
    </nc>
  </rcc>
  <rcc rId="383" sId="3">
    <nc r="AC60">
      <f>AB60=N60</f>
    </nc>
  </rcc>
  <rcc rId="384" sId="3">
    <nc r="AD60">
      <f>K60=L60+M60</f>
    </nc>
  </rcc>
  <rcc rId="385" sId="3">
    <nc r="A60">
      <v>58</v>
    </nc>
  </rcc>
  <rfmt sheetId="3" sqref="A60" start="0" length="2147483647">
    <dxf>
      <font>
        <color auto="1"/>
      </font>
    </dxf>
  </rfmt>
  <rcc rId="386" sId="3">
    <oc r="A61" t="inlineStr">
      <is>
        <t>58*</t>
      </is>
    </oc>
    <nc r="A61" t="inlineStr">
      <is>
        <t>59*</t>
      </is>
    </nc>
  </rcc>
  <rcc rId="387" sId="3">
    <oc r="B61" t="inlineStr">
      <is>
        <t>RFRD/2023/G/69 przeniesiono z listy rezerwowej</t>
      </is>
    </oc>
    <nc r="B61" t="inlineStr">
      <is>
        <t>RFRD/2023/G/4 przeniesiono z listy rezerwowej</t>
      </is>
    </nc>
  </rcc>
  <rcc rId="388" sId="3">
    <oc r="D61" t="inlineStr">
      <is>
        <t>Gmina Namysłów</t>
      </is>
    </oc>
    <nc r="D61" t="inlineStr">
      <is>
        <t>Gmina Skoroszyce</t>
      </is>
    </nc>
  </rcc>
  <rcc rId="389" sId="3">
    <oc r="E61">
      <v>1606023</v>
    </oc>
    <nc r="E61">
      <v>1607092</v>
    </nc>
  </rcc>
  <rcc rId="390" sId="3">
    <oc r="F61" t="inlineStr">
      <is>
        <t>Powiat Namysłowski</t>
      </is>
    </oc>
    <nc r="F61" t="inlineStr">
      <is>
        <t>Powiat Nyski</t>
      </is>
    </nc>
  </rcc>
  <rcc rId="391" sId="3">
    <oc r="G61" t="inlineStr">
      <is>
        <t>Przebudowa dróg w miejscowości Smarchowice Wielkie</t>
      </is>
    </oc>
    <nc r="G61" t="inlineStr">
      <is>
        <t>Rozbudowa dróg w Chróścinie ETAP 2. - ul. Słoneczna, Leśna, Cicha i części ul. Kasztanowej</t>
      </is>
    </nc>
  </rcc>
  <rcc rId="392" sId="3">
    <oc r="H61" t="inlineStr">
      <is>
        <t>P</t>
      </is>
    </oc>
    <nc r="H61" t="inlineStr">
      <is>
        <t>B</t>
      </is>
    </nc>
  </rcc>
  <rcc rId="393" sId="3" numFmtId="4">
    <oc r="I61">
      <v>0.77800000000000002</v>
    </oc>
    <nc r="I61">
      <v>1.101</v>
    </nc>
  </rcc>
  <rcc rId="394" sId="3">
    <oc r="J61" t="inlineStr">
      <is>
        <t>styczeń 2024 listopad 2024</t>
      </is>
    </oc>
    <nc r="J61" t="inlineStr">
      <is>
        <t>maj 2024 listopad 2024</t>
      </is>
    </nc>
  </rcc>
  <rcc rId="395" sId="3" odxf="1" dxf="1" numFmtId="4">
    <oc r="K61">
      <v>2036938.03</v>
    </oc>
    <nc r="K61">
      <v>9011892.6300000008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96" sId="3" numFmtId="4">
    <oc r="L61">
      <v>711510.18</v>
    </oc>
    <nc r="L61">
      <v>124951.1099999696</v>
    </nc>
  </rcc>
  <rcc rId="397" sId="3">
    <oc r="M61">
      <f>K61-L61</f>
    </oc>
    <nc r="M61">
      <f>K61-L61</f>
    </nc>
  </rcc>
  <rcc rId="398" sId="3" numFmtId="4">
    <oc r="T61">
      <v>711510.18</v>
    </oc>
    <nc r="T61">
      <f>L61</f>
    </nc>
  </rcc>
  <rcc rId="399" sId="3">
    <oc r="AA61">
      <f>L61=SUM(O61:Z61)</f>
    </oc>
    <nc r="AA61">
      <f>L61=SUM(O61:Z61)</f>
    </nc>
  </rcc>
  <rcc rId="400" sId="3">
    <oc r="AB61">
      <f>ROUND(L61/K61,4)</f>
    </oc>
    <nc r="AB61">
      <f>ROUND(L61/K61,4)</f>
    </nc>
  </rcc>
  <rcc rId="401" sId="3">
    <oc r="AC61">
      <f>AB61=N61</f>
    </oc>
    <nc r="AC61">
      <f>AB61=N61</f>
    </nc>
  </rcc>
  <rcc rId="402" sId="3">
    <oc r="AD61">
      <f>K61=L61+M61</f>
    </oc>
    <nc r="AD61">
      <f>K61=L61+M61</f>
    </nc>
  </rcc>
  <rcc rId="403" sId="3" numFmtId="4">
    <nc r="T60">
      <f>L60</f>
    </nc>
  </rcc>
  <rcc rId="404" sId="5">
    <oc r="B10" t="inlineStr">
      <is>
        <t>RFRD/2023/G/4</t>
      </is>
    </oc>
    <nc r="B10" t="inlineStr">
      <is>
        <t>RFRD/2023/G/4 zadanie przeniesione na listę podstawową</t>
      </is>
    </nc>
  </rcc>
  <rcc rId="405" sId="5">
    <oc r="C10" t="inlineStr">
      <is>
        <t>N</t>
      </is>
    </oc>
    <nc r="C10"/>
  </rcc>
  <rcc rId="406" sId="5" numFmtId="4">
    <oc r="I10">
      <v>1.101</v>
    </oc>
    <nc r="I10"/>
  </rcc>
  <rcc rId="407" sId="5" numFmtId="4">
    <oc r="K10">
      <v>9011892.6300000008</v>
    </oc>
    <nc r="K10"/>
  </rcc>
  <rcc rId="408" sId="5">
    <oc r="L10">
      <f>ROUNDDOWN(K10*N10,2)</f>
    </oc>
    <nc r="L10"/>
  </rcc>
  <rcc rId="409" sId="5">
    <oc r="M10">
      <f>K10-L10</f>
    </oc>
    <nc r="M10"/>
  </rcc>
  <rcc rId="410" sId="5" numFmtId="4">
    <oc r="O10">
      <v>0</v>
    </oc>
    <nc r="O10"/>
  </rcc>
  <rcc rId="411" sId="5" numFmtId="4">
    <oc r="P10">
      <v>0</v>
    </oc>
    <nc r="P10"/>
  </rcc>
  <rcc rId="412" sId="5" numFmtId="4">
    <oc r="Q10">
      <v>0</v>
    </oc>
    <nc r="Q10"/>
  </rcc>
  <rcc rId="413" sId="5" numFmtId="4">
    <oc r="R10">
      <v>0</v>
    </oc>
    <nc r="R10"/>
  </rcc>
  <rcc rId="414" sId="5" numFmtId="4">
    <oc r="S10">
      <v>0</v>
    </oc>
    <nc r="S10"/>
  </rcc>
  <rcc rId="415" sId="5">
    <oc r="T10">
      <f>L10</f>
    </oc>
    <nc r="T10"/>
  </rcc>
  <rcc rId="416" sId="5" numFmtId="4">
    <oc r="U10">
      <v>0</v>
    </oc>
    <nc r="U10"/>
  </rcc>
  <rcc rId="417" sId="5" numFmtId="4">
    <oc r="V10">
      <v>0</v>
    </oc>
    <nc r="V10"/>
  </rcc>
  <rcc rId="418" sId="5" numFmtId="4">
    <oc r="W10">
      <v>0</v>
    </oc>
    <nc r="W10"/>
  </rcc>
  <rcc rId="419" sId="5" numFmtId="4">
    <oc r="X10">
      <v>0</v>
    </oc>
    <nc r="X10"/>
  </rcc>
  <rcc rId="420" sId="5" numFmtId="4">
    <oc r="Y10">
      <v>0</v>
    </oc>
    <nc r="Y10"/>
  </rcc>
  <rcc rId="421" sId="5" numFmtId="4">
    <oc r="Z10">
      <v>0</v>
    </oc>
    <nc r="Z10"/>
  </rcc>
  <rcc rId="422" sId="5">
    <oc r="C11" t="inlineStr">
      <is>
        <t>N</t>
      </is>
    </oc>
    <nc r="C11"/>
  </rcc>
  <rcc rId="423" sId="5" odxf="1" dxf="1">
    <oc r="J11" t="inlineStr">
      <is>
        <t>luty 2024 listopad 2024</t>
      </is>
    </oc>
    <nc r="J11" t="inlineStr">
      <is>
        <t>REZYGNACJA</t>
      </is>
    </nc>
    <odxf>
      <fill>
        <patternFill patternType="none">
          <bgColor indexed="65"/>
        </patternFill>
      </fill>
    </odxf>
    <ndxf>
      <fill>
        <patternFill patternType="solid">
          <bgColor theme="0" tint="-0.249977111117893"/>
        </patternFill>
      </fill>
    </ndxf>
  </rcc>
  <rcc rId="424" sId="5" numFmtId="4">
    <oc r="I11">
      <v>0.17299999999999999</v>
    </oc>
    <nc r="I11"/>
  </rcc>
  <rcc rId="425" sId="5" numFmtId="4">
    <oc r="K11">
      <v>103600</v>
    </oc>
    <nc r="K11"/>
  </rcc>
  <rcc rId="426" sId="5">
    <oc r="L11">
      <f>ROUNDDOWN(K11*N11,2)</f>
    </oc>
    <nc r="L11"/>
  </rcc>
  <rcc rId="427" sId="5">
    <oc r="M11">
      <f>K11-L11</f>
    </oc>
    <nc r="M11"/>
  </rcc>
  <rcc rId="428" sId="5" numFmtId="4">
    <oc r="O11">
      <v>0</v>
    </oc>
    <nc r="O11"/>
  </rcc>
  <rcc rId="429" sId="5" numFmtId="4">
    <oc r="P11">
      <v>0</v>
    </oc>
    <nc r="P11"/>
  </rcc>
  <rcc rId="430" sId="5" numFmtId="4">
    <oc r="Q11">
      <v>0</v>
    </oc>
    <nc r="Q11"/>
  </rcc>
  <rcc rId="431" sId="5" numFmtId="4">
    <oc r="R11">
      <v>0</v>
    </oc>
    <nc r="R11"/>
  </rcc>
  <rcc rId="432" sId="5" numFmtId="4">
    <oc r="S11">
      <v>0</v>
    </oc>
    <nc r="S11"/>
  </rcc>
  <rcc rId="433" sId="5">
    <oc r="T11">
      <f>L11</f>
    </oc>
    <nc r="T11"/>
  </rcc>
  <rcc rId="434" sId="5" numFmtId="4">
    <oc r="U11">
      <v>0</v>
    </oc>
    <nc r="U11"/>
  </rcc>
  <rcc rId="435" sId="5" numFmtId="4">
    <oc r="V11">
      <v>0</v>
    </oc>
    <nc r="V11"/>
  </rcc>
  <rcc rId="436" sId="5" numFmtId="4">
    <oc r="W11">
      <v>0</v>
    </oc>
    <nc r="W11"/>
  </rcc>
  <rcc rId="437" sId="5" numFmtId="4">
    <oc r="X11">
      <v>0</v>
    </oc>
    <nc r="X11"/>
  </rcc>
  <rcc rId="438" sId="5" numFmtId="4">
    <oc r="Y11">
      <v>0</v>
    </oc>
    <nc r="Y11"/>
  </rcc>
  <rcc rId="439" sId="5" numFmtId="4">
    <oc r="Z11">
      <v>0</v>
    </oc>
    <nc r="Z11"/>
  </rcc>
  <rfmt sheetId="5" sqref="A11:XFD11">
    <dxf>
      <fill>
        <patternFill>
          <bgColor theme="0" tint="-0.14999847407452621"/>
        </patternFill>
      </fill>
    </dxf>
  </rfmt>
  <rfmt sheetId="5" sqref="A11:XFD11">
    <dxf>
      <fill>
        <patternFill>
          <bgColor theme="0" tint="-0.249977111117893"/>
        </patternFill>
      </fill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" sId="3" numFmtId="4">
    <oc r="K18">
      <v>2998625.07</v>
    </oc>
    <nc r="K18">
      <v>3177229.8</v>
    </nc>
  </rcc>
  <rcc rId="441" sId="3" numFmtId="4">
    <oc r="L18">
      <f>ROUNDDOWN(K18*N18,2)</f>
    </oc>
    <nc r="L18">
      <v>2398900.0499999998</v>
    </nc>
  </rcc>
  <rcc rId="442" sId="3" numFmtId="13">
    <oc r="N18">
      <v>0.8</v>
    </oc>
    <nc r="N18">
      <v>0.755</v>
    </nc>
  </rcc>
  <rfmt sheetId="3" sqref="N18">
    <dxf>
      <numFmt numFmtId="169" formatCode="0.0%"/>
    </dxf>
  </rfmt>
  <rfmt sheetId="3" sqref="N18">
    <dxf>
      <numFmt numFmtId="14" formatCode="0.00%"/>
    </dxf>
  </rfmt>
  <rcc rId="443" sId="3" xfDxf="1" dxf="1">
    <oc r="J18" t="inlineStr">
      <is>
        <t>styczeń 2024 wrzesień 2024</t>
      </is>
    </oc>
    <nc r="J18" t="inlineStr">
      <is>
        <t>styczeń 2024 październik 2024</t>
      </is>
    </nc>
    <ndxf>
      <font>
        <sz val="8"/>
        <color auto="1"/>
        <name val="Arial"/>
        <scheme val="none"/>
      </font>
      <numFmt numFmtId="4" formatCode="#,##0.00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J18:N18">
    <dxf>
      <fill>
        <patternFill patternType="solid">
          <bgColor rgb="FFFFFF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</rdn>
  <rcv guid="{B4405FF1-036B-45AD-810F-8C9DF67F9D7F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" sId="3" numFmtId="4">
    <oc r="K32">
      <v>565335.22</v>
    </oc>
    <nc r="K32">
      <v>473720.27</v>
    </nc>
  </rcc>
  <rfmt sheetId="3" sqref="K32:M32">
    <dxf>
      <fill>
        <patternFill patternType="solid">
          <bgColor rgb="FFFFFF00"/>
        </patternFill>
      </fill>
    </dxf>
  </rfmt>
  <rcc rId="457" sId="3">
    <oc r="J32" t="inlineStr">
      <is>
        <t>maj 2024 październik 2024</t>
      </is>
    </oc>
    <nc r="J32" t="inlineStr">
      <is>
        <t>luty 2024 wrzesień 2024</t>
      </is>
    </nc>
  </rcc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podst'!$A$1:$Z$70</formula>
    <oldFormula>'gm podst'!$A$1:$Z$70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podst'!$A$2:$AD$65</formula>
    <oldFormula>'gm podst'!$A$2:$AD$65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4:M34">
    <dxf>
      <fill>
        <patternFill patternType="solid">
          <bgColor rgb="FFFFFF00"/>
        </patternFill>
      </fill>
    </dxf>
  </rfmt>
  <rfmt sheetId="3" sqref="T34:U34">
    <dxf>
      <fill>
        <patternFill patternType="solid">
          <bgColor rgb="FFFFFF00"/>
        </patternFill>
      </fill>
    </dxf>
  </rfmt>
  <rcc rId="470" sId="3" numFmtId="4">
    <oc r="T34">
      <f>ROUNDDOWN(N34*1381800.67,2)</f>
    </oc>
    <nc r="T34">
      <v>1105440.53</v>
    </nc>
  </rcc>
  <rcc rId="471" sId="3" numFmtId="4">
    <oc r="K34">
      <v>1792057.19</v>
    </oc>
    <nc r="K34">
      <v>1622839.83</v>
    </nc>
  </rcc>
  <rcc rId="472" sId="3">
    <oc r="J34" t="inlineStr">
      <is>
        <t>luty 2024 luty 2025</t>
      </is>
    </oc>
    <nc r="J34" t="inlineStr">
      <is>
        <t>luty 2024 maj 2025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1:M31">
    <dxf>
      <fill>
        <patternFill patternType="solid">
          <bgColor rgb="FFFFFF00"/>
        </patternFill>
      </fill>
    </dxf>
  </rfmt>
  <rcc rId="473" sId="3" numFmtId="4">
    <oc r="K14">
      <v>2662779.27</v>
    </oc>
    <nc r="K14">
      <v>2209067.6800000002</v>
    </nc>
  </rcc>
  <rcc rId="474" sId="3" numFmtId="4">
    <oc r="K22">
      <v>418658.86</v>
    </oc>
    <nc r="K22">
      <v>347934.69</v>
    </nc>
  </rcc>
  <rcc rId="475" sId="3">
    <oc r="J14" t="inlineStr">
      <is>
        <t>kwiecień 2024 październik 2024</t>
      </is>
    </oc>
    <nc r="J14" t="inlineStr">
      <is>
        <t>luty 2024 październik 2024</t>
      </is>
    </nc>
  </rcc>
  <rfmt sheetId="3" sqref="J14:N14">
    <dxf>
      <fill>
        <patternFill patternType="solid">
          <bgColor rgb="FFFFFF00"/>
        </patternFill>
      </fill>
    </dxf>
  </rfmt>
  <rcc rId="476" sId="3">
    <oc r="J22" t="inlineStr">
      <is>
        <t>maj 2024 wrzesień 2024</t>
      </is>
    </oc>
    <nc r="J22" t="inlineStr">
      <is>
        <t>luty 2024 czerwiec 2024</t>
      </is>
    </nc>
  </rcc>
  <rfmt sheetId="3" sqref="J22:N22">
    <dxf>
      <fill>
        <patternFill patternType="solid">
          <bgColor rgb="FFFFFF00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55">
    <dxf>
      <fill>
        <patternFill patternType="solid">
          <bgColor rgb="FFFFFF00"/>
        </patternFill>
      </fill>
    </dxf>
  </rfmt>
  <rcc rId="477" sId="3">
    <oc r="J55" t="inlineStr">
      <is>
        <t>luty 2024 grudzień 2024</t>
      </is>
    </oc>
    <nc r="J55" t="inlineStr">
      <is>
        <t>maj 2024 kwiecień 2025</t>
      </is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podst'!$A$1:$Z$70</formula>
    <oldFormula>'gm podst'!$A$1:$Z$70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podst'!$A$2:$AD$65</formula>
    <oldFormula>'gm podst'!$A$2:$AD$65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51:M52">
    <dxf>
      <fill>
        <patternFill patternType="solid">
          <bgColor rgb="FF00B0F0"/>
        </patternFill>
      </fill>
    </dxf>
  </rfmt>
  <rfmt sheetId="3" sqref="T51:T52">
    <dxf>
      <fill>
        <patternFill patternType="solid">
          <bgColor rgb="FF00B0F0"/>
        </patternFill>
      </fill>
    </dxf>
  </rfmt>
  <rcc rId="620" sId="3">
    <oc r="J52" t="inlineStr">
      <is>
        <t>marzec 2024 listopad 2024</t>
      </is>
    </oc>
    <nc r="J52" t="inlineStr">
      <is>
        <t>marzec 2024 marzec 2025</t>
      </is>
    </nc>
  </rcc>
  <rcc rId="621" sId="3" numFmtId="4">
    <oc r="K52">
      <v>9324595.4499999993</v>
    </oc>
    <nc r="K52">
      <v>5601101.8099999996</v>
    </nc>
  </rcc>
  <rcc rId="622" sId="3">
    <oc r="J51" t="inlineStr">
      <is>
        <t>marzec 2024 listopad 2024</t>
      </is>
    </oc>
    <nc r="J51" t="inlineStr">
      <is>
        <t>marzec 2024 marzec 2025</t>
      </is>
    </nc>
  </rcc>
  <rcc rId="623" sId="3" numFmtId="4">
    <oc r="K51">
      <v>5211244.3099999996</v>
    </oc>
    <nc r="K51">
      <v>3152806.29</v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podst'!$A$1:$Z$70</formula>
    <oldFormula>'gm podst'!$A$1:$Z$70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podst'!$A$2:$AD$65</formula>
    <oldFormula>'gm podst'!$A$2:$AD$65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" sId="3" numFmtId="4">
    <oc r="K40">
      <v>1491774.34</v>
    </oc>
    <nc r="K40">
      <v>1047920.49</v>
    </nc>
  </rcc>
  <rcc rId="491" sId="3">
    <oc r="J40" t="inlineStr">
      <is>
        <t>kwiecień 2024 grudzień 2024</t>
      </is>
    </oc>
    <nc r="J40" t="inlineStr">
      <is>
        <t>luty 2024 październik 2024</t>
      </is>
    </nc>
  </rcc>
  <rfmt sheetId="3" sqref="J40:N40">
    <dxf>
      <fill>
        <patternFill patternType="solid">
          <bgColor rgb="FFFFFF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58:XFD58">
    <dxf>
      <fill>
        <patternFill>
          <bgColor theme="0" tint="-0.249977111117893"/>
        </patternFill>
      </fill>
    </dxf>
  </rfmt>
  <rcc rId="504" sId="3">
    <oc r="C58" t="inlineStr">
      <is>
        <t>N</t>
      </is>
    </oc>
    <nc r="C58"/>
  </rcc>
  <rcc rId="505" sId="3" numFmtId="4">
    <oc r="I58">
      <v>0.15</v>
    </oc>
    <nc r="I58"/>
  </rcc>
  <rcc rId="506" sId="3">
    <oc r="J58" t="inlineStr">
      <is>
        <t>kwiecień 2024 listopad 2024</t>
      </is>
    </oc>
    <nc r="J58" t="inlineStr">
      <is>
        <t>REZYGNACJA</t>
      </is>
    </nc>
  </rcc>
  <rcc rId="507" sId="3" numFmtId="4">
    <oc r="K58">
      <v>158887.91</v>
    </oc>
    <nc r="K58"/>
  </rcc>
  <rcc rId="508" sId="3">
    <oc r="L58">
      <f>ROUNDDOWN(K58*N58,2)</f>
    </oc>
    <nc r="L58"/>
  </rcc>
  <rcc rId="509" sId="3">
    <oc r="M58">
      <f>K58-L58</f>
    </oc>
    <nc r="M58"/>
  </rcc>
  <rcc rId="510" sId="3" numFmtId="4">
    <oc r="O58">
      <v>0</v>
    </oc>
    <nc r="O58"/>
  </rcc>
  <rcc rId="511" sId="3" numFmtId="4">
    <oc r="P58">
      <v>0</v>
    </oc>
    <nc r="P58"/>
  </rcc>
  <rcc rId="512" sId="3" numFmtId="4">
    <oc r="Q58">
      <v>0</v>
    </oc>
    <nc r="Q58"/>
  </rcc>
  <rcc rId="513" sId="3" numFmtId="4">
    <oc r="R58">
      <v>0</v>
    </oc>
    <nc r="R58"/>
  </rcc>
  <rcc rId="514" sId="3" numFmtId="4">
    <oc r="S58">
      <v>0</v>
    </oc>
    <nc r="S58"/>
  </rcc>
  <rcc rId="515" sId="3">
    <oc r="T58">
      <f>L58</f>
    </oc>
    <nc r="T58"/>
  </rcc>
  <rcc rId="516" sId="3" numFmtId="4">
    <oc r="U58">
      <v>0</v>
    </oc>
    <nc r="U58"/>
  </rcc>
  <rcc rId="517" sId="3" numFmtId="4">
    <oc r="V58">
      <v>0</v>
    </oc>
    <nc r="V58"/>
  </rcc>
  <rcc rId="518" sId="3" numFmtId="4">
    <oc r="W58">
      <v>0</v>
    </oc>
    <nc r="W58"/>
  </rcc>
  <rcc rId="519" sId="3" numFmtId="4">
    <oc r="X58">
      <v>0</v>
    </oc>
    <nc r="X58"/>
  </rcc>
  <rcc rId="520" sId="3" numFmtId="4">
    <oc r="Y58">
      <v>0</v>
    </oc>
    <nc r="Y58"/>
  </rcc>
  <rcc rId="521" sId="3" numFmtId="4">
    <oc r="Z58">
      <v>0</v>
    </oc>
    <nc r="Z58"/>
  </rcc>
  <rcc rId="522" sId="3" numFmtId="4">
    <oc r="L61">
      <v>124951.1099999696</v>
    </oc>
    <nc r="L61">
      <v>5407135.5800000001</v>
    </nc>
  </rcc>
  <rfmt sheetId="3" sqref="L61" start="0" length="2147483647">
    <dxf>
      <font>
        <color rgb="FFFF0000"/>
      </font>
    </dxf>
  </rfmt>
  <rfmt sheetId="3" sqref="L69:M69" start="0" length="2147483647">
    <dxf>
      <font>
        <color rgb="FFFF0000"/>
      </font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podst'!$A$1:$Z$70</formula>
    <oldFormula>'gm podst'!$A$1:$Z$70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podst'!$A$2:$AD$65</formula>
    <oldFormula>'gm podst'!$A$2:$AD$65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" sId="3" numFmtId="4">
    <oc r="K35">
      <v>1196165.6599999999</v>
    </oc>
    <nc r="K35">
      <v>1219447.48</v>
    </nc>
  </rcc>
  <rcc rId="536" sId="3" numFmtId="4">
    <oc r="L35">
      <f>ROUNDDOWN(K35*N35,2)</f>
    </oc>
    <nc r="L35">
      <v>837315.96</v>
    </nc>
  </rcc>
  <rcc rId="537" sId="3" numFmtId="13">
    <oc r="N35">
      <v>0.7</v>
    </oc>
    <nc r="N35">
      <v>0.68659999999999999</v>
    </nc>
  </rcc>
  <rfmt sheetId="3" sqref="N35">
    <dxf>
      <numFmt numFmtId="169" formatCode="0.0%"/>
    </dxf>
  </rfmt>
  <rfmt sheetId="3" sqref="N35">
    <dxf>
      <numFmt numFmtId="14" formatCode="0.00%"/>
    </dxf>
  </rfmt>
  <rcc rId="538" sId="3">
    <oc r="J35" t="inlineStr">
      <is>
        <t>czerwiec 2024 wrzesień 2024</t>
      </is>
    </oc>
    <nc r="J35" t="inlineStr">
      <is>
        <t>luty 2024 sierpień 2024</t>
      </is>
    </nc>
  </rcc>
  <rfmt sheetId="3" sqref="J35:N35">
    <dxf>
      <fill>
        <patternFill patternType="solid">
          <bgColor rgb="FFFFFF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41:M41">
    <dxf>
      <fill>
        <patternFill patternType="solid">
          <bgColor rgb="FFFFFF00"/>
        </patternFill>
      </fill>
    </dxf>
  </rfmt>
  <rcc rId="551" sId="3" numFmtId="4">
    <oc r="K41">
      <v>320024.99</v>
    </oc>
    <nc r="K41">
      <v>250132.47</v>
    </nc>
  </rcc>
  <rfmt sheetId="3" sqref="T41">
    <dxf>
      <fill>
        <patternFill patternType="solid">
          <bgColor rgb="FFFFFF00"/>
        </patternFill>
      </fill>
    </dxf>
  </rfmt>
  <rcc rId="552" sId="3" numFmtId="4">
    <oc r="K37">
      <v>2797662.6</v>
    </oc>
    <nc r="K37">
      <v>1756589.78</v>
    </nc>
  </rcc>
  <rcc rId="553" sId="3">
    <oc r="T37">
      <f>ROUNDDOWN(N37*1739360.59,2)</f>
    </oc>
    <nc r="T37">
      <f>ROUNDDOWN(N37*1326689.15,2)</f>
    </nc>
  </rcc>
  <rfmt sheetId="3" sqref="T37:U37">
    <dxf>
      <fill>
        <patternFill patternType="solid">
          <bgColor rgb="FFFFFF00"/>
        </patternFill>
      </fill>
    </dxf>
  </rfmt>
  <rfmt sheetId="3" sqref="J37:M37">
    <dxf>
      <fill>
        <patternFill patternType="solid">
          <bgColor rgb="FFFFFF00"/>
        </patternFill>
      </fill>
    </dxf>
  </rfmt>
  <rcc rId="554" sId="3">
    <oc r="J41" t="inlineStr">
      <is>
        <t>maj 2024 lipiec 2024</t>
      </is>
    </oc>
    <nc r="J41" t="inlineStr">
      <is>
        <t>luty 2024 lipiec 2024</t>
      </is>
    </nc>
  </rcc>
  <rcc rId="555" sId="3">
    <oc r="J37" t="inlineStr">
      <is>
        <t>czerwiec 2024 lipiec 2025</t>
      </is>
    </oc>
    <nc r="J37" t="inlineStr">
      <is>
        <t>luty 2024 czerwiec 2025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5:N35">
    <dxf>
      <fill>
        <patternFill>
          <bgColor rgb="FFFF00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" sId="2" numFmtId="4">
    <oc r="J6">
      <v>2298367.4500000002</v>
    </oc>
    <nc r="J6">
      <v>1922450.64</v>
    </nc>
  </rcc>
  <rfmt sheetId="2" sqref="J6:L6">
    <dxf>
      <fill>
        <patternFill patternType="solid">
          <bgColor rgb="FFFFFF00"/>
        </patternFill>
      </fill>
    </dxf>
  </rfmt>
  <rcc rId="569" sId="2">
    <oc r="I6" t="inlineStr">
      <is>
        <t>styczeń 2024 wrzesień 2024</t>
      </is>
    </oc>
    <nc r="I6" t="inlineStr">
      <is>
        <t>lutyń 2024 wrzesień 2024</t>
      </is>
    </nc>
  </rcc>
  <rfmt sheetId="2" sqref="I6">
    <dxf>
      <fill>
        <patternFill patternType="solid">
          <bgColor rgb="FFFFFF00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" sId="3" numFmtId="4">
    <oc r="K35">
      <v>1219447.48</v>
    </oc>
    <nc r="K35">
      <v>1212793.92</v>
    </nc>
  </rcc>
  <rcc rId="571" sId="3" numFmtId="14">
    <oc r="N35">
      <v>0.68659999999999999</v>
    </oc>
    <nc r="N35">
      <v>0.69040000000000001</v>
    </nc>
  </rcc>
  <rfmt sheetId="3" sqref="J35:N35">
    <dxf>
      <fill>
        <patternFill>
          <bgColor rgb="FFFFFF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" sId="3" numFmtId="4">
    <oc r="K53">
      <v>283981.2</v>
    </oc>
    <nc r="K53">
      <v>264886.59000000003</v>
    </nc>
  </rcc>
  <rfmt sheetId="3" sqref="K53:M53">
    <dxf>
      <fill>
        <patternFill patternType="solid">
          <bgColor rgb="FFFFFF00"/>
        </patternFill>
      </fill>
    </dxf>
  </rfmt>
  <rcc rId="585" sId="3">
    <oc r="J53" t="inlineStr">
      <is>
        <t>maj 2024 listopad 2024</t>
      </is>
    </oc>
    <nc r="J53" t="inlineStr">
      <is>
        <t>luty 2024 październik 2024</t>
      </is>
    </nc>
  </rcc>
  <rfmt sheetId="3" sqref="J53">
    <dxf>
      <fill>
        <patternFill patternType="solid">
          <bgColor rgb="FFFFFF00"/>
        </patternFill>
      </fill>
    </dxf>
  </rfmt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" sId="3">
    <oc r="J60" t="inlineStr">
      <is>
        <t>styczeń 2024 listopad 2024</t>
      </is>
    </oc>
    <nc r="J60" t="inlineStr">
      <is>
        <t>czerwiec 2024 lipiec 2025</t>
      </is>
    </nc>
  </rcc>
  <rfmt sheetId="3" sqref="J60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podst'!$A$1:$Z$70</formula>
    <oldFormula>'gm podst'!$A$1:$Z$70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podst'!$A$2:$AD$65</formula>
    <oldFormula>'gm podst'!$A$2:$AD$65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3">
    <oc r="J48" t="inlineStr">
      <is>
        <t>marzec 2024 sierpień 2024</t>
      </is>
    </oc>
    <nc r="J48" t="inlineStr">
      <is>
        <t>marzec 2024 wrzesień 2024</t>
      </is>
    </nc>
  </rcc>
  <rfmt sheetId="3" sqref="J48">
    <dxf>
      <fill>
        <patternFill patternType="solid">
          <bgColor rgb="FFFFFF00"/>
        </patternFill>
      </fill>
    </dxf>
  </rfmt>
  <rcc rId="600" sId="3" numFmtId="4">
    <oc r="K48">
      <v>508689</v>
    </oc>
    <nc r="K48">
      <v>229119.9</v>
    </nc>
  </rcc>
  <rfmt sheetId="3" sqref="K48:M48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6" sId="3" numFmtId="4">
    <oc r="L61">
      <v>5407135.5800000001</v>
    </oc>
    <nc r="L61">
      <f>ROUNDDOWN(K61*N61,2)</f>
    </nc>
  </rcc>
  <rfmt sheetId="3" sqref="L61" start="0" length="2147483647">
    <dxf>
      <font>
        <color auto="1"/>
      </font>
    </dxf>
  </rfmt>
  <rcc rId="637" sId="3">
    <oc r="A61" t="inlineStr">
      <is>
        <t>59*</t>
      </is>
    </oc>
    <nc r="A61">
      <v>59</v>
    </nc>
  </rcc>
  <rfmt sheetId="3" sqref="A61" start="0" length="2147483647">
    <dxf>
      <font>
        <color auto="1"/>
      </font>
    </dxf>
  </rfmt>
  <rrc rId="638" sId="3" ref="A61:XFD61" action="insertRow"/>
  <rrc rId="639" sId="3" ref="A61:XFD61" action="insertRow"/>
  <rrc rId="640" sId="3" ref="A61:XFD61" action="insertRow"/>
  <rcc rId="641" sId="3">
    <nc r="A61">
      <v>59</v>
    </nc>
  </rcc>
  <rcc rId="642" sId="3">
    <nc r="B61" t="inlineStr">
      <is>
        <t>RFRD/2023/G/4 przeniesiono z listy rezerwowej</t>
      </is>
    </nc>
  </rcc>
  <rcc rId="643" sId="3">
    <nc r="C61" t="inlineStr">
      <is>
        <t>N</t>
      </is>
    </nc>
  </rcc>
  <rcc rId="644" sId="3">
    <nc r="D61" t="inlineStr">
      <is>
        <t>Gmina Skoroszyce</t>
      </is>
    </nc>
  </rcc>
  <rcc rId="645" sId="3">
    <nc r="E61">
      <v>1607092</v>
    </nc>
  </rcc>
  <rcc rId="646" sId="3">
    <nc r="F61" t="inlineStr">
      <is>
        <t>Powiat Nyski</t>
      </is>
    </nc>
  </rcc>
  <rcc rId="647" sId="3">
    <nc r="G61" t="inlineStr">
      <is>
        <t>Rozbudowa dróg w Chróścinie ETAP 2. - ul. Słoneczna, Leśna, Cicha i części ul. Kasztanowej</t>
      </is>
    </nc>
  </rcc>
  <rcc rId="648" sId="3">
    <nc r="H61" t="inlineStr">
      <is>
        <t>B</t>
      </is>
    </nc>
  </rcc>
  <rcc rId="649" sId="3" numFmtId="4">
    <nc r="I61">
      <v>1.101</v>
    </nc>
  </rcc>
  <rcc rId="650" sId="3" odxf="1" dxf="1">
    <nc r="J61" t="inlineStr">
      <is>
        <t>maj 2024 listopad 2024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651" sId="3" odxf="1" dxf="1" numFmtId="4">
    <nc r="K61">
      <v>9011892.6300000008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652" sId="3">
    <nc r="L61">
      <f>ROUNDDOWN(K61*N61,2)</f>
    </nc>
  </rcc>
  <rcc rId="653" sId="3">
    <nc r="M61">
      <f>K61-L61</f>
    </nc>
  </rcc>
  <rcc rId="654" sId="3" numFmtId="13">
    <nc r="N61">
      <v>0.6</v>
    </nc>
  </rcc>
  <rcc rId="655" sId="3" numFmtId="4">
    <nc r="O61">
      <v>0</v>
    </nc>
  </rcc>
  <rcc rId="656" sId="3" numFmtId="4">
    <nc r="P61">
      <v>0</v>
    </nc>
  </rcc>
  <rcc rId="657" sId="3" numFmtId="4">
    <nc r="Q61">
      <v>0</v>
    </nc>
  </rcc>
  <rcc rId="658" sId="3" numFmtId="4">
    <nc r="R61">
      <v>0</v>
    </nc>
  </rcc>
  <rcc rId="659" sId="3" numFmtId="4">
    <nc r="S61">
      <v>0</v>
    </nc>
  </rcc>
  <rcc rId="660" sId="3">
    <nc r="T61">
      <f>L61</f>
    </nc>
  </rcc>
  <rcc rId="661" sId="3" numFmtId="4">
    <nc r="U61">
      <v>0</v>
    </nc>
  </rcc>
  <rcc rId="662" sId="3" numFmtId="4">
    <nc r="V61">
      <v>0</v>
    </nc>
  </rcc>
  <rcc rId="663" sId="3" numFmtId="4">
    <nc r="W61">
      <v>0</v>
    </nc>
  </rcc>
  <rcc rId="664" sId="3" numFmtId="4">
    <nc r="X61">
      <v>0</v>
    </nc>
  </rcc>
  <rcc rId="665" sId="3" numFmtId="4">
    <nc r="Y61">
      <v>0</v>
    </nc>
  </rcc>
  <rcc rId="666" sId="3" numFmtId="4">
    <nc r="Z61">
      <v>0</v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" sId="3" numFmtId="4">
    <oc r="K53">
      <v>264886.59000000003</v>
    </oc>
    <nc r="K53">
      <v>264871.34000000003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" sId="3" numFmtId="4">
    <oc r="K28">
      <v>3063417.78</v>
    </oc>
    <nc r="K28">
      <v>1992684.04</v>
    </nc>
  </rcc>
  <rfmt sheetId="3" sqref="K28:M28">
    <dxf>
      <fill>
        <patternFill patternType="solid">
          <bgColor rgb="FFFFFF00"/>
        </patternFill>
      </fill>
    </dxf>
  </rfmt>
  <rcc rId="603" sId="3">
    <oc r="J28" t="inlineStr">
      <is>
        <t>marzec 2024 wrzesień 2024</t>
      </is>
    </oc>
    <nc r="J28" t="inlineStr">
      <is>
        <t>luty 2024 sierpień 2024</t>
      </is>
    </nc>
  </rcc>
  <rfmt sheetId="3" sqref="J28">
    <dxf>
      <fill>
        <patternFill patternType="solid">
          <bgColor rgb="FFFFFF00"/>
        </patternFill>
      </fill>
    </dxf>
  </rfmt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podst'!$A$1:$Z$70</formula>
    <oldFormula>'gm podst'!$A$1:$Z$70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podst'!$A$2:$AD$65</formula>
    <oldFormula>'gm podst'!$A$2:$AD$65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" sId="3" numFmtId="4">
    <oc r="I15">
      <v>0.84</v>
    </oc>
    <nc r="I15">
      <v>0.85899999999999999</v>
    </nc>
  </rcc>
  <rfmt sheetId="3" sqref="I15">
    <dxf>
      <fill>
        <patternFill patternType="solid">
          <bgColor theme="4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7" sId="3" numFmtId="13">
    <oc r="N61">
      <v>0.6</v>
    </oc>
    <nc r="N61">
      <v>0.7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7">
    <dxf>
      <fill>
        <patternFill>
          <bgColor rgb="FFFFFF00"/>
        </patternFill>
      </fill>
    </dxf>
  </rfmt>
  <rfmt sheetId="3" sqref="K37">
    <dxf>
      <fill>
        <patternFill>
          <bgColor rgb="FFFFFF00"/>
        </patternFill>
      </fill>
    </dxf>
  </rfmt>
  <rfmt sheetId="3" sqref="L37">
    <dxf>
      <fill>
        <patternFill>
          <bgColor rgb="FFFFFF00"/>
        </patternFill>
      </fill>
    </dxf>
  </rfmt>
  <rfmt sheetId="3" sqref="M37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" sId="3" numFmtId="4">
    <oc r="K12">
      <v>1994815.13</v>
    </oc>
    <nc r="K12">
      <v>1388538.78</v>
    </nc>
  </rcc>
  <rcc rId="1251" sId="3" numFmtId="4">
    <oc r="T12">
      <f>ROUNDDOWN(N12*722111.56,2)</f>
    </oc>
    <nc r="T12">
      <v>300297.59999999998</v>
    </nc>
  </rcc>
  <rfmt sheetId="3" sqref="J12:M12">
    <dxf>
      <fill>
        <patternFill patternType="solid">
          <bgColor rgb="FFFFFF00"/>
        </patternFill>
      </fill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" sId="3" numFmtId="4">
    <oc r="T24">
      <v>550762.67000000004</v>
    </oc>
    <nc r="T24">
      <v>550762.66</v>
    </nc>
  </rcc>
  <rcc rId="1253" sId="3" numFmtId="4">
    <oc r="K44">
      <v>878634.85</v>
    </oc>
    <nc r="K44">
      <v>732262.86</v>
    </nc>
  </rcc>
  <rcc rId="1254" sId="3">
    <oc r="J44" t="inlineStr">
      <is>
        <t>styczeń 2024 kwiecień 2024</t>
      </is>
    </oc>
    <nc r="J44" t="inlineStr">
      <is>
        <t>styczeń 2024 sierpień 2024</t>
      </is>
    </nc>
  </rcc>
  <rfmt sheetId="3" sqref="J44:M44">
    <dxf>
      <fill>
        <patternFill patternType="solid">
          <bgColor rgb="FFFFFF00"/>
        </patternFill>
      </fill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37:M37">
    <dxf>
      <fill>
        <patternFill>
          <bgColor theme="4"/>
        </patternFill>
      </fill>
    </dxf>
  </rfmt>
  <rfmt sheetId="3" sqref="J52:M52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51:M51">
    <dxf>
      <fill>
        <patternFill>
          <bgColor rgb="FFFFFF00"/>
        </patternFill>
      </fill>
    </dxf>
  </rfmt>
  <rfmt sheetId="3" sqref="T51">
    <dxf>
      <fill>
        <patternFill>
          <bgColor rgb="FFFFFF00"/>
        </patternFill>
      </fill>
    </dxf>
  </rfmt>
  <rfmt sheetId="3" sqref="T52">
    <dxf>
      <fill>
        <patternFill>
          <bgColor rgb="FFFFFF00"/>
        </patternFill>
      </fill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3:L23">
    <dxf>
      <fill>
        <patternFill>
          <bgColor rgb="FFFFFF0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" sId="3">
    <nc r="C62" t="inlineStr">
      <is>
        <t>N</t>
      </is>
    </nc>
  </rcc>
  <rcc rId="668" sId="3">
    <nc r="D62" t="inlineStr">
      <is>
        <t xml:space="preserve">Gmina Walce </t>
      </is>
    </nc>
  </rcc>
  <rcc rId="669" sId="3">
    <nc r="E62">
      <v>1605042</v>
    </nc>
  </rcc>
  <rcc rId="670" sId="3">
    <nc r="F62" t="inlineStr">
      <is>
        <t>Powiat Krapkowicki</t>
      </is>
    </nc>
  </rcc>
  <rcc rId="671" sId="3">
    <nc r="G62" t="inlineStr">
      <is>
        <t>Remont ulicy Grobla i Krzewiaki w Walcach</t>
      </is>
    </nc>
  </rcc>
  <rcc rId="672" sId="3">
    <nc r="H62" t="inlineStr">
      <is>
        <t>R</t>
      </is>
    </nc>
  </rcc>
  <rcc rId="673" sId="3" numFmtId="4">
    <nc r="I62">
      <v>0.45900000000000002</v>
    </nc>
  </rcc>
  <rcc rId="674" sId="3" odxf="1" dxf="1">
    <nc r="J62" t="inlineStr">
      <is>
        <t>kwiecień 2024 padździernik 2024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675" sId="3" odxf="1" dxf="1" numFmtId="4">
    <nc r="K62">
      <v>300000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676" sId="3">
    <nc r="C63" t="inlineStr">
      <is>
        <t>N</t>
      </is>
    </nc>
  </rcc>
  <rcc rId="677" sId="3">
    <nc r="D63" t="inlineStr">
      <is>
        <t>Gmina Skoroszyce</t>
      </is>
    </nc>
  </rcc>
  <rcc rId="678" sId="3">
    <nc r="E63">
      <v>1607092</v>
    </nc>
  </rcc>
  <rcc rId="679" sId="3">
    <nc r="F63" t="inlineStr">
      <is>
        <t>Powiat Nyski</t>
      </is>
    </nc>
  </rcc>
  <rcc rId="680" sId="3">
    <nc r="G63" t="inlineStr">
      <is>
        <t>Przebudowa drogi w miejscowości Giełczyce</t>
      </is>
    </nc>
  </rcc>
  <rcc rId="681" sId="3">
    <nc r="H63" t="inlineStr">
      <is>
        <t>P</t>
      </is>
    </nc>
  </rcc>
  <rcc rId="682" sId="3" numFmtId="4">
    <nc r="I63">
      <v>0.26100000000000001</v>
    </nc>
  </rcc>
  <rcc rId="683" sId="3" odxf="1" dxf="1">
    <nc r="J63" t="inlineStr">
      <is>
        <t>kwiecień 2024 listopad 2024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684" sId="3" odxf="1" dxf="1" numFmtId="4">
    <nc r="K63">
      <v>1392866.8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685" sId="3">
    <oc r="D64" t="inlineStr">
      <is>
        <t>Gmina Skoroszyce</t>
      </is>
    </oc>
    <nc r="D64" t="inlineStr">
      <is>
        <t>Gmina Leśnica</t>
      </is>
    </nc>
  </rcc>
  <rcc rId="686" sId="3">
    <oc r="E64">
      <v>1607092</v>
    </oc>
    <nc r="E64">
      <v>1611043</v>
    </nc>
  </rcc>
  <rcc rId="687" sId="3">
    <oc r="F64" t="inlineStr">
      <is>
        <t>Powiat Nyski</t>
      </is>
    </oc>
    <nc r="F64" t="inlineStr">
      <is>
        <t>Powiat Strzelecki</t>
      </is>
    </nc>
  </rcc>
  <rcc rId="688" sId="3">
    <oc r="G64" t="inlineStr">
      <is>
        <t>Rozbudowa dróg w Chróścinie ETAP 2. - ul. Słoneczna, Leśna, Cicha i części ul. Kasztanowej</t>
      </is>
    </oc>
    <nc r="G64" t="inlineStr">
      <is>
        <t>Remont drogi gminnej nr 105932 O ul. Słowackiego w Raszowej</t>
      </is>
    </nc>
  </rcc>
  <rcc rId="689" sId="3">
    <oc r="H64" t="inlineStr">
      <is>
        <t>B</t>
      </is>
    </oc>
    <nc r="H64" t="inlineStr">
      <is>
        <t>R</t>
      </is>
    </nc>
  </rcc>
  <rcc rId="690" sId="3" numFmtId="4">
    <oc r="I64">
      <v>1.101</v>
    </oc>
    <nc r="I64">
      <v>0.34386</v>
    </nc>
  </rcc>
  <rcc rId="691" sId="3">
    <oc r="J64" t="inlineStr">
      <is>
        <t>maj 2024 listopad 2024</t>
      </is>
    </oc>
    <nc r="J64" t="inlineStr">
      <is>
        <t>styczeń 2024 wrzesień 2024</t>
      </is>
    </nc>
  </rcc>
  <rcc rId="692" sId="3" numFmtId="4">
    <oc r="K64">
      <v>9011892.6300000008</v>
    </oc>
    <nc r="K64">
      <v>530696.95999999996</v>
    </nc>
  </rcc>
  <rcc rId="693" sId="3">
    <nc r="A62">
      <v>60</v>
    </nc>
  </rcc>
  <rcc rId="694" sId="3">
    <nc r="A63">
      <v>61</v>
    </nc>
  </rcc>
  <rcc rId="695" sId="3">
    <oc r="A64">
      <v>59</v>
    </oc>
    <nc r="A64" t="inlineStr">
      <is>
        <t>62*</t>
      </is>
    </nc>
  </rcc>
  <rfmt sheetId="3" sqref="A64" start="0" length="2147483647">
    <dxf>
      <font>
        <color rgb="FFFFC000"/>
      </font>
    </dxf>
  </rfmt>
  <rcc rId="696" sId="3" numFmtId="13">
    <nc r="N62">
      <v>0.6</v>
    </nc>
  </rcc>
  <rcc rId="697" sId="3" numFmtId="13">
    <nc r="N63">
      <v>0.7</v>
    </nc>
  </rcc>
  <rcc rId="698" sId="3">
    <nc r="L62">
      <f>ROUNDDOWN(K62*N62,2)</f>
    </nc>
  </rcc>
  <rcc rId="699" sId="3">
    <nc r="M62">
      <f>K62-L62</f>
    </nc>
  </rcc>
  <rcc rId="700" sId="3">
    <nc r="L63">
      <f>ROUNDDOWN(K63*N63,2)</f>
    </nc>
  </rcc>
  <rcc rId="701" sId="3">
    <nc r="M63">
      <f>K63-L63</f>
    </nc>
  </rcc>
  <rcc rId="702" sId="3">
    <oc r="L64">
      <f>ROUNDDOWN(K64*N64,2)</f>
    </oc>
    <nc r="L64">
      <f>ROUNDDOWN(K64*N64,2)</f>
    </nc>
  </rcc>
  <rcc rId="703" sId="3">
    <oc r="M64">
      <f>K64-L64</f>
    </oc>
    <nc r="M64">
      <f>K64-L64</f>
    </nc>
  </rcc>
  <rcc rId="704" sId="3" numFmtId="4">
    <nc r="O62">
      <v>0</v>
    </nc>
  </rcc>
  <rcc rId="705" sId="3" numFmtId="4">
    <nc r="P62">
      <v>0</v>
    </nc>
  </rcc>
  <rcc rId="706" sId="3" numFmtId="4">
    <nc r="Q62">
      <v>0</v>
    </nc>
  </rcc>
  <rcc rId="707" sId="3" numFmtId="4">
    <nc r="R62">
      <v>0</v>
    </nc>
  </rcc>
  <rcc rId="708" sId="3" numFmtId="4">
    <nc r="S62">
      <v>0</v>
    </nc>
  </rcc>
  <rcc rId="709" sId="3">
    <nc r="T62">
      <f>L62</f>
    </nc>
  </rcc>
  <rcc rId="710" sId="3" numFmtId="4">
    <nc r="U62">
      <v>0</v>
    </nc>
  </rcc>
  <rcc rId="711" sId="3" numFmtId="4">
    <nc r="V62">
      <v>0</v>
    </nc>
  </rcc>
  <rcc rId="712" sId="3" numFmtId="4">
    <nc r="W62">
      <v>0</v>
    </nc>
  </rcc>
  <rcc rId="713" sId="3" numFmtId="4">
    <nc r="X62">
      <v>0</v>
    </nc>
  </rcc>
  <rcc rId="714" sId="3" numFmtId="4">
    <nc r="Y62">
      <v>0</v>
    </nc>
  </rcc>
  <rcc rId="715" sId="3" numFmtId="4">
    <nc r="Z62">
      <v>0</v>
    </nc>
  </rcc>
  <rcc rId="716" sId="3" numFmtId="4">
    <nc r="O63">
      <v>0</v>
    </nc>
  </rcc>
  <rcc rId="717" sId="3" numFmtId="4">
    <nc r="P63">
      <v>0</v>
    </nc>
  </rcc>
  <rcc rId="718" sId="3" numFmtId="4">
    <nc r="Q63">
      <v>0</v>
    </nc>
  </rcc>
  <rcc rId="719" sId="3" numFmtId="4">
    <nc r="R63">
      <v>0</v>
    </nc>
  </rcc>
  <rcc rId="720" sId="3" numFmtId="4">
    <nc r="S63">
      <v>0</v>
    </nc>
  </rcc>
  <rcc rId="721" sId="3">
    <nc r="T63">
      <f>L63</f>
    </nc>
  </rcc>
  <rcc rId="722" sId="3" numFmtId="4">
    <nc r="U63">
      <v>0</v>
    </nc>
  </rcc>
  <rcc rId="723" sId="3" numFmtId="4">
    <nc r="V63">
      <v>0</v>
    </nc>
  </rcc>
  <rcc rId="724" sId="3" numFmtId="4">
    <nc r="W63">
      <v>0</v>
    </nc>
  </rcc>
  <rcc rId="725" sId="3" numFmtId="4">
    <nc r="X63">
      <v>0</v>
    </nc>
  </rcc>
  <rcc rId="726" sId="3" numFmtId="4">
    <nc r="Y63">
      <v>0</v>
    </nc>
  </rcc>
  <rcc rId="727" sId="3" numFmtId="4">
    <nc r="Z63">
      <v>0</v>
    </nc>
  </rcc>
  <rcc rId="728" sId="3">
    <oc r="T64">
      <f>L64</f>
    </oc>
    <nc r="T64">
      <f>L64</f>
    </nc>
  </rcc>
  <rcc rId="729" sId="3">
    <nc r="AA61">
      <f>L61=SUM(O61:Z61)</f>
    </nc>
  </rcc>
  <rcc rId="730" sId="3">
    <nc r="AB61">
      <f>ROUND(L61/K61,4)</f>
    </nc>
  </rcc>
  <rcc rId="731" sId="3">
    <nc r="AC61">
      <f>AB61=N61</f>
    </nc>
  </rcc>
  <rcc rId="732" sId="3">
    <nc r="AD61">
      <f>K61=L61+M61</f>
    </nc>
  </rcc>
  <rcc rId="733" sId="3">
    <nc r="AA62">
      <f>L62=SUM(O62:Z62)</f>
    </nc>
  </rcc>
  <rcc rId="734" sId="3">
    <nc r="AB62">
      <f>ROUND(L62/K62,4)</f>
    </nc>
  </rcc>
  <rcc rId="735" sId="3">
    <nc r="AC62">
      <f>AB62=N62</f>
    </nc>
  </rcc>
  <rcc rId="736" sId="3">
    <nc r="AD62">
      <f>K62=L62+M62</f>
    </nc>
  </rcc>
  <rcc rId="737" sId="3">
    <nc r="AA63">
      <f>L63=SUM(O63:Z63)</f>
    </nc>
  </rcc>
  <rcc rId="738" sId="3">
    <nc r="AB63">
      <f>ROUND(L63/K63,4)</f>
    </nc>
  </rcc>
  <rcc rId="739" sId="3">
    <nc r="AC63">
      <f>AB63=N63</f>
    </nc>
  </rcc>
  <rcc rId="740" sId="3">
    <nc r="AD63">
      <f>K63=L63+M63</f>
    </nc>
  </rcc>
  <rcc rId="741" sId="3">
    <oc r="AA64">
      <f>L64=SUM(O64:Z64)</f>
    </oc>
    <nc r="AA64">
      <f>L64=SUM(O64:Z64)</f>
    </nc>
  </rcc>
  <rcc rId="742" sId="3">
    <oc r="AB64">
      <f>ROUND(L64/K64,4)</f>
    </oc>
    <nc r="AB64">
      <f>ROUND(L64/K64,4)</f>
    </nc>
  </rcc>
  <rcc rId="743" sId="3">
    <oc r="AC64">
      <f>AB64=N64</f>
    </oc>
    <nc r="AC64">
      <f>AB64=N64</f>
    </nc>
  </rcc>
  <rcc rId="744" sId="3">
    <oc r="AD64">
      <f>K64=L64+M64</f>
    </oc>
    <nc r="AD64">
      <f>K64=L64+M64</f>
    </nc>
  </rcc>
  <rfmt sheetId="3" sqref="L64" start="0" length="2147483647">
    <dxf>
      <font>
        <color rgb="FFFFC000"/>
      </font>
    </dxf>
  </rfmt>
  <rcc rId="745" sId="3">
    <nc r="B62" t="inlineStr">
      <is>
        <t>RFRD/2023/G/87 przeniesiono z listy rezerwowej</t>
      </is>
    </nc>
  </rcc>
  <rcc rId="746" sId="3">
    <nc r="B63" t="inlineStr">
      <is>
        <t>RFRD/2023/G/3 przeniesiono z listy rezerwowej</t>
      </is>
    </nc>
  </rcc>
  <rcc rId="747" sId="3">
    <oc r="B64" t="inlineStr">
      <is>
        <t>RFRD/2023/G/4 przeniesiono z listy rezerwowej</t>
      </is>
    </oc>
    <nc r="B64" t="inlineStr">
      <is>
        <t>RFRD/2023/G/64 przeniesiono z listy rezerwowej</t>
      </is>
    </nc>
  </rcc>
  <rcc rId="748" sId="5">
    <oc r="B12" t="inlineStr">
      <is>
        <t>RFRD/2023/G/87</t>
      </is>
    </oc>
    <nc r="B12" t="inlineStr">
      <is>
        <t>RFRD/2023/G/87 zadanie przeniesione na listę podstawową</t>
      </is>
    </nc>
  </rcc>
  <rcc rId="749" sId="5">
    <oc r="B13" t="inlineStr">
      <is>
        <t>RFRD/2023/G/3</t>
      </is>
    </oc>
    <nc r="B13" t="inlineStr">
      <is>
        <t>RFRD/2023/G/3 zadanie przeniesione na listę podstawową</t>
      </is>
    </nc>
  </rcc>
  <rcc rId="750" sId="5">
    <oc r="B14" t="inlineStr">
      <is>
        <t>RFRD/2023/G/64</t>
      </is>
    </oc>
    <nc r="B14" t="inlineStr">
      <is>
        <t>RFRD/2023/G/64 zadanie przeniesione na listę podstawową</t>
      </is>
    </nc>
  </rcc>
  <rcc rId="751" sId="5">
    <oc r="C12" t="inlineStr">
      <is>
        <t>N</t>
      </is>
    </oc>
    <nc r="C12"/>
  </rcc>
  <rcc rId="752" sId="5">
    <oc r="C13" t="inlineStr">
      <is>
        <t>N</t>
      </is>
    </oc>
    <nc r="C13"/>
  </rcc>
  <rcc rId="753" sId="5">
    <oc r="C14" t="inlineStr">
      <is>
        <t>N</t>
      </is>
    </oc>
    <nc r="C14"/>
  </rcc>
  <rcc rId="754" sId="5" numFmtId="4">
    <oc r="I12">
      <v>0.45900000000000002</v>
    </oc>
    <nc r="I12"/>
  </rcc>
  <rcc rId="755" sId="5" numFmtId="4">
    <oc r="I13">
      <v>0.26100000000000001</v>
    </oc>
    <nc r="I13"/>
  </rcc>
  <rcc rId="756" sId="5" numFmtId="4">
    <oc r="I14">
      <v>0.34386</v>
    </oc>
    <nc r="I14"/>
  </rcc>
  <rcc rId="757" sId="5" numFmtId="4">
    <oc r="K12">
      <v>300000</v>
    </oc>
    <nc r="K12"/>
  </rcc>
  <rcc rId="758" sId="5">
    <oc r="L12">
      <f>ROUNDDOWN(K12*N12,2)</f>
    </oc>
    <nc r="L12"/>
  </rcc>
  <rcc rId="759" sId="5">
    <oc r="M12">
      <f>K12-L12</f>
    </oc>
    <nc r="M12"/>
  </rcc>
  <rcc rId="760" sId="5" numFmtId="4">
    <oc r="K13">
      <v>1392866.8</v>
    </oc>
    <nc r="K13"/>
  </rcc>
  <rcc rId="761" sId="5">
    <oc r="L13">
      <f>ROUNDDOWN(K13*N13,2)</f>
    </oc>
    <nc r="L13"/>
  </rcc>
  <rcc rId="762" sId="5">
    <oc r="M13">
      <f>K13-L13</f>
    </oc>
    <nc r="M13"/>
  </rcc>
  <rcc rId="763" sId="5" numFmtId="4">
    <oc r="K14">
      <v>530696.95999999996</v>
    </oc>
    <nc r="K14"/>
  </rcc>
  <rcc rId="764" sId="5">
    <oc r="L14">
      <f>ROUNDDOWN(K14*N14,2)</f>
    </oc>
    <nc r="L14"/>
  </rcc>
  <rcc rId="765" sId="5">
    <oc r="M14">
      <f>K14-L14</f>
    </oc>
    <nc r="M14"/>
  </rcc>
  <rcc rId="766" sId="5" numFmtId="4">
    <oc r="O12">
      <v>0</v>
    </oc>
    <nc r="O12"/>
  </rcc>
  <rcc rId="767" sId="5" numFmtId="4">
    <oc r="P12">
      <v>0</v>
    </oc>
    <nc r="P12"/>
  </rcc>
  <rcc rId="768" sId="5" numFmtId="4">
    <oc r="Q12">
      <v>0</v>
    </oc>
    <nc r="Q12"/>
  </rcc>
  <rcc rId="769" sId="5" numFmtId="4">
    <oc r="R12">
      <v>0</v>
    </oc>
    <nc r="R12"/>
  </rcc>
  <rcc rId="770" sId="5" numFmtId="4">
    <oc r="S12">
      <v>0</v>
    </oc>
    <nc r="S12"/>
  </rcc>
  <rcc rId="771" sId="5">
    <oc r="T12">
      <f>L12</f>
    </oc>
    <nc r="T12"/>
  </rcc>
  <rcc rId="772" sId="5" numFmtId="4">
    <oc r="U12">
      <v>0</v>
    </oc>
    <nc r="U12"/>
  </rcc>
  <rcc rId="773" sId="5" numFmtId="4">
    <oc r="V12">
      <v>0</v>
    </oc>
    <nc r="V12"/>
  </rcc>
  <rcc rId="774" sId="5" numFmtId="4">
    <oc r="W12">
      <v>0</v>
    </oc>
    <nc r="W12"/>
  </rcc>
  <rcc rId="775" sId="5" numFmtId="4">
    <oc r="X12">
      <v>0</v>
    </oc>
    <nc r="X12"/>
  </rcc>
  <rcc rId="776" sId="5" numFmtId="4">
    <oc r="Y12">
      <v>0</v>
    </oc>
    <nc r="Y12"/>
  </rcc>
  <rcc rId="777" sId="5" numFmtId="4">
    <oc r="Z12">
      <v>0</v>
    </oc>
    <nc r="Z12"/>
  </rcc>
  <rcc rId="778" sId="5" numFmtId="4">
    <oc r="O13">
      <v>0</v>
    </oc>
    <nc r="O13"/>
  </rcc>
  <rcc rId="779" sId="5" numFmtId="4">
    <oc r="P13">
      <v>0</v>
    </oc>
    <nc r="P13"/>
  </rcc>
  <rcc rId="780" sId="5" numFmtId="4">
    <oc r="Q13">
      <v>0</v>
    </oc>
    <nc r="Q13"/>
  </rcc>
  <rcc rId="781" sId="5" numFmtId="4">
    <oc r="R13">
      <v>0</v>
    </oc>
    <nc r="R13"/>
  </rcc>
  <rcc rId="782" sId="5" numFmtId="4">
    <oc r="S13">
      <v>0</v>
    </oc>
    <nc r="S13"/>
  </rcc>
  <rcc rId="783" sId="5">
    <oc r="T13">
      <f>L13</f>
    </oc>
    <nc r="T13"/>
  </rcc>
  <rcc rId="784" sId="5" numFmtId="4">
    <oc r="U13">
      <v>0</v>
    </oc>
    <nc r="U13"/>
  </rcc>
  <rcc rId="785" sId="5" numFmtId="4">
    <oc r="V13">
      <v>0</v>
    </oc>
    <nc r="V13"/>
  </rcc>
  <rcc rId="786" sId="5" numFmtId="4">
    <oc r="W13">
      <v>0</v>
    </oc>
    <nc r="W13"/>
  </rcc>
  <rcc rId="787" sId="5" numFmtId="4">
    <oc r="X13">
      <v>0</v>
    </oc>
    <nc r="X13"/>
  </rcc>
  <rcc rId="788" sId="5" numFmtId="4">
    <oc r="Y13">
      <v>0</v>
    </oc>
    <nc r="Y13"/>
  </rcc>
  <rcc rId="789" sId="5" numFmtId="4">
    <oc r="Z13">
      <v>0</v>
    </oc>
    <nc r="Z13"/>
  </rcc>
  <rcc rId="790" sId="5" numFmtId="4">
    <oc r="O14">
      <v>0</v>
    </oc>
    <nc r="O14"/>
  </rcc>
  <rcc rId="791" sId="5" numFmtId="4">
    <oc r="P14">
      <v>0</v>
    </oc>
    <nc r="P14"/>
  </rcc>
  <rcc rId="792" sId="5" numFmtId="4">
    <oc r="Q14">
      <v>0</v>
    </oc>
    <nc r="Q14"/>
  </rcc>
  <rcc rId="793" sId="5" numFmtId="4">
    <oc r="R14">
      <v>0</v>
    </oc>
    <nc r="R14"/>
  </rcc>
  <rcc rId="794" sId="5" numFmtId="4">
    <oc r="S14">
      <v>0</v>
    </oc>
    <nc r="S14"/>
  </rcc>
  <rcc rId="795" sId="5">
    <oc r="T14">
      <f>L14</f>
    </oc>
    <nc r="T14"/>
  </rcc>
  <rcc rId="796" sId="5" numFmtId="4">
    <oc r="U14">
      <v>0</v>
    </oc>
    <nc r="U14"/>
  </rcc>
  <rcc rId="797" sId="5" numFmtId="4">
    <oc r="V14">
      <v>0</v>
    </oc>
    <nc r="V14"/>
  </rcc>
  <rcc rId="798" sId="5" numFmtId="4">
    <oc r="W14">
      <v>0</v>
    </oc>
    <nc r="W14"/>
  </rcc>
  <rcc rId="799" sId="5" numFmtId="4">
    <oc r="X14">
      <v>0</v>
    </oc>
    <nc r="X14"/>
  </rcc>
  <rcc rId="800" sId="5" numFmtId="4">
    <oc r="Y14">
      <v>0</v>
    </oc>
    <nc r="Y14"/>
  </rcc>
  <rcc rId="801" sId="5" numFmtId="4">
    <oc r="Z14">
      <v>0</v>
    </oc>
    <nc r="Z14"/>
  </rcc>
  <rfmt sheetId="3" sqref="J37:M37">
    <dxf>
      <fill>
        <patternFill>
          <bgColor rgb="FF00B0F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podst'!$A$1:$Z$73</formula>
    <oldFormula>'gm podst'!$A$1:$Z$73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podst'!$A$2:$AD$68</formula>
    <oldFormula>'gm podst'!$A$2:$AD$68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T23:U23">
    <dxf>
      <fill>
        <patternFill>
          <bgColor rgb="FFFFFF00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I15:M15">
    <dxf>
      <fill>
        <patternFill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9" sId="3" numFmtId="4">
    <oc r="K26">
      <v>2121843.56</v>
    </oc>
    <nc r="K26">
      <v>1457077.96</v>
    </nc>
  </rcc>
  <rfmt sheetId="3" sqref="K26:M26">
    <dxf>
      <fill>
        <patternFill patternType="solid">
          <bgColor rgb="FFFFFF00"/>
        </patternFill>
      </fill>
    </dxf>
  </rfmt>
  <rcc rId="1280" sId="3">
    <oc r="J26" t="inlineStr">
      <is>
        <t>kwiecień 2024 październik 2024</t>
      </is>
    </oc>
    <nc r="J26" t="inlineStr">
      <is>
        <t>luty 2024 listopad 2024</t>
      </is>
    </nc>
  </rcc>
  <rfmt sheetId="3" sqref="J26:K26">
    <dxf>
      <fill>
        <patternFill>
          <bgColor rgb="FFFFFF00"/>
        </patternFill>
      </fill>
    </dxf>
  </rfmt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M23">
    <dxf>
      <fill>
        <patternFill patternType="solid">
          <bgColor rgb="FFFFFF00"/>
        </patternFill>
      </fill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" sId="3" numFmtId="4">
    <oc r="K33">
      <v>7137116.54</v>
    </oc>
    <nc r="K33">
      <v>5291424.5199999996</v>
    </nc>
  </rcc>
  <rfmt sheetId="3" sqref="K33:M33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4" sId="3">
    <oc r="J33" t="inlineStr">
      <is>
        <t>kwiecień 2024 październik 2024</t>
      </is>
    </oc>
    <nc r="J33" t="inlineStr">
      <is>
        <t>luty 2024 październik 2024</t>
      </is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37:M37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47:M47">
    <dxf>
      <fill>
        <patternFill patternType="solid">
          <bgColor rgb="FF00B0F0"/>
        </patternFill>
      </fill>
    </dxf>
  </rfmt>
  <rcc rId="1319" sId="3">
    <oc r="J47" t="inlineStr">
      <is>
        <t>marzec 2024 grudzień 2024</t>
      </is>
    </oc>
    <nc r="J47" t="inlineStr">
      <is>
        <t>kwiecień 2024 lipiec 2024</t>
      </is>
    </nc>
  </rcc>
  <rcc rId="1320" sId="3" numFmtId="4">
    <oc r="K47">
      <v>1825021.88</v>
    </oc>
    <nc r="K47">
      <v>1104692.82</v>
    </nc>
  </rcc>
  <rfmt sheetId="3" sqref="T47">
    <dxf>
      <fill>
        <patternFill patternType="solid">
          <bgColor rgb="FF00B0F0"/>
        </patternFill>
      </fill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1" sId="3" numFmtId="4">
    <oc r="K13">
      <v>1942110.35</v>
    </oc>
    <nc r="K13">
      <v>1940710.35</v>
    </nc>
  </rcc>
  <rfmt sheetId="3" sqref="K13:M13">
    <dxf>
      <fill>
        <patternFill patternType="solid">
          <bgColor theme="4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3">
    <nc r="L93">
      <v>849</v>
    </nc>
  </rcc>
  <rcc rId="815" sId="3" numFmtId="4">
    <oc r="K15">
      <v>12922242.33</v>
    </oc>
    <nc r="K15">
      <v>8496594</v>
    </nc>
  </rcc>
  <rcc rId="816" sId="3">
    <oc r="J15" t="inlineStr">
      <is>
        <t>czerwiec 2024 maj  2025</t>
      </is>
    </oc>
    <nc r="J15" t="inlineStr">
      <is>
        <t>marzec 2024 sierpień  2025</t>
      </is>
    </nc>
  </rcc>
  <rfmt sheetId="3" sqref="J15:M15">
    <dxf>
      <fill>
        <patternFill patternType="solid">
          <bgColor theme="4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podst'!$A$1:$Z$73</formula>
    <oldFormula>'gm podst'!$A$1:$Z$73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podst'!$A$2:$AD$68</formula>
    <oldFormula>'gm podst'!$A$2:$AD$68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" sId="3" numFmtId="4">
    <oc r="T13">
      <v>971055.17</v>
    </oc>
    <nc r="T13">
      <v>970355.17</v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7" sId="3" numFmtId="4">
    <oc r="K35">
      <v>1212793.92</v>
    </oc>
    <nc r="K35">
      <v>1273984.8600000001</v>
    </nc>
  </rcc>
  <rcc rId="1348" sId="3" numFmtId="4">
    <oc r="M35">
      <f>K35-L35</f>
    </oc>
    <nc r="M35">
      <v>436668.90000000014</v>
    </nc>
  </rcc>
  <rcc rId="1349" sId="3" numFmtId="14">
    <oc r="N35">
      <v>0.69040000000000001</v>
    </oc>
    <nc r="N35">
      <v>0.65720000000000001</v>
    </nc>
  </rcc>
  <rcv guid="{B4405FF1-036B-45AD-810F-8C9DF67F9D7F}" action="delete"/>
  <rdn rId="0" localSheetId="1" customView="1" name="Z_B4405FF1_036B_45AD_810F_8C9DF67F9D7F_.wvu.PrintArea" hidden="1" oldHidden="1">
    <formula>'TERC - "nazwa woj"'!$A$1:$Q$36</formula>
    <oldFormula>'TERC - "nazwa woj"'!$A$1:$Q$36</oldFormula>
  </rdn>
  <rdn rId="0" localSheetId="2" customView="1" name="Z_B4405FF1_036B_45AD_810F_8C9DF67F9D7F_.wvu.PrintArea" hidden="1" oldHidden="1">
    <formula>'pow podst'!$A$1:$Y$19</formula>
    <oldFormula>'pow podst'!$A$1:$Y$19</oldFormula>
  </rdn>
  <rdn rId="0" localSheetId="2" customView="1" name="Z_B4405FF1_036B_45AD_810F_8C9DF67F9D7F_.wvu.PrintTitles" hidden="1" oldHidden="1">
    <formula>'pow podst'!$1:$2</formula>
    <oldFormula>'pow podst'!$1:$2</oldFormula>
  </rdn>
  <rdn rId="0" localSheetId="2" customView="1" name="Z_B4405FF1_036B_45AD_810F_8C9DF67F9D7F_.wvu.FilterData" hidden="1" oldHidden="1">
    <formula>'pow podst'!$A$1:$AC$19</formula>
    <oldFormula>'pow podst'!$A$1:$AC$19</oldFormula>
  </rdn>
  <rdn rId="0" localSheetId="3" customView="1" name="Z_B4405FF1_036B_45AD_810F_8C9DF67F9D7F_.wvu.PrintArea" hidden="1" oldHidden="1">
    <formula>'gm podst'!$A$1:$Z$79</formula>
    <oldFormula>'gm podst'!$A$1:$Z$79</oldFormula>
  </rdn>
  <rdn rId="0" localSheetId="3" customView="1" name="Z_B4405FF1_036B_45AD_810F_8C9DF67F9D7F_.wvu.PrintTitles" hidden="1" oldHidden="1">
    <formula>'gm podst'!$1:$2</formula>
    <oldFormula>'gm podst'!$1:$2</oldFormula>
  </rdn>
  <rdn rId="0" localSheetId="3" customView="1" name="Z_B4405FF1_036B_45AD_810F_8C9DF67F9D7F_.wvu.FilterData" hidden="1" oldHidden="1">
    <formula>'gm podst'!$A$2:$AD$74</formula>
    <oldFormula>'gm podst'!$A$2:$AD$74</oldFormula>
  </rdn>
  <rdn rId="0" localSheetId="4" customView="1" name="Z_B4405FF1_036B_45AD_810F_8C9DF67F9D7F_.wvu.PrintArea" hidden="1" oldHidden="1">
    <formula>'pow rez'!$A$1:$Y$12</formula>
    <oldFormula>'pow rez'!$A$1:$Y$12</oldFormula>
  </rdn>
  <rdn rId="0" localSheetId="4" customView="1" name="Z_B4405FF1_036B_45AD_810F_8C9DF67F9D7F_.wvu.PrintTitles" hidden="1" oldHidden="1">
    <formula>'pow rez'!$1:$2</formula>
    <oldFormula>'pow rez'!$1:$2</oldFormula>
  </rdn>
  <rdn rId="0" localSheetId="5" customView="1" name="Z_B4405FF1_036B_45AD_810F_8C9DF67F9D7F_.wvu.PrintArea" hidden="1" oldHidden="1">
    <formula>'gm rez'!$A$1:$Z$27</formula>
    <oldFormula>'gm rez'!$A$1:$Z$27</oldFormula>
  </rdn>
  <rdn rId="0" localSheetId="5" customView="1" name="Z_B4405FF1_036B_45AD_810F_8C9DF67F9D7F_.wvu.PrintTitles" hidden="1" oldHidden="1">
    <formula>'gm rez'!$1:$2</formula>
    <oldFormula>'gm rez'!$1:$2</oldFormula>
  </rdn>
  <rdn rId="0" localSheetId="5" customView="1" name="Z_B4405FF1_036B_45AD_810F_8C9DF67F9D7F_.wvu.FilterData" hidden="1" oldHidden="1">
    <formula>'gm rez'!$A$2:$AD$23</formula>
    <oldFormula>'gm rez'!$A$2:$AD$23</oldFormula>
  </rdn>
  <rcv guid="{B4405FF1-036B-45AD-810F-8C9DF67F9D7F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2" sId="3" numFmtId="4">
    <oc r="K3">
      <v>11772051.92</v>
    </oc>
    <nc r="K3">
      <v>11824081.23</v>
    </nc>
  </rcc>
  <rcc rId="1363" sId="3" numFmtId="4">
    <oc r="M3">
      <f>K3-L3</f>
    </oc>
    <nc r="M3">
      <v>3814662.16</v>
    </nc>
  </rcc>
  <rcc rId="1364" sId="3" numFmtId="14">
    <oc r="N3">
      <v>0.6804</v>
    </oc>
    <nc r="N3">
      <v>0.6774</v>
    </nc>
  </rcc>
  <rfmt sheetId="3" sqref="K3:N3">
    <dxf>
      <fill>
        <patternFill patternType="solid">
          <bgColor rgb="FFFFFF00"/>
        </patternFill>
      </fill>
    </dxf>
  </rfmt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5" sId="3" numFmtId="4">
    <oc r="K35">
      <v>1273984.8600000001</v>
    </oc>
    <nc r="K35">
      <v>1274238.73</v>
    </nc>
  </rcc>
  <rcc rId="1366" sId="3" numFmtId="4">
    <oc r="M35">
      <v>436668.90000000014</v>
    </oc>
    <nc r="M35">
      <f>SUM(K35-L35)</f>
    </nc>
  </rcc>
  <rcc rId="1367" sId="3" numFmtId="14">
    <oc r="N35">
      <v>0.65720000000000001</v>
    </oc>
    <nc r="N35">
      <v>0.65710000000000002</v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35">
    <dxf>
      <fill>
        <patternFill patternType="none">
          <bgColor auto="1"/>
        </patternFill>
      </fill>
    </dxf>
  </rfmt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0" sId="3">
    <oc r="J49" t="inlineStr">
      <is>
        <t>kwiecień 2024 grudzień 2024</t>
      </is>
    </oc>
    <nc r="J49" t="inlineStr">
      <is>
        <t>marzec 2024 grudzień 2024</t>
      </is>
    </nc>
  </rcc>
  <rfmt sheetId="3" sqref="J49:M49">
    <dxf>
      <fill>
        <patternFill patternType="solid">
          <bgColor rgb="FFFFFF00"/>
        </patternFill>
      </fill>
    </dxf>
  </rfmt>
  <rfmt sheetId="3" sqref="T49">
    <dxf>
      <fill>
        <patternFill patternType="solid">
          <bgColor rgb="FFFFFF00"/>
        </patternFill>
      </fill>
    </dxf>
  </rfmt>
  <rcc rId="1381" sId="3" numFmtId="4">
    <oc r="K49">
      <v>724539.54</v>
    </oc>
    <nc r="K49">
      <v>688865.6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:N3">
    <dxf>
      <fill>
        <patternFill>
          <bgColor rgb="FF00B0F0"/>
        </patternFill>
      </fill>
    </dxf>
  </rfmt>
  <rfmt sheetId="3" sqref="J3:N3">
    <dxf>
      <fill>
        <patternFill>
          <bgColor theme="4" tint="0.39997558519241921"/>
        </patternFill>
      </fill>
    </dxf>
  </rfmt>
  <rfmt sheetId="3" sqref="K13:M13">
    <dxf>
      <fill>
        <patternFill>
          <bgColor theme="4" tint="0.39997558519241921"/>
        </patternFill>
      </fill>
    </dxf>
  </rfmt>
  <rfmt sheetId="3" sqref="J47:M47">
    <dxf>
      <fill>
        <patternFill>
          <bgColor theme="4" tint="0.39997558519241921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3">
    <oc r="J5" t="inlineStr">
      <is>
        <t>maj 2023                    kwiecień 2024</t>
      </is>
    </oc>
    <nc r="J5" t="inlineStr">
      <is>
        <t>maj 2023                    wrzesień 2024</t>
      </is>
    </nc>
  </rcc>
  <rfmt sheetId="3" sqref="J5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podst'!$A$1:$Z$73</formula>
    <oldFormula>'gm podst'!$A$1:$Z$73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podst'!$A$2:$AD$68</formula>
    <oldFormula>'gm podst'!$A$2:$AD$68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6" sId="2">
    <oc r="I6" t="inlineStr">
      <is>
        <t>lutyń 2024 wrzesień 2024</t>
      </is>
    </oc>
    <nc r="I6" t="inlineStr">
      <is>
        <t>luty 2024 wrzesień 2024</t>
      </is>
    </nc>
  </rcc>
  <rfmt sheetId="2" sqref="I6:L6">
    <dxf>
      <fill>
        <patternFill patternType="none">
          <bgColor auto="1"/>
        </patternFill>
      </fill>
    </dxf>
  </rfmt>
  <rfmt sheetId="3" sqref="J5">
    <dxf>
      <fill>
        <patternFill patternType="none">
          <bgColor auto="1"/>
        </patternFill>
      </fill>
    </dxf>
  </rfmt>
  <rfmt sheetId="3" sqref="J12:M12">
    <dxf>
      <fill>
        <patternFill patternType="none">
          <bgColor auto="1"/>
        </patternFill>
      </fill>
    </dxf>
  </rfmt>
  <rfmt sheetId="3" sqref="I14:N18">
    <dxf>
      <fill>
        <patternFill patternType="none">
          <bgColor auto="1"/>
        </patternFill>
      </fill>
    </dxf>
  </rfmt>
  <rfmt sheetId="3" sqref="K13:M13">
    <dxf>
      <fill>
        <patternFill patternType="none">
          <bgColor auto="1"/>
        </patternFill>
      </fill>
    </dxf>
  </rfmt>
  <rfmt sheetId="3" sqref="J20:N28">
    <dxf>
      <fill>
        <patternFill patternType="none">
          <bgColor auto="1"/>
        </patternFill>
      </fill>
    </dxf>
  </rfmt>
  <rfmt sheetId="3" sqref="J31:N47">
    <dxf>
      <fill>
        <patternFill patternType="none">
          <bgColor auto="1"/>
        </patternFill>
      </fill>
    </dxf>
  </rfmt>
  <rfmt sheetId="3" sqref="J48:M60">
    <dxf>
      <fill>
        <patternFill patternType="none">
          <bgColor auto="1"/>
        </patternFill>
      </fill>
    </dxf>
  </rfmt>
  <rfmt sheetId="3" sqref="J58:M58">
    <dxf>
      <fill>
        <patternFill patternType="solid">
          <bgColor theme="0" tint="-0.249977111117893"/>
        </patternFill>
      </fill>
    </dxf>
  </rfmt>
  <rcc rId="1407" sId="3">
    <oc r="J61" t="inlineStr">
      <is>
        <t>maj 2024 listopad 2024</t>
      </is>
    </oc>
    <nc r="J61" t="inlineStr">
      <is>
        <t>lipiec 2024 czerwiec 2025</t>
      </is>
    </nc>
  </rcc>
  <rfmt sheetId="3" sqref="J61">
    <dxf>
      <fill>
        <patternFill patternType="solid">
          <bgColor rgb="FFFFFF00"/>
        </patternFill>
      </fill>
    </dxf>
  </rfmt>
  <rcc rId="1408" sId="3">
    <oc r="J63" t="inlineStr">
      <is>
        <t>kwiecień 2024 listopad 2024</t>
      </is>
    </oc>
    <nc r="J63" t="inlineStr">
      <is>
        <t>lipiec 2024 luty 2025</t>
      </is>
    </nc>
  </rcc>
  <rfmt sheetId="3" sqref="J63">
    <dxf>
      <fill>
        <patternFill patternType="solid"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1" sId="3">
    <oc r="C64" t="inlineStr">
      <is>
        <t>N</t>
      </is>
    </oc>
    <nc r="C64"/>
  </rcc>
  <rcc rId="1422" sId="3" numFmtId="4">
    <oc r="I64">
      <v>0.34386</v>
    </oc>
    <nc r="I64"/>
  </rcc>
  <rcc rId="1423" sId="3">
    <oc r="J64" t="inlineStr">
      <is>
        <t>styczeń 2024 wrzesień 2024</t>
      </is>
    </oc>
    <nc r="J64" t="inlineStr">
      <is>
        <t>REZYGNACJA</t>
      </is>
    </nc>
  </rcc>
  <rcc rId="1424" sId="3" numFmtId="4">
    <oc r="K64">
      <v>530696.95999999996</v>
    </oc>
    <nc r="K64"/>
  </rcc>
  <rcc rId="1425" sId="3">
    <oc r="L64">
      <f>ROUNDDOWN(K64*N64,2)</f>
    </oc>
    <nc r="L64"/>
  </rcc>
  <rcc rId="1426" sId="3">
    <oc r="M64">
      <f>K64-L64</f>
    </oc>
    <nc r="M64"/>
  </rcc>
  <rcc rId="1427" sId="3" numFmtId="4">
    <oc r="O64">
      <v>0</v>
    </oc>
    <nc r="O64"/>
  </rcc>
  <rcc rId="1428" sId="3" numFmtId="4">
    <oc r="P64">
      <v>0</v>
    </oc>
    <nc r="P64"/>
  </rcc>
  <rcc rId="1429" sId="3" numFmtId="4">
    <oc r="Q64">
      <v>0</v>
    </oc>
    <nc r="Q64"/>
  </rcc>
  <rcc rId="1430" sId="3" numFmtId="4">
    <oc r="R64">
      <v>0</v>
    </oc>
    <nc r="R64"/>
  </rcc>
  <rcc rId="1431" sId="3" numFmtId="4">
    <oc r="S64">
      <v>0</v>
    </oc>
    <nc r="S64"/>
  </rcc>
  <rcc rId="1432" sId="3">
    <oc r="T64">
      <f>L64</f>
    </oc>
    <nc r="T64"/>
  </rcc>
  <rcc rId="1433" sId="3" numFmtId="4">
    <oc r="U64">
      <v>0</v>
    </oc>
    <nc r="U64"/>
  </rcc>
  <rcc rId="1434" sId="3" numFmtId="4">
    <oc r="V64">
      <v>0</v>
    </oc>
    <nc r="V64"/>
  </rcc>
  <rcc rId="1435" sId="3" numFmtId="4">
    <oc r="W64">
      <v>0</v>
    </oc>
    <nc r="W64"/>
  </rcc>
  <rcc rId="1436" sId="3" numFmtId="4">
    <oc r="X64">
      <v>0</v>
    </oc>
    <nc r="X64"/>
  </rcc>
  <rcc rId="1437" sId="3" numFmtId="4">
    <oc r="Y64">
      <v>0</v>
    </oc>
    <nc r="Y64"/>
  </rcc>
  <rcc rId="1438" sId="3" numFmtId="4">
    <oc r="Z64">
      <v>0</v>
    </oc>
    <nc r="Z64"/>
  </rcc>
  <rfmt sheetId="3" sqref="A65:XFD65">
    <dxf>
      <fill>
        <patternFill>
          <bgColor rgb="FFFFFF00"/>
        </patternFill>
      </fill>
    </dxf>
  </rfmt>
  <rfmt sheetId="3" sqref="A65:XFD65">
    <dxf>
      <fill>
        <patternFill>
          <bgColor theme="0" tint="-0.249977111117893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5:XFD65">
    <dxf>
      <fill>
        <patternFill>
          <bgColor theme="0" tint="-0.14999847407452621"/>
        </patternFill>
      </fill>
    </dxf>
  </rfmt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5:XFD65">
    <dxf>
      <fill>
        <patternFill>
          <bgColor theme="0"/>
        </patternFill>
      </fill>
    </dxf>
  </rfmt>
  <rfmt sheetId="3" sqref="A64:XFD64">
    <dxf>
      <fill>
        <patternFill>
          <bgColor theme="0" tint="-0.14999847407452621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3" sId="3">
    <oc r="J63" t="inlineStr">
      <is>
        <t>lipiec 2024 luty 2025</t>
      </is>
    </oc>
    <nc r="J63" t="inlineStr">
      <is>
        <t>lipiec 2024 marzec 2025</t>
      </is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4" sId="3">
    <oc r="J66" t="inlineStr">
      <is>
        <t>luty 2024 listopad 2024</t>
      </is>
    </oc>
    <nc r="J66" t="inlineStr">
      <is>
        <t>lipiec 2024 listopad 2024</t>
      </is>
    </nc>
  </rcc>
  <rfmt sheetId="3" sqref="J66">
    <dxf>
      <fill>
        <patternFill patternType="solid">
          <bgColor rgb="FFFFFF00"/>
        </patternFill>
      </fill>
    </dxf>
  </rfmt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5" sId="3">
    <oc r="J68" t="inlineStr">
      <is>
        <t>luty 2024 listopad 2024</t>
      </is>
    </oc>
    <nc r="J68" t="inlineStr">
      <is>
        <t>lipiec 2024 listopad 2024</t>
      </is>
    </nc>
  </rcc>
  <rfmt sheetId="3" sqref="J68">
    <dxf>
      <fill>
        <patternFill patternType="solid">
          <bgColor rgb="FFFFFF00"/>
        </patternFill>
      </fill>
    </dxf>
  </rfmt>
  <rcc rId="1466" sId="3" odxf="1" dxf="1">
    <oc r="J69" t="inlineStr">
      <is>
        <t>luty 2024 listopad 2024</t>
      </is>
    </oc>
    <nc r="J69" t="inlineStr">
      <is>
        <t>lipiec 2024 listopad 2024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467" sId="3" odxf="1" dxf="1">
    <oc r="J67" t="inlineStr">
      <is>
        <t>luty 2024 listopad 2024</t>
      </is>
    </oc>
    <nc r="J67" t="inlineStr">
      <is>
        <t>lipiec 2024 listopad 2024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468" sId="3" odxf="1" dxf="1">
    <oc r="J70" t="inlineStr">
      <is>
        <t>luty 2024 listopad 2024</t>
      </is>
    </oc>
    <nc r="J70" t="inlineStr">
      <is>
        <t>lipiec 2024 listopad 2024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59:M59">
    <dxf>
      <fill>
        <patternFill patternType="solid">
          <bgColor rgb="FF00B0F0"/>
        </patternFill>
      </fill>
    </dxf>
  </rfmt>
  <rfmt sheetId="3" sqref="T59">
    <dxf>
      <fill>
        <patternFill patternType="solid">
          <bgColor rgb="FF00B0F0"/>
        </patternFill>
      </fill>
    </dxf>
  </rfmt>
  <rcc rId="1469" sId="3" numFmtId="4">
    <oc r="K59">
      <v>512758.49</v>
    </oc>
    <nc r="K59">
      <v>366078.65</v>
    </nc>
  </rcc>
  <rfmt sheetId="3" sqref="K57:M57">
    <dxf>
      <fill>
        <patternFill patternType="solid">
          <bgColor rgb="FF00B0F0"/>
        </patternFill>
      </fill>
    </dxf>
  </rfmt>
  <rfmt sheetId="3" sqref="T57">
    <dxf>
      <fill>
        <patternFill patternType="solid">
          <bgColor rgb="FF00B0F0"/>
        </patternFill>
      </fill>
    </dxf>
  </rfmt>
  <rcc rId="1470" sId="3">
    <oc r="J57" t="inlineStr">
      <is>
        <t>lipiec 2024 listopad 2024</t>
      </is>
    </oc>
    <nc r="J57" t="inlineStr">
      <is>
        <t>maj 2024 październik 2024</t>
      </is>
    </nc>
  </rcc>
  <rfmt sheetId="3" sqref="J57">
    <dxf>
      <fill>
        <patternFill patternType="solid">
          <bgColor rgb="FF00B0F0"/>
        </patternFill>
      </fill>
    </dxf>
  </rfmt>
  <rcc rId="1471" sId="3" numFmtId="4">
    <oc r="K57">
      <v>1349966.8</v>
    </oc>
    <nc r="K57">
      <v>939158.72</v>
    </nc>
  </rcc>
  <rfmt sheetId="3" sqref="T47">
    <dxf>
      <fill>
        <patternFill patternType="none">
          <bgColor auto="1"/>
        </patternFill>
      </fill>
    </dxf>
  </rfmt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2" sId="3" numFmtId="4">
    <oc r="K62">
      <v>300000</v>
    </oc>
    <nc r="K62">
      <v>400810.2</v>
    </nc>
  </rcc>
  <rcc rId="1473" sId="3" numFmtId="4">
    <oc r="L62">
      <f>ROUNDDOWN(K62*N62,2)</f>
    </oc>
    <nc r="L62">
      <v>180000</v>
    </nc>
  </rcc>
  <rcc rId="1474" sId="3" numFmtId="13">
    <oc r="N62">
      <v>0.6</v>
    </oc>
    <nc r="N62">
      <v>0.4491</v>
    </nc>
  </rcc>
  <rfmt sheetId="3" sqref="N62">
    <dxf>
      <numFmt numFmtId="169" formatCode="0.0%"/>
    </dxf>
  </rfmt>
  <rfmt sheetId="3" sqref="N62">
    <dxf>
      <numFmt numFmtId="14" formatCode="0.00%"/>
    </dxf>
  </rfmt>
  <rcc rId="1475" sId="3">
    <oc r="J62" t="inlineStr">
      <is>
        <t>kwiecień 2024 padździernik 2024</t>
      </is>
    </oc>
    <nc r="J62" t="inlineStr">
      <is>
        <t>lipiec 2024 grudzień 2024</t>
      </is>
    </nc>
  </rcc>
  <rfmt sheetId="3" sqref="J62:N62">
    <dxf>
      <fill>
        <patternFill>
          <bgColor rgb="FFFFFF00"/>
        </patternFill>
      </fill>
    </dxf>
  </rfmt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6" sId="3">
    <oc r="J65" t="inlineStr">
      <is>
        <t>czerwiec 2024 wrzesień 2024</t>
      </is>
    </oc>
    <nc r="J65" t="inlineStr">
      <is>
        <t>lipiec 2024 paźdzernik 2024</t>
      </is>
    </nc>
  </rcc>
  <rfmt sheetId="3" sqref="J65:N65">
    <dxf>
      <fill>
        <patternFill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3" odxf="1" dxf="1">
    <oc r="L64">
      <f>ROUNDDOWN(K64*N64,2)</f>
    </oc>
    <nc r="L64">
      <f>ROUNDDOWN(K64*N64,2)</f>
    </nc>
    <odxf>
      <font>
        <sz val="8"/>
        <color rgb="FFFFC000"/>
        <name val="Arial"/>
        <scheme val="none"/>
      </font>
    </odxf>
    <ndxf>
      <font>
        <sz val="8"/>
        <color auto="1"/>
        <name val="Arial"/>
        <scheme val="none"/>
      </font>
    </ndxf>
  </rcc>
  <rcc rId="843" sId="3">
    <oc r="A64" t="inlineStr">
      <is>
        <t>62*</t>
      </is>
    </oc>
    <nc r="A64">
      <v>62</v>
    </nc>
  </rcc>
  <rfmt sheetId="3" sqref="A64" start="0" length="2147483647">
    <dxf>
      <font>
        <color auto="1"/>
      </font>
    </dxf>
  </rfmt>
  <rrc rId="844" sId="3" ref="A64:XFD64" action="insertRow"/>
  <rrc rId="845" sId="3" ref="A64:XFD64" action="insertRow"/>
  <rrc rId="846" sId="3" ref="A64:XFD64" action="insertRow"/>
  <rrc rId="847" sId="3" ref="A64:XFD64" action="insertRow"/>
  <rrc rId="848" sId="3" ref="A64:XFD64" action="insertRow"/>
  <rrc rId="849" sId="3" ref="A66:XFD66" action="insertRow"/>
  <rcc rId="850" sId="3">
    <nc r="A64">
      <v>62</v>
    </nc>
  </rcc>
  <rcc rId="851" sId="3">
    <nc r="B64" t="inlineStr">
      <is>
        <t>RFRD/2023/G/64 przeniesiono z listy rezerwowej</t>
      </is>
    </nc>
  </rcc>
  <rcc rId="852" sId="3">
    <nc r="C64" t="inlineStr">
      <is>
        <t>N</t>
      </is>
    </nc>
  </rcc>
  <rcc rId="853" sId="3">
    <nc r="D64" t="inlineStr">
      <is>
        <t>Gmina Leśnica</t>
      </is>
    </nc>
  </rcc>
  <rcc rId="854" sId="3">
    <nc r="E64">
      <v>1611043</v>
    </nc>
  </rcc>
  <rcc rId="855" sId="3">
    <nc r="F64" t="inlineStr">
      <is>
        <t>Powiat Strzelecki</t>
      </is>
    </nc>
  </rcc>
  <rcc rId="856" sId="3">
    <nc r="G64" t="inlineStr">
      <is>
        <t>Remont drogi gminnej nr 105932 O ul. Słowackiego w Raszowej</t>
      </is>
    </nc>
  </rcc>
  <rcc rId="857" sId="3">
    <nc r="H64" t="inlineStr">
      <is>
        <t>R</t>
      </is>
    </nc>
  </rcc>
  <rcc rId="858" sId="3" numFmtId="4">
    <nc r="I64">
      <v>0.34386</v>
    </nc>
  </rcc>
  <rcc rId="859" sId="3">
    <nc r="J64" t="inlineStr">
      <is>
        <t>styczeń 2024 wrzesień 2024</t>
      </is>
    </nc>
  </rcc>
  <rcc rId="860" sId="3" numFmtId="4">
    <nc r="K64">
      <v>530696.95999999996</v>
    </nc>
  </rcc>
  <rcc rId="861" sId="3">
    <nc r="L64">
      <f>ROUNDDOWN(K64*N64,2)</f>
    </nc>
  </rcc>
  <rcc rId="862" sId="3">
    <nc r="M64">
      <f>K64-L64</f>
    </nc>
  </rcc>
  <rcc rId="863" sId="3" numFmtId="13">
    <nc r="N64">
      <v>0.6</v>
    </nc>
  </rcc>
  <rcc rId="864" sId="3" numFmtId="4">
    <nc r="O64">
      <v>0</v>
    </nc>
  </rcc>
  <rcc rId="865" sId="3" numFmtId="4">
    <nc r="P64">
      <v>0</v>
    </nc>
  </rcc>
  <rcc rId="866" sId="3" numFmtId="4">
    <nc r="Q64">
      <v>0</v>
    </nc>
  </rcc>
  <rcc rId="867" sId="3" numFmtId="4">
    <nc r="R64">
      <v>0</v>
    </nc>
  </rcc>
  <rcc rId="868" sId="3" numFmtId="4">
    <nc r="S64">
      <v>0</v>
    </nc>
  </rcc>
  <rcc rId="869" sId="3">
    <nc r="T64">
      <f>L64</f>
    </nc>
  </rcc>
  <rcc rId="870" sId="3" numFmtId="4">
    <nc r="U64">
      <v>0</v>
    </nc>
  </rcc>
  <rcc rId="871" sId="3" numFmtId="4">
    <nc r="V64">
      <v>0</v>
    </nc>
  </rcc>
  <rcc rId="872" sId="3" numFmtId="4">
    <nc r="W64">
      <v>0</v>
    </nc>
  </rcc>
  <rcc rId="873" sId="3" numFmtId="4">
    <nc r="X64">
      <v>0</v>
    </nc>
  </rcc>
  <rcc rId="874" sId="3" numFmtId="4">
    <nc r="Y64">
      <v>0</v>
    </nc>
  </rcc>
  <rcc rId="875" sId="3" numFmtId="4">
    <nc r="Z64">
      <v>0</v>
    </nc>
  </rcc>
  <rcc rId="876" sId="3">
    <nc r="AA64">
      <f>L64=SUM(O64:Z64)</f>
    </nc>
  </rcc>
  <rcc rId="877" sId="3">
    <nc r="AB64">
      <f>ROUND(L64/K64,4)</f>
    </nc>
  </rcc>
  <rcc rId="878" sId="3">
    <nc r="AC64">
      <f>AB64=N64</f>
    </nc>
  </rcc>
  <rcc rId="879" sId="3">
    <nc r="AD64">
      <f>K64=L64+M64</f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7" sId="3">
    <oc r="J60" t="inlineStr">
      <is>
        <t>czerwiec 2024 lipiec 2025</t>
      </is>
    </oc>
    <nc r="J60" t="inlineStr">
      <is>
        <t>maj 2024 lipiec 2025</t>
      </is>
    </nc>
  </rcc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0" sId="3" numFmtId="4">
    <oc r="K60">
      <v>2036938.03</v>
    </oc>
    <nc r="K60">
      <v>1450559.74</v>
    </nc>
  </rcc>
  <rfmt sheetId="3" sqref="J60">
    <dxf>
      <fill>
        <patternFill patternType="solid">
          <bgColor rgb="FFFFFF00"/>
        </patternFill>
      </fill>
    </dxf>
  </rfmt>
  <rfmt sheetId="3" sqref="K60:M60">
    <dxf>
      <fill>
        <patternFill patternType="solid">
          <bgColor rgb="FFFFFF00"/>
        </patternFill>
      </fill>
    </dxf>
  </rfmt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1" sId="3" numFmtId="4">
    <oc r="K59">
      <v>366078.65</v>
    </oc>
    <nc r="K59">
      <v>365821.02</v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2" sId="3">
    <oc r="L59">
      <f>ROUNDDOWN(K59*N59,2)</f>
    </oc>
    <nc r="L59">
      <f>ROUNDDOWN(K59*N59,2)</f>
    </nc>
  </rcc>
  <rfmt sheetId="3" sqref="K59:M59">
    <dxf>
      <fill>
        <patternFill>
          <bgColor rgb="FFFFFF00"/>
        </patternFill>
      </fill>
    </dxf>
  </rfmt>
  <rfmt sheetId="3" sqref="T59">
    <dxf>
      <fill>
        <patternFill>
          <bgColor rgb="FFFFFF00"/>
        </patternFill>
      </fill>
    </dxf>
  </rfmt>
  <rcc rId="1493" sId="3" numFmtId="4">
    <oc r="K57">
      <v>939158.72</v>
    </oc>
    <nc r="K57">
      <v>938781.88</v>
    </nc>
  </rcc>
  <rfmt sheetId="3" sqref="T57">
    <dxf>
      <fill>
        <patternFill>
          <bgColor rgb="FFFFFF00"/>
        </patternFill>
      </fill>
    </dxf>
  </rfmt>
  <rfmt sheetId="3" sqref="J57:M57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46:M46">
    <dxf>
      <fill>
        <patternFill patternType="solid">
          <bgColor rgb="FFFFFF00"/>
        </patternFill>
      </fill>
    </dxf>
  </rfmt>
  <rfmt sheetId="3" sqref="T46">
    <dxf>
      <fill>
        <patternFill patternType="solid">
          <bgColor rgb="FFFFFF00"/>
        </patternFill>
      </fill>
    </dxf>
  </rfmt>
  <rcc rId="1506" sId="3">
    <oc r="J46" t="inlineStr">
      <is>
        <t>marzec 2024 grudzień 2024</t>
      </is>
    </oc>
    <nc r="J46" t="inlineStr">
      <is>
        <t>kwiecień 2024 listopad 2024</t>
      </is>
    </nc>
  </rcc>
  <rcc rId="1507" sId="3" numFmtId="4">
    <oc r="K46">
      <v>3096485.63</v>
    </oc>
    <nc r="K46">
      <v>2102714.27</v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8" sId="3" numFmtId="4">
    <oc r="K46">
      <v>2102714.27</v>
    </oc>
    <nc r="K46">
      <v>2102712.94</v>
    </nc>
  </rcc>
  <rfmt sheetId="3" sqref="J55:M55">
    <dxf>
      <fill>
        <patternFill patternType="solid">
          <bgColor theme="5" tint="0.39997558519241921"/>
        </patternFill>
      </fill>
    </dxf>
  </rfmt>
  <rcc rId="1509" sId="3" numFmtId="4">
    <oc r="K55">
      <v>10085958</v>
    </oc>
    <nc r="K55">
      <v>8637737.7699999996</v>
    </nc>
  </rcc>
  <rfmt sheetId="3" sqref="J39:M39">
    <dxf>
      <fill>
        <patternFill patternType="solid">
          <bgColor theme="5" tint="0.39997558519241921"/>
        </patternFill>
      </fill>
    </dxf>
  </rfmt>
  <rcc rId="1510" sId="3" numFmtId="4">
    <oc r="K39">
      <v>4776701</v>
    </oc>
    <nc r="K39">
      <v>3381566.28</v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1" sId="3">
    <oc r="L61">
      <f>ROUNDDOWN(K61*N61,2)</f>
    </oc>
    <nc r="L61"/>
  </rcc>
  <rfmt sheetId="3" sqref="A61:XFD61">
    <dxf>
      <fill>
        <patternFill>
          <bgColor theme="0" tint="-0.249977111117893"/>
        </patternFill>
      </fill>
    </dxf>
  </rfmt>
  <rfmt sheetId="3" sqref="A64:XFD64">
    <dxf>
      <fill>
        <patternFill>
          <bgColor theme="0" tint="-0.249977111117893"/>
        </patternFill>
      </fill>
    </dxf>
  </rfmt>
  <rcc rId="1512" sId="3">
    <oc r="J61" t="inlineStr">
      <is>
        <t>lipiec 2024 czerwiec 2025</t>
      </is>
    </oc>
    <nc r="J61" t="inlineStr">
      <is>
        <t>REZYGNACJA</t>
      </is>
    </nc>
  </rcc>
  <rcc rId="1513" sId="3" numFmtId="4">
    <oc r="I61">
      <v>1.101</v>
    </oc>
    <nc r="I61"/>
  </rcc>
  <rcc rId="1514" sId="3" numFmtId="4">
    <oc r="K61">
      <v>9011892.6300000008</v>
    </oc>
    <nc r="K61"/>
  </rcc>
  <rcc rId="1515" sId="3">
    <oc r="M61">
      <f>K61-L61</f>
    </oc>
    <nc r="M61"/>
  </rcc>
  <rcc rId="1516" sId="3" numFmtId="4">
    <oc r="O61">
      <v>0</v>
    </oc>
    <nc r="O61"/>
  </rcc>
  <rcc rId="1517" sId="3" numFmtId="4">
    <oc r="P61">
      <v>0</v>
    </oc>
    <nc r="P61"/>
  </rcc>
  <rcc rId="1518" sId="3" numFmtId="4">
    <oc r="Q61">
      <v>0</v>
    </oc>
    <nc r="Q61"/>
  </rcc>
  <rcc rId="1519" sId="3" numFmtId="4">
    <oc r="R61">
      <v>0</v>
    </oc>
    <nc r="R61"/>
  </rcc>
  <rcc rId="1520" sId="3" numFmtId="4">
    <oc r="S61">
      <v>0</v>
    </oc>
    <nc r="S61"/>
  </rcc>
  <rcc rId="1521" sId="3">
    <oc r="T61">
      <f>L61</f>
    </oc>
    <nc r="T61"/>
  </rcc>
  <rcc rId="1522" sId="3" numFmtId="4">
    <oc r="U61">
      <v>0</v>
    </oc>
    <nc r="U61"/>
  </rcc>
  <rcc rId="1523" sId="3" numFmtId="4">
    <oc r="V61">
      <v>0</v>
    </oc>
    <nc r="V61"/>
  </rcc>
  <rcc rId="1524" sId="3" numFmtId="4">
    <oc r="W61">
      <v>0</v>
    </oc>
    <nc r="W61"/>
  </rcc>
  <rcc rId="1525" sId="3" numFmtId="4">
    <oc r="X61">
      <v>0</v>
    </oc>
    <nc r="X61"/>
  </rcc>
  <rcc rId="1526" sId="3" numFmtId="4">
    <oc r="Y61">
      <v>0</v>
    </oc>
    <nc r="Y61"/>
  </rcc>
  <rcc rId="1527" sId="3" numFmtId="4">
    <oc r="Z61">
      <v>0</v>
    </oc>
    <nc r="Z61"/>
  </rcc>
  <rcc rId="1528" sId="3" numFmtId="4">
    <oc r="K39">
      <v>3381566.28</v>
    </oc>
    <nc r="K39">
      <v>3165080.9</v>
    </nc>
  </rcc>
  <rcc rId="1529" sId="3" numFmtId="4">
    <oc r="K55">
      <v>8637737.7699999996</v>
    </oc>
    <nc r="K55">
      <v>8545977.7799999993</v>
    </nc>
  </rcc>
  <rfmt sheetId="3" sqref="T39">
    <dxf>
      <fill>
        <patternFill patternType="solid">
          <bgColor rgb="FFFFFF00"/>
        </patternFill>
      </fill>
    </dxf>
  </rfmt>
  <rfmt sheetId="3" sqref="T55">
    <dxf>
      <fill>
        <patternFill patternType="solid">
          <bgColor rgb="FFFFFF00"/>
        </patternFill>
      </fill>
    </dxf>
  </rfmt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0" sId="3" odxf="1" dxf="1">
    <nc r="I83">
      <f>K38-10598.28</f>
    </nc>
    <odxf>
      <numFmt numFmtId="0" formatCode="General"/>
    </odxf>
    <ndxf>
      <numFmt numFmtId="4" formatCode="#,##0.00"/>
    </ndxf>
  </rcc>
  <rcc rId="1531" sId="3" numFmtId="4">
    <oc r="K38">
      <v>1564523.1</v>
    </oc>
    <nc r="K38">
      <v>1553924.82</v>
    </nc>
  </rcc>
  <rfmt sheetId="3" sqref="K38:M38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1:XFD61">
    <dxf>
      <fill>
        <patternFill patternType="none">
          <bgColor auto="1"/>
        </patternFill>
      </fill>
    </dxf>
  </rfmt>
  <rfmt sheetId="3" sqref="I61" start="0" length="0">
    <dxf>
      <fill>
        <patternFill patternType="solid">
          <bgColor theme="0"/>
        </patternFill>
      </fill>
    </dxf>
  </rfmt>
  <rcc rId="1544" sId="3" numFmtId="4">
    <nc r="I61">
      <v>1.101</v>
    </nc>
  </rcc>
  <rcc rId="1545" sId="3">
    <oc r="J61" t="inlineStr">
      <is>
        <t>REZYGNACJA</t>
      </is>
    </oc>
    <nc r="J61" t="inlineStr">
      <is>
        <t>maj 2024 listopad 2024</t>
      </is>
    </nc>
  </rcc>
  <rcc rId="1546" sId="3" numFmtId="4">
    <nc r="K61">
      <v>9011892.6300000008</v>
    </nc>
  </rcc>
  <rcc rId="1547" sId="3">
    <nc r="L61">
      <f>ROUNDDOWN(K61*N61,2)</f>
    </nc>
  </rcc>
  <rcc rId="1548" sId="3">
    <nc r="M61">
      <f>K61-L61</f>
    </nc>
  </rcc>
  <rcc rId="1549" sId="3" numFmtId="4">
    <nc r="O61">
      <v>0</v>
    </nc>
  </rcc>
  <rcc rId="1550" sId="3" numFmtId="4">
    <nc r="P61">
      <v>0</v>
    </nc>
  </rcc>
  <rcc rId="1551" sId="3" numFmtId="4">
    <nc r="Q61">
      <v>0</v>
    </nc>
  </rcc>
  <rcc rId="1552" sId="3" numFmtId="4">
    <nc r="R61">
      <v>0</v>
    </nc>
  </rcc>
  <rcc rId="1553" sId="3" numFmtId="4">
    <nc r="S61">
      <v>0</v>
    </nc>
  </rcc>
  <rcc rId="1554" sId="3">
    <nc r="T61">
      <f>L61</f>
    </nc>
  </rcc>
  <rcc rId="1555" sId="3" numFmtId="4">
    <nc r="U61">
      <v>0</v>
    </nc>
  </rcc>
  <rcc rId="1556" sId="3" numFmtId="4">
    <nc r="V61">
      <v>0</v>
    </nc>
  </rcc>
  <rcc rId="1557" sId="3" numFmtId="4">
    <nc r="W61">
      <v>0</v>
    </nc>
  </rcc>
  <rcc rId="1558" sId="3" numFmtId="4">
    <nc r="X61">
      <v>0</v>
    </nc>
  </rcc>
  <rcc rId="1559" sId="3" numFmtId="4">
    <nc r="Y61">
      <v>0</v>
    </nc>
  </rcc>
  <rcc rId="1560" sId="3" numFmtId="4">
    <nc r="Z61">
      <v>0</v>
    </nc>
  </rcc>
  <rcc rId="1561" sId="3">
    <oc r="J55" t="inlineStr">
      <is>
        <t>maj 2024 kwiecień 2025</t>
      </is>
    </oc>
    <nc r="J55" t="inlineStr">
      <is>
        <t>czerwiec 2024 ksiecień 2025</t>
      </is>
    </nc>
  </rcc>
  <rfmt sheetId="3" sqref="J55:M55">
    <dxf>
      <fill>
        <patternFill>
          <bgColor rgb="FFFFFF00"/>
        </patternFill>
      </fill>
    </dxf>
  </rfmt>
  <rcc rId="1562" sId="3" numFmtId="4">
    <oc r="K39">
      <v>3165080.9</v>
    </oc>
    <nc r="K39">
      <v>3330766.29</v>
    </nc>
  </rcc>
  <rfmt sheetId="3" sqref="J39:M39">
    <dxf>
      <fill>
        <patternFill>
          <bgColor rgb="FFFFFF00"/>
        </patternFill>
      </fill>
    </dxf>
  </rfmt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3" sId="3">
    <oc r="J39" t="inlineStr">
      <is>
        <t>luty 2024 grudzień 2024</t>
      </is>
    </oc>
    <nc r="J39" t="inlineStr">
      <is>
        <t>czerwiec 2024 styczeń 2025</t>
      </is>
    </nc>
  </rcc>
  <rcc rId="1564" sId="3">
    <oc r="J55" t="inlineStr">
      <is>
        <t>czerwiec 2024 ksiecień 2025</t>
      </is>
    </oc>
    <nc r="J55" t="inlineStr">
      <is>
        <t>czerwiec 2024 kwiecień 2025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5" sId="3">
    <oc r="C61" t="inlineStr">
      <is>
        <t>N</t>
      </is>
    </oc>
    <nc r="C61"/>
  </rcc>
  <rcc rId="1566" sId="3" numFmtId="4">
    <oc r="I61">
      <v>1.101</v>
    </oc>
    <nc r="I61"/>
  </rcc>
  <rcc rId="1567" sId="3" numFmtId="4">
    <oc r="K61">
      <v>9011892.6300000008</v>
    </oc>
    <nc r="K61"/>
  </rcc>
  <rcc rId="1568" sId="3">
    <oc r="L61">
      <f>ROUNDDOWN(K61*N61,2)</f>
    </oc>
    <nc r="L61"/>
  </rcc>
  <rcc rId="1569" sId="3">
    <oc r="M61">
      <f>K61-L61</f>
    </oc>
    <nc r="M61"/>
  </rcc>
  <rcc rId="1570" sId="3" numFmtId="4">
    <oc r="O61">
      <v>0</v>
    </oc>
    <nc r="O61"/>
  </rcc>
  <rcc rId="1571" sId="3" numFmtId="4">
    <oc r="P61">
      <v>0</v>
    </oc>
    <nc r="P61"/>
  </rcc>
  <rcc rId="1572" sId="3" numFmtId="4">
    <oc r="Q61">
      <v>0</v>
    </oc>
    <nc r="Q61"/>
  </rcc>
  <rcc rId="1573" sId="3" numFmtId="4">
    <oc r="R61">
      <v>0</v>
    </oc>
    <nc r="R61"/>
  </rcc>
  <rcc rId="1574" sId="3" numFmtId="4">
    <oc r="S61">
      <v>0</v>
    </oc>
    <nc r="S61"/>
  </rcc>
  <rcc rId="1575" sId="3">
    <oc r="T61">
      <f>L61</f>
    </oc>
    <nc r="T61"/>
  </rcc>
  <rcc rId="1576" sId="3" numFmtId="4">
    <oc r="U61">
      <v>0</v>
    </oc>
    <nc r="U61"/>
  </rcc>
  <rcc rId="1577" sId="3" numFmtId="4">
    <oc r="V61">
      <v>0</v>
    </oc>
    <nc r="V61"/>
  </rcc>
  <rcc rId="1578" sId="3" numFmtId="4">
    <oc r="W61">
      <v>0</v>
    </oc>
    <nc r="W61"/>
  </rcc>
  <rcc rId="1579" sId="3" numFmtId="4">
    <oc r="X61">
      <v>0</v>
    </oc>
    <nc r="X61"/>
  </rcc>
  <rcc rId="1580" sId="3" numFmtId="4">
    <oc r="Y61">
      <v>0</v>
    </oc>
    <nc r="Y61"/>
  </rcc>
  <rcc rId="1581" sId="3" numFmtId="4">
    <oc r="Z61">
      <v>0</v>
    </oc>
    <nc r="Z61"/>
  </rcc>
  <rfmt sheetId="3" sqref="A61:XFD61">
    <dxf>
      <fill>
        <patternFill>
          <bgColor theme="0" tint="-0.249977111117893"/>
        </patternFill>
      </fill>
    </dxf>
  </rfmt>
  <rcc rId="1582" sId="3">
    <oc r="J61" t="inlineStr">
      <is>
        <t>maj 2024 listopad 2024</t>
      </is>
    </oc>
    <nc r="J61" t="inlineStr">
      <is>
        <t>REZYGNACJA</t>
      </is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5" sId="1">
    <oc r="J1" t="inlineStr">
      <is>
        <t>Lista zmieniona nr 2</t>
      </is>
    </oc>
    <nc r="J1" t="inlineStr">
      <is>
        <t>Lista zmieniona nr 3</t>
      </is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6" sId="3" numFmtId="4">
    <oc r="K26">
      <v>1457077.96</v>
    </oc>
    <nc r="K26">
      <v>1457007.96</v>
    </nc>
  </rcc>
  <rfmt sheetId="3" sqref="K26:M26">
    <dxf>
      <fill>
        <patternFill patternType="solid">
          <bgColor rgb="FFFFFF00"/>
        </patternFill>
      </fill>
    </dxf>
  </rfmt>
  <rfmt sheetId="3" sqref="T26">
    <dxf>
      <fill>
        <patternFill patternType="solid">
          <bgColor rgb="FFFFFF00"/>
        </patternFill>
      </fill>
    </dxf>
  </rfmt>
  <rcc rId="1597" sId="3" numFmtId="4">
    <oc r="K3">
      <v>11824081.23</v>
    </oc>
    <nc r="K3">
      <v>11772051.92</v>
    </nc>
  </rcc>
  <rcc rId="1598" sId="3" numFmtId="4">
    <oc r="M3">
      <v>3814662.16</v>
    </oc>
    <nc r="M3">
      <f>K3-L3</f>
    </nc>
  </rcc>
  <rcc rId="1599" sId="3" numFmtId="14">
    <oc r="N3">
      <v>0.6774</v>
    </oc>
    <nc r="N3">
      <v>0.6804</v>
    </nc>
  </rcc>
  <rfmt sheetId="3" sqref="J3:N3">
    <dxf>
      <fill>
        <patternFill patternType="none">
          <bgColor auto="1"/>
        </patternFill>
      </fill>
    </dxf>
  </rfmt>
  <rfmt sheetId="3" sqref="T23:U23">
    <dxf>
      <fill>
        <patternFill patternType="none">
          <bgColor auto="1"/>
        </patternFill>
      </fill>
    </dxf>
  </rfmt>
  <rfmt sheetId="3" sqref="K26:T26">
    <dxf>
      <fill>
        <patternFill patternType="none">
          <bgColor auto="1"/>
        </patternFill>
      </fill>
    </dxf>
  </rfmt>
  <rfmt sheetId="3" sqref="A34:XFD34">
    <dxf>
      <fill>
        <patternFill patternType="none">
          <bgColor auto="1"/>
        </patternFill>
      </fill>
    </dxf>
  </rfmt>
  <rfmt sheetId="3" sqref="T37:U37">
    <dxf>
      <fill>
        <patternFill patternType="none">
          <bgColor auto="1"/>
        </patternFill>
      </fill>
    </dxf>
  </rfmt>
  <rfmt sheetId="3" sqref="T41">
    <dxf>
      <fill>
        <patternFill patternType="none">
          <bgColor auto="1"/>
        </patternFill>
      </fill>
    </dxf>
  </rfmt>
  <rfmt sheetId="3" sqref="T49">
    <dxf>
      <fill>
        <patternFill patternType="none">
          <bgColor auto="1"/>
        </patternFill>
      </fill>
    </dxf>
  </rfmt>
  <rfmt sheetId="3" sqref="T51:T52">
    <dxf>
      <fill>
        <patternFill patternType="none">
          <bgColor auto="1"/>
        </patternFill>
      </fill>
    </dxf>
  </rfmt>
  <rfmt sheetId="3" sqref="A38:XFD38">
    <dxf>
      <fill>
        <patternFill patternType="none">
          <bgColor auto="1"/>
        </patternFill>
      </fill>
    </dxf>
  </rfmt>
  <rfmt sheetId="3" sqref="A39:XFD39">
    <dxf>
      <fill>
        <patternFill patternType="none">
          <bgColor auto="1"/>
        </patternFill>
      </fill>
    </dxf>
  </rfmt>
  <rfmt sheetId="3" sqref="A46:XFD46">
    <dxf>
      <fill>
        <patternFill patternType="none">
          <bgColor auto="1"/>
        </patternFill>
      </fill>
    </dxf>
  </rfmt>
  <rfmt sheetId="3" sqref="A55:XFD55">
    <dxf>
      <fill>
        <patternFill patternType="none">
          <bgColor auto="1"/>
        </patternFill>
      </fill>
    </dxf>
  </rfmt>
  <rfmt sheetId="3" sqref="A57:XFD57">
    <dxf>
      <fill>
        <patternFill patternType="none">
          <bgColor auto="1"/>
        </patternFill>
      </fill>
    </dxf>
  </rfmt>
  <rfmt sheetId="3" sqref="A59:XFD59">
    <dxf>
      <fill>
        <patternFill patternType="none">
          <bgColor auto="1"/>
        </patternFill>
      </fill>
    </dxf>
  </rfmt>
  <rfmt sheetId="3" sqref="A60:XFD60">
    <dxf>
      <fill>
        <patternFill patternType="none">
          <bgColor auto="1"/>
        </patternFill>
      </fill>
    </dxf>
  </rfmt>
  <rfmt sheetId="3" sqref="A62:XFD62">
    <dxf>
      <fill>
        <patternFill patternType="none">
          <bgColor auto="1"/>
        </patternFill>
      </fill>
    </dxf>
  </rfmt>
  <rfmt sheetId="3" sqref="J63">
    <dxf>
      <fill>
        <patternFill patternType="none">
          <bgColor auto="1"/>
        </patternFill>
      </fill>
    </dxf>
  </rfmt>
  <rfmt sheetId="3" sqref="A65:XFD65">
    <dxf>
      <fill>
        <patternFill patternType="none">
          <bgColor auto="1"/>
        </patternFill>
      </fill>
    </dxf>
  </rfmt>
  <rfmt sheetId="3" sqref="J66:J70">
    <dxf>
      <fill>
        <patternFill patternType="none">
          <bgColor auto="1"/>
        </patternFill>
      </fill>
    </dxf>
  </rfmt>
  <rfmt sheetId="3" sqref="A11" start="0" length="2147483647">
    <dxf>
      <font>
        <color auto="1"/>
      </font>
    </dxf>
  </rfmt>
  <rfmt sheetId="3" sqref="A11" start="0" length="0">
    <dxf>
      <font>
        <sz val="9"/>
        <color rgb="FFFFC000"/>
        <name val="Arial"/>
        <scheme val="none"/>
      </font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2" sId="3">
    <oc r="I83">
      <f>K38-10598.28</f>
    </oc>
    <nc r="I83"/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5" sId="3">
    <oc r="M76">
      <f>'TERC - "nazwa woj"'!K20</f>
    </oc>
    <nc r="M76"/>
  </rcc>
  <rcc rId="1626" sId="3" numFmtId="4">
    <oc r="M77">
      <v>98773234.889999986</v>
    </oc>
    <nc r="M77"/>
  </rcc>
  <rcc rId="1627" sId="3">
    <oc r="L78" t="inlineStr">
      <is>
        <t>oszczędność:</t>
      </is>
    </oc>
    <nc r="L78"/>
  </rcc>
  <rcc rId="1628" sId="3">
    <oc r="M78">
      <f>M77-M76</f>
    </oc>
    <nc r="M78"/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9" sId="3">
    <oc r="G46" t="inlineStr">
      <is>
        <t>Przebudowa drogi gminnej - ulicy Lubotyńskiej wraz z budową sieci oświetlenia ulicznego, budową sieci wodociągowej, rozbudową sieci kanalizacji deszczowej oraz budową parkingu</t>
      </is>
    </oc>
    <nc r="G46" t="inlineStr">
      <is>
        <t>Przebudowa drogi gminnej - ulicy Lubotyńskiej wraz z budową sieci oświetlenia ulicznego, rozbudową sieci kanalizacji deszczowej oraz budową parkingu</t>
      </is>
    </nc>
  </rcc>
  <rfmt sheetId="3" sqref="G46">
    <dxf>
      <fill>
        <patternFill patternType="solid"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2" sId="3">
    <oc r="J56" t="inlineStr">
      <is>
        <t>lipiec 2024 grudzień 2024</t>
      </is>
    </oc>
    <nc r="J56" t="inlineStr">
      <is>
        <t>czerwiec 2024 grudzień 2024</t>
      </is>
    </nc>
  </rcc>
  <rcc rId="1643" sId="3" numFmtId="4">
    <oc r="K56">
      <v>2586592.84</v>
    </oc>
    <nc r="K56">
      <v>2069744.68</v>
    </nc>
  </rcc>
  <rfmt sheetId="3" sqref="J56:M56">
    <dxf>
      <fill>
        <patternFill patternType="solid">
          <bgColor rgb="FFFFFF00"/>
        </patternFill>
      </fill>
    </dxf>
  </rfmt>
  <rfmt sheetId="3" sqref="T56">
    <dxf>
      <fill>
        <patternFill patternType="solid">
          <bgColor rgb="FFFFFF00"/>
        </patternFill>
      </fill>
    </dxf>
  </rfmt>
  <rcc rId="1644" sId="3">
    <nc r="K77" t="inlineStr">
      <is>
        <t>LZ nr 4</t>
      </is>
    </nc>
  </rcc>
  <rcc rId="1645" sId="3">
    <nc r="K78" t="inlineStr">
      <is>
        <t>oszczędność:</t>
      </is>
    </nc>
  </rcc>
  <rfmt sheetId="3" sqref="K76:K78" start="0" length="2147483647">
    <dxf>
      <font>
        <color rgb="FFFF0000"/>
      </font>
    </dxf>
  </rfmt>
  <rfmt sheetId="3" sqref="K76:K78">
    <dxf>
      <alignment horizontal="center" readingOrder="0"/>
    </dxf>
  </rfmt>
  <rcc rId="1646" sId="3">
    <nc r="L76">
      <v>85236063.310000017</v>
    </nc>
  </rcc>
  <rfmt sheetId="3" sqref="L77" start="0" length="0">
    <dxf>
      <font>
        <b/>
        <sz val="10"/>
        <color theme="9"/>
        <name val="Times New Roman"/>
        <scheme val="none"/>
      </font>
      <numFmt numFmtId="165" formatCode="#,##0.00\ &quot;zł&quot;"/>
      <fill>
        <patternFill patternType="solid">
          <bgColor theme="4" tint="0.79998168889431442"/>
        </patternFill>
      </fill>
      <alignment vertical="center" readingOrder="0"/>
      <border outline="0">
        <left style="thin">
          <color indexed="64"/>
        </left>
        <right style="thin">
          <color indexed="64"/>
        </right>
        <top style="thick">
          <color indexed="64"/>
        </top>
        <bottom style="thin">
          <color indexed="64"/>
        </bottom>
      </border>
    </dxf>
  </rfmt>
  <rcc rId="1647" sId="3" numFmtId="11">
    <nc r="L77">
      <v>84822584.780000016</v>
    </nc>
  </rcc>
  <rfmt sheetId="3" sqref="L76:L77">
    <dxf>
      <numFmt numFmtId="4" formatCode="#,##0.00"/>
    </dxf>
  </rfmt>
  <rfmt sheetId="3" sqref="L76:L77" start="0" length="2147483647">
    <dxf>
      <font>
        <color auto="1"/>
      </font>
    </dxf>
  </rfmt>
  <rfmt sheetId="3" sqref="L76:L77">
    <dxf>
      <fill>
        <patternFill patternType="none">
          <bgColor auto="1"/>
        </patternFill>
      </fill>
    </dxf>
  </rfmt>
  <rfmt sheetId="3" sqref="L76:L77" start="0" length="2147483647">
    <dxf>
      <font>
        <b/>
      </font>
    </dxf>
  </rfmt>
  <rfmt sheetId="3" sqref="L76:L77" start="0" length="2147483647">
    <dxf>
      <font>
        <b val="0"/>
      </font>
    </dxf>
  </rfmt>
  <rcc rId="1648" sId="3">
    <nc r="L78">
      <f>L76-L77</f>
    </nc>
  </rcc>
  <rfmt sheetId="3" sqref="K76:K77" start="0" length="2147483647">
    <dxf>
      <font>
        <color auto="1"/>
      </font>
    </dxf>
  </rfmt>
  <rfmt sheetId="3" sqref="L77" start="0" length="0">
    <dxf>
      <border>
        <left/>
        <right/>
        <top/>
        <bottom/>
      </border>
    </dxf>
  </rfmt>
  <rcc rId="1649" sId="3">
    <nc r="K76" t="inlineStr">
      <is>
        <t>LZ nr 3</t>
      </is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1">
    <oc r="J1" t="inlineStr">
      <is>
        <t>Lista zmieniona nr 3</t>
      </is>
    </oc>
    <nc r="J1" t="inlineStr">
      <is>
        <t>Lista zmieniona nr 4</t>
      </is>
    </nc>
  </rcc>
  <rcv guid="{C76DCD22-0DC9-4799-A058-B64B837BBA0E}" action="delete"/>
  <rdn rId="0" localSheetId="1" customView="1" name="Z_C76DCD22_0DC9_4799_A058_B64B837BBA0E_.wvu.PrintArea" hidden="1" oldHidden="1">
    <formula>'TERC - "nazwa woj"'!$A$1:$Q$36</formula>
    <oldFormula>'TERC - "nazwa woj"'!$A$1:$Q$36</oldFormula>
  </rdn>
  <rdn rId="0" localSheetId="2" customView="1" name="Z_C76DCD22_0DC9_4799_A058_B64B837BBA0E_.wvu.PrintArea" hidden="1" oldHidden="1">
    <formula>'pow podst'!$A$1:$Y$19</formula>
    <oldFormula>'pow podst'!$A$1:$Y$19</oldFormula>
  </rdn>
  <rdn rId="0" localSheetId="2" customView="1" name="Z_C76DCD22_0DC9_4799_A058_B64B837BBA0E_.wvu.PrintTitles" hidden="1" oldHidden="1">
    <formula>'pow podst'!$1:$2</formula>
    <oldFormula>'pow podst'!$1:$2</oldFormula>
  </rdn>
  <rdn rId="0" localSheetId="2" customView="1" name="Z_C76DCD22_0DC9_4799_A058_B64B837BBA0E_.wvu.FilterData" hidden="1" oldHidden="1">
    <formula>'pow podst'!$A$1:$AC$19</formula>
    <oldFormula>'pow podst'!$A$1:$AC$19</oldFormula>
  </rdn>
  <rdn rId="0" localSheetId="3" customView="1" name="Z_C76DCD22_0DC9_4799_A058_B64B837BBA0E_.wvu.PrintArea" hidden="1" oldHidden="1">
    <formula>'gm podst'!$A$1:$Z$79</formula>
    <oldFormula>'gm podst'!$A$1:$Z$79</oldFormula>
  </rdn>
  <rdn rId="0" localSheetId="3" customView="1" name="Z_C76DCD22_0DC9_4799_A058_B64B837BBA0E_.wvu.PrintTitles" hidden="1" oldHidden="1">
    <formula>'gm podst'!$1:$2</formula>
    <oldFormula>'gm podst'!$1:$2</oldFormula>
  </rdn>
  <rdn rId="0" localSheetId="3" customView="1" name="Z_C76DCD22_0DC9_4799_A058_B64B837BBA0E_.wvu.FilterData" hidden="1" oldHidden="1">
    <formula>'gm podst'!$A$2:$AD$74</formula>
    <oldFormula>'gm podst'!$A$2:$AD$74</oldFormula>
  </rdn>
  <rdn rId="0" localSheetId="4" customView="1" name="Z_C76DCD22_0DC9_4799_A058_B64B837BBA0E_.wvu.PrintArea" hidden="1" oldHidden="1">
    <formula>'pow rez'!$A$1:$Y$12</formula>
    <oldFormula>'pow rez'!$A$1:$Y$12</oldFormula>
  </rdn>
  <rdn rId="0" localSheetId="4" customView="1" name="Z_C76DCD22_0DC9_4799_A058_B64B837BBA0E_.wvu.PrintTitles" hidden="1" oldHidden="1">
    <formula>'pow rez'!$1:$2</formula>
    <oldFormula>'pow rez'!$1:$2</oldFormula>
  </rdn>
  <rdn rId="0" localSheetId="5" customView="1" name="Z_C76DCD22_0DC9_4799_A058_B64B837BBA0E_.wvu.PrintArea" hidden="1" oldHidden="1">
    <formula>'gm rez'!$A$1:$Z$27</formula>
    <oldFormula>'gm rez'!$A$1:$Z$27</oldFormula>
  </rdn>
  <rdn rId="0" localSheetId="5" customView="1" name="Z_C76DCD22_0DC9_4799_A058_B64B837BBA0E_.wvu.PrintTitles" hidden="1" oldHidden="1">
    <formula>'gm rez'!$1:$2</formula>
    <oldFormula>'gm rez'!$1:$2</oldFormula>
  </rdn>
  <rdn rId="0" localSheetId="5" customView="1" name="Z_C76DCD22_0DC9_4799_A058_B64B837BBA0E_.wvu.FilterData" hidden="1" oldHidden="1">
    <formula>'gm rez'!$A$2:$AD$23</formula>
    <oldFormula>'gm rez'!$A$2:$AD$23</oldFormula>
  </rdn>
  <rcv guid="{C76DCD22-0DC9-4799-A058-B64B837BBA0E}" action="add"/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S5">
    <dxf>
      <fill>
        <patternFill patternType="solid">
          <bgColor rgb="FF92D050"/>
        </patternFill>
      </fill>
    </dxf>
  </rfmt>
  <rfmt sheetId="2" sqref="S5">
    <dxf>
      <fill>
        <patternFill>
          <bgColor theme="7" tint="0.39997558519241921"/>
        </patternFill>
      </fill>
    </dxf>
  </rfmt>
  <rfmt sheetId="2" sqref="T5">
    <dxf>
      <fill>
        <patternFill patternType="solid">
          <bgColor theme="7" tint="0.39997558519241921"/>
        </patternFill>
      </fill>
    </dxf>
  </rfmt>
  <rcc rId="1675" sId="3">
    <oc r="J12" t="inlineStr">
      <is>
        <t>kwiecień 2024 sierpień 2025</t>
      </is>
    </oc>
    <nc r="J12" t="inlineStr">
      <is>
        <t>kwiecień 2024 wrzesień 2025</t>
      </is>
    </nc>
  </rcc>
  <rfmt sheetId="3" sqref="T12:U12">
    <dxf>
      <fill>
        <patternFill patternType="solid">
          <bgColor theme="7" tint="0.39997558519241921"/>
        </patternFill>
      </fill>
    </dxf>
  </rfmt>
  <rfmt sheetId="3" sqref="T17:U17">
    <dxf>
      <fill>
        <patternFill patternType="solid">
          <bgColor theme="7" tint="0.39997558519241921"/>
        </patternFill>
      </fill>
    </dxf>
  </rfmt>
  <rfmt sheetId="3" sqref="V17">
    <dxf>
      <fill>
        <patternFill patternType="solid">
          <bgColor theme="7" tint="0.39997558519241921"/>
        </patternFill>
      </fill>
    </dxf>
  </rfmt>
  <rfmt sheetId="3" sqref="T23:U23">
    <dxf>
      <fill>
        <patternFill patternType="solid">
          <bgColor theme="7" tint="0.39997558519241921"/>
        </patternFill>
      </fill>
    </dxf>
  </rfmt>
  <rfmt sheetId="3" sqref="T24:U24">
    <dxf>
      <fill>
        <patternFill patternType="solid">
          <bgColor theme="7" tint="0.39997558519241921"/>
        </patternFill>
      </fill>
    </dxf>
  </rfmt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T34:U34">
    <dxf>
      <fill>
        <patternFill patternType="solid">
          <bgColor theme="7" tint="0.39997558519241921"/>
        </patternFill>
      </fill>
    </dxf>
  </rfmt>
  <rfmt sheetId="3" sqref="T37:U37">
    <dxf>
      <fill>
        <patternFill patternType="solid">
          <bgColor theme="7" tint="0.39997558519241921"/>
        </patternFill>
      </fill>
    </dxf>
  </rfmt>
  <rfmt sheetId="3" sqref="T42:U42">
    <dxf>
      <fill>
        <patternFill patternType="solid">
          <bgColor theme="7" tint="0.39997558519241921"/>
        </patternFill>
      </fill>
    </dxf>
  </rfmt>
  <rfmt sheetId="3" sqref="T43:U43">
    <dxf>
      <fill>
        <patternFill patternType="solid">
          <bgColor theme="7" tint="0.39997558519241921"/>
        </patternFill>
      </fill>
    </dxf>
  </rfmt>
  <rfmt sheetId="2" sqref="T15" start="0" length="0">
    <dxf>
      <numFmt numFmtId="4" formatCode="#,##0.0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view="pageBreakPreview" topLeftCell="A10" zoomScaleNormal="100" zoomScaleSheetLayoutView="100" workbookViewId="0">
      <selection activeCell="K20" sqref="K20"/>
    </sheetView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59" t="s">
        <v>326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339" t="s">
        <v>18</v>
      </c>
      <c r="G2" s="340"/>
      <c r="H2" s="340"/>
      <c r="I2" s="340"/>
      <c r="J2" s="340"/>
      <c r="K2" s="340"/>
      <c r="L2" s="340"/>
      <c r="M2" s="340"/>
      <c r="N2" s="34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342"/>
      <c r="G3" s="343"/>
      <c r="H3" s="343"/>
      <c r="I3" s="343"/>
      <c r="J3" s="343"/>
      <c r="K3" s="343"/>
      <c r="L3" s="343"/>
      <c r="M3" s="343"/>
      <c r="N3" s="344"/>
      <c r="Z3" s="12"/>
    </row>
    <row r="4" spans="1:26" x14ac:dyDescent="0.25">
      <c r="A4" s="15" t="s">
        <v>260</v>
      </c>
      <c r="B4" s="16"/>
      <c r="C4" s="16"/>
      <c r="D4" s="16"/>
      <c r="E4" s="16"/>
      <c r="F4" s="342"/>
      <c r="G4" s="343"/>
      <c r="H4" s="343"/>
      <c r="I4" s="343"/>
      <c r="J4" s="343"/>
      <c r="K4" s="343"/>
      <c r="L4" s="343"/>
      <c r="M4" s="343"/>
      <c r="N4" s="344"/>
      <c r="Z4" s="17"/>
    </row>
    <row r="5" spans="1:26" x14ac:dyDescent="0.25">
      <c r="A5" s="16"/>
      <c r="B5" s="16"/>
      <c r="C5" s="16"/>
      <c r="D5" s="16"/>
      <c r="E5" s="16"/>
      <c r="F5" s="342"/>
      <c r="G5" s="343"/>
      <c r="H5" s="343"/>
      <c r="I5" s="343"/>
      <c r="J5" s="343"/>
      <c r="K5" s="343"/>
      <c r="L5" s="343"/>
      <c r="M5" s="343"/>
      <c r="N5" s="344"/>
      <c r="Z5" s="12"/>
    </row>
    <row r="6" spans="1:26" x14ac:dyDescent="0.25">
      <c r="A6" s="15" t="s">
        <v>259</v>
      </c>
      <c r="B6" s="16"/>
      <c r="C6" s="16"/>
      <c r="D6" s="16"/>
      <c r="E6" s="16"/>
      <c r="F6" s="342"/>
      <c r="G6" s="343"/>
      <c r="H6" s="343"/>
      <c r="I6" s="343"/>
      <c r="J6" s="343"/>
      <c r="K6" s="343"/>
      <c r="L6" s="343"/>
      <c r="M6" s="343"/>
      <c r="N6" s="344"/>
      <c r="Z6" s="17"/>
    </row>
    <row r="7" spans="1:26" ht="15.75" thickBot="1" x14ac:dyDescent="0.3">
      <c r="A7" s="16"/>
      <c r="B7" s="16"/>
      <c r="C7" s="16"/>
      <c r="D7" s="16"/>
      <c r="E7" s="16"/>
      <c r="F7" s="345" t="s">
        <v>19</v>
      </c>
      <c r="G7" s="346"/>
      <c r="H7" s="346"/>
      <c r="I7" s="346"/>
      <c r="J7" s="346"/>
      <c r="K7" s="346"/>
      <c r="L7" s="346"/>
      <c r="M7" s="346"/>
      <c r="N7" s="347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348" t="s">
        <v>1</v>
      </c>
      <c r="B10" s="350" t="s">
        <v>35</v>
      </c>
      <c r="C10" s="352" t="s">
        <v>20</v>
      </c>
      <c r="D10" s="354" t="s">
        <v>21</v>
      </c>
      <c r="E10" s="356" t="s">
        <v>22</v>
      </c>
      <c r="F10" s="102"/>
      <c r="G10" s="89"/>
      <c r="H10" s="90"/>
      <c r="I10" s="89"/>
      <c r="J10" s="90" t="s">
        <v>12</v>
      </c>
      <c r="K10" s="89"/>
      <c r="L10" s="89"/>
      <c r="M10" s="89"/>
      <c r="N10" s="90"/>
      <c r="O10" s="90"/>
      <c r="P10" s="90"/>
      <c r="Q10" s="91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349"/>
      <c r="B11" s="351"/>
      <c r="C11" s="353"/>
      <c r="D11" s="355"/>
      <c r="E11" s="357"/>
      <c r="F11" s="108">
        <v>2019</v>
      </c>
      <c r="G11" s="109">
        <v>2020</v>
      </c>
      <c r="H11" s="109">
        <v>2021</v>
      </c>
      <c r="I11" s="109">
        <v>2022</v>
      </c>
      <c r="J11" s="109">
        <v>2023</v>
      </c>
      <c r="K11" s="109">
        <v>2024</v>
      </c>
      <c r="L11" s="109">
        <v>2025</v>
      </c>
      <c r="M11" s="109">
        <v>2026</v>
      </c>
      <c r="N11" s="109">
        <v>2027</v>
      </c>
      <c r="O11" s="109">
        <v>2028</v>
      </c>
      <c r="P11" s="109">
        <v>2029</v>
      </c>
      <c r="Q11" s="110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111" t="s">
        <v>37</v>
      </c>
      <c r="B12" s="112">
        <f>COUNTA('pow podst'!K3:K10)</f>
        <v>7</v>
      </c>
      <c r="C12" s="113">
        <f>SUM('pow podst'!J3:J10)</f>
        <v>18825095.66</v>
      </c>
      <c r="D12" s="114">
        <f>SUM('pow podst'!L3:L10)</f>
        <v>7703611.3399999989</v>
      </c>
      <c r="E12" s="115">
        <f>SUM('pow podst'!K3:K10)</f>
        <v>11121484.32</v>
      </c>
      <c r="F12" s="116">
        <f>SUM('pow podst'!N3:N10)</f>
        <v>0</v>
      </c>
      <c r="G12" s="113">
        <f>SUM('pow podst'!O3:O10)</f>
        <v>0</v>
      </c>
      <c r="H12" s="113">
        <f>SUM('pow podst'!P3:P10)</f>
        <v>0</v>
      </c>
      <c r="I12" s="113">
        <f>SUM('pow podst'!Q3:Q10)</f>
        <v>0</v>
      </c>
      <c r="J12" s="113">
        <f>SUM('pow podst'!R3:R10)</f>
        <v>0</v>
      </c>
      <c r="K12" s="113">
        <f>SUM('pow podst'!S3:S10)</f>
        <v>9688010.3399999999</v>
      </c>
      <c r="L12" s="113">
        <f>SUM('pow podst'!T3:T10)</f>
        <v>1433473.98</v>
      </c>
      <c r="M12" s="113">
        <f>SUM('pow podst'!U3:U10)</f>
        <v>0</v>
      </c>
      <c r="N12" s="113">
        <f>SUM('pow podst'!V3:V10)</f>
        <v>0</v>
      </c>
      <c r="O12" s="113">
        <f>SUM('pow podst'!W3:W10)</f>
        <v>0</v>
      </c>
      <c r="P12" s="113">
        <f>SUM('pow podst'!X3:X10)</f>
        <v>0</v>
      </c>
      <c r="Q12" s="117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18" t="s">
        <v>38</v>
      </c>
      <c r="B13" s="161">
        <f>COUNTIF('pow podst'!C3:C10,"K")</f>
        <v>0</v>
      </c>
      <c r="C13" s="162">
        <f>SUMIF('pow podst'!C3:C10,"K",'pow podst'!J3:J10)</f>
        <v>0</v>
      </c>
      <c r="D13" s="163">
        <f>SUMIF('pow podst'!C3:C10,"K",'pow podst'!L3:L10)</f>
        <v>0</v>
      </c>
      <c r="E13" s="51">
        <f>SUMIF('pow podst'!C3:C10,"K",'pow podst'!K3:K10)</f>
        <v>0</v>
      </c>
      <c r="F13" s="170">
        <f>SUMIF('pow podst'!C3:C10,"K",'pow podst'!N3:N10)</f>
        <v>0</v>
      </c>
      <c r="G13" s="162">
        <f>SUMIF('pow podst'!C3:C10,"K",'pow podst'!O3:O10)</f>
        <v>0</v>
      </c>
      <c r="H13" s="162">
        <f>SUMIF('pow podst'!C3:C10,"K",'pow podst'!P3:P10)</f>
        <v>0</v>
      </c>
      <c r="I13" s="162">
        <f>SUMIF('pow podst'!C3:C10,"K",'pow podst'!Q3:Q10)</f>
        <v>0</v>
      </c>
      <c r="J13" s="162">
        <f>SUMIF('pow podst'!C3:C10,"K",'pow podst'!R3:R10)</f>
        <v>0</v>
      </c>
      <c r="K13" s="162">
        <f>SUMIF('pow podst'!C3:C10,"K",'pow podst'!S3:S10)</f>
        <v>0</v>
      </c>
      <c r="L13" s="162">
        <f>SUMIF('pow podst'!C3:C10,"K",'pow podst'!T3:T10)</f>
        <v>0</v>
      </c>
      <c r="M13" s="162">
        <f>SUMIF('pow podst'!C3:C10,"K",'pow podst'!U3:U10)</f>
        <v>0</v>
      </c>
      <c r="N13" s="162">
        <f>SUMIF('pow podst'!C3:C10,"K",'pow podst'!V3:V10)</f>
        <v>0</v>
      </c>
      <c r="O13" s="162">
        <f>SUMIF('pow podst'!C3:C10,"K",'pow podst'!W3:W10)</f>
        <v>0</v>
      </c>
      <c r="P13" s="162">
        <f>SUMIF('pow podst'!D3:D10,"K",'pow podst'!X3:X10)</f>
        <v>0</v>
      </c>
      <c r="Q13" s="171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19" t="s">
        <v>39</v>
      </c>
      <c r="B14" s="164">
        <f>COUNTIF('pow podst'!C3:C10,"N")</f>
        <v>6</v>
      </c>
      <c r="C14" s="165">
        <f>SUMIF('pow podst'!C3:C10,"N",'pow podst'!J3:J10)</f>
        <v>15955277.879999999</v>
      </c>
      <c r="D14" s="166">
        <f>SUMIF('pow podst'!C3:C10,"N",'pow podst'!L3:L10)</f>
        <v>7129647.7799999993</v>
      </c>
      <c r="E14" s="50">
        <f>SUMIF('pow podst'!C3:C10,"N",'pow podst'!K3:K10)</f>
        <v>8825630.0999999996</v>
      </c>
      <c r="F14" s="172">
        <f>SUMIF('pow podst'!C3:C10,"N",'pow podst'!N3:N10)</f>
        <v>0</v>
      </c>
      <c r="G14" s="165">
        <f>SUMIF('pow podst'!C3:C10,"N",'pow podst'!O3:O10)</f>
        <v>0</v>
      </c>
      <c r="H14" s="165">
        <f>SUMIF('pow podst'!C3:C10,"N",'pow podst'!P3:P10)</f>
        <v>0</v>
      </c>
      <c r="I14" s="165">
        <f>SUMIF('pow podst'!C3:C10,"N",'pow podst'!Q3:Q10)</f>
        <v>0</v>
      </c>
      <c r="J14" s="165">
        <f>SUMIF('pow podst'!C3:C10,"N",'pow podst'!R3:R10)</f>
        <v>0</v>
      </c>
      <c r="K14" s="165">
        <f>SUMIF('pow podst'!C3:C10,"N",'pow podst'!S3:S10)</f>
        <v>8825630.0999999996</v>
      </c>
      <c r="L14" s="165">
        <f>SUMIF('pow podst'!C3:C10,"N",'pow podst'!T3:T10)</f>
        <v>0</v>
      </c>
      <c r="M14" s="165">
        <f>SUMIF('pow podst'!C3:C10,"N",'pow podst'!U3:U10)</f>
        <v>0</v>
      </c>
      <c r="N14" s="165">
        <f>SUMIF('pow podst'!C3:C10,"N",'pow podst'!V3:V10)</f>
        <v>0</v>
      </c>
      <c r="O14" s="165">
        <f>SUMIF('pow podst'!C3:C10,"N",'pow podst'!W3:W10)</f>
        <v>0</v>
      </c>
      <c r="P14" s="165">
        <f>SUMIF('pow podst'!D3:D10,"N",'pow podst'!X3:X10)</f>
        <v>0</v>
      </c>
      <c r="Q14" s="173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20" t="s">
        <v>40</v>
      </c>
      <c r="B15" s="167">
        <f>COUNTIF('pow podst'!C3:C10,"W")</f>
        <v>1</v>
      </c>
      <c r="C15" s="168">
        <f>SUMIF('pow podst'!C3:C10,"W",'pow podst'!J3:J10)</f>
        <v>2869817.78</v>
      </c>
      <c r="D15" s="169">
        <f>SUMIF('pow podst'!C3:C10,"W",'pow podst'!L3:L10)</f>
        <v>573963.55999999959</v>
      </c>
      <c r="E15" s="121">
        <f>SUMIF('pow podst'!C3:C10,"W",'pow podst'!K3:K10)</f>
        <v>2295854.2200000002</v>
      </c>
      <c r="F15" s="174">
        <f>SUMIF('pow podst'!C3:C10,"W",'pow podst'!N3:N10)</f>
        <v>0</v>
      </c>
      <c r="G15" s="168">
        <f>SUMIF('pow podst'!C3:C10,"W",'pow podst'!O3:O10)</f>
        <v>0</v>
      </c>
      <c r="H15" s="168">
        <f>SUMIF('pow podst'!C3:C10,"W",'pow podst'!P3:P10)</f>
        <v>0</v>
      </c>
      <c r="I15" s="168">
        <f>SUMIF('pow podst'!C3:C10,"W",'pow podst'!Q3:Q10)</f>
        <v>0</v>
      </c>
      <c r="J15" s="168">
        <f>SUMIF('pow podst'!C3:C10,"W",'pow podst'!R3:R10)</f>
        <v>0</v>
      </c>
      <c r="K15" s="168">
        <f>SUMIF('pow podst'!C3:C10,"W",'pow podst'!S3:S10)</f>
        <v>862380.24</v>
      </c>
      <c r="L15" s="168">
        <f>SUMIF('pow podst'!C3:C10,"W",'pow podst'!T3:T10)</f>
        <v>1433473.98</v>
      </c>
      <c r="M15" s="168">
        <f>SUMIF('pow podst'!C3:C10,"W",'pow podst'!U3:U10)</f>
        <v>0</v>
      </c>
      <c r="N15" s="168">
        <f>SUMIF('pow podst'!C3:C10,"W",'pow podst'!V3:V10)</f>
        <v>0</v>
      </c>
      <c r="O15" s="168">
        <f>SUMIF('pow podst'!C3:C10,"W",'pow podst'!W3:W10)</f>
        <v>0</v>
      </c>
      <c r="P15" s="168">
        <f>SUMIF('pow podst'!D3:D10,"W",'pow podst'!X3:X10)</f>
        <v>0</v>
      </c>
      <c r="Q15" s="175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111" t="s">
        <v>41</v>
      </c>
      <c r="B16" s="112">
        <f>COUNTA('gm podst'!L3:L70)</f>
        <v>63</v>
      </c>
      <c r="C16" s="113">
        <f>SUM('gm podst'!K3:K70)</f>
        <v>139660387.60999995</v>
      </c>
      <c r="D16" s="114">
        <f>SUM('gm podst'!M3:M70)</f>
        <v>42359495.799999997</v>
      </c>
      <c r="E16" s="115">
        <f>SUM('gm podst'!L3:L70)</f>
        <v>97300891.810000017</v>
      </c>
      <c r="F16" s="176">
        <f>SUM('gm podst'!O3:O70)</f>
        <v>0</v>
      </c>
      <c r="G16" s="177">
        <f>SUM('gm podst'!P3:P70)</f>
        <v>0</v>
      </c>
      <c r="H16" s="177">
        <f>SUM('gm podst'!Q3:Q70)</f>
        <v>0</v>
      </c>
      <c r="I16" s="177">
        <f>SUM('gm podst'!R3:R70)</f>
        <v>0</v>
      </c>
      <c r="J16" s="177">
        <f>SUM('gm podst'!S3:S70)</f>
        <v>10835376.120000001</v>
      </c>
      <c r="K16" s="177">
        <f>SUM('gm podst'!T3:T70)</f>
        <v>74784760.099999994</v>
      </c>
      <c r="L16" s="177">
        <f>SUM('gm podst'!U3:U70)</f>
        <v>9693404.8299999982</v>
      </c>
      <c r="M16" s="177">
        <f>SUM('gm podst'!V3:V70)</f>
        <v>1987350.7600000007</v>
      </c>
      <c r="N16" s="177">
        <f>SUM('gm podst'!W3:W70)</f>
        <v>0</v>
      </c>
      <c r="O16" s="177">
        <f>SUM('gm podst'!X3:X70)</f>
        <v>0</v>
      </c>
      <c r="P16" s="177">
        <f>SUM('gm podst'!Y3:Y70)</f>
        <v>0</v>
      </c>
      <c r="Q16" s="178">
        <f>SUM('gm podst'!Z3:Z70)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18" t="s">
        <v>38</v>
      </c>
      <c r="B17" s="161">
        <f>COUNTIF('gm podst'!C3:C70,"K")</f>
        <v>8</v>
      </c>
      <c r="C17" s="162">
        <f>SUMIF('gm podst'!C3:C70,"K",'gm podst'!K3:K70)</f>
        <v>32087681.740000002</v>
      </c>
      <c r="D17" s="163">
        <f>SUMIF('gm podst'!C3:C70,"K",'gm podst'!M3:M70)</f>
        <v>10621979.609999999</v>
      </c>
      <c r="E17" s="51">
        <f>SUMIF('gm podst'!C3:C70,"K",'gm podst'!L3:L70)</f>
        <v>21465702.130000003</v>
      </c>
      <c r="F17" s="170">
        <f>SUMIF('gm podst'!C3:C70,"K",'gm podst'!O3:O70)</f>
        <v>0</v>
      </c>
      <c r="G17" s="162">
        <f>SUMIF('gm podst'!C3:C70,"K",'gm podst'!P3:P70)</f>
        <v>0</v>
      </c>
      <c r="H17" s="162">
        <f>SUMIF('gm podst'!C3:C70,"K",'gm podst'!Q3:Q70)</f>
        <v>0</v>
      </c>
      <c r="I17" s="162">
        <f>SUMIF('gm podst'!C3:C70,"K",'gm podst'!R3:R70)</f>
        <v>0</v>
      </c>
      <c r="J17" s="162">
        <f>SUMIF('gm podst'!C3:C70,"K",'gm podst'!S3:S70)</f>
        <v>10835376.120000001</v>
      </c>
      <c r="K17" s="162">
        <f>SUMIF('gm podst'!C3:C70,"K",'gm podst'!T3:T70)</f>
        <v>10630326.010000002</v>
      </c>
      <c r="L17" s="162">
        <f>SUMIF('gm podst'!C3:C70,"K",'gm podst'!U3:U70)</f>
        <v>0</v>
      </c>
      <c r="M17" s="162">
        <f>SUMIF('gm podst'!C3:C70,"K",'gm podst'!V3:V70)</f>
        <v>0</v>
      </c>
      <c r="N17" s="162">
        <f>SUMIF('gm podst'!C3:C70,"K",'gm podst'!W3:W70)</f>
        <v>0</v>
      </c>
      <c r="O17" s="162">
        <f>SUMIF('gm podst'!C3:C70,"K",'gm podst'!X3:X70)</f>
        <v>0</v>
      </c>
      <c r="P17" s="162">
        <f>SUMIF('gm podst'!D3:D70,"K",'gm podst'!Y3:Y70)</f>
        <v>0</v>
      </c>
      <c r="Q17" s="171">
        <f>SUMIF('gm podst'!E3:E70,"K",'gm podst'!Z3:Z70)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19" t="s">
        <v>39</v>
      </c>
      <c r="B18" s="164">
        <f>COUNTIF('gm podst'!C3:C70,"N")</f>
        <v>46</v>
      </c>
      <c r="C18" s="165">
        <f>SUMIF('gm podst'!C3:C70,"N",'gm podst'!K3:K70)</f>
        <v>72842790.369999975</v>
      </c>
      <c r="D18" s="166">
        <f>SUMIF('gm podst'!C3:C70,"N",'gm podst'!M3:M70)</f>
        <v>22722525.739999995</v>
      </c>
      <c r="E18" s="50">
        <f>SUMIF('gm podst'!C3:C70,"N",'gm podst'!L3:L70)</f>
        <v>50120264.63000001</v>
      </c>
      <c r="F18" s="172">
        <f>SUMIF('gm podst'!C3:C70,"N",'gm podst'!O3:O70)</f>
        <v>0</v>
      </c>
      <c r="G18" s="165">
        <f>SUMIF('gm podst'!C3:C70,"N",'gm podst'!P3:P70)</f>
        <v>0</v>
      </c>
      <c r="H18" s="165">
        <f>SUMIF('gm podst'!C3:C70,"N",'gm podst'!Q3:Q70)</f>
        <v>0</v>
      </c>
      <c r="I18" s="165">
        <f>SUMIF('gm podst'!C3:C70,"N",'gm podst'!R3:R70)</f>
        <v>0</v>
      </c>
      <c r="J18" s="165">
        <f>SUMIF('gm podst'!C3:C70,"N",'gm podst'!S3:S70)</f>
        <v>0</v>
      </c>
      <c r="K18" s="165">
        <f>SUMIF('gm podst'!C3:C70,"N",'gm podst'!T3:T70)</f>
        <v>50120264.63000001</v>
      </c>
      <c r="L18" s="165">
        <f>SUMIF('gm podst'!C3:C70,"N",'gm podst'!U3:U70)</f>
        <v>0</v>
      </c>
      <c r="M18" s="165">
        <f>SUMIF('gm podst'!C3:C70,"N",'gm podst'!V3:V70)</f>
        <v>0</v>
      </c>
      <c r="N18" s="165">
        <f>SUMIF('gm podst'!C3:C70,"N",'gm podst'!W3:W70)</f>
        <v>0</v>
      </c>
      <c r="O18" s="165">
        <f>SUMIF('gm podst'!C3:C70,"N",'gm podst'!X3:X70)</f>
        <v>0</v>
      </c>
      <c r="P18" s="165">
        <f>SUMIF('gm podst'!D3:D70,"N",'gm podst'!Y3:Y70)</f>
        <v>0</v>
      </c>
      <c r="Q18" s="173">
        <f>SUMIF('gm podst'!E3:E70,"N",'gm podst'!Z3:Z70)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20" t="s">
        <v>40</v>
      </c>
      <c r="B19" s="167">
        <f>COUNTIF('gm podst'!C3:C70,"W")</f>
        <v>9</v>
      </c>
      <c r="C19" s="168">
        <f>SUMIF('gm podst'!C3:C70,"W",'gm podst'!K3:K70)</f>
        <v>34729915.5</v>
      </c>
      <c r="D19" s="169">
        <f>SUMIF('gm podst'!C3:C70,"W",'gm podst'!M3:M70)</f>
        <v>9014990.4499999993</v>
      </c>
      <c r="E19" s="121">
        <f>SUMIF('gm podst'!C3:C70,"W",'gm podst'!L3:L70)</f>
        <v>25714925.049999997</v>
      </c>
      <c r="F19" s="174">
        <f>SUMIF('gm podst'!C3:C70,"W",'gm podst'!O3:O70)</f>
        <v>0</v>
      </c>
      <c r="G19" s="168">
        <f>SUMIF('gm podst'!C3:C70,"W",'gm podst'!P3:P70)</f>
        <v>0</v>
      </c>
      <c r="H19" s="168">
        <f>SUMIF('gm podst'!C3:C70,"W",'gm podst'!Q3:Q70)</f>
        <v>0</v>
      </c>
      <c r="I19" s="168">
        <f>SUMIF('gm podst'!C3:C70,"W",'gm podst'!R3:R70)</f>
        <v>0</v>
      </c>
      <c r="J19" s="168">
        <f>SUMIF('gm podst'!C3:C70,"W",'gm podst'!S3:S70)</f>
        <v>0</v>
      </c>
      <c r="K19" s="168">
        <f>SUMIF('gm podst'!C3:C70,"W",'gm podst'!T3:T70)</f>
        <v>14034169.459999999</v>
      </c>
      <c r="L19" s="168">
        <f>SUMIF('gm podst'!C3:C70,"W",'gm podst'!U3:U70)</f>
        <v>9693404.8299999982</v>
      </c>
      <c r="M19" s="168">
        <f>SUMIF('gm podst'!C3:C70,"W",'gm podst'!V3:V70)</f>
        <v>1987350.7600000007</v>
      </c>
      <c r="N19" s="168">
        <f>SUMIF('gm podst'!C3:C70,"W",'gm podst'!W3:W70)</f>
        <v>0</v>
      </c>
      <c r="O19" s="168">
        <f>SUMIF('gm podst'!C3:C70,"W",'gm podst'!X3:X70)</f>
        <v>0</v>
      </c>
      <c r="P19" s="168">
        <f>SUMIF('gm podst'!D3:D70,"W",'gm podst'!Y3:Y70)</f>
        <v>0</v>
      </c>
      <c r="Q19" s="175">
        <f>SUMIF('gm podst'!E3:E70,"W",'gm podst'!Z3:Z70)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22" t="s">
        <v>42</v>
      </c>
      <c r="B20" s="123">
        <f>B12+B16</f>
        <v>70</v>
      </c>
      <c r="C20" s="124">
        <f>C12+C16</f>
        <v>158485483.26999995</v>
      </c>
      <c r="D20" s="125">
        <f t="shared" ref="C20:O22" si="2">D12+D16</f>
        <v>50063107.139999993</v>
      </c>
      <c r="E20" s="126">
        <f t="shared" si="2"/>
        <v>108422376.13000003</v>
      </c>
      <c r="F20" s="127">
        <f t="shared" si="2"/>
        <v>0</v>
      </c>
      <c r="G20" s="124">
        <f t="shared" si="2"/>
        <v>0</v>
      </c>
      <c r="H20" s="124">
        <f t="shared" si="2"/>
        <v>0</v>
      </c>
      <c r="I20" s="124">
        <f t="shared" si="2"/>
        <v>0</v>
      </c>
      <c r="J20" s="124">
        <f t="shared" si="2"/>
        <v>10835376.120000001</v>
      </c>
      <c r="K20" s="124">
        <f>K12+K16</f>
        <v>84472770.439999998</v>
      </c>
      <c r="L20" s="124">
        <f t="shared" si="2"/>
        <v>11126878.809999999</v>
      </c>
      <c r="M20" s="124">
        <f t="shared" si="2"/>
        <v>1987350.7600000007</v>
      </c>
      <c r="N20" s="124">
        <f t="shared" si="2"/>
        <v>0</v>
      </c>
      <c r="O20" s="124">
        <f t="shared" si="2"/>
        <v>0</v>
      </c>
      <c r="P20" s="124">
        <f t="shared" ref="P20:Q20" si="3">P12+P16</f>
        <v>0</v>
      </c>
      <c r="Q20" s="128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29" t="s">
        <v>38</v>
      </c>
      <c r="B21" s="93">
        <f>B13+B17</f>
        <v>8</v>
      </c>
      <c r="C21" s="85">
        <f t="shared" si="2"/>
        <v>32087681.740000002</v>
      </c>
      <c r="D21" s="98">
        <f t="shared" si="2"/>
        <v>10621979.609999999</v>
      </c>
      <c r="E21" s="51">
        <f t="shared" si="2"/>
        <v>21465702.130000003</v>
      </c>
      <c r="F21" s="103">
        <f t="shared" si="2"/>
        <v>0</v>
      </c>
      <c r="G21" s="85">
        <f t="shared" si="2"/>
        <v>0</v>
      </c>
      <c r="H21" s="85">
        <f t="shared" si="2"/>
        <v>0</v>
      </c>
      <c r="I21" s="85">
        <f t="shared" si="2"/>
        <v>0</v>
      </c>
      <c r="J21" s="85">
        <f t="shared" si="2"/>
        <v>10835376.120000001</v>
      </c>
      <c r="K21" s="85">
        <f t="shared" si="2"/>
        <v>10630326.010000002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ref="P21:Q21" si="4">P13+P17</f>
        <v>0</v>
      </c>
      <c r="Q21" s="130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31" t="s">
        <v>39</v>
      </c>
      <c r="B22" s="94">
        <f>B14+B18</f>
        <v>52</v>
      </c>
      <c r="C22" s="88">
        <f t="shared" si="2"/>
        <v>88798068.24999997</v>
      </c>
      <c r="D22" s="99">
        <f t="shared" si="2"/>
        <v>29852173.519999996</v>
      </c>
      <c r="E22" s="50">
        <f t="shared" si="2"/>
        <v>58945894.730000012</v>
      </c>
      <c r="F22" s="104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0</v>
      </c>
      <c r="K22" s="88">
        <f t="shared" si="2"/>
        <v>58945894.730000012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88">
        <f t="shared" si="2"/>
        <v>0</v>
      </c>
      <c r="P22" s="88">
        <f t="shared" ref="P22:Q22" si="5">P14+P18</f>
        <v>0</v>
      </c>
      <c r="Q22" s="132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33" t="s">
        <v>40</v>
      </c>
      <c r="B23" s="134">
        <f>B15+B19</f>
        <v>10</v>
      </c>
      <c r="C23" s="135">
        <f t="shared" ref="C23:O23" si="6">C15+C19</f>
        <v>37599733.280000001</v>
      </c>
      <c r="D23" s="136">
        <f t="shared" si="6"/>
        <v>9588954.0099999979</v>
      </c>
      <c r="E23" s="121">
        <f t="shared" si="6"/>
        <v>28010779.269999996</v>
      </c>
      <c r="F23" s="137">
        <f t="shared" si="6"/>
        <v>0</v>
      </c>
      <c r="G23" s="135">
        <f t="shared" si="6"/>
        <v>0</v>
      </c>
      <c r="H23" s="135">
        <f t="shared" si="6"/>
        <v>0</v>
      </c>
      <c r="I23" s="135">
        <f t="shared" si="6"/>
        <v>0</v>
      </c>
      <c r="J23" s="135">
        <f t="shared" si="6"/>
        <v>0</v>
      </c>
      <c r="K23" s="135">
        <f t="shared" si="6"/>
        <v>14896549.699999999</v>
      </c>
      <c r="L23" s="135">
        <f t="shared" si="6"/>
        <v>11126878.809999999</v>
      </c>
      <c r="M23" s="135">
        <f t="shared" si="6"/>
        <v>1987350.7600000007</v>
      </c>
      <c r="N23" s="135">
        <f t="shared" si="6"/>
        <v>0</v>
      </c>
      <c r="O23" s="135">
        <f t="shared" si="6"/>
        <v>0</v>
      </c>
      <c r="P23" s="135">
        <f t="shared" ref="P23:Q23" si="7">P15+P19</f>
        <v>0</v>
      </c>
      <c r="Q23" s="138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111" t="s">
        <v>2</v>
      </c>
      <c r="B24" s="112">
        <f>COUNTA('pow rez'!K3:K5)</f>
        <v>0</v>
      </c>
      <c r="C24" s="113">
        <f>SUM('pow rez'!J3:J5)</f>
        <v>0</v>
      </c>
      <c r="D24" s="114">
        <f>SUM('pow rez'!L3:L5)</f>
        <v>0</v>
      </c>
      <c r="E24" s="115">
        <f>SUM('pow rez'!K3:K5)</f>
        <v>0</v>
      </c>
      <c r="F24" s="116">
        <f>SUM('pow rez'!N3:N5)</f>
        <v>0</v>
      </c>
      <c r="G24" s="113">
        <f>SUM('pow rez'!O3:O5)</f>
        <v>0</v>
      </c>
      <c r="H24" s="113">
        <f>SUM('pow rez'!P3:P5)</f>
        <v>0</v>
      </c>
      <c r="I24" s="113">
        <f>SUM('pow rez'!Q3:Q5)</f>
        <v>0</v>
      </c>
      <c r="J24" s="113">
        <f>SUM('pow rez'!R3:R5)</f>
        <v>0</v>
      </c>
      <c r="K24" s="113">
        <f>SUM('pow rez'!S3:S5)</f>
        <v>0</v>
      </c>
      <c r="L24" s="113">
        <f>SUM('pow rez'!T3:T5)</f>
        <v>0</v>
      </c>
      <c r="M24" s="113">
        <f>SUM('pow rez'!U3:U5)</f>
        <v>0</v>
      </c>
      <c r="N24" s="113">
        <f>SUM('pow rez'!V3:V5)</f>
        <v>0</v>
      </c>
      <c r="O24" s="113">
        <f>SUM('pow rez'!W3:W5)</f>
        <v>0</v>
      </c>
      <c r="P24" s="113">
        <f>SUM('pow rez'!X3:X5)</f>
        <v>0</v>
      </c>
      <c r="Q24" s="117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19" t="s">
        <v>39</v>
      </c>
      <c r="B25" s="164">
        <f>COUNTIF('pow rez'!C3:C5,"N")</f>
        <v>0</v>
      </c>
      <c r="C25" s="165">
        <f>SUMIF('pow rez'!C3:C5,"N",'pow rez'!J3:J5)</f>
        <v>0</v>
      </c>
      <c r="D25" s="166">
        <f>SUMIF('pow rez'!C3:C5,"N",'pow rez'!L3:L5)</f>
        <v>0</v>
      </c>
      <c r="E25" s="50">
        <f>SUMIF('pow rez'!C3:C5,"N",'pow rez'!K3:K5)</f>
        <v>0</v>
      </c>
      <c r="F25" s="172">
        <f>SUMIF('pow rez'!C3:C5,"N",'pow rez'!N3:N5)</f>
        <v>0</v>
      </c>
      <c r="G25" s="165">
        <f>SUMIF('pow rez'!C3:C5,"N",'pow rez'!O3:O5)</f>
        <v>0</v>
      </c>
      <c r="H25" s="165">
        <f>SUMIF('pow rez'!C3:C5,"N",'pow rez'!P3:P5)</f>
        <v>0</v>
      </c>
      <c r="I25" s="165">
        <f>SUMIF('pow rez'!C3:C5,"N",'pow rez'!Q3:Q5)</f>
        <v>0</v>
      </c>
      <c r="J25" s="165">
        <f>SUMIF('pow rez'!C3:C5,"N",'pow rez'!R3:R5)</f>
        <v>0</v>
      </c>
      <c r="K25" s="165">
        <f>SUMIF('pow rez'!C3:C5,"N",'pow rez'!S3:S5)</f>
        <v>0</v>
      </c>
      <c r="L25" s="165">
        <f>SUMIF('pow rez'!C3:C5,"N",'pow rez'!T3:T5)</f>
        <v>0</v>
      </c>
      <c r="M25" s="165">
        <f>SUMIF('pow rez'!C3:C5,"N",'pow rez'!U3:U5)</f>
        <v>0</v>
      </c>
      <c r="N25" s="165">
        <f>SUMIF('pow rez'!C3:C5,"N",'pow rez'!V3:V5)</f>
        <v>0</v>
      </c>
      <c r="O25" s="165">
        <f>SUMIF('pow rez'!C3:C5,"N",'pow rez'!W3:W5)</f>
        <v>0</v>
      </c>
      <c r="P25" s="165">
        <f>SUMIF('pow rez'!D3:D5,"N",'pow rez'!X3:X5)</f>
        <v>0</v>
      </c>
      <c r="Q25" s="173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20" t="s">
        <v>40</v>
      </c>
      <c r="B26" s="167">
        <f>COUNTIF('pow rez'!C3:C5,"W")</f>
        <v>0</v>
      </c>
      <c r="C26" s="168">
        <f>SUMIF('pow rez'!C3:C5,"W",'pow rez'!J3:J5)</f>
        <v>0</v>
      </c>
      <c r="D26" s="169">
        <f>SUMIF('pow rez'!C3:C5,"W",'pow rez'!L3:L5)</f>
        <v>0</v>
      </c>
      <c r="E26" s="121">
        <f>SUMIF('pow rez'!C3:C5,"W",'pow rez'!K3:K5)</f>
        <v>0</v>
      </c>
      <c r="F26" s="174">
        <f>SUMIF('pow rez'!C3:C5,"W",'pow rez'!N3:N5)</f>
        <v>0</v>
      </c>
      <c r="G26" s="168">
        <f>SUMIF('pow rez'!C3:C5,"W",'pow rez'!O3:O5)</f>
        <v>0</v>
      </c>
      <c r="H26" s="168">
        <f>SUMIF('pow rez'!C3:C5,"W",'pow rez'!P3:P5)</f>
        <v>0</v>
      </c>
      <c r="I26" s="168">
        <f>SUMIF('pow rez'!C3:C5,"W",'pow rez'!Q3:Q5)</f>
        <v>0</v>
      </c>
      <c r="J26" s="168">
        <f>SUMIF('pow rez'!C3:C5,"W",'pow rez'!R3:R5)</f>
        <v>0</v>
      </c>
      <c r="K26" s="168">
        <f>SUMIF('pow rez'!C3:C5,"W",'pow rez'!S3:S5)</f>
        <v>0</v>
      </c>
      <c r="L26" s="168">
        <f>SUMIF('pow rez'!C3:C5,"W",'pow rez'!T3:T5)</f>
        <v>0</v>
      </c>
      <c r="M26" s="168">
        <f>SUMIF('pow rez'!C3:C5,"W",'pow rez'!U3:U5)</f>
        <v>0</v>
      </c>
      <c r="N26" s="168">
        <f>SUMIF('pow rez'!C3:C5,"W",'pow rez'!V3:V5)</f>
        <v>0</v>
      </c>
      <c r="O26" s="168">
        <f>SUMIF('pow rez'!C3:C5,"W",'pow rez'!W3:W5)</f>
        <v>0</v>
      </c>
      <c r="P26" s="168">
        <f>SUMIF('pow rez'!D3:D5,"W",'pow rez'!X3:X5)</f>
        <v>0</v>
      </c>
      <c r="Q26" s="175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111" t="s">
        <v>3</v>
      </c>
      <c r="B27" s="112">
        <f>COUNTA('gm rez'!L3:L20)</f>
        <v>0</v>
      </c>
      <c r="C27" s="113">
        <f>SUM('gm rez'!K3:K20)</f>
        <v>0</v>
      </c>
      <c r="D27" s="114">
        <f>SUM('gm rez'!M3:M20)</f>
        <v>0</v>
      </c>
      <c r="E27" s="115">
        <f>SUM('gm rez'!L3:L20)</f>
        <v>0</v>
      </c>
      <c r="F27" s="116">
        <f>SUM('gm rez'!O3:O20)</f>
        <v>0</v>
      </c>
      <c r="G27" s="113">
        <f>SUM('gm rez'!P3:P20)</f>
        <v>0</v>
      </c>
      <c r="H27" s="113">
        <f>SUM('gm rez'!Q3:Q20)</f>
        <v>0</v>
      </c>
      <c r="I27" s="113">
        <f>SUM('gm rez'!R3:R20)</f>
        <v>0</v>
      </c>
      <c r="J27" s="113">
        <f>SUM('gm rez'!S3:S20)</f>
        <v>0</v>
      </c>
      <c r="K27" s="113">
        <f>SUM('gm rez'!T3:T20)</f>
        <v>0</v>
      </c>
      <c r="L27" s="113">
        <f>SUM('gm rez'!U3:U20)</f>
        <v>0</v>
      </c>
      <c r="M27" s="113">
        <f>SUM('gm rez'!V3:V20)</f>
        <v>0</v>
      </c>
      <c r="N27" s="113">
        <f>SUM('gm rez'!W3:W20)</f>
        <v>0</v>
      </c>
      <c r="O27" s="113">
        <f>SUM('gm rez'!X3:X20)</f>
        <v>0</v>
      </c>
      <c r="P27" s="113">
        <f>SUM('gm rez'!Y3:Y20)</f>
        <v>0</v>
      </c>
      <c r="Q27" s="117">
        <f>SUM('gm rez'!Z3:Z20)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19" t="s">
        <v>39</v>
      </c>
      <c r="B28" s="164">
        <f>COUNTIF('gm rez'!C3:C20,"N")</f>
        <v>0</v>
      </c>
      <c r="C28" s="165">
        <f>SUMIF('gm rez'!C3:C20,"N",'gm rez'!K3:K20)</f>
        <v>0</v>
      </c>
      <c r="D28" s="166">
        <f>SUMIF('gm rez'!C3:C20,"N",'gm rez'!M3:M20)</f>
        <v>0</v>
      </c>
      <c r="E28" s="50">
        <f>SUMIF('gm rez'!C3:C20,"N",'gm rez'!L3:L20)</f>
        <v>0</v>
      </c>
      <c r="F28" s="172">
        <f>SUMIF('gm rez'!C3:C20,"N",'gm rez'!O3:O20)</f>
        <v>0</v>
      </c>
      <c r="G28" s="165">
        <f>SUMIF('gm rez'!C3:C20,"N",'gm rez'!P3:P20)</f>
        <v>0</v>
      </c>
      <c r="H28" s="165">
        <f>SUMIF('gm rez'!C3:C20,"N",'gm rez'!Q3:Q20)</f>
        <v>0</v>
      </c>
      <c r="I28" s="165">
        <f>SUMIF('gm rez'!C3:C20,"N",'gm rez'!R3:R20)</f>
        <v>0</v>
      </c>
      <c r="J28" s="165">
        <f>SUMIF('gm rez'!C3:C20,"N",'gm rez'!S3:S20)</f>
        <v>0</v>
      </c>
      <c r="K28" s="165">
        <f>SUMIF('gm rez'!C3:C20,"N",'gm rez'!T3:T20)</f>
        <v>0</v>
      </c>
      <c r="L28" s="165">
        <f>SUMIF('gm rez'!C3:C20,"N",'gm rez'!U3:U20)</f>
        <v>0</v>
      </c>
      <c r="M28" s="165">
        <f>SUMIF('gm rez'!C3:C20,"N",'gm rez'!V3:V20)</f>
        <v>0</v>
      </c>
      <c r="N28" s="165">
        <f>SUMIF('gm rez'!C3:C20,"N",'gm rez'!W3:W20)</f>
        <v>0</v>
      </c>
      <c r="O28" s="165">
        <f>SUMIF('gm rez'!C3:C20,"N",'gm rez'!X3:X20)</f>
        <v>0</v>
      </c>
      <c r="P28" s="165">
        <f>SUMIF('gm rez'!D3:D20,"N",'gm rez'!Y3:Y20)</f>
        <v>0</v>
      </c>
      <c r="Q28" s="173">
        <f>SUMIF('gm rez'!E3:E20,"N",'gm rez'!Z3:Z20)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20" t="s">
        <v>40</v>
      </c>
      <c r="B29" s="167">
        <f>COUNTIF('gm rez'!C3:C20,"W")</f>
        <v>0</v>
      </c>
      <c r="C29" s="168">
        <f>SUMIF('gm rez'!C3:C20,"W",'gm rez'!K3:K20)</f>
        <v>0</v>
      </c>
      <c r="D29" s="169">
        <f>SUMIF('gm rez'!C3:C20,"W",'gm rez'!M3:M20)</f>
        <v>0</v>
      </c>
      <c r="E29" s="121">
        <f>SUMIF('gm rez'!C3:C20,"W",'gm rez'!L3:L20)</f>
        <v>0</v>
      </c>
      <c r="F29" s="174">
        <f>SUMIF('gm rez'!C3:C20,"W",'gm rez'!O3:O20)</f>
        <v>0</v>
      </c>
      <c r="G29" s="168">
        <f>SUMIF('gm rez'!C3:C20,"W",'gm rez'!P3:P20)</f>
        <v>0</v>
      </c>
      <c r="H29" s="168">
        <f>SUMIF('gm rez'!C3:C20,"W",'gm rez'!Q3:Q20)</f>
        <v>0</v>
      </c>
      <c r="I29" s="168">
        <f>SUMIF('gm rez'!C3:C20,"W",'gm rez'!R3:R20)</f>
        <v>0</v>
      </c>
      <c r="J29" s="168">
        <f>SUMIF('gm rez'!C3:C20,"W",'gm rez'!S3:S20)</f>
        <v>0</v>
      </c>
      <c r="K29" s="168">
        <f>SUMIF('gm rez'!C3:C20,"W",'gm rez'!T3:T20)</f>
        <v>0</v>
      </c>
      <c r="L29" s="168">
        <f>SUMIF('gm rez'!C3:C20,"W",'gm rez'!U3:U20)</f>
        <v>0</v>
      </c>
      <c r="M29" s="168">
        <f>SUMIF('gm rez'!C3:C20,"W",'gm rez'!V3:V20)</f>
        <v>0</v>
      </c>
      <c r="N29" s="168">
        <f>SUMIF('gm rez'!C3:C20,"W",'gm rez'!W3:W20)</f>
        <v>0</v>
      </c>
      <c r="O29" s="168">
        <f>SUMIF('gm rez'!C3:C20,"W",'gm rez'!X3:X20)</f>
        <v>0</v>
      </c>
      <c r="P29" s="168">
        <f>SUMIF('gm rez'!D3:D20,"W",'gm rez'!Y3:Y20)</f>
        <v>0</v>
      </c>
      <c r="Q29" s="175">
        <f>SUMIF('gm rez'!E3:E20,"W",'gm rez'!Z3:Z20)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86" t="s">
        <v>23</v>
      </c>
      <c r="B30" s="187">
        <f>B24+B27</f>
        <v>0</v>
      </c>
      <c r="C30" s="188">
        <f t="shared" ref="C30:O30" si="8">C24+C27</f>
        <v>0</v>
      </c>
      <c r="D30" s="189">
        <f t="shared" si="8"/>
        <v>0</v>
      </c>
      <c r="E30" s="190">
        <f t="shared" si="8"/>
        <v>0</v>
      </c>
      <c r="F30" s="191">
        <f t="shared" si="8"/>
        <v>0</v>
      </c>
      <c r="G30" s="188">
        <f t="shared" si="8"/>
        <v>0</v>
      </c>
      <c r="H30" s="188">
        <f t="shared" si="8"/>
        <v>0</v>
      </c>
      <c r="I30" s="188">
        <f t="shared" si="8"/>
        <v>0</v>
      </c>
      <c r="J30" s="188">
        <f t="shared" si="8"/>
        <v>0</v>
      </c>
      <c r="K30" s="188">
        <f t="shared" si="8"/>
        <v>0</v>
      </c>
      <c r="L30" s="188">
        <f t="shared" si="8"/>
        <v>0</v>
      </c>
      <c r="M30" s="188">
        <f t="shared" si="8"/>
        <v>0</v>
      </c>
      <c r="N30" s="188">
        <f t="shared" si="8"/>
        <v>0</v>
      </c>
      <c r="O30" s="188">
        <f t="shared" si="8"/>
        <v>0</v>
      </c>
      <c r="P30" s="188">
        <f t="shared" ref="P30:Q30" si="9">P24+P27</f>
        <v>0</v>
      </c>
      <c r="Q30" s="192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97" t="s">
        <v>39</v>
      </c>
      <c r="B31" s="95">
        <f t="shared" ref="B31:O31" si="10">B25+B28</f>
        <v>0</v>
      </c>
      <c r="C31" s="86">
        <f t="shared" si="10"/>
        <v>0</v>
      </c>
      <c r="D31" s="100">
        <f t="shared" si="10"/>
        <v>0</v>
      </c>
      <c r="E31" s="50">
        <f t="shared" si="10"/>
        <v>0</v>
      </c>
      <c r="F31" s="105">
        <f t="shared" si="10"/>
        <v>0</v>
      </c>
      <c r="G31" s="86">
        <f t="shared" si="10"/>
        <v>0</v>
      </c>
      <c r="H31" s="86">
        <f t="shared" si="10"/>
        <v>0</v>
      </c>
      <c r="I31" s="86">
        <f t="shared" si="10"/>
        <v>0</v>
      </c>
      <c r="J31" s="86">
        <f t="shared" si="10"/>
        <v>0</v>
      </c>
      <c r="K31" s="86">
        <f t="shared" si="10"/>
        <v>0</v>
      </c>
      <c r="L31" s="86">
        <f t="shared" si="10"/>
        <v>0</v>
      </c>
      <c r="M31" s="86">
        <f t="shared" si="10"/>
        <v>0</v>
      </c>
      <c r="N31" s="86">
        <f t="shared" si="10"/>
        <v>0</v>
      </c>
      <c r="O31" s="86">
        <f t="shared" si="10"/>
        <v>0</v>
      </c>
      <c r="P31" s="86">
        <f t="shared" ref="P31:Q31" si="11">P25+P28</f>
        <v>0</v>
      </c>
      <c r="Q31" s="92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39" t="s">
        <v>40</v>
      </c>
      <c r="B32" s="140">
        <f t="shared" ref="B32:O32" si="12">B26+B29</f>
        <v>0</v>
      </c>
      <c r="C32" s="141">
        <f t="shared" si="12"/>
        <v>0</v>
      </c>
      <c r="D32" s="142">
        <f t="shared" si="12"/>
        <v>0</v>
      </c>
      <c r="E32" s="143">
        <f t="shared" si="12"/>
        <v>0</v>
      </c>
      <c r="F32" s="144">
        <f t="shared" si="12"/>
        <v>0</v>
      </c>
      <c r="G32" s="141">
        <f t="shared" si="12"/>
        <v>0</v>
      </c>
      <c r="H32" s="141">
        <f t="shared" si="12"/>
        <v>0</v>
      </c>
      <c r="I32" s="141">
        <f t="shared" si="12"/>
        <v>0</v>
      </c>
      <c r="J32" s="141">
        <f t="shared" si="12"/>
        <v>0</v>
      </c>
      <c r="K32" s="141">
        <f t="shared" si="12"/>
        <v>0</v>
      </c>
      <c r="L32" s="141">
        <f t="shared" si="12"/>
        <v>0</v>
      </c>
      <c r="M32" s="141">
        <f t="shared" si="12"/>
        <v>0</v>
      </c>
      <c r="N32" s="141">
        <f t="shared" si="12"/>
        <v>0</v>
      </c>
      <c r="O32" s="141">
        <f t="shared" si="12"/>
        <v>0</v>
      </c>
      <c r="P32" s="141">
        <f t="shared" ref="P32:Q32" si="13">P26+P29</f>
        <v>0</v>
      </c>
      <c r="Q32" s="145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46" t="s">
        <v>34</v>
      </c>
      <c r="B33" s="147">
        <f>B20+B30</f>
        <v>70</v>
      </c>
      <c r="C33" s="148">
        <f t="shared" ref="C33:O33" si="14">C20+C30</f>
        <v>158485483.26999995</v>
      </c>
      <c r="D33" s="149">
        <f t="shared" si="14"/>
        <v>50063107.139999993</v>
      </c>
      <c r="E33" s="150">
        <f t="shared" si="14"/>
        <v>108422376.13000003</v>
      </c>
      <c r="F33" s="151">
        <f t="shared" si="14"/>
        <v>0</v>
      </c>
      <c r="G33" s="148">
        <f t="shared" si="14"/>
        <v>0</v>
      </c>
      <c r="H33" s="148">
        <f t="shared" si="14"/>
        <v>0</v>
      </c>
      <c r="I33" s="148">
        <f t="shared" si="14"/>
        <v>0</v>
      </c>
      <c r="J33" s="148">
        <f t="shared" si="14"/>
        <v>10835376.120000001</v>
      </c>
      <c r="K33" s="148">
        <f t="shared" si="14"/>
        <v>84472770.439999998</v>
      </c>
      <c r="L33" s="148">
        <f t="shared" si="14"/>
        <v>11126878.809999999</v>
      </c>
      <c r="M33" s="148">
        <f t="shared" si="14"/>
        <v>1987350.7600000007</v>
      </c>
      <c r="N33" s="148">
        <f t="shared" si="14"/>
        <v>0</v>
      </c>
      <c r="O33" s="148">
        <f t="shared" si="14"/>
        <v>0</v>
      </c>
      <c r="P33" s="148">
        <f t="shared" ref="P33:Q33" si="15">P20+P30</f>
        <v>0</v>
      </c>
      <c r="Q33" s="152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79" t="s">
        <v>38</v>
      </c>
      <c r="B34" s="180">
        <f>B21</f>
        <v>8</v>
      </c>
      <c r="C34" s="181">
        <f t="shared" ref="C34:O34" si="16">C21</f>
        <v>32087681.740000002</v>
      </c>
      <c r="D34" s="182">
        <f t="shared" si="16"/>
        <v>10621979.609999999</v>
      </c>
      <c r="E34" s="51">
        <f t="shared" si="16"/>
        <v>21465702.130000003</v>
      </c>
      <c r="F34" s="183">
        <f t="shared" si="16"/>
        <v>0</v>
      </c>
      <c r="G34" s="181">
        <f t="shared" si="16"/>
        <v>0</v>
      </c>
      <c r="H34" s="181">
        <f t="shared" si="16"/>
        <v>0</v>
      </c>
      <c r="I34" s="181">
        <f t="shared" si="16"/>
        <v>0</v>
      </c>
      <c r="J34" s="181">
        <f t="shared" si="16"/>
        <v>10835376.120000001</v>
      </c>
      <c r="K34" s="181">
        <f t="shared" si="16"/>
        <v>10630326.010000002</v>
      </c>
      <c r="L34" s="181">
        <f t="shared" si="16"/>
        <v>0</v>
      </c>
      <c r="M34" s="181">
        <f t="shared" si="16"/>
        <v>0</v>
      </c>
      <c r="N34" s="181">
        <f t="shared" si="16"/>
        <v>0</v>
      </c>
      <c r="O34" s="181">
        <f t="shared" si="16"/>
        <v>0</v>
      </c>
      <c r="P34" s="181">
        <f t="shared" ref="P34:Q34" si="17">P21</f>
        <v>0</v>
      </c>
      <c r="Q34" s="184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53" t="s">
        <v>39</v>
      </c>
      <c r="B35" s="96">
        <f>B22+B31</f>
        <v>52</v>
      </c>
      <c r="C35" s="87">
        <f t="shared" ref="C35:O35" si="18">C22+C31</f>
        <v>88798068.24999997</v>
      </c>
      <c r="D35" s="101">
        <f t="shared" si="18"/>
        <v>29852173.519999996</v>
      </c>
      <c r="E35" s="107">
        <f t="shared" si="18"/>
        <v>58945894.730000012</v>
      </c>
      <c r="F35" s="106">
        <f t="shared" si="18"/>
        <v>0</v>
      </c>
      <c r="G35" s="87">
        <f t="shared" si="18"/>
        <v>0</v>
      </c>
      <c r="H35" s="87">
        <f t="shared" si="18"/>
        <v>0</v>
      </c>
      <c r="I35" s="87">
        <f t="shared" si="18"/>
        <v>0</v>
      </c>
      <c r="J35" s="87">
        <f t="shared" si="18"/>
        <v>0</v>
      </c>
      <c r="K35" s="87">
        <f t="shared" si="18"/>
        <v>58945894.730000012</v>
      </c>
      <c r="L35" s="87">
        <f t="shared" si="18"/>
        <v>0</v>
      </c>
      <c r="M35" s="87">
        <f t="shared" si="18"/>
        <v>0</v>
      </c>
      <c r="N35" s="87">
        <f t="shared" si="18"/>
        <v>0</v>
      </c>
      <c r="O35" s="87">
        <f t="shared" si="18"/>
        <v>0</v>
      </c>
      <c r="P35" s="87">
        <f t="shared" ref="P35:Q35" si="19">P22+P31</f>
        <v>0</v>
      </c>
      <c r="Q35" s="154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55" t="s">
        <v>40</v>
      </c>
      <c r="B36" s="156">
        <f>B23+B32</f>
        <v>10</v>
      </c>
      <c r="C36" s="157">
        <f t="shared" ref="C36:O36" si="20">C23+C32</f>
        <v>37599733.280000001</v>
      </c>
      <c r="D36" s="158">
        <f t="shared" si="20"/>
        <v>9588954.0099999979</v>
      </c>
      <c r="E36" s="121">
        <f t="shared" si="20"/>
        <v>28010779.269999996</v>
      </c>
      <c r="F36" s="159">
        <f t="shared" si="20"/>
        <v>0</v>
      </c>
      <c r="G36" s="157">
        <f t="shared" si="20"/>
        <v>0</v>
      </c>
      <c r="H36" s="157">
        <f t="shared" si="20"/>
        <v>0</v>
      </c>
      <c r="I36" s="157">
        <f t="shared" si="20"/>
        <v>0</v>
      </c>
      <c r="J36" s="157">
        <f t="shared" si="20"/>
        <v>0</v>
      </c>
      <c r="K36" s="157">
        <f t="shared" si="20"/>
        <v>14896549.699999999</v>
      </c>
      <c r="L36" s="157">
        <f t="shared" si="20"/>
        <v>11126878.809999999</v>
      </c>
      <c r="M36" s="157">
        <f t="shared" si="20"/>
        <v>1987350.7600000007</v>
      </c>
      <c r="N36" s="157">
        <f t="shared" si="20"/>
        <v>0</v>
      </c>
      <c r="O36" s="157">
        <f t="shared" si="20"/>
        <v>0</v>
      </c>
      <c r="P36" s="157">
        <f t="shared" ref="P36:Q36" si="21">P23+P32</f>
        <v>0</v>
      </c>
      <c r="Q36" s="160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B4405FF1-036B-45AD-810F-8C9DF67F9D7F}" showPageBreaks="1" fitToPage="1" printArea="1" view="pageBreakPreview" topLeftCell="A4">
      <selection activeCell="K18" sqref="K18"/>
      <pageMargins left="0.70866141732283472" right="0.70866141732283472" top="0.74803149606299213" bottom="0.74803149606299213" header="0.31496062992125984" footer="0.31496062992125984"/>
      <pageSetup paperSize="8" scale="63" orientation="landscape" r:id="rId1"/>
      <headerFooter>
        <oddHeader>&amp;LWojewództ&amp;K000000wo Opolskie</oddHeader>
      </headerFooter>
    </customSheetView>
    <customSheetView guid="{CB410AB3-2DDF-47B7-B021-1F68EEA98257}" showPageBreaks="1" fitToPage="1" printArea="1" view="pageBreakPreview" topLeftCell="A10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2"/>
      <headerFooter>
        <oddHeader>&amp;LWojewództ&amp;K000000wo Opolskie</oddHeader>
      </headerFooter>
    </customSheetView>
    <customSheetView guid="{E7CAF9DC-53CB-464B-97B7-E2DEFBC16359}" showPageBreaks="1" fitToPage="1" printArea="1" view="pageBreakPreview" topLeftCell="A4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3"/>
      <headerFooter>
        <oddHeader>&amp;LWojewództ&amp;K000000wo Opolskie</oddHeader>
      </headerFooter>
    </customSheetView>
    <customSheetView guid="{C76DCD22-0DC9-4799-A058-B64B837BBA0E}" showPageBreaks="1" fitToPage="1" printArea="1" view="pageBreakPreview" topLeftCell="A10">
      <selection activeCell="K20" sqref="K20"/>
      <pageMargins left="0.70866141732283472" right="0.70866141732283472" top="0.74803149606299213" bottom="0.74803149606299213" header="0.31496062992125984" footer="0.31496062992125984"/>
      <pageSetup paperSize="9" scale="29" orientation="portrait" r:id="rId4"/>
      <headerFooter>
        <oddHeader>&amp;LWojewództ&amp;K000000wo 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5"/>
  <headerFooter>
    <oddHeader>&amp;LWojewództ&amp;K000000wo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"/>
  <sheetViews>
    <sheetView showGridLines="0" zoomScale="90" zoomScaleNormal="90" zoomScaleSheetLayoutView="85" workbookViewId="0">
      <selection sqref="A1:A2"/>
    </sheetView>
  </sheetViews>
  <sheetFormatPr defaultColWidth="9.28515625" defaultRowHeight="15" x14ac:dyDescent="0.25"/>
  <cols>
    <col min="1" max="1" width="7.28515625" style="3" customWidth="1"/>
    <col min="2" max="4" width="15.7109375" style="3" customWidth="1"/>
    <col min="5" max="5" width="8.7109375" style="3" customWidth="1"/>
    <col min="6" max="6" width="41" style="3" customWidth="1"/>
    <col min="7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17" width="6.140625" style="3" customWidth="1"/>
    <col min="18" max="18" width="6" style="3" customWidth="1"/>
    <col min="19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28515625" style="3"/>
  </cols>
  <sheetData>
    <row r="1" spans="1:29" ht="20.100000000000001" customHeight="1" x14ac:dyDescent="0.25">
      <c r="A1" s="362" t="s">
        <v>4</v>
      </c>
      <c r="B1" s="362" t="s">
        <v>5</v>
      </c>
      <c r="C1" s="363" t="s">
        <v>44</v>
      </c>
      <c r="D1" s="358" t="s">
        <v>6</v>
      </c>
      <c r="E1" s="358" t="s">
        <v>33</v>
      </c>
      <c r="F1" s="358" t="s">
        <v>7</v>
      </c>
      <c r="G1" s="362" t="s">
        <v>27</v>
      </c>
      <c r="H1" s="362" t="s">
        <v>8</v>
      </c>
      <c r="I1" s="362" t="s">
        <v>24</v>
      </c>
      <c r="J1" s="362" t="s">
        <v>9</v>
      </c>
      <c r="K1" s="362" t="s">
        <v>16</v>
      </c>
      <c r="L1" s="358" t="s">
        <v>13</v>
      </c>
      <c r="M1" s="362" t="s">
        <v>11</v>
      </c>
      <c r="N1" s="365" t="s">
        <v>12</v>
      </c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1"/>
    </row>
    <row r="2" spans="1:29" ht="30.75" customHeight="1" x14ac:dyDescent="0.25">
      <c r="A2" s="362"/>
      <c r="B2" s="362"/>
      <c r="C2" s="364"/>
      <c r="D2" s="359"/>
      <c r="E2" s="359"/>
      <c r="F2" s="359"/>
      <c r="G2" s="362"/>
      <c r="H2" s="362"/>
      <c r="I2" s="362"/>
      <c r="J2" s="362"/>
      <c r="K2" s="362"/>
      <c r="L2" s="359"/>
      <c r="M2" s="362"/>
      <c r="N2" s="251">
        <v>2019</v>
      </c>
      <c r="O2" s="251">
        <v>2020</v>
      </c>
      <c r="P2" s="251">
        <v>2021</v>
      </c>
      <c r="Q2" s="251">
        <v>2022</v>
      </c>
      <c r="R2" s="251">
        <v>2023</v>
      </c>
      <c r="S2" s="251">
        <v>2024</v>
      </c>
      <c r="T2" s="251">
        <v>2025</v>
      </c>
      <c r="U2" s="251">
        <v>2026</v>
      </c>
      <c r="V2" s="251">
        <v>2027</v>
      </c>
      <c r="W2" s="251">
        <v>2028</v>
      </c>
      <c r="X2" s="251">
        <v>2029</v>
      </c>
      <c r="Y2" s="251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52">
        <v>1</v>
      </c>
      <c r="B3" s="202" t="s">
        <v>49</v>
      </c>
      <c r="C3" s="202" t="s">
        <v>50</v>
      </c>
      <c r="D3" s="253" t="s">
        <v>51</v>
      </c>
      <c r="E3" s="253">
        <v>1606</v>
      </c>
      <c r="F3" s="202" t="s">
        <v>52</v>
      </c>
      <c r="G3" s="202" t="s">
        <v>53</v>
      </c>
      <c r="H3" s="216">
        <v>1.05</v>
      </c>
      <c r="I3" s="193" t="s">
        <v>264</v>
      </c>
      <c r="J3" s="196">
        <v>734327.14</v>
      </c>
      <c r="K3" s="49">
        <f>ROUNDDOWN(J3*M3,2)</f>
        <v>367163.57</v>
      </c>
      <c r="L3" s="52">
        <f>J3-K3</f>
        <v>367163.57</v>
      </c>
      <c r="M3" s="312">
        <v>0.5</v>
      </c>
      <c r="N3" s="248">
        <v>0</v>
      </c>
      <c r="O3" s="248">
        <v>0</v>
      </c>
      <c r="P3" s="249">
        <v>0</v>
      </c>
      <c r="Q3" s="249">
        <v>0</v>
      </c>
      <c r="R3" s="249">
        <v>0</v>
      </c>
      <c r="S3" s="250">
        <f>K3</f>
        <v>367163.57</v>
      </c>
      <c r="T3" s="254">
        <v>0</v>
      </c>
      <c r="U3" s="254">
        <v>0</v>
      </c>
      <c r="V3" s="254">
        <v>0</v>
      </c>
      <c r="W3" s="254">
        <v>0</v>
      </c>
      <c r="X3" s="254">
        <v>0</v>
      </c>
      <c r="Y3" s="254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s="291" customFormat="1" ht="30" customHeight="1" x14ac:dyDescent="0.25">
      <c r="A4" s="283">
        <v>2</v>
      </c>
      <c r="B4" s="263" t="s">
        <v>54</v>
      </c>
      <c r="C4" s="284"/>
      <c r="D4" s="263" t="s">
        <v>55</v>
      </c>
      <c r="E4" s="263">
        <v>1607</v>
      </c>
      <c r="F4" s="263" t="s">
        <v>56</v>
      </c>
      <c r="G4" s="263" t="s">
        <v>57</v>
      </c>
      <c r="H4" s="265"/>
      <c r="I4" s="266" t="s">
        <v>261</v>
      </c>
      <c r="J4" s="267"/>
      <c r="K4" s="285"/>
      <c r="L4" s="268"/>
      <c r="M4" s="286">
        <v>0.5</v>
      </c>
      <c r="N4" s="270"/>
      <c r="O4" s="270"/>
      <c r="P4" s="287"/>
      <c r="Q4" s="287"/>
      <c r="R4" s="287"/>
      <c r="S4" s="260"/>
      <c r="T4" s="287"/>
      <c r="U4" s="287"/>
      <c r="V4" s="287"/>
      <c r="W4" s="287"/>
      <c r="X4" s="287"/>
      <c r="Y4" s="287"/>
      <c r="Z4" s="288" t="b">
        <f t="shared" ref="Z4:Z14" si="2">K4=SUM(N4:Y4)</f>
        <v>1</v>
      </c>
      <c r="AA4" s="289" t="e">
        <f t="shared" ref="AA4:AA13" si="3">ROUND(K4/J4,4)</f>
        <v>#DIV/0!</v>
      </c>
      <c r="AB4" s="290" t="e">
        <f t="shared" ref="AB4:AB10" si="4">AA4=M4</f>
        <v>#DIV/0!</v>
      </c>
      <c r="AC4" s="290" t="b">
        <f t="shared" ref="AC4:AC13" si="5">J4=K4+L4</f>
        <v>1</v>
      </c>
    </row>
    <row r="5" spans="1:29" s="210" customFormat="1" ht="30" customHeight="1" x14ac:dyDescent="0.25">
      <c r="A5" s="255">
        <v>3</v>
      </c>
      <c r="B5" s="213" t="s">
        <v>58</v>
      </c>
      <c r="C5" s="199" t="s">
        <v>59</v>
      </c>
      <c r="D5" s="213" t="s">
        <v>60</v>
      </c>
      <c r="E5" s="213">
        <v>1604</v>
      </c>
      <c r="F5" s="213" t="s">
        <v>61</v>
      </c>
      <c r="G5" s="213" t="s">
        <v>53</v>
      </c>
      <c r="H5" s="214">
        <v>3.47</v>
      </c>
      <c r="I5" s="201" t="s">
        <v>273</v>
      </c>
      <c r="J5" s="201">
        <v>2869817.78</v>
      </c>
      <c r="K5" s="310">
        <f t="shared" ref="K5:K9" si="6">ROUNDDOWN(J5*M5,2)</f>
        <v>2295854.2200000002</v>
      </c>
      <c r="L5" s="206">
        <f t="shared" ref="L5:L9" si="7">J5-K5</f>
        <v>573963.55999999959</v>
      </c>
      <c r="M5" s="204">
        <v>0.8</v>
      </c>
      <c r="N5" s="247">
        <v>0</v>
      </c>
      <c r="O5" s="247">
        <v>0</v>
      </c>
      <c r="P5" s="311">
        <v>0</v>
      </c>
      <c r="Q5" s="311">
        <v>0</v>
      </c>
      <c r="R5" s="311">
        <v>0</v>
      </c>
      <c r="S5" s="333">
        <v>862380.24</v>
      </c>
      <c r="T5" s="334">
        <v>1433473.98</v>
      </c>
      <c r="U5" s="311">
        <v>0</v>
      </c>
      <c r="V5" s="256">
        <v>0</v>
      </c>
      <c r="W5" s="256">
        <v>0</v>
      </c>
      <c r="X5" s="256">
        <v>0</v>
      </c>
      <c r="Y5" s="256">
        <v>0</v>
      </c>
      <c r="Z5" s="207" t="b">
        <f t="shared" si="2"/>
        <v>1</v>
      </c>
      <c r="AA5" s="208">
        <f t="shared" si="3"/>
        <v>0.8</v>
      </c>
      <c r="AB5" s="209" t="b">
        <f t="shared" si="4"/>
        <v>1</v>
      </c>
      <c r="AC5" s="209" t="b">
        <f t="shared" si="5"/>
        <v>1</v>
      </c>
    </row>
    <row r="6" spans="1:29" ht="42" customHeight="1" x14ac:dyDescent="0.25">
      <c r="A6" s="252">
        <v>4</v>
      </c>
      <c r="B6" s="202" t="s">
        <v>62</v>
      </c>
      <c r="C6" s="253" t="s">
        <v>50</v>
      </c>
      <c r="D6" s="202" t="s">
        <v>63</v>
      </c>
      <c r="E6" s="202">
        <v>1611</v>
      </c>
      <c r="F6" s="202" t="s">
        <v>64</v>
      </c>
      <c r="G6" s="202" t="s">
        <v>65</v>
      </c>
      <c r="H6" s="216">
        <v>0.15</v>
      </c>
      <c r="I6" s="197" t="s">
        <v>294</v>
      </c>
      <c r="J6" s="196">
        <v>1922450.64</v>
      </c>
      <c r="K6" s="49">
        <f t="shared" si="6"/>
        <v>961225.32</v>
      </c>
      <c r="L6" s="52">
        <f t="shared" si="7"/>
        <v>961225.32</v>
      </c>
      <c r="M6" s="312">
        <v>0.5</v>
      </c>
      <c r="N6" s="248">
        <v>0</v>
      </c>
      <c r="O6" s="248">
        <v>0</v>
      </c>
      <c r="P6" s="249">
        <v>0</v>
      </c>
      <c r="Q6" s="249">
        <v>0</v>
      </c>
      <c r="R6" s="249">
        <v>0</v>
      </c>
      <c r="S6" s="250">
        <f t="shared" ref="S6:S10" si="8">K6</f>
        <v>961225.32</v>
      </c>
      <c r="T6" s="249">
        <v>0</v>
      </c>
      <c r="U6" s="249">
        <v>0</v>
      </c>
      <c r="V6" s="254">
        <v>0</v>
      </c>
      <c r="W6" s="254">
        <v>0</v>
      </c>
      <c r="X6" s="254">
        <v>0</v>
      </c>
      <c r="Y6" s="254">
        <v>0</v>
      </c>
      <c r="Z6" s="1" t="b">
        <f t="shared" si="2"/>
        <v>1</v>
      </c>
      <c r="AA6" s="45">
        <f t="shared" si="3"/>
        <v>0.5</v>
      </c>
      <c r="AB6" s="46" t="b">
        <f t="shared" si="4"/>
        <v>1</v>
      </c>
      <c r="AC6" s="46" t="b">
        <f t="shared" si="5"/>
        <v>1</v>
      </c>
    </row>
    <row r="7" spans="1:29" ht="30" customHeight="1" x14ac:dyDescent="0.25">
      <c r="A7" s="252">
        <v>5</v>
      </c>
      <c r="B7" s="202" t="s">
        <v>66</v>
      </c>
      <c r="C7" s="253" t="s">
        <v>50</v>
      </c>
      <c r="D7" s="202" t="s">
        <v>67</v>
      </c>
      <c r="E7" s="202">
        <v>1605</v>
      </c>
      <c r="F7" s="202" t="s">
        <v>68</v>
      </c>
      <c r="G7" s="202" t="s">
        <v>65</v>
      </c>
      <c r="H7" s="216">
        <v>0.10299999999999999</v>
      </c>
      <c r="I7" s="197" t="s">
        <v>284</v>
      </c>
      <c r="J7" s="196">
        <v>427210.4</v>
      </c>
      <c r="K7" s="49">
        <v>209901.35</v>
      </c>
      <c r="L7" s="52">
        <f t="shared" si="7"/>
        <v>217309.05000000002</v>
      </c>
      <c r="M7" s="313">
        <v>0.49130000000000001</v>
      </c>
      <c r="N7" s="248">
        <v>0</v>
      </c>
      <c r="O7" s="248">
        <v>0</v>
      </c>
      <c r="P7" s="249">
        <v>0</v>
      </c>
      <c r="Q7" s="249">
        <v>0</v>
      </c>
      <c r="R7" s="249">
        <v>0</v>
      </c>
      <c r="S7" s="250">
        <f t="shared" si="8"/>
        <v>209901.35</v>
      </c>
      <c r="T7" s="249">
        <v>0</v>
      </c>
      <c r="U7" s="249">
        <v>0</v>
      </c>
      <c r="V7" s="254">
        <v>0</v>
      </c>
      <c r="W7" s="254">
        <v>0</v>
      </c>
      <c r="X7" s="254">
        <v>0</v>
      </c>
      <c r="Y7" s="254">
        <v>0</v>
      </c>
      <c r="Z7" s="1" t="b">
        <f t="shared" si="2"/>
        <v>1</v>
      </c>
      <c r="AA7" s="45">
        <f t="shared" si="3"/>
        <v>0.49130000000000001</v>
      </c>
      <c r="AB7" s="46" t="b">
        <f t="shared" si="4"/>
        <v>1</v>
      </c>
      <c r="AC7" s="46" t="b">
        <f t="shared" si="5"/>
        <v>1</v>
      </c>
    </row>
    <row r="8" spans="1:29" ht="30" customHeight="1" x14ac:dyDescent="0.25">
      <c r="A8" s="252">
        <v>6</v>
      </c>
      <c r="B8" s="202" t="s">
        <v>69</v>
      </c>
      <c r="C8" s="253" t="s">
        <v>50</v>
      </c>
      <c r="D8" s="202" t="s">
        <v>67</v>
      </c>
      <c r="E8" s="257">
        <v>1605</v>
      </c>
      <c r="F8" s="258" t="s">
        <v>70</v>
      </c>
      <c r="G8" s="202" t="s">
        <v>65</v>
      </c>
      <c r="H8" s="216">
        <v>0.47699999999999998</v>
      </c>
      <c r="I8" s="197" t="s">
        <v>276</v>
      </c>
      <c r="J8" s="196">
        <v>2838983.41</v>
      </c>
      <c r="K8" s="49">
        <f t="shared" si="6"/>
        <v>2271186.7200000002</v>
      </c>
      <c r="L8" s="52">
        <f t="shared" si="7"/>
        <v>567796.68999999994</v>
      </c>
      <c r="M8" s="312">
        <v>0.8</v>
      </c>
      <c r="N8" s="248">
        <v>0</v>
      </c>
      <c r="O8" s="248">
        <v>0</v>
      </c>
      <c r="P8" s="249">
        <v>0</v>
      </c>
      <c r="Q8" s="249">
        <v>0</v>
      </c>
      <c r="R8" s="249">
        <v>0</v>
      </c>
      <c r="S8" s="250">
        <f t="shared" si="8"/>
        <v>2271186.7200000002</v>
      </c>
      <c r="T8" s="249">
        <v>0</v>
      </c>
      <c r="U8" s="249">
        <v>0</v>
      </c>
      <c r="V8" s="254">
        <v>0</v>
      </c>
      <c r="W8" s="254">
        <v>0</v>
      </c>
      <c r="X8" s="254">
        <v>0</v>
      </c>
      <c r="Y8" s="254">
        <v>0</v>
      </c>
      <c r="Z8" s="1" t="b">
        <f t="shared" si="2"/>
        <v>1</v>
      </c>
      <c r="AA8" s="45">
        <f t="shared" si="3"/>
        <v>0.8</v>
      </c>
      <c r="AB8" s="46" t="b">
        <f t="shared" si="4"/>
        <v>1</v>
      </c>
      <c r="AC8" s="46" t="b">
        <f t="shared" si="5"/>
        <v>1</v>
      </c>
    </row>
    <row r="9" spans="1:29" ht="30" customHeight="1" x14ac:dyDescent="0.25">
      <c r="A9" s="252">
        <v>7</v>
      </c>
      <c r="B9" s="202" t="s">
        <v>72</v>
      </c>
      <c r="C9" s="253" t="s">
        <v>50</v>
      </c>
      <c r="D9" s="202" t="s">
        <v>67</v>
      </c>
      <c r="E9" s="202">
        <v>1605</v>
      </c>
      <c r="F9" s="202" t="s">
        <v>73</v>
      </c>
      <c r="G9" s="202" t="s">
        <v>53</v>
      </c>
      <c r="H9" s="216">
        <v>1.5349999999999999</v>
      </c>
      <c r="I9" s="197" t="s">
        <v>283</v>
      </c>
      <c r="J9" s="196">
        <v>1314827.93</v>
      </c>
      <c r="K9" s="49">
        <f t="shared" si="6"/>
        <v>657413.96</v>
      </c>
      <c r="L9" s="52">
        <f t="shared" si="7"/>
        <v>657413.97</v>
      </c>
      <c r="M9" s="312">
        <v>0.5</v>
      </c>
      <c r="N9" s="248">
        <v>0</v>
      </c>
      <c r="O9" s="248">
        <v>0</v>
      </c>
      <c r="P9" s="249">
        <v>0</v>
      </c>
      <c r="Q9" s="249">
        <v>0</v>
      </c>
      <c r="R9" s="249">
        <v>0</v>
      </c>
      <c r="S9" s="250">
        <f t="shared" si="8"/>
        <v>657413.96</v>
      </c>
      <c r="T9" s="249">
        <v>0</v>
      </c>
      <c r="U9" s="249">
        <v>0</v>
      </c>
      <c r="V9" s="254">
        <v>0</v>
      </c>
      <c r="W9" s="254">
        <v>0</v>
      </c>
      <c r="X9" s="254">
        <v>0</v>
      </c>
      <c r="Y9" s="254">
        <v>0</v>
      </c>
      <c r="Z9" s="1" t="b">
        <f t="shared" si="2"/>
        <v>1</v>
      </c>
      <c r="AA9" s="45">
        <f t="shared" si="3"/>
        <v>0.5</v>
      </c>
      <c r="AB9" s="46" t="b">
        <f t="shared" si="4"/>
        <v>1</v>
      </c>
      <c r="AC9" s="46" t="b">
        <f t="shared" si="5"/>
        <v>1</v>
      </c>
    </row>
    <row r="10" spans="1:29" ht="30" customHeight="1" x14ac:dyDescent="0.25">
      <c r="A10" s="252">
        <v>8</v>
      </c>
      <c r="B10" s="202" t="s">
        <v>74</v>
      </c>
      <c r="C10" s="253" t="s">
        <v>50</v>
      </c>
      <c r="D10" s="202" t="s">
        <v>75</v>
      </c>
      <c r="E10" s="202">
        <v>1602</v>
      </c>
      <c r="F10" s="202" t="s">
        <v>76</v>
      </c>
      <c r="G10" s="202" t="s">
        <v>57</v>
      </c>
      <c r="H10" s="216">
        <v>3.9020000000000001</v>
      </c>
      <c r="I10" s="197" t="s">
        <v>275</v>
      </c>
      <c r="J10" s="196">
        <v>8717478.3599999994</v>
      </c>
      <c r="K10" s="49">
        <f>ROUNDDOWN(J10*M10,2)</f>
        <v>4358739.18</v>
      </c>
      <c r="L10" s="52">
        <f>J10-K10</f>
        <v>4358739.18</v>
      </c>
      <c r="M10" s="312">
        <v>0.5</v>
      </c>
      <c r="N10" s="248">
        <v>0</v>
      </c>
      <c r="O10" s="248">
        <v>0</v>
      </c>
      <c r="P10" s="249">
        <v>0</v>
      </c>
      <c r="Q10" s="249">
        <v>0</v>
      </c>
      <c r="R10" s="249">
        <v>0</v>
      </c>
      <c r="S10" s="250">
        <f t="shared" si="8"/>
        <v>4358739.18</v>
      </c>
      <c r="T10" s="249">
        <v>0</v>
      </c>
      <c r="U10" s="249">
        <v>0</v>
      </c>
      <c r="V10" s="254">
        <v>0</v>
      </c>
      <c r="W10" s="254">
        <v>0</v>
      </c>
      <c r="X10" s="254">
        <v>0</v>
      </c>
      <c r="Y10" s="254">
        <v>0</v>
      </c>
      <c r="Z10" s="1" t="b">
        <f t="shared" si="2"/>
        <v>1</v>
      </c>
      <c r="AA10" s="45">
        <f t="shared" si="3"/>
        <v>0.5</v>
      </c>
      <c r="AB10" s="46" t="b">
        <f t="shared" si="4"/>
        <v>1</v>
      </c>
      <c r="AC10" s="46" t="b">
        <f t="shared" si="5"/>
        <v>1</v>
      </c>
    </row>
    <row r="11" spans="1:29" ht="20.100000000000001" customHeight="1" x14ac:dyDescent="0.25">
      <c r="A11" s="361" t="s">
        <v>45</v>
      </c>
      <c r="B11" s="361"/>
      <c r="C11" s="361"/>
      <c r="D11" s="361"/>
      <c r="E11" s="361"/>
      <c r="F11" s="361"/>
      <c r="G11" s="361"/>
      <c r="H11" s="63">
        <f>SUM(H3:H10)</f>
        <v>10.687000000000001</v>
      </c>
      <c r="I11" s="314" t="s">
        <v>14</v>
      </c>
      <c r="J11" s="65">
        <f>SUM(J3:J10)</f>
        <v>18825095.66</v>
      </c>
      <c r="K11" s="65">
        <f>SUM(K3:K10)</f>
        <v>11121484.32</v>
      </c>
      <c r="L11" s="65">
        <f>SUM(L3:L10)</f>
        <v>7703611.3399999989</v>
      </c>
      <c r="M11" s="315" t="s">
        <v>14</v>
      </c>
      <c r="N11" s="65">
        <f t="shared" ref="N11:Y11" si="9">SUM(N3:N10)</f>
        <v>0</v>
      </c>
      <c r="O11" s="65">
        <f t="shared" si="9"/>
        <v>0</v>
      </c>
      <c r="P11" s="316">
        <f t="shared" si="9"/>
        <v>0</v>
      </c>
      <c r="Q11" s="316">
        <f t="shared" si="9"/>
        <v>0</v>
      </c>
      <c r="R11" s="316">
        <f t="shared" si="9"/>
        <v>0</v>
      </c>
      <c r="S11" s="316">
        <f t="shared" si="9"/>
        <v>9688010.3399999999</v>
      </c>
      <c r="T11" s="316">
        <f t="shared" si="9"/>
        <v>1433473.98</v>
      </c>
      <c r="U11" s="316">
        <f t="shared" si="9"/>
        <v>0</v>
      </c>
      <c r="V11" s="68">
        <f t="shared" si="9"/>
        <v>0</v>
      </c>
      <c r="W11" s="68">
        <f t="shared" si="9"/>
        <v>0</v>
      </c>
      <c r="X11" s="68">
        <f t="shared" si="9"/>
        <v>0</v>
      </c>
      <c r="Y11" s="68">
        <f t="shared" si="9"/>
        <v>0</v>
      </c>
      <c r="Z11" s="1" t="b">
        <f t="shared" si="2"/>
        <v>1</v>
      </c>
      <c r="AA11" s="45">
        <f t="shared" si="3"/>
        <v>0.59079999999999999</v>
      </c>
      <c r="AB11" s="46" t="s">
        <v>14</v>
      </c>
      <c r="AC11" s="46" t="b">
        <f t="shared" si="5"/>
        <v>1</v>
      </c>
    </row>
    <row r="12" spans="1:29" ht="20.100000000000001" customHeight="1" x14ac:dyDescent="0.25">
      <c r="A12" s="360" t="s">
        <v>38</v>
      </c>
      <c r="B12" s="360"/>
      <c r="C12" s="360"/>
      <c r="D12" s="360"/>
      <c r="E12" s="360"/>
      <c r="F12" s="360"/>
      <c r="G12" s="360"/>
      <c r="H12" s="69">
        <f>SUMIF($C$3:$C$10,"K",H3:H10)</f>
        <v>0</v>
      </c>
      <c r="I12" s="70" t="s">
        <v>14</v>
      </c>
      <c r="J12" s="71">
        <f>SUMIF($C$3:$C$10,"K",J3:J10)</f>
        <v>0</v>
      </c>
      <c r="K12" s="71">
        <f>SUMIF($C$3:$C$10,"K",K3:K10)</f>
        <v>0</v>
      </c>
      <c r="L12" s="71">
        <f>SUMIF($C$3:$C$10,"K",L3:L10)</f>
        <v>0</v>
      </c>
      <c r="M12" s="73" t="s">
        <v>14</v>
      </c>
      <c r="N12" s="72">
        <f t="shared" ref="N12:Y12" si="10">SUMIF($C$3:$C$10,"K",N3:N10)</f>
        <v>0</v>
      </c>
      <c r="O12" s="72">
        <f t="shared" si="10"/>
        <v>0</v>
      </c>
      <c r="P12" s="74">
        <f t="shared" si="10"/>
        <v>0</v>
      </c>
      <c r="Q12" s="74">
        <f t="shared" si="10"/>
        <v>0</v>
      </c>
      <c r="R12" s="74">
        <f t="shared" si="10"/>
        <v>0</v>
      </c>
      <c r="S12" s="74">
        <f t="shared" si="10"/>
        <v>0</v>
      </c>
      <c r="T12" s="74">
        <f t="shared" si="10"/>
        <v>0</v>
      </c>
      <c r="U12" s="74">
        <f t="shared" si="10"/>
        <v>0</v>
      </c>
      <c r="V12" s="74">
        <f t="shared" si="10"/>
        <v>0</v>
      </c>
      <c r="W12" s="74">
        <f t="shared" si="10"/>
        <v>0</v>
      </c>
      <c r="X12" s="74">
        <f t="shared" si="10"/>
        <v>0</v>
      </c>
      <c r="Y12" s="74">
        <f t="shared" si="10"/>
        <v>0</v>
      </c>
      <c r="Z12" s="1" t="b">
        <f t="shared" si="2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361" t="s">
        <v>39</v>
      </c>
      <c r="B13" s="361"/>
      <c r="C13" s="361"/>
      <c r="D13" s="361"/>
      <c r="E13" s="361"/>
      <c r="F13" s="361"/>
      <c r="G13" s="361"/>
      <c r="H13" s="63">
        <f>SUMIF($C$3:$C$10,"N",H3:H10)</f>
        <v>7.2169999999999996</v>
      </c>
      <c r="I13" s="64" t="s">
        <v>14</v>
      </c>
      <c r="J13" s="65">
        <f>SUMIF($C$3:$C$10,"N",J3:J10)</f>
        <v>15955277.879999999</v>
      </c>
      <c r="K13" s="65">
        <f>SUMIF($C$3:$C$10,"N",K3:K10)</f>
        <v>8825630.0999999996</v>
      </c>
      <c r="L13" s="65">
        <f>SUMIF($C$3:$C$10,"N",L3:L10)</f>
        <v>7129647.7799999993</v>
      </c>
      <c r="M13" s="67" t="s">
        <v>14</v>
      </c>
      <c r="N13" s="66">
        <f t="shared" ref="N13:Y13" si="13">SUMIF($C$3:$C$10,"N",N3:N10)</f>
        <v>0</v>
      </c>
      <c r="O13" s="66">
        <f t="shared" si="13"/>
        <v>0</v>
      </c>
      <c r="P13" s="68">
        <f t="shared" si="13"/>
        <v>0</v>
      </c>
      <c r="Q13" s="68">
        <f t="shared" si="13"/>
        <v>0</v>
      </c>
      <c r="R13" s="68">
        <f t="shared" si="13"/>
        <v>0</v>
      </c>
      <c r="S13" s="68">
        <f t="shared" si="13"/>
        <v>8825630.0999999996</v>
      </c>
      <c r="T13" s="68">
        <f t="shared" si="13"/>
        <v>0</v>
      </c>
      <c r="U13" s="68">
        <f t="shared" si="13"/>
        <v>0</v>
      </c>
      <c r="V13" s="68">
        <f t="shared" si="13"/>
        <v>0</v>
      </c>
      <c r="W13" s="68">
        <f t="shared" si="13"/>
        <v>0</v>
      </c>
      <c r="X13" s="68">
        <f t="shared" si="13"/>
        <v>0</v>
      </c>
      <c r="Y13" s="68">
        <f t="shared" si="13"/>
        <v>0</v>
      </c>
      <c r="Z13" s="1" t="b">
        <f t="shared" si="2"/>
        <v>1</v>
      </c>
      <c r="AA13" s="45">
        <f t="shared" si="3"/>
        <v>0.55310000000000004</v>
      </c>
      <c r="AB13" s="46" t="s">
        <v>14</v>
      </c>
      <c r="AC13" s="46" t="b">
        <f t="shared" si="5"/>
        <v>1</v>
      </c>
    </row>
    <row r="14" spans="1:29" ht="20.100000000000001" customHeight="1" x14ac:dyDescent="0.25">
      <c r="A14" s="360" t="s">
        <v>40</v>
      </c>
      <c r="B14" s="360"/>
      <c r="C14" s="360"/>
      <c r="D14" s="360"/>
      <c r="E14" s="360"/>
      <c r="F14" s="360"/>
      <c r="G14" s="360"/>
      <c r="H14" s="69">
        <f>SUMIF($C$3:$C$10,"W",H3:H10)</f>
        <v>3.47</v>
      </c>
      <c r="I14" s="70" t="s">
        <v>14</v>
      </c>
      <c r="J14" s="71">
        <f>SUMIF($C$3:$C$10,"W",J3:J10)</f>
        <v>2869817.78</v>
      </c>
      <c r="K14" s="72">
        <f>SUMIF($C$3:$C$10,"W",K3:K10)</f>
        <v>2295854.2200000002</v>
      </c>
      <c r="L14" s="72">
        <f>SUMIF($C$3:$C$10,"W",L3:L10)</f>
        <v>573963.55999999959</v>
      </c>
      <c r="M14" s="73" t="s">
        <v>14</v>
      </c>
      <c r="N14" s="72">
        <f t="shared" ref="N14:Y14" si="14">SUMIF($C$3:$C$10,"W",N3:N10)</f>
        <v>0</v>
      </c>
      <c r="O14" s="72">
        <f t="shared" si="14"/>
        <v>0</v>
      </c>
      <c r="P14" s="74">
        <f t="shared" si="14"/>
        <v>0</v>
      </c>
      <c r="Q14" s="74">
        <f t="shared" si="14"/>
        <v>0</v>
      </c>
      <c r="R14" s="74">
        <f t="shared" si="14"/>
        <v>0</v>
      </c>
      <c r="S14" s="74">
        <f t="shared" si="14"/>
        <v>862380.24</v>
      </c>
      <c r="T14" s="74">
        <f t="shared" si="14"/>
        <v>1433473.98</v>
      </c>
      <c r="U14" s="74">
        <f t="shared" si="14"/>
        <v>0</v>
      </c>
      <c r="V14" s="74">
        <f t="shared" si="14"/>
        <v>0</v>
      </c>
      <c r="W14" s="74">
        <f t="shared" si="14"/>
        <v>0</v>
      </c>
      <c r="X14" s="74">
        <f t="shared" si="14"/>
        <v>0</v>
      </c>
      <c r="Y14" s="74">
        <f t="shared" si="14"/>
        <v>0</v>
      </c>
      <c r="Z14" s="1" t="b">
        <f t="shared" si="2"/>
        <v>1</v>
      </c>
      <c r="AA14" s="45">
        <f t="shared" ref="AA14" si="15">ROUND(K14/J14,4)</f>
        <v>0.8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  <c r="K15" s="276">
        <f>6136556.36-K10</f>
        <v>1777817.1800000006</v>
      </c>
      <c r="T15" s="276"/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autoFilter ref="A1:AC19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customSheetViews>
    <customSheetView guid="{B4405FF1-036B-45AD-810F-8C9DF67F9D7F}" scale="90" showPageBreaks="1" showGridLines="0" fitToPage="1" printArea="1" showAutoFilter="1" topLeftCell="F1">
      <selection activeCell="F9" sqref="A9:XFD9"/>
      <pageMargins left="0.23622047244094491" right="0.23622047244094491" top="0.74803149606299213" bottom="0.74803149606299213" header="0.31496062992125984" footer="0.31496062992125984"/>
      <pageSetup paperSize="8" scale="57" fitToHeight="0" orientation="landscape" r:id="rId1"/>
      <headerFooter>
        <oddHeader>&amp;LWojewództwo&amp;K000000 Opolskie&amp;K01+000 - zadania powiatowe lista podstawowa</oddHeader>
        <oddFooter>Strona &amp;P z &amp;N</oddFooter>
      </headerFooter>
      <autoFilter ref="A1:AC19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B410AB3-2DDF-47B7-B021-1F68EEA98257}" scale="90" showPageBreaks="1" showGridLines="0" fitToPage="1" printArea="1" showAutoFilter="1">
      <selection sqref="A1:A2"/>
      <pageMargins left="0.23622047244094491" right="0.23622047244094491" top="0.74803149606299213" bottom="0.74803149606299213" header="0.31496062992125984" footer="0.31496062992125984"/>
      <pageSetup paperSize="8" scale="57" fitToHeight="0" orientation="landscape" r:id="rId2"/>
      <headerFooter>
        <oddHeader>&amp;LWojewództwo&amp;K000000 Opolskie&amp;K01+000 - zadania powiatowe lista podstawowa</oddHeader>
        <oddFooter>Strona &amp;P z &amp;N</oddFooter>
      </headerFooter>
      <autoFilter ref="A1:AC19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E7CAF9DC-53CB-464B-97B7-E2DEFBC16359}" scale="90" showPageBreaks="1" showGridLines="0" fitToPage="1" printArea="1" showAutoFilter="1">
      <selection activeCell="M23" sqref="M22:M23"/>
      <pageMargins left="0.23622047244094491" right="0.23622047244094491" top="0.74803149606299213" bottom="0.74803149606299213" header="0.31496062992125984" footer="0.31496062992125984"/>
      <pageSetup paperSize="8" scale="57" fitToHeight="0" orientation="landscape" r:id="rId3"/>
      <headerFooter>
        <oddHeader>&amp;LWojewództwo&amp;K000000 Opolskie&amp;K01+000 - zadania powiatowe lista podstawowa</oddHeader>
        <oddFooter>Strona &amp;P z &amp;N</oddFooter>
      </headerFooter>
      <autoFilter ref="A1:AC19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76DCD22-0DC9-4799-A058-B64B837BBA0E}" scale="85" showPageBreaks="1" showGridLines="0" fitToPage="1" printArea="1" view="pageBreakPreview">
      <selection activeCell="F23" sqref="F23"/>
      <pageMargins left="0.23622047244094491" right="0.23622047244094491" top="0.74803149606299213" bottom="0.74803149606299213" header="0.31496062992125984" footer="0.31496062992125984"/>
      <pageSetup paperSize="9" scale="27" fitToHeight="0" orientation="portrait" r:id="rId4"/>
      <headerFooter>
        <oddHeader>&amp;LWojewództwo&amp;K000000 Opolskie&amp;K01+000 - zadania powiatowe lista podstawowa</oddHeader>
        <oddFooter>Strona &amp;P z &amp;N</oddFooter>
      </headerFooter>
    </customSheetView>
  </customSheetViews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72" priority="15" operator="equal">
      <formula>FALSE</formula>
    </cfRule>
  </conditionalFormatting>
  <conditionalFormatting sqref="Z3:AB3 AA4:AB12 Z4:Z14">
    <cfRule type="containsText" dxfId="71" priority="13" operator="containsText" text="fałsz">
      <formula>NOT(ISERROR(SEARCH("fałsz",Z3)))</formula>
    </cfRule>
  </conditionalFormatting>
  <conditionalFormatting sqref="AC16">
    <cfRule type="cellIs" dxfId="70" priority="12" operator="equal">
      <formula>FALSE</formula>
    </cfRule>
  </conditionalFormatting>
  <conditionalFormatting sqref="AC16">
    <cfRule type="cellIs" dxfId="69" priority="11" operator="equal">
      <formula>FALSE</formula>
    </cfRule>
  </conditionalFormatting>
  <conditionalFormatting sqref="AA14:AB14">
    <cfRule type="cellIs" dxfId="68" priority="10" operator="equal">
      <formula>FALSE</formula>
    </cfRule>
  </conditionalFormatting>
  <conditionalFormatting sqref="AA14:AB14">
    <cfRule type="containsText" dxfId="67" priority="8" operator="containsText" text="fałsz">
      <formula>NOT(ISERROR(SEARCH("fałsz",AA14)))</formula>
    </cfRule>
  </conditionalFormatting>
  <conditionalFormatting sqref="AC14">
    <cfRule type="cellIs" dxfId="66" priority="7" operator="equal">
      <formula>FALSE</formula>
    </cfRule>
  </conditionalFormatting>
  <conditionalFormatting sqref="AC14">
    <cfRule type="cellIs" dxfId="65" priority="6" operator="equal">
      <formula>FALSE</formula>
    </cfRule>
  </conditionalFormatting>
  <conditionalFormatting sqref="AA13:AB13">
    <cfRule type="cellIs" dxfId="64" priority="5" operator="equal">
      <formula>FALSE</formula>
    </cfRule>
  </conditionalFormatting>
  <conditionalFormatting sqref="AA13:AB13">
    <cfRule type="containsText" dxfId="63" priority="3" operator="containsText" text="fałsz">
      <formula>NOT(ISERROR(SEARCH("fałsz",AA13)))</formula>
    </cfRule>
  </conditionalFormatting>
  <conditionalFormatting sqref="AC13">
    <cfRule type="cellIs" dxfId="62" priority="2" operator="equal">
      <formula>FALSE</formula>
    </cfRule>
  </conditionalFormatting>
  <conditionalFormatting sqref="AC13">
    <cfRule type="cellIs" dxfId="61" priority="1" operator="equal">
      <formula>FALSE</formula>
    </cfRule>
  </conditionalFormatting>
  <dataValidations count="2">
    <dataValidation type="list" allowBlank="1" showInputMessage="1" showErrorMessage="1" sqref="C3:C10">
      <formula1>"N,K,W"</formula1>
    </dataValidation>
    <dataValidation type="list" allowBlank="1" showInputMessage="1" showErrorMessage="1" sqref="G3:G10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5"/>
  <headerFooter>
    <oddHeader>&amp;LWojewództwo&amp;K000000 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3"/>
  <sheetViews>
    <sheetView showGridLines="0" tabSelected="1" view="pageBreakPreview" topLeftCell="A61" zoomScale="85" zoomScaleNormal="90" zoomScaleSheetLayoutView="85" workbookViewId="0">
      <selection activeCell="O69" sqref="O69"/>
    </sheetView>
  </sheetViews>
  <sheetFormatPr defaultColWidth="9.28515625" defaultRowHeight="15" x14ac:dyDescent="0.25"/>
  <cols>
    <col min="1" max="1" width="8" style="3" customWidth="1"/>
    <col min="2" max="2" width="15.7109375" style="3" customWidth="1"/>
    <col min="3" max="3" width="6.7109375" style="3" customWidth="1"/>
    <col min="4" max="4" width="15.7109375" style="3" customWidth="1"/>
    <col min="5" max="5" width="10" style="3" customWidth="1"/>
    <col min="6" max="6" width="15.7109375" style="3" customWidth="1"/>
    <col min="7" max="7" width="47.28515625" style="3" customWidth="1"/>
    <col min="8" max="8" width="9.7109375" style="3" customWidth="1"/>
    <col min="9" max="10" width="15.7109375" style="3" customWidth="1"/>
    <col min="11" max="11" width="15.7109375" style="4" customWidth="1"/>
    <col min="12" max="12" width="17.28515625" style="3" customWidth="1"/>
    <col min="13" max="13" width="14.140625" style="3" customWidth="1"/>
    <col min="14" max="14" width="9.140625" style="1" customWidth="1"/>
    <col min="15" max="18" width="7.5703125" style="3" customWidth="1"/>
    <col min="19" max="19" width="14.28515625" style="3" customWidth="1"/>
    <col min="20" max="20" width="15.7109375" style="3" customWidth="1"/>
    <col min="21" max="21" width="14" style="3" customWidth="1"/>
    <col min="22" max="22" width="13.42578125" style="3" customWidth="1"/>
    <col min="23" max="23" width="10.140625" style="3" customWidth="1"/>
    <col min="24" max="26" width="15.7109375" style="3" customWidth="1"/>
    <col min="27" max="29" width="15.7109375" style="14" customWidth="1"/>
    <col min="30" max="30" width="15.7109375" style="3" customWidth="1"/>
    <col min="31" max="16384" width="9.28515625" style="3"/>
  </cols>
  <sheetData>
    <row r="1" spans="1:30" ht="20.100000000000001" customHeight="1" x14ac:dyDescent="0.25">
      <c r="A1" s="375" t="s">
        <v>4</v>
      </c>
      <c r="B1" s="375" t="s">
        <v>5</v>
      </c>
      <c r="C1" s="379" t="s">
        <v>44</v>
      </c>
      <c r="D1" s="376" t="s">
        <v>6</v>
      </c>
      <c r="E1" s="375" t="s">
        <v>33</v>
      </c>
      <c r="F1" s="376" t="s">
        <v>15</v>
      </c>
      <c r="G1" s="375" t="s">
        <v>7</v>
      </c>
      <c r="H1" s="375" t="s">
        <v>27</v>
      </c>
      <c r="I1" s="375" t="s">
        <v>8</v>
      </c>
      <c r="J1" s="375" t="s">
        <v>28</v>
      </c>
      <c r="K1" s="378" t="s">
        <v>9</v>
      </c>
      <c r="L1" s="375" t="s">
        <v>17</v>
      </c>
      <c r="M1" s="376" t="s">
        <v>13</v>
      </c>
      <c r="N1" s="375" t="s">
        <v>11</v>
      </c>
      <c r="O1" s="367" t="s">
        <v>12</v>
      </c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</row>
    <row r="2" spans="1:30" ht="31.5" customHeight="1" x14ac:dyDescent="0.25">
      <c r="A2" s="375"/>
      <c r="B2" s="375"/>
      <c r="C2" s="367"/>
      <c r="D2" s="377"/>
      <c r="E2" s="375"/>
      <c r="F2" s="377"/>
      <c r="G2" s="375"/>
      <c r="H2" s="375"/>
      <c r="I2" s="375"/>
      <c r="J2" s="375"/>
      <c r="K2" s="378"/>
      <c r="L2" s="375"/>
      <c r="M2" s="377"/>
      <c r="N2" s="37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s="210" customFormat="1" ht="34.5" customHeight="1" x14ac:dyDescent="0.25">
      <c r="A3" s="239">
        <v>1</v>
      </c>
      <c r="B3" s="198" t="s">
        <v>77</v>
      </c>
      <c r="C3" s="211" t="s">
        <v>78</v>
      </c>
      <c r="D3" s="198" t="s">
        <v>79</v>
      </c>
      <c r="E3" s="198">
        <v>1603062</v>
      </c>
      <c r="F3" s="198" t="s">
        <v>80</v>
      </c>
      <c r="G3" s="198" t="s">
        <v>81</v>
      </c>
      <c r="H3" s="198" t="s">
        <v>65</v>
      </c>
      <c r="I3" s="200">
        <v>1.581</v>
      </c>
      <c r="J3" s="201" t="s">
        <v>82</v>
      </c>
      <c r="K3" s="205">
        <v>11772051.92</v>
      </c>
      <c r="L3" s="224">
        <v>8009419.0700000003</v>
      </c>
      <c r="M3" s="206">
        <f>K3-L3</f>
        <v>3762632.8499999996</v>
      </c>
      <c r="N3" s="220">
        <v>0.6804</v>
      </c>
      <c r="O3" s="247">
        <v>0</v>
      </c>
      <c r="P3" s="247">
        <v>0</v>
      </c>
      <c r="Q3" s="232">
        <v>0</v>
      </c>
      <c r="R3" s="232">
        <v>0</v>
      </c>
      <c r="S3" s="225">
        <v>3924248.05</v>
      </c>
      <c r="T3" s="224">
        <v>4085171.0200000005</v>
      </c>
      <c r="U3" s="224">
        <v>0</v>
      </c>
      <c r="V3" s="224">
        <v>0</v>
      </c>
      <c r="W3" s="247">
        <v>0</v>
      </c>
      <c r="X3" s="247">
        <v>0</v>
      </c>
      <c r="Y3" s="232">
        <v>0</v>
      </c>
      <c r="Z3" s="232">
        <v>0</v>
      </c>
      <c r="AA3" s="207" t="b">
        <f>L3=SUM(O3:Z3)</f>
        <v>1</v>
      </c>
      <c r="AB3" s="208">
        <f t="shared" ref="AB3:AB73" si="0">ROUND(L3/K3,4)</f>
        <v>0.6804</v>
      </c>
      <c r="AC3" s="209" t="b">
        <f t="shared" ref="AC3:AC52" si="1">AB3=N3</f>
        <v>1</v>
      </c>
      <c r="AD3" s="209" t="b">
        <f t="shared" ref="AD3:AD73" si="2">K3=L3+M3</f>
        <v>1</v>
      </c>
    </row>
    <row r="4" spans="1:30" s="210" customFormat="1" ht="30" customHeight="1" x14ac:dyDescent="0.25">
      <c r="A4" s="239">
        <v>2</v>
      </c>
      <c r="B4" s="198" t="s">
        <v>83</v>
      </c>
      <c r="C4" s="211" t="s">
        <v>78</v>
      </c>
      <c r="D4" s="198" t="s">
        <v>84</v>
      </c>
      <c r="E4" s="198">
        <v>1609073</v>
      </c>
      <c r="F4" s="198" t="s">
        <v>85</v>
      </c>
      <c r="G4" s="198" t="s">
        <v>86</v>
      </c>
      <c r="H4" s="198" t="s">
        <v>65</v>
      </c>
      <c r="I4" s="200">
        <v>0.98199999999999998</v>
      </c>
      <c r="J4" s="201" t="s">
        <v>87</v>
      </c>
      <c r="K4" s="205">
        <v>5593904.75</v>
      </c>
      <c r="L4" s="224">
        <f>ROUND(K4*N4,2)</f>
        <v>3915733.33</v>
      </c>
      <c r="M4" s="206">
        <f t="shared" ref="M4:M52" si="3">K4-L4</f>
        <v>1678171.42</v>
      </c>
      <c r="N4" s="204">
        <v>0.7</v>
      </c>
      <c r="O4" s="247">
        <v>0</v>
      </c>
      <c r="P4" s="247">
        <v>0</v>
      </c>
      <c r="Q4" s="232">
        <v>0</v>
      </c>
      <c r="R4" s="232">
        <v>0</v>
      </c>
      <c r="S4" s="225">
        <v>573631.93999999994</v>
      </c>
      <c r="T4" s="224">
        <v>3342101.39</v>
      </c>
      <c r="U4" s="224">
        <v>0</v>
      </c>
      <c r="V4" s="224">
        <v>0</v>
      </c>
      <c r="W4" s="247">
        <v>0</v>
      </c>
      <c r="X4" s="247">
        <v>0</v>
      </c>
      <c r="Y4" s="232">
        <v>0</v>
      </c>
      <c r="Z4" s="232">
        <v>0</v>
      </c>
      <c r="AA4" s="207" t="b">
        <f t="shared" ref="AA4:AA24" si="4">L4=SUM(O4:Z4)</f>
        <v>1</v>
      </c>
      <c r="AB4" s="208">
        <f t="shared" si="0"/>
        <v>0.7</v>
      </c>
      <c r="AC4" s="209" t="b">
        <f t="shared" si="1"/>
        <v>1</v>
      </c>
      <c r="AD4" s="209" t="b">
        <f t="shared" si="2"/>
        <v>1</v>
      </c>
    </row>
    <row r="5" spans="1:30" s="210" customFormat="1" ht="30" customHeight="1" x14ac:dyDescent="0.25">
      <c r="A5" s="239">
        <v>3</v>
      </c>
      <c r="B5" s="198" t="s">
        <v>88</v>
      </c>
      <c r="C5" s="211" t="s">
        <v>78</v>
      </c>
      <c r="D5" s="198" t="s">
        <v>89</v>
      </c>
      <c r="E5" s="198">
        <v>1607013</v>
      </c>
      <c r="F5" s="198" t="s">
        <v>55</v>
      </c>
      <c r="G5" s="198" t="s">
        <v>90</v>
      </c>
      <c r="H5" s="198" t="s">
        <v>65</v>
      </c>
      <c r="I5" s="200">
        <v>1.3407500000000001</v>
      </c>
      <c r="J5" s="201" t="s">
        <v>306</v>
      </c>
      <c r="K5" s="205">
        <v>6691889.3700000001</v>
      </c>
      <c r="L5" s="224">
        <v>4678354.46</v>
      </c>
      <c r="M5" s="206">
        <f t="shared" si="3"/>
        <v>2013534.9100000001</v>
      </c>
      <c r="N5" s="220">
        <v>0.69910000000000005</v>
      </c>
      <c r="O5" s="247">
        <v>0</v>
      </c>
      <c r="P5" s="247">
        <v>0</v>
      </c>
      <c r="Q5" s="232">
        <v>0</v>
      </c>
      <c r="R5" s="232">
        <v>0</v>
      </c>
      <c r="S5" s="225">
        <v>3266354.46</v>
      </c>
      <c r="T5" s="224">
        <v>1412000</v>
      </c>
      <c r="U5" s="224">
        <v>0</v>
      </c>
      <c r="V5" s="224">
        <v>0</v>
      </c>
      <c r="W5" s="247">
        <v>0</v>
      </c>
      <c r="X5" s="247">
        <v>0</v>
      </c>
      <c r="Y5" s="232">
        <v>0</v>
      </c>
      <c r="Z5" s="232">
        <v>0</v>
      </c>
      <c r="AA5" s="207" t="b">
        <f t="shared" si="4"/>
        <v>1</v>
      </c>
      <c r="AB5" s="208">
        <f t="shared" si="0"/>
        <v>0.69910000000000005</v>
      </c>
      <c r="AC5" s="209" t="b">
        <f t="shared" si="1"/>
        <v>1</v>
      </c>
      <c r="AD5" s="209" t="b">
        <f t="shared" si="2"/>
        <v>1</v>
      </c>
    </row>
    <row r="6" spans="1:30" s="210" customFormat="1" ht="41.25" customHeight="1" x14ac:dyDescent="0.25">
      <c r="A6" s="239">
        <v>4</v>
      </c>
      <c r="B6" s="198" t="s">
        <v>91</v>
      </c>
      <c r="C6" s="211" t="s">
        <v>78</v>
      </c>
      <c r="D6" s="198" t="s">
        <v>92</v>
      </c>
      <c r="E6" s="198">
        <v>1603011</v>
      </c>
      <c r="F6" s="198" t="s">
        <v>80</v>
      </c>
      <c r="G6" s="198" t="s">
        <v>93</v>
      </c>
      <c r="H6" s="198" t="s">
        <v>57</v>
      </c>
      <c r="I6" s="200">
        <v>0.191</v>
      </c>
      <c r="J6" s="201" t="s">
        <v>285</v>
      </c>
      <c r="K6" s="205">
        <v>1568775.01</v>
      </c>
      <c r="L6" s="224">
        <f t="shared" ref="L6:L9" si="5">ROUND(K6*N6,2)</f>
        <v>784387.51</v>
      </c>
      <c r="M6" s="206">
        <f t="shared" si="3"/>
        <v>784387.5</v>
      </c>
      <c r="N6" s="204">
        <v>0.5</v>
      </c>
      <c r="O6" s="247">
        <v>0</v>
      </c>
      <c r="P6" s="247">
        <v>0</v>
      </c>
      <c r="Q6" s="232">
        <v>0</v>
      </c>
      <c r="R6" s="232">
        <v>0</v>
      </c>
      <c r="S6" s="225">
        <v>784387.51</v>
      </c>
      <c r="T6" s="224">
        <v>0</v>
      </c>
      <c r="U6" s="224">
        <v>0</v>
      </c>
      <c r="V6" s="224">
        <v>0</v>
      </c>
      <c r="W6" s="247">
        <v>0</v>
      </c>
      <c r="X6" s="247">
        <v>0</v>
      </c>
      <c r="Y6" s="232">
        <v>0</v>
      </c>
      <c r="Z6" s="232">
        <v>0</v>
      </c>
      <c r="AA6" s="207" t="b">
        <f t="shared" si="4"/>
        <v>1</v>
      </c>
      <c r="AB6" s="208">
        <f t="shared" si="0"/>
        <v>0.5</v>
      </c>
      <c r="AC6" s="209" t="b">
        <f t="shared" si="1"/>
        <v>1</v>
      </c>
      <c r="AD6" s="209" t="b">
        <f t="shared" si="2"/>
        <v>1</v>
      </c>
    </row>
    <row r="7" spans="1:30" s="210" customFormat="1" ht="30" customHeight="1" x14ac:dyDescent="0.25">
      <c r="A7" s="239">
        <v>5</v>
      </c>
      <c r="B7" s="198" t="s">
        <v>94</v>
      </c>
      <c r="C7" s="211" t="s">
        <v>78</v>
      </c>
      <c r="D7" s="198" t="s">
        <v>95</v>
      </c>
      <c r="E7" s="198">
        <v>1611063</v>
      </c>
      <c r="F7" s="198" t="s">
        <v>63</v>
      </c>
      <c r="G7" s="198" t="s">
        <v>96</v>
      </c>
      <c r="H7" s="198" t="s">
        <v>65</v>
      </c>
      <c r="I7" s="200">
        <v>0.64900000000000002</v>
      </c>
      <c r="J7" s="201" t="s">
        <v>97</v>
      </c>
      <c r="K7" s="205">
        <v>2232450</v>
      </c>
      <c r="L7" s="224">
        <f t="shared" si="5"/>
        <v>1116225</v>
      </c>
      <c r="M7" s="206">
        <f t="shared" si="3"/>
        <v>1116225</v>
      </c>
      <c r="N7" s="204">
        <v>0.5</v>
      </c>
      <c r="O7" s="247">
        <v>0</v>
      </c>
      <c r="P7" s="247">
        <v>0</v>
      </c>
      <c r="Q7" s="232">
        <v>0</v>
      </c>
      <c r="R7" s="232">
        <v>0</v>
      </c>
      <c r="S7" s="225">
        <v>630802.61</v>
      </c>
      <c r="T7" s="225">
        <v>485422.39</v>
      </c>
      <c r="U7" s="224">
        <v>0</v>
      </c>
      <c r="V7" s="224">
        <v>0</v>
      </c>
      <c r="W7" s="247">
        <v>0</v>
      </c>
      <c r="X7" s="247">
        <v>0</v>
      </c>
      <c r="Y7" s="232">
        <v>0</v>
      </c>
      <c r="Z7" s="232">
        <v>0</v>
      </c>
      <c r="AA7" s="207" t="b">
        <f t="shared" si="4"/>
        <v>1</v>
      </c>
      <c r="AB7" s="208">
        <f t="shared" si="0"/>
        <v>0.5</v>
      </c>
      <c r="AC7" s="209" t="b">
        <f t="shared" si="1"/>
        <v>1</v>
      </c>
      <c r="AD7" s="209" t="b">
        <f t="shared" si="2"/>
        <v>1</v>
      </c>
    </row>
    <row r="8" spans="1:30" s="210" customFormat="1" ht="30" customHeight="1" x14ac:dyDescent="0.25">
      <c r="A8" s="239">
        <v>6</v>
      </c>
      <c r="B8" s="198" t="s">
        <v>98</v>
      </c>
      <c r="C8" s="211" t="s">
        <v>78</v>
      </c>
      <c r="D8" s="198" t="s">
        <v>99</v>
      </c>
      <c r="E8" s="198">
        <v>1611022</v>
      </c>
      <c r="F8" s="198" t="s">
        <v>63</v>
      </c>
      <c r="G8" s="198" t="s">
        <v>100</v>
      </c>
      <c r="H8" s="198" t="s">
        <v>57</v>
      </c>
      <c r="I8" s="200">
        <v>0.437</v>
      </c>
      <c r="J8" s="201" t="s">
        <v>101</v>
      </c>
      <c r="K8" s="205">
        <v>878260</v>
      </c>
      <c r="L8" s="224">
        <f t="shared" si="5"/>
        <v>614782</v>
      </c>
      <c r="M8" s="206">
        <f t="shared" si="3"/>
        <v>263478</v>
      </c>
      <c r="N8" s="204">
        <v>0.7</v>
      </c>
      <c r="O8" s="247">
        <v>0</v>
      </c>
      <c r="P8" s="247">
        <v>0</v>
      </c>
      <c r="Q8" s="232">
        <v>0</v>
      </c>
      <c r="R8" s="232">
        <v>0</v>
      </c>
      <c r="S8" s="225">
        <v>614782</v>
      </c>
      <c r="T8" s="224">
        <v>0</v>
      </c>
      <c r="U8" s="224">
        <v>0</v>
      </c>
      <c r="V8" s="224">
        <v>0</v>
      </c>
      <c r="W8" s="247">
        <v>0</v>
      </c>
      <c r="X8" s="247">
        <v>0</v>
      </c>
      <c r="Y8" s="232">
        <v>0</v>
      </c>
      <c r="Z8" s="232">
        <v>0</v>
      </c>
      <c r="AA8" s="207" t="b">
        <f t="shared" si="4"/>
        <v>1</v>
      </c>
      <c r="AB8" s="208">
        <f t="shared" si="0"/>
        <v>0.7</v>
      </c>
      <c r="AC8" s="209" t="b">
        <f t="shared" si="1"/>
        <v>1</v>
      </c>
      <c r="AD8" s="209" t="b">
        <f t="shared" si="2"/>
        <v>1</v>
      </c>
    </row>
    <row r="9" spans="1:30" s="210" customFormat="1" ht="30" customHeight="1" x14ac:dyDescent="0.25">
      <c r="A9" s="239">
        <v>7</v>
      </c>
      <c r="B9" s="198" t="s">
        <v>102</v>
      </c>
      <c r="C9" s="198" t="s">
        <v>78</v>
      </c>
      <c r="D9" s="198" t="s">
        <v>103</v>
      </c>
      <c r="E9" s="212">
        <v>1601033</v>
      </c>
      <c r="F9" s="198" t="s">
        <v>104</v>
      </c>
      <c r="G9" s="198" t="s">
        <v>105</v>
      </c>
      <c r="H9" s="198" t="s">
        <v>53</v>
      </c>
      <c r="I9" s="198">
        <v>0.47799999999999998</v>
      </c>
      <c r="J9" s="201" t="s">
        <v>286</v>
      </c>
      <c r="K9" s="205">
        <v>1665326.99</v>
      </c>
      <c r="L9" s="224">
        <f t="shared" si="5"/>
        <v>999196.19</v>
      </c>
      <c r="M9" s="206">
        <f t="shared" si="3"/>
        <v>666130.80000000005</v>
      </c>
      <c r="N9" s="204">
        <v>0.6</v>
      </c>
      <c r="O9" s="247">
        <v>0</v>
      </c>
      <c r="P9" s="247">
        <v>0</v>
      </c>
      <c r="Q9" s="232">
        <v>0</v>
      </c>
      <c r="R9" s="232">
        <v>0</v>
      </c>
      <c r="S9" s="225">
        <v>470723.89</v>
      </c>
      <c r="T9" s="224">
        <f>L9-S9</f>
        <v>528472.29999999993</v>
      </c>
      <c r="U9" s="224">
        <v>0</v>
      </c>
      <c r="V9" s="224">
        <v>0</v>
      </c>
      <c r="W9" s="247">
        <v>0</v>
      </c>
      <c r="X9" s="247">
        <v>0</v>
      </c>
      <c r="Y9" s="232">
        <v>0</v>
      </c>
      <c r="Z9" s="232">
        <v>0</v>
      </c>
      <c r="AA9" s="207" t="b">
        <f t="shared" si="4"/>
        <v>1</v>
      </c>
      <c r="AB9" s="208">
        <f t="shared" si="0"/>
        <v>0.6</v>
      </c>
      <c r="AC9" s="209" t="b">
        <f t="shared" si="1"/>
        <v>1</v>
      </c>
      <c r="AD9" s="209" t="b">
        <f t="shared" si="2"/>
        <v>1</v>
      </c>
    </row>
    <row r="10" spans="1:30" s="210" customFormat="1" ht="30" customHeight="1" x14ac:dyDescent="0.25">
      <c r="A10" s="239">
        <v>8</v>
      </c>
      <c r="B10" s="198" t="s">
        <v>106</v>
      </c>
      <c r="C10" s="198" t="s">
        <v>78</v>
      </c>
      <c r="D10" s="198" t="s">
        <v>89</v>
      </c>
      <c r="E10" s="212">
        <v>1607013</v>
      </c>
      <c r="F10" s="198" t="s">
        <v>55</v>
      </c>
      <c r="G10" s="198" t="s">
        <v>107</v>
      </c>
      <c r="H10" s="198" t="s">
        <v>65</v>
      </c>
      <c r="I10" s="198">
        <v>1.0629999999999999</v>
      </c>
      <c r="J10" s="201" t="s">
        <v>328</v>
      </c>
      <c r="K10" s="205">
        <v>1685023.7</v>
      </c>
      <c r="L10" s="224">
        <v>1347604.57</v>
      </c>
      <c r="M10" s="206">
        <f t="shared" si="3"/>
        <v>337419.12999999989</v>
      </c>
      <c r="N10" s="220">
        <v>0.79979999999999996</v>
      </c>
      <c r="O10" s="247">
        <v>0</v>
      </c>
      <c r="P10" s="247">
        <v>0</v>
      </c>
      <c r="Q10" s="232">
        <v>0</v>
      </c>
      <c r="R10" s="232">
        <v>0</v>
      </c>
      <c r="S10" s="225">
        <v>570445.66</v>
      </c>
      <c r="T10" s="224">
        <v>777158.91</v>
      </c>
      <c r="U10" s="224">
        <v>0</v>
      </c>
      <c r="V10" s="224">
        <v>0</v>
      </c>
      <c r="W10" s="247">
        <v>0</v>
      </c>
      <c r="X10" s="247">
        <v>0</v>
      </c>
      <c r="Y10" s="232">
        <v>0</v>
      </c>
      <c r="Z10" s="232">
        <v>0</v>
      </c>
      <c r="AA10" s="207" t="b">
        <f t="shared" si="4"/>
        <v>1</v>
      </c>
      <c r="AB10" s="208">
        <f t="shared" si="0"/>
        <v>0.79979999999999996</v>
      </c>
      <c r="AC10" s="209" t="b">
        <f t="shared" si="1"/>
        <v>1</v>
      </c>
      <c r="AD10" s="209" t="b">
        <f t="shared" si="2"/>
        <v>1</v>
      </c>
    </row>
    <row r="11" spans="1:30" s="309" customFormat="1" ht="30" customHeight="1" x14ac:dyDescent="0.25">
      <c r="A11" s="295" t="s">
        <v>230</v>
      </c>
      <c r="B11" s="296" t="s">
        <v>108</v>
      </c>
      <c r="C11" s="296"/>
      <c r="D11" s="296" t="s">
        <v>109</v>
      </c>
      <c r="E11" s="297">
        <v>1608062</v>
      </c>
      <c r="F11" s="296" t="s">
        <v>110</v>
      </c>
      <c r="G11" s="296" t="s">
        <v>111</v>
      </c>
      <c r="H11" s="296" t="s">
        <v>57</v>
      </c>
      <c r="I11" s="296"/>
      <c r="J11" s="298" t="s">
        <v>261</v>
      </c>
      <c r="K11" s="299"/>
      <c r="L11" s="300"/>
      <c r="M11" s="301"/>
      <c r="N11" s="302">
        <v>0.8</v>
      </c>
      <c r="O11" s="303"/>
      <c r="P11" s="303"/>
      <c r="Q11" s="304"/>
      <c r="R11" s="304"/>
      <c r="S11" s="305"/>
      <c r="T11" s="300"/>
      <c r="U11" s="300"/>
      <c r="V11" s="300"/>
      <c r="W11" s="303"/>
      <c r="X11" s="303"/>
      <c r="Y11" s="304"/>
      <c r="Z11" s="304"/>
      <c r="AA11" s="306" t="b">
        <f t="shared" si="4"/>
        <v>1</v>
      </c>
      <c r="AB11" s="307" t="e">
        <f t="shared" si="0"/>
        <v>#DIV/0!</v>
      </c>
      <c r="AC11" s="308" t="e">
        <f t="shared" si="1"/>
        <v>#DIV/0!</v>
      </c>
      <c r="AD11" s="308" t="b">
        <f t="shared" si="2"/>
        <v>1</v>
      </c>
    </row>
    <row r="12" spans="1:30" s="210" customFormat="1" ht="30" customHeight="1" x14ac:dyDescent="0.25">
      <c r="A12" s="239">
        <v>10</v>
      </c>
      <c r="B12" s="198" t="s">
        <v>112</v>
      </c>
      <c r="C12" s="211" t="s">
        <v>59</v>
      </c>
      <c r="D12" s="198" t="s">
        <v>113</v>
      </c>
      <c r="E12" s="213">
        <v>1609052</v>
      </c>
      <c r="F12" s="213" t="s">
        <v>85</v>
      </c>
      <c r="G12" s="213" t="s">
        <v>114</v>
      </c>
      <c r="H12" s="198" t="s">
        <v>65</v>
      </c>
      <c r="I12" s="214">
        <v>0.38600000000000001</v>
      </c>
      <c r="J12" s="201" t="s">
        <v>327</v>
      </c>
      <c r="K12" s="205">
        <v>1388538.78</v>
      </c>
      <c r="L12" s="224">
        <f t="shared" ref="L12:L52" si="6">ROUNDDOWN(K12*N12,2)</f>
        <v>833123.26</v>
      </c>
      <c r="M12" s="206">
        <f t="shared" si="3"/>
        <v>555415.52</v>
      </c>
      <c r="N12" s="221">
        <v>0.6</v>
      </c>
      <c r="O12" s="247">
        <v>0</v>
      </c>
      <c r="P12" s="247">
        <v>0</v>
      </c>
      <c r="Q12" s="232">
        <v>0</v>
      </c>
      <c r="R12" s="232">
        <v>0</v>
      </c>
      <c r="S12" s="224">
        <v>0</v>
      </c>
      <c r="T12" s="224">
        <v>300297.59999999998</v>
      </c>
      <c r="U12" s="224">
        <f>L12-T12</f>
        <v>532825.66</v>
      </c>
      <c r="V12" s="224">
        <v>0</v>
      </c>
      <c r="W12" s="247">
        <v>0</v>
      </c>
      <c r="X12" s="247">
        <v>0</v>
      </c>
      <c r="Y12" s="232">
        <v>0</v>
      </c>
      <c r="Z12" s="232">
        <v>0</v>
      </c>
      <c r="AA12" s="207" t="b">
        <f t="shared" si="4"/>
        <v>1</v>
      </c>
      <c r="AB12" s="208">
        <f t="shared" si="0"/>
        <v>0.6</v>
      </c>
      <c r="AC12" s="209" t="b">
        <f t="shared" si="1"/>
        <v>1</v>
      </c>
      <c r="AD12" s="209" t="b">
        <f t="shared" si="2"/>
        <v>1</v>
      </c>
    </row>
    <row r="13" spans="1:30" s="210" customFormat="1" ht="39.75" customHeight="1" x14ac:dyDescent="0.25">
      <c r="A13" s="239">
        <v>11</v>
      </c>
      <c r="B13" s="198" t="s">
        <v>115</v>
      </c>
      <c r="C13" s="211" t="s">
        <v>59</v>
      </c>
      <c r="D13" s="198" t="s">
        <v>92</v>
      </c>
      <c r="E13" s="198">
        <v>1603011</v>
      </c>
      <c r="F13" s="198" t="s">
        <v>80</v>
      </c>
      <c r="G13" s="198" t="s">
        <v>116</v>
      </c>
      <c r="H13" s="198" t="s">
        <v>65</v>
      </c>
      <c r="I13" s="214">
        <v>0.62</v>
      </c>
      <c r="J13" s="201" t="s">
        <v>262</v>
      </c>
      <c r="K13" s="205">
        <v>1940710.35</v>
      </c>
      <c r="L13" s="224">
        <f>ROUNDDOWN(K13*N13,2)</f>
        <v>970355.17</v>
      </c>
      <c r="M13" s="206">
        <f t="shared" si="3"/>
        <v>970355.18</v>
      </c>
      <c r="N13" s="221">
        <v>0.5</v>
      </c>
      <c r="O13" s="247">
        <v>0</v>
      </c>
      <c r="P13" s="247">
        <v>0</v>
      </c>
      <c r="Q13" s="232">
        <v>0</v>
      </c>
      <c r="R13" s="232">
        <v>0</v>
      </c>
      <c r="S13" s="224">
        <v>0</v>
      </c>
      <c r="T13" s="224">
        <v>970355.17</v>
      </c>
      <c r="U13" s="224">
        <f>L13-T13</f>
        <v>0</v>
      </c>
      <c r="V13" s="224">
        <v>0</v>
      </c>
      <c r="W13" s="247">
        <v>0</v>
      </c>
      <c r="X13" s="247">
        <v>0</v>
      </c>
      <c r="Y13" s="232">
        <v>0</v>
      </c>
      <c r="Z13" s="232">
        <v>0</v>
      </c>
      <c r="AA13" s="207" t="b">
        <f t="shared" si="4"/>
        <v>1</v>
      </c>
      <c r="AB13" s="208">
        <f t="shared" si="0"/>
        <v>0.5</v>
      </c>
      <c r="AC13" s="209" t="b">
        <f t="shared" si="1"/>
        <v>1</v>
      </c>
      <c r="AD13" s="209" t="b">
        <f t="shared" si="2"/>
        <v>1</v>
      </c>
    </row>
    <row r="14" spans="1:30" s="231" customFormat="1" ht="30" customHeight="1" x14ac:dyDescent="0.25">
      <c r="A14" s="240">
        <v>12</v>
      </c>
      <c r="B14" s="193" t="s">
        <v>117</v>
      </c>
      <c r="C14" s="215" t="s">
        <v>50</v>
      </c>
      <c r="D14" s="193" t="s">
        <v>118</v>
      </c>
      <c r="E14" s="193">
        <v>1609032</v>
      </c>
      <c r="F14" s="193" t="s">
        <v>85</v>
      </c>
      <c r="G14" s="193" t="s">
        <v>119</v>
      </c>
      <c r="H14" s="193" t="s">
        <v>65</v>
      </c>
      <c r="I14" s="195">
        <v>0.96440999999999999</v>
      </c>
      <c r="J14" s="197" t="s">
        <v>275</v>
      </c>
      <c r="K14" s="196">
        <v>2203041.39</v>
      </c>
      <c r="L14" s="335">
        <v>1542128.97</v>
      </c>
      <c r="M14" s="52">
        <f t="shared" si="3"/>
        <v>660912.42000000016</v>
      </c>
      <c r="N14" s="223">
        <v>0.7</v>
      </c>
      <c r="O14" s="248">
        <v>0</v>
      </c>
      <c r="P14" s="248">
        <v>0</v>
      </c>
      <c r="Q14" s="233">
        <v>0</v>
      </c>
      <c r="R14" s="233">
        <v>0</v>
      </c>
      <c r="S14" s="226">
        <v>0</v>
      </c>
      <c r="T14" s="226">
        <f>L14</f>
        <v>1542128.97</v>
      </c>
      <c r="U14" s="226">
        <v>0</v>
      </c>
      <c r="V14" s="226">
        <v>0</v>
      </c>
      <c r="W14" s="248">
        <v>0</v>
      </c>
      <c r="X14" s="248">
        <v>0</v>
      </c>
      <c r="Y14" s="233">
        <v>0</v>
      </c>
      <c r="Z14" s="233">
        <v>0</v>
      </c>
      <c r="AA14" s="228" t="b">
        <f t="shared" si="4"/>
        <v>1</v>
      </c>
      <c r="AB14" s="229">
        <f t="shared" si="0"/>
        <v>0.7</v>
      </c>
      <c r="AC14" s="230" t="b">
        <f t="shared" si="1"/>
        <v>1</v>
      </c>
      <c r="AD14" s="230" t="b">
        <f t="shared" si="2"/>
        <v>1</v>
      </c>
    </row>
    <row r="15" spans="1:30" s="231" customFormat="1" ht="30" customHeight="1" x14ac:dyDescent="0.25">
      <c r="A15" s="240">
        <v>13</v>
      </c>
      <c r="B15" s="193" t="s">
        <v>120</v>
      </c>
      <c r="C15" s="215" t="s">
        <v>50</v>
      </c>
      <c r="D15" s="193" t="s">
        <v>121</v>
      </c>
      <c r="E15" s="193">
        <v>1609083</v>
      </c>
      <c r="F15" s="202" t="s">
        <v>85</v>
      </c>
      <c r="G15" s="193" t="s">
        <v>122</v>
      </c>
      <c r="H15" s="193" t="s">
        <v>65</v>
      </c>
      <c r="I15" s="195">
        <v>0.85899999999999999</v>
      </c>
      <c r="J15" s="197" t="s">
        <v>305</v>
      </c>
      <c r="K15" s="196">
        <v>8496594</v>
      </c>
      <c r="L15" s="226">
        <f t="shared" si="6"/>
        <v>5947615.7999999998</v>
      </c>
      <c r="M15" s="52">
        <f t="shared" si="3"/>
        <v>2548978.2000000002</v>
      </c>
      <c r="N15" s="222">
        <v>0.7</v>
      </c>
      <c r="O15" s="248">
        <v>0</v>
      </c>
      <c r="P15" s="248">
        <v>0</v>
      </c>
      <c r="Q15" s="233">
        <v>0</v>
      </c>
      <c r="R15" s="233">
        <v>0</v>
      </c>
      <c r="S15" s="226">
        <v>0</v>
      </c>
      <c r="T15" s="226">
        <f>L15</f>
        <v>5947615.7999999998</v>
      </c>
      <c r="U15" s="226">
        <v>0</v>
      </c>
      <c r="V15" s="226">
        <v>0</v>
      </c>
      <c r="W15" s="248">
        <v>0</v>
      </c>
      <c r="X15" s="248">
        <v>0</v>
      </c>
      <c r="Y15" s="233">
        <v>0</v>
      </c>
      <c r="Z15" s="233">
        <v>0</v>
      </c>
      <c r="AA15" s="228" t="b">
        <f t="shared" si="4"/>
        <v>1</v>
      </c>
      <c r="AB15" s="229">
        <f t="shared" si="0"/>
        <v>0.7</v>
      </c>
      <c r="AC15" s="230" t="b">
        <f t="shared" si="1"/>
        <v>1</v>
      </c>
      <c r="AD15" s="230" t="b">
        <f t="shared" si="2"/>
        <v>1</v>
      </c>
    </row>
    <row r="16" spans="1:30" s="231" customFormat="1" ht="30" customHeight="1" x14ac:dyDescent="0.25">
      <c r="A16" s="240">
        <v>14</v>
      </c>
      <c r="B16" s="193" t="s">
        <v>123</v>
      </c>
      <c r="C16" s="215" t="s">
        <v>50</v>
      </c>
      <c r="D16" s="193" t="s">
        <v>124</v>
      </c>
      <c r="E16" s="193">
        <v>1608033</v>
      </c>
      <c r="F16" s="193" t="s">
        <v>110</v>
      </c>
      <c r="G16" s="193" t="s">
        <v>125</v>
      </c>
      <c r="H16" s="193" t="s">
        <v>53</v>
      </c>
      <c r="I16" s="195">
        <v>3.786</v>
      </c>
      <c r="J16" s="197" t="s">
        <v>295</v>
      </c>
      <c r="K16" s="196">
        <v>1800478.04</v>
      </c>
      <c r="L16" s="226">
        <f t="shared" si="6"/>
        <v>1260334.6200000001</v>
      </c>
      <c r="M16" s="52">
        <f t="shared" si="3"/>
        <v>540143.41999999993</v>
      </c>
      <c r="N16" s="222">
        <v>0.7</v>
      </c>
      <c r="O16" s="248">
        <v>0</v>
      </c>
      <c r="P16" s="248">
        <v>0</v>
      </c>
      <c r="Q16" s="233">
        <v>0</v>
      </c>
      <c r="R16" s="233">
        <v>0</v>
      </c>
      <c r="S16" s="226">
        <v>0</v>
      </c>
      <c r="T16" s="226">
        <f>L16</f>
        <v>1260334.6200000001</v>
      </c>
      <c r="U16" s="226">
        <v>0</v>
      </c>
      <c r="V16" s="226">
        <v>0</v>
      </c>
      <c r="W16" s="248">
        <v>0</v>
      </c>
      <c r="X16" s="248">
        <v>0</v>
      </c>
      <c r="Y16" s="233">
        <v>0</v>
      </c>
      <c r="Z16" s="233">
        <v>0</v>
      </c>
      <c r="AA16" s="228" t="b">
        <f t="shared" si="4"/>
        <v>1</v>
      </c>
      <c r="AB16" s="229">
        <f t="shared" si="0"/>
        <v>0.7</v>
      </c>
      <c r="AC16" s="230" t="b">
        <f t="shared" si="1"/>
        <v>1</v>
      </c>
      <c r="AD16" s="230" t="b">
        <f t="shared" si="2"/>
        <v>1</v>
      </c>
    </row>
    <row r="17" spans="1:30" s="210" customFormat="1" ht="30" customHeight="1" x14ac:dyDescent="0.25">
      <c r="A17" s="239">
        <v>15</v>
      </c>
      <c r="B17" s="198" t="s">
        <v>126</v>
      </c>
      <c r="C17" s="211" t="s">
        <v>59</v>
      </c>
      <c r="D17" s="198" t="s">
        <v>127</v>
      </c>
      <c r="E17" s="213">
        <v>1601011</v>
      </c>
      <c r="F17" s="213" t="s">
        <v>104</v>
      </c>
      <c r="G17" s="213" t="s">
        <v>128</v>
      </c>
      <c r="H17" s="198" t="s">
        <v>57</v>
      </c>
      <c r="I17" s="200">
        <v>0.55700000000000005</v>
      </c>
      <c r="J17" s="201" t="s">
        <v>287</v>
      </c>
      <c r="K17" s="205">
        <v>14506561.859999999</v>
      </c>
      <c r="L17" s="224">
        <f t="shared" si="6"/>
        <v>11605249.48</v>
      </c>
      <c r="M17" s="206">
        <f t="shared" si="3"/>
        <v>2901312.379999999</v>
      </c>
      <c r="N17" s="221">
        <v>0.8</v>
      </c>
      <c r="O17" s="247">
        <v>0</v>
      </c>
      <c r="P17" s="247">
        <v>0</v>
      </c>
      <c r="Q17" s="232">
        <v>0</v>
      </c>
      <c r="R17" s="232">
        <v>0</v>
      </c>
      <c r="S17" s="224">
        <v>0</v>
      </c>
      <c r="T17" s="224">
        <f>ROUNDDOWN(N17*4944950.56,2)</f>
        <v>3955960.44</v>
      </c>
      <c r="U17" s="224">
        <f>ROUNDDOWN(N17*7077422.86,2)</f>
        <v>5661938.2800000003</v>
      </c>
      <c r="V17" s="224">
        <f>L17-T17-U17</f>
        <v>1987350.7600000007</v>
      </c>
      <c r="W17" s="247">
        <v>0</v>
      </c>
      <c r="X17" s="247">
        <v>0</v>
      </c>
      <c r="Y17" s="232">
        <v>0</v>
      </c>
      <c r="Z17" s="232">
        <v>0</v>
      </c>
      <c r="AA17" s="207" t="b">
        <f t="shared" si="4"/>
        <v>1</v>
      </c>
      <c r="AB17" s="208">
        <f t="shared" si="0"/>
        <v>0.8</v>
      </c>
      <c r="AC17" s="209" t="b">
        <f t="shared" si="1"/>
        <v>1</v>
      </c>
      <c r="AD17" s="209" t="b">
        <f t="shared" si="2"/>
        <v>1</v>
      </c>
    </row>
    <row r="18" spans="1:30" s="231" customFormat="1" ht="30" customHeight="1" x14ac:dyDescent="0.25">
      <c r="A18" s="240">
        <v>16</v>
      </c>
      <c r="B18" s="193" t="s">
        <v>129</v>
      </c>
      <c r="C18" s="194" t="s">
        <v>50</v>
      </c>
      <c r="D18" s="193" t="s">
        <v>109</v>
      </c>
      <c r="E18" s="193">
        <v>1608062</v>
      </c>
      <c r="F18" s="193" t="s">
        <v>110</v>
      </c>
      <c r="G18" s="193" t="s">
        <v>130</v>
      </c>
      <c r="H18" s="193" t="s">
        <v>53</v>
      </c>
      <c r="I18" s="195">
        <v>2.7429999999999999</v>
      </c>
      <c r="J18" s="197" t="s">
        <v>265</v>
      </c>
      <c r="K18" s="196">
        <v>3177229.8</v>
      </c>
      <c r="L18" s="226">
        <v>2398900.0499999998</v>
      </c>
      <c r="M18" s="52">
        <f t="shared" si="3"/>
        <v>778329.75</v>
      </c>
      <c r="N18" s="317">
        <v>0.755</v>
      </c>
      <c r="O18" s="248">
        <v>0</v>
      </c>
      <c r="P18" s="248">
        <v>0</v>
      </c>
      <c r="Q18" s="233">
        <v>0</v>
      </c>
      <c r="R18" s="233">
        <v>0</v>
      </c>
      <c r="S18" s="226">
        <v>0</v>
      </c>
      <c r="T18" s="226">
        <f t="shared" ref="T18:T22" si="7">L18</f>
        <v>2398900.0499999998</v>
      </c>
      <c r="U18" s="226">
        <v>0</v>
      </c>
      <c r="V18" s="226">
        <v>0</v>
      </c>
      <c r="W18" s="248">
        <v>0</v>
      </c>
      <c r="X18" s="248">
        <v>0</v>
      </c>
      <c r="Y18" s="233">
        <v>0</v>
      </c>
      <c r="Z18" s="233">
        <v>0</v>
      </c>
      <c r="AA18" s="228" t="b">
        <f t="shared" si="4"/>
        <v>1</v>
      </c>
      <c r="AB18" s="229">
        <f t="shared" si="0"/>
        <v>0.755</v>
      </c>
      <c r="AC18" s="230" t="b">
        <f t="shared" si="1"/>
        <v>1</v>
      </c>
      <c r="AD18" s="230" t="b">
        <f t="shared" si="2"/>
        <v>1</v>
      </c>
    </row>
    <row r="19" spans="1:30" s="275" customFormat="1" ht="38.25" customHeight="1" x14ac:dyDescent="0.25">
      <c r="A19" s="262">
        <v>17</v>
      </c>
      <c r="B19" s="263" t="s">
        <v>132</v>
      </c>
      <c r="C19" s="264"/>
      <c r="D19" s="263" t="s">
        <v>92</v>
      </c>
      <c r="E19" s="263">
        <v>1603011</v>
      </c>
      <c r="F19" s="263" t="s">
        <v>80</v>
      </c>
      <c r="G19" s="263" t="s">
        <v>133</v>
      </c>
      <c r="H19" s="263" t="s">
        <v>53</v>
      </c>
      <c r="I19" s="265"/>
      <c r="J19" s="266" t="s">
        <v>261</v>
      </c>
      <c r="K19" s="267"/>
      <c r="L19" s="261"/>
      <c r="M19" s="268"/>
      <c r="N19" s="269">
        <v>0.5</v>
      </c>
      <c r="O19" s="270"/>
      <c r="P19" s="270"/>
      <c r="Q19" s="271"/>
      <c r="R19" s="271"/>
      <c r="S19" s="261"/>
      <c r="T19" s="261"/>
      <c r="U19" s="261"/>
      <c r="V19" s="261"/>
      <c r="W19" s="270"/>
      <c r="X19" s="270"/>
      <c r="Y19" s="271"/>
      <c r="Z19" s="271"/>
      <c r="AA19" s="272" t="b">
        <f t="shared" si="4"/>
        <v>1</v>
      </c>
      <c r="AB19" s="273" t="e">
        <f t="shared" si="0"/>
        <v>#DIV/0!</v>
      </c>
      <c r="AC19" s="274" t="e">
        <f t="shared" si="1"/>
        <v>#DIV/0!</v>
      </c>
      <c r="AD19" s="274" t="b">
        <f t="shared" si="2"/>
        <v>1</v>
      </c>
    </row>
    <row r="20" spans="1:30" s="231" customFormat="1" ht="38.25" customHeight="1" x14ac:dyDescent="0.25">
      <c r="A20" s="240">
        <v>18</v>
      </c>
      <c r="B20" s="193" t="s">
        <v>134</v>
      </c>
      <c r="C20" s="215" t="s">
        <v>50</v>
      </c>
      <c r="D20" s="193" t="s">
        <v>92</v>
      </c>
      <c r="E20" s="202">
        <v>1603011</v>
      </c>
      <c r="F20" s="202" t="s">
        <v>80</v>
      </c>
      <c r="G20" s="202" t="s">
        <v>135</v>
      </c>
      <c r="H20" s="193" t="s">
        <v>57</v>
      </c>
      <c r="I20" s="216">
        <v>0.29799999999999999</v>
      </c>
      <c r="J20" s="197" t="s">
        <v>240</v>
      </c>
      <c r="K20" s="196">
        <v>1893967.03</v>
      </c>
      <c r="L20" s="226">
        <v>943065.07</v>
      </c>
      <c r="M20" s="52">
        <f t="shared" si="3"/>
        <v>950901.96000000008</v>
      </c>
      <c r="N20" s="317">
        <v>0.49790000000000001</v>
      </c>
      <c r="O20" s="248">
        <v>0</v>
      </c>
      <c r="P20" s="248">
        <v>0</v>
      </c>
      <c r="Q20" s="233">
        <v>0</v>
      </c>
      <c r="R20" s="233">
        <v>0</v>
      </c>
      <c r="S20" s="226">
        <v>0</v>
      </c>
      <c r="T20" s="226">
        <f t="shared" si="7"/>
        <v>943065.07</v>
      </c>
      <c r="U20" s="226">
        <v>0</v>
      </c>
      <c r="V20" s="226">
        <v>0</v>
      </c>
      <c r="W20" s="248">
        <v>0</v>
      </c>
      <c r="X20" s="248">
        <v>0</v>
      </c>
      <c r="Y20" s="233">
        <v>0</v>
      </c>
      <c r="Z20" s="233">
        <v>0</v>
      </c>
      <c r="AA20" s="228" t="b">
        <f t="shared" si="4"/>
        <v>1</v>
      </c>
      <c r="AB20" s="229">
        <f t="shared" ref="AB20:AB24" si="8">ROUND(L20/K20,4)</f>
        <v>0.49790000000000001</v>
      </c>
      <c r="AC20" s="230" t="b">
        <f t="shared" ref="AC20:AC24" si="9">AB20=N20</f>
        <v>1</v>
      </c>
      <c r="AD20" s="230" t="b">
        <f t="shared" ref="AD20:AD24" si="10">K20=L20+M20</f>
        <v>1</v>
      </c>
    </row>
    <row r="21" spans="1:30" s="231" customFormat="1" ht="30" customHeight="1" x14ac:dyDescent="0.25">
      <c r="A21" s="240">
        <v>19</v>
      </c>
      <c r="B21" s="193" t="s">
        <v>136</v>
      </c>
      <c r="C21" s="215" t="s">
        <v>50</v>
      </c>
      <c r="D21" s="193" t="s">
        <v>137</v>
      </c>
      <c r="E21" s="202">
        <v>1605023</v>
      </c>
      <c r="F21" s="202" t="s">
        <v>138</v>
      </c>
      <c r="G21" s="202" t="s">
        <v>139</v>
      </c>
      <c r="H21" s="193" t="s">
        <v>57</v>
      </c>
      <c r="I21" s="202">
        <v>0.27700000000000002</v>
      </c>
      <c r="J21" s="197" t="s">
        <v>275</v>
      </c>
      <c r="K21" s="196">
        <v>906527.35</v>
      </c>
      <c r="L21" s="226">
        <f t="shared" si="6"/>
        <v>634569.14</v>
      </c>
      <c r="M21" s="52">
        <f t="shared" si="3"/>
        <v>271958.20999999996</v>
      </c>
      <c r="N21" s="223">
        <v>0.7</v>
      </c>
      <c r="O21" s="248">
        <v>0</v>
      </c>
      <c r="P21" s="248">
        <v>0</v>
      </c>
      <c r="Q21" s="233">
        <v>0</v>
      </c>
      <c r="R21" s="233">
        <v>0</v>
      </c>
      <c r="S21" s="226">
        <v>0</v>
      </c>
      <c r="T21" s="226">
        <f t="shared" si="7"/>
        <v>634569.14</v>
      </c>
      <c r="U21" s="226">
        <v>0</v>
      </c>
      <c r="V21" s="226">
        <v>0</v>
      </c>
      <c r="W21" s="248">
        <v>0</v>
      </c>
      <c r="X21" s="248">
        <v>0</v>
      </c>
      <c r="Y21" s="233">
        <v>0</v>
      </c>
      <c r="Z21" s="233">
        <v>0</v>
      </c>
      <c r="AA21" s="228" t="b">
        <f t="shared" si="4"/>
        <v>1</v>
      </c>
      <c r="AB21" s="229">
        <f t="shared" si="8"/>
        <v>0.7</v>
      </c>
      <c r="AC21" s="230" t="b">
        <f t="shared" si="9"/>
        <v>1</v>
      </c>
      <c r="AD21" s="230" t="b">
        <f t="shared" si="10"/>
        <v>1</v>
      </c>
    </row>
    <row r="22" spans="1:30" s="231" customFormat="1" ht="30" customHeight="1" x14ac:dyDescent="0.25">
      <c r="A22" s="240">
        <v>20</v>
      </c>
      <c r="B22" s="193" t="s">
        <v>140</v>
      </c>
      <c r="C22" s="215" t="s">
        <v>50</v>
      </c>
      <c r="D22" s="193" t="s">
        <v>118</v>
      </c>
      <c r="E22" s="202">
        <v>1609032</v>
      </c>
      <c r="F22" s="202" t="s">
        <v>85</v>
      </c>
      <c r="G22" s="202" t="s">
        <v>141</v>
      </c>
      <c r="H22" s="193" t="s">
        <v>65</v>
      </c>
      <c r="I22" s="216">
        <v>0.23698</v>
      </c>
      <c r="J22" s="197" t="s">
        <v>295</v>
      </c>
      <c r="K22" s="196">
        <v>347934.69</v>
      </c>
      <c r="L22" s="226">
        <f t="shared" si="6"/>
        <v>243554.28</v>
      </c>
      <c r="M22" s="52">
        <f t="shared" si="3"/>
        <v>104380.41</v>
      </c>
      <c r="N22" s="222">
        <v>0.7</v>
      </c>
      <c r="O22" s="248">
        <v>0</v>
      </c>
      <c r="P22" s="248">
        <v>0</v>
      </c>
      <c r="Q22" s="233">
        <v>0</v>
      </c>
      <c r="R22" s="233">
        <v>0</v>
      </c>
      <c r="S22" s="226">
        <v>0</v>
      </c>
      <c r="T22" s="226">
        <f t="shared" si="7"/>
        <v>243554.28</v>
      </c>
      <c r="U22" s="226">
        <v>0</v>
      </c>
      <c r="V22" s="226">
        <v>0</v>
      </c>
      <c r="W22" s="248">
        <v>0</v>
      </c>
      <c r="X22" s="248">
        <v>0</v>
      </c>
      <c r="Y22" s="233">
        <v>0</v>
      </c>
      <c r="Z22" s="233">
        <v>0</v>
      </c>
      <c r="AA22" s="228" t="b">
        <f t="shared" si="4"/>
        <v>1</v>
      </c>
      <c r="AB22" s="229">
        <f t="shared" si="8"/>
        <v>0.7</v>
      </c>
      <c r="AC22" s="230" t="b">
        <f t="shared" si="9"/>
        <v>1</v>
      </c>
      <c r="AD22" s="230" t="b">
        <f t="shared" si="10"/>
        <v>1</v>
      </c>
    </row>
    <row r="23" spans="1:30" s="210" customFormat="1" ht="30" customHeight="1" x14ac:dyDescent="0.25">
      <c r="A23" s="239">
        <v>21</v>
      </c>
      <c r="B23" s="198" t="s">
        <v>142</v>
      </c>
      <c r="C23" s="211" t="s">
        <v>59</v>
      </c>
      <c r="D23" s="198" t="s">
        <v>143</v>
      </c>
      <c r="E23" s="213">
        <v>1610043</v>
      </c>
      <c r="F23" s="213" t="s">
        <v>144</v>
      </c>
      <c r="G23" s="213" t="s">
        <v>145</v>
      </c>
      <c r="H23" s="198" t="s">
        <v>57</v>
      </c>
      <c r="I23" s="214">
        <v>1.24634</v>
      </c>
      <c r="J23" s="201" t="s">
        <v>319</v>
      </c>
      <c r="K23" s="205">
        <v>5709333.3499999996</v>
      </c>
      <c r="L23" s="224">
        <f t="shared" si="6"/>
        <v>4567466.68</v>
      </c>
      <c r="M23" s="206">
        <f t="shared" si="3"/>
        <v>1141866.67</v>
      </c>
      <c r="N23" s="221">
        <v>0.8</v>
      </c>
      <c r="O23" s="247">
        <v>0</v>
      </c>
      <c r="P23" s="247">
        <v>0</v>
      </c>
      <c r="Q23" s="232">
        <v>0</v>
      </c>
      <c r="R23" s="232">
        <v>0</v>
      </c>
      <c r="S23" s="224">
        <v>0</v>
      </c>
      <c r="T23" s="224">
        <v>3095987.81</v>
      </c>
      <c r="U23" s="224">
        <f>L23-T23</f>
        <v>1471478.8699999996</v>
      </c>
      <c r="V23" s="224">
        <v>0</v>
      </c>
      <c r="W23" s="247">
        <v>0</v>
      </c>
      <c r="X23" s="247">
        <v>0</v>
      </c>
      <c r="Y23" s="232">
        <v>0</v>
      </c>
      <c r="Z23" s="232">
        <v>0</v>
      </c>
      <c r="AA23" s="207" t="b">
        <f t="shared" si="4"/>
        <v>1</v>
      </c>
      <c r="AB23" s="208">
        <f t="shared" si="8"/>
        <v>0.8</v>
      </c>
      <c r="AC23" s="209" t="b">
        <f t="shared" si="9"/>
        <v>1</v>
      </c>
      <c r="AD23" s="209" t="b">
        <f t="shared" si="10"/>
        <v>1</v>
      </c>
    </row>
    <row r="24" spans="1:30" s="210" customFormat="1" ht="30" customHeight="1" x14ac:dyDescent="0.25">
      <c r="A24" s="239">
        <v>22</v>
      </c>
      <c r="B24" s="198" t="s">
        <v>146</v>
      </c>
      <c r="C24" s="211" t="s">
        <v>59</v>
      </c>
      <c r="D24" s="198" t="s">
        <v>103</v>
      </c>
      <c r="E24" s="213">
        <v>1601033</v>
      </c>
      <c r="F24" s="213" t="s">
        <v>104</v>
      </c>
      <c r="G24" s="213" t="s">
        <v>147</v>
      </c>
      <c r="H24" s="198" t="s">
        <v>65</v>
      </c>
      <c r="I24" s="214">
        <v>0.32</v>
      </c>
      <c r="J24" s="201" t="s">
        <v>288</v>
      </c>
      <c r="K24" s="205">
        <v>1975602.31</v>
      </c>
      <c r="L24" s="224">
        <f t="shared" si="6"/>
        <v>1185361.3799999999</v>
      </c>
      <c r="M24" s="206">
        <f t="shared" si="3"/>
        <v>790240.93000000017</v>
      </c>
      <c r="N24" s="221">
        <v>0.6</v>
      </c>
      <c r="O24" s="247">
        <v>0</v>
      </c>
      <c r="P24" s="247">
        <v>0</v>
      </c>
      <c r="Q24" s="232">
        <v>0</v>
      </c>
      <c r="R24" s="232">
        <v>0</v>
      </c>
      <c r="S24" s="224">
        <v>0</v>
      </c>
      <c r="T24" s="224">
        <v>550762.66</v>
      </c>
      <c r="U24" s="224">
        <v>634598.72</v>
      </c>
      <c r="V24" s="224">
        <v>0</v>
      </c>
      <c r="W24" s="247">
        <v>0</v>
      </c>
      <c r="X24" s="247">
        <v>0</v>
      </c>
      <c r="Y24" s="232">
        <v>0</v>
      </c>
      <c r="Z24" s="232">
        <v>0</v>
      </c>
      <c r="AA24" s="207" t="b">
        <f t="shared" si="4"/>
        <v>1</v>
      </c>
      <c r="AB24" s="208">
        <f t="shared" si="8"/>
        <v>0.6</v>
      </c>
      <c r="AC24" s="209" t="b">
        <f t="shared" si="9"/>
        <v>1</v>
      </c>
      <c r="AD24" s="209" t="b">
        <f t="shared" si="10"/>
        <v>1</v>
      </c>
    </row>
    <row r="25" spans="1:30" s="231" customFormat="1" ht="30" customHeight="1" x14ac:dyDescent="0.25">
      <c r="A25" s="240">
        <v>23</v>
      </c>
      <c r="B25" s="193" t="s">
        <v>148</v>
      </c>
      <c r="C25" s="215" t="s">
        <v>50</v>
      </c>
      <c r="D25" s="193" t="s">
        <v>149</v>
      </c>
      <c r="E25" s="202">
        <v>1609022</v>
      </c>
      <c r="F25" s="202" t="s">
        <v>85</v>
      </c>
      <c r="G25" s="202" t="s">
        <v>150</v>
      </c>
      <c r="H25" s="193" t="s">
        <v>57</v>
      </c>
      <c r="I25" s="216">
        <v>0.50900000000000001</v>
      </c>
      <c r="J25" s="197" t="s">
        <v>267</v>
      </c>
      <c r="K25" s="196">
        <v>890287.41</v>
      </c>
      <c r="L25" s="226">
        <f t="shared" si="6"/>
        <v>534172.43999999994</v>
      </c>
      <c r="M25" s="52">
        <f t="shared" si="3"/>
        <v>356114.97000000009</v>
      </c>
      <c r="N25" s="222">
        <v>0.6</v>
      </c>
      <c r="O25" s="248">
        <v>0</v>
      </c>
      <c r="P25" s="248">
        <v>0</v>
      </c>
      <c r="Q25" s="233">
        <v>0</v>
      </c>
      <c r="R25" s="233">
        <v>0</v>
      </c>
      <c r="S25" s="226">
        <v>0</v>
      </c>
      <c r="T25" s="226">
        <f t="shared" ref="T25:T33" si="11">L25</f>
        <v>534172.43999999994</v>
      </c>
      <c r="U25" s="226">
        <v>0</v>
      </c>
      <c r="V25" s="226">
        <v>0</v>
      </c>
      <c r="W25" s="248">
        <v>0</v>
      </c>
      <c r="X25" s="248">
        <v>0</v>
      </c>
      <c r="Y25" s="233">
        <v>0</v>
      </c>
      <c r="Z25" s="233">
        <v>0</v>
      </c>
      <c r="AA25" s="228" t="b">
        <f t="shared" ref="AA25:AA40" si="12">L25=SUM(O25:Z25)</f>
        <v>1</v>
      </c>
      <c r="AB25" s="229">
        <f t="shared" ref="AB25:AB40" si="13">ROUND(L25/K25,4)</f>
        <v>0.6</v>
      </c>
      <c r="AC25" s="230" t="b">
        <f t="shared" ref="AC25:AC40" si="14">AB25=N25</f>
        <v>1</v>
      </c>
      <c r="AD25" s="230" t="b">
        <f t="shared" ref="AD25:AD40" si="15">K25=L25+M25</f>
        <v>1</v>
      </c>
    </row>
    <row r="26" spans="1:30" s="231" customFormat="1" ht="30" customHeight="1" x14ac:dyDescent="0.25">
      <c r="A26" s="240">
        <v>24</v>
      </c>
      <c r="B26" s="193" t="s">
        <v>151</v>
      </c>
      <c r="C26" s="215" t="s">
        <v>50</v>
      </c>
      <c r="D26" s="193" t="s">
        <v>103</v>
      </c>
      <c r="E26" s="202">
        <v>1601033</v>
      </c>
      <c r="F26" s="202" t="s">
        <v>104</v>
      </c>
      <c r="G26" s="202" t="s">
        <v>152</v>
      </c>
      <c r="H26" s="193" t="s">
        <v>57</v>
      </c>
      <c r="I26" s="216">
        <v>0.3054</v>
      </c>
      <c r="J26" s="197" t="s">
        <v>240</v>
      </c>
      <c r="K26" s="196">
        <v>1457007.96</v>
      </c>
      <c r="L26" s="226">
        <f t="shared" si="6"/>
        <v>874204.77</v>
      </c>
      <c r="M26" s="52">
        <f t="shared" si="3"/>
        <v>582803.18999999994</v>
      </c>
      <c r="N26" s="222">
        <v>0.6</v>
      </c>
      <c r="O26" s="248">
        <v>0</v>
      </c>
      <c r="P26" s="248">
        <v>0</v>
      </c>
      <c r="Q26" s="233">
        <v>0</v>
      </c>
      <c r="R26" s="233">
        <v>0</v>
      </c>
      <c r="S26" s="226">
        <v>0</v>
      </c>
      <c r="T26" s="226">
        <f t="shared" si="11"/>
        <v>874204.77</v>
      </c>
      <c r="U26" s="226">
        <v>0</v>
      </c>
      <c r="V26" s="226">
        <v>0</v>
      </c>
      <c r="W26" s="248">
        <v>0</v>
      </c>
      <c r="X26" s="248">
        <v>0</v>
      </c>
      <c r="Y26" s="233">
        <v>0</v>
      </c>
      <c r="Z26" s="233">
        <v>0</v>
      </c>
      <c r="AA26" s="228" t="b">
        <f t="shared" si="12"/>
        <v>1</v>
      </c>
      <c r="AB26" s="229">
        <f t="shared" si="13"/>
        <v>0.6</v>
      </c>
      <c r="AC26" s="230" t="b">
        <f t="shared" si="14"/>
        <v>1</v>
      </c>
      <c r="AD26" s="230" t="b">
        <f t="shared" si="15"/>
        <v>1</v>
      </c>
    </row>
    <row r="27" spans="1:30" s="231" customFormat="1" ht="36.75" customHeight="1" x14ac:dyDescent="0.25">
      <c r="A27" s="240">
        <v>25</v>
      </c>
      <c r="B27" s="193" t="s">
        <v>153</v>
      </c>
      <c r="C27" s="215" t="s">
        <v>50</v>
      </c>
      <c r="D27" s="193" t="s">
        <v>137</v>
      </c>
      <c r="E27" s="193">
        <v>1605023</v>
      </c>
      <c r="F27" s="193" t="s">
        <v>138</v>
      </c>
      <c r="G27" s="193" t="s">
        <v>154</v>
      </c>
      <c r="H27" s="193" t="s">
        <v>65</v>
      </c>
      <c r="I27" s="195">
        <v>0.09</v>
      </c>
      <c r="J27" s="197" t="s">
        <v>265</v>
      </c>
      <c r="K27" s="196">
        <v>756834.06</v>
      </c>
      <c r="L27" s="226">
        <v>529486.74</v>
      </c>
      <c r="M27" s="52">
        <f t="shared" si="3"/>
        <v>227347.32000000007</v>
      </c>
      <c r="N27" s="317">
        <v>0.6996</v>
      </c>
      <c r="O27" s="248">
        <v>0</v>
      </c>
      <c r="P27" s="248">
        <v>0</v>
      </c>
      <c r="Q27" s="233">
        <v>0</v>
      </c>
      <c r="R27" s="233">
        <v>0</v>
      </c>
      <c r="S27" s="226">
        <v>0</v>
      </c>
      <c r="T27" s="226">
        <f t="shared" si="11"/>
        <v>529486.74</v>
      </c>
      <c r="U27" s="226">
        <v>0</v>
      </c>
      <c r="V27" s="226">
        <v>0</v>
      </c>
      <c r="W27" s="248">
        <v>0</v>
      </c>
      <c r="X27" s="248">
        <v>0</v>
      </c>
      <c r="Y27" s="233">
        <v>0</v>
      </c>
      <c r="Z27" s="233">
        <v>0</v>
      </c>
      <c r="AA27" s="228" t="b">
        <f t="shared" si="12"/>
        <v>1</v>
      </c>
      <c r="AB27" s="229">
        <f t="shared" si="13"/>
        <v>0.6996</v>
      </c>
      <c r="AC27" s="230" t="b">
        <f t="shared" si="14"/>
        <v>1</v>
      </c>
      <c r="AD27" s="230" t="b">
        <f t="shared" si="15"/>
        <v>1</v>
      </c>
    </row>
    <row r="28" spans="1:30" s="231" customFormat="1" ht="30" customHeight="1" x14ac:dyDescent="0.25">
      <c r="A28" s="240">
        <v>26</v>
      </c>
      <c r="B28" s="193" t="s">
        <v>155</v>
      </c>
      <c r="C28" s="215" t="s">
        <v>50</v>
      </c>
      <c r="D28" s="193" t="s">
        <v>156</v>
      </c>
      <c r="E28" s="202">
        <v>1608052</v>
      </c>
      <c r="F28" s="202" t="s">
        <v>110</v>
      </c>
      <c r="G28" s="202" t="s">
        <v>157</v>
      </c>
      <c r="H28" s="193" t="s">
        <v>57</v>
      </c>
      <c r="I28" s="216">
        <v>1.3120000000000001</v>
      </c>
      <c r="J28" s="197" t="s">
        <v>267</v>
      </c>
      <c r="K28" s="196">
        <v>1992684.04</v>
      </c>
      <c r="L28" s="226">
        <f t="shared" si="6"/>
        <v>1195610.42</v>
      </c>
      <c r="M28" s="52">
        <f t="shared" si="3"/>
        <v>797073.62000000011</v>
      </c>
      <c r="N28" s="222">
        <v>0.6</v>
      </c>
      <c r="O28" s="248">
        <v>0</v>
      </c>
      <c r="P28" s="248">
        <v>0</v>
      </c>
      <c r="Q28" s="233">
        <v>0</v>
      </c>
      <c r="R28" s="233">
        <v>0</v>
      </c>
      <c r="S28" s="226">
        <v>0</v>
      </c>
      <c r="T28" s="226">
        <f t="shared" si="11"/>
        <v>1195610.42</v>
      </c>
      <c r="U28" s="226">
        <v>0</v>
      </c>
      <c r="V28" s="226">
        <v>0</v>
      </c>
      <c r="W28" s="248">
        <v>0</v>
      </c>
      <c r="X28" s="248">
        <v>0</v>
      </c>
      <c r="Y28" s="233">
        <v>0</v>
      </c>
      <c r="Z28" s="233">
        <v>0</v>
      </c>
      <c r="AA28" s="228" t="b">
        <f t="shared" si="12"/>
        <v>1</v>
      </c>
      <c r="AB28" s="229">
        <f t="shared" si="13"/>
        <v>0.6</v>
      </c>
      <c r="AC28" s="230" t="b">
        <f t="shared" si="14"/>
        <v>1</v>
      </c>
      <c r="AD28" s="230" t="b">
        <f t="shared" si="15"/>
        <v>1</v>
      </c>
    </row>
    <row r="29" spans="1:30" s="231" customFormat="1" ht="30" customHeight="1" x14ac:dyDescent="0.25">
      <c r="A29" s="240">
        <v>27</v>
      </c>
      <c r="B29" s="193" t="s">
        <v>158</v>
      </c>
      <c r="C29" s="215" t="s">
        <v>50</v>
      </c>
      <c r="D29" s="193" t="s">
        <v>159</v>
      </c>
      <c r="E29" s="193">
        <v>1608013</v>
      </c>
      <c r="F29" s="202" t="s">
        <v>110</v>
      </c>
      <c r="G29" s="193" t="s">
        <v>160</v>
      </c>
      <c r="H29" s="193" t="s">
        <v>57</v>
      </c>
      <c r="I29" s="195">
        <v>0.32100000000000001</v>
      </c>
      <c r="J29" s="197" t="s">
        <v>275</v>
      </c>
      <c r="K29" s="196">
        <v>2118569.56</v>
      </c>
      <c r="L29" s="226">
        <f t="shared" si="6"/>
        <v>1482998.69</v>
      </c>
      <c r="M29" s="52">
        <f t="shared" si="3"/>
        <v>635570.87000000011</v>
      </c>
      <c r="N29" s="222">
        <v>0.7</v>
      </c>
      <c r="O29" s="248">
        <v>0</v>
      </c>
      <c r="P29" s="248">
        <v>0</v>
      </c>
      <c r="Q29" s="233">
        <v>0</v>
      </c>
      <c r="R29" s="233">
        <v>0</v>
      </c>
      <c r="S29" s="226">
        <v>0</v>
      </c>
      <c r="T29" s="226">
        <f t="shared" si="11"/>
        <v>1482998.69</v>
      </c>
      <c r="U29" s="226">
        <v>0</v>
      </c>
      <c r="V29" s="226">
        <v>0</v>
      </c>
      <c r="W29" s="248">
        <v>0</v>
      </c>
      <c r="X29" s="248">
        <v>0</v>
      </c>
      <c r="Y29" s="233">
        <v>0</v>
      </c>
      <c r="Z29" s="233">
        <v>0</v>
      </c>
      <c r="AA29" s="228" t="b">
        <f t="shared" si="12"/>
        <v>1</v>
      </c>
      <c r="AB29" s="229">
        <f t="shared" si="13"/>
        <v>0.7</v>
      </c>
      <c r="AC29" s="230" t="b">
        <f t="shared" si="14"/>
        <v>1</v>
      </c>
      <c r="AD29" s="230" t="b">
        <f t="shared" si="15"/>
        <v>1</v>
      </c>
    </row>
    <row r="30" spans="1:30" s="231" customFormat="1" ht="30" customHeight="1" x14ac:dyDescent="0.25">
      <c r="A30" s="240">
        <v>28</v>
      </c>
      <c r="B30" s="193" t="s">
        <v>161</v>
      </c>
      <c r="C30" s="215" t="s">
        <v>50</v>
      </c>
      <c r="D30" s="193" t="s">
        <v>162</v>
      </c>
      <c r="E30" s="193">
        <v>1604043</v>
      </c>
      <c r="F30" s="202" t="s">
        <v>60</v>
      </c>
      <c r="G30" s="193" t="s">
        <v>163</v>
      </c>
      <c r="H30" s="193" t="s">
        <v>57</v>
      </c>
      <c r="I30" s="195">
        <v>0.78042999999999996</v>
      </c>
      <c r="J30" s="197" t="s">
        <v>276</v>
      </c>
      <c r="K30" s="196">
        <v>836059.69</v>
      </c>
      <c r="L30" s="226">
        <f t="shared" si="6"/>
        <v>585241.78</v>
      </c>
      <c r="M30" s="52">
        <f t="shared" si="3"/>
        <v>250817.90999999992</v>
      </c>
      <c r="N30" s="223">
        <v>0.7</v>
      </c>
      <c r="O30" s="248">
        <v>0</v>
      </c>
      <c r="P30" s="248">
        <v>0</v>
      </c>
      <c r="Q30" s="233">
        <v>0</v>
      </c>
      <c r="R30" s="233">
        <v>0</v>
      </c>
      <c r="S30" s="226">
        <v>0</v>
      </c>
      <c r="T30" s="226">
        <f t="shared" si="11"/>
        <v>585241.78</v>
      </c>
      <c r="U30" s="226">
        <v>0</v>
      </c>
      <c r="V30" s="226">
        <v>0</v>
      </c>
      <c r="W30" s="248">
        <v>0</v>
      </c>
      <c r="X30" s="248">
        <v>0</v>
      </c>
      <c r="Y30" s="233">
        <v>0</v>
      </c>
      <c r="Z30" s="233">
        <v>0</v>
      </c>
      <c r="AA30" s="228" t="b">
        <f t="shared" si="12"/>
        <v>1</v>
      </c>
      <c r="AB30" s="229">
        <f t="shared" si="13"/>
        <v>0.7</v>
      </c>
      <c r="AC30" s="230" t="b">
        <f t="shared" si="14"/>
        <v>1</v>
      </c>
      <c r="AD30" s="230" t="b">
        <f t="shared" si="15"/>
        <v>1</v>
      </c>
    </row>
    <row r="31" spans="1:30" s="231" customFormat="1" ht="35.25" customHeight="1" x14ac:dyDescent="0.25">
      <c r="A31" s="240">
        <v>29</v>
      </c>
      <c r="B31" s="193" t="s">
        <v>165</v>
      </c>
      <c r="C31" s="215" t="s">
        <v>50</v>
      </c>
      <c r="D31" s="193" t="s">
        <v>166</v>
      </c>
      <c r="E31" s="193">
        <v>1603022</v>
      </c>
      <c r="F31" s="202" t="s">
        <v>80</v>
      </c>
      <c r="G31" s="193" t="s">
        <v>167</v>
      </c>
      <c r="H31" s="193" t="s">
        <v>57</v>
      </c>
      <c r="I31" s="195">
        <v>0.67569999999999997</v>
      </c>
      <c r="J31" s="197" t="s">
        <v>276</v>
      </c>
      <c r="K31" s="196">
        <v>964000</v>
      </c>
      <c r="L31" s="226">
        <f t="shared" si="6"/>
        <v>578400</v>
      </c>
      <c r="M31" s="52">
        <f t="shared" si="3"/>
        <v>385600</v>
      </c>
      <c r="N31" s="222">
        <v>0.6</v>
      </c>
      <c r="O31" s="248">
        <v>0</v>
      </c>
      <c r="P31" s="248">
        <v>0</v>
      </c>
      <c r="Q31" s="233">
        <v>0</v>
      </c>
      <c r="R31" s="233">
        <v>0</v>
      </c>
      <c r="S31" s="226">
        <v>0</v>
      </c>
      <c r="T31" s="226">
        <f t="shared" si="11"/>
        <v>578400</v>
      </c>
      <c r="U31" s="226">
        <v>0</v>
      </c>
      <c r="V31" s="226">
        <v>0</v>
      </c>
      <c r="W31" s="248">
        <v>0</v>
      </c>
      <c r="X31" s="248">
        <v>0</v>
      </c>
      <c r="Y31" s="233">
        <v>0</v>
      </c>
      <c r="Z31" s="233">
        <v>0</v>
      </c>
      <c r="AA31" s="228" t="b">
        <f t="shared" si="12"/>
        <v>1</v>
      </c>
      <c r="AB31" s="229">
        <f t="shared" si="13"/>
        <v>0.6</v>
      </c>
      <c r="AC31" s="230" t="b">
        <f t="shared" si="14"/>
        <v>1</v>
      </c>
      <c r="AD31" s="230" t="b">
        <f t="shared" si="15"/>
        <v>1</v>
      </c>
    </row>
    <row r="32" spans="1:30" s="231" customFormat="1" ht="30" customHeight="1" x14ac:dyDescent="0.25">
      <c r="A32" s="240">
        <v>30</v>
      </c>
      <c r="B32" s="193" t="s">
        <v>169</v>
      </c>
      <c r="C32" s="215" t="s">
        <v>50</v>
      </c>
      <c r="D32" s="193" t="s">
        <v>170</v>
      </c>
      <c r="E32" s="202">
        <v>1604023</v>
      </c>
      <c r="F32" s="202" t="s">
        <v>60</v>
      </c>
      <c r="G32" s="202" t="s">
        <v>290</v>
      </c>
      <c r="H32" s="193" t="s">
        <v>53</v>
      </c>
      <c r="I32" s="216">
        <v>0.25600000000000001</v>
      </c>
      <c r="J32" s="197" t="s">
        <v>294</v>
      </c>
      <c r="K32" s="196">
        <v>473720.27</v>
      </c>
      <c r="L32" s="226">
        <f t="shared" si="6"/>
        <v>378976.21</v>
      </c>
      <c r="M32" s="52">
        <f t="shared" si="3"/>
        <v>94744.06</v>
      </c>
      <c r="N32" s="222">
        <v>0.8</v>
      </c>
      <c r="O32" s="248">
        <v>0</v>
      </c>
      <c r="P32" s="248">
        <v>0</v>
      </c>
      <c r="Q32" s="233">
        <v>0</v>
      </c>
      <c r="R32" s="233">
        <v>0</v>
      </c>
      <c r="S32" s="226">
        <v>0</v>
      </c>
      <c r="T32" s="226">
        <f t="shared" si="11"/>
        <v>378976.21</v>
      </c>
      <c r="U32" s="226">
        <v>0</v>
      </c>
      <c r="V32" s="226">
        <v>0</v>
      </c>
      <c r="W32" s="248">
        <v>0</v>
      </c>
      <c r="X32" s="248">
        <v>0</v>
      </c>
      <c r="Y32" s="233">
        <v>0</v>
      </c>
      <c r="Z32" s="233">
        <v>0</v>
      </c>
      <c r="AA32" s="228" t="b">
        <f t="shared" si="12"/>
        <v>1</v>
      </c>
      <c r="AB32" s="229">
        <f t="shared" si="13"/>
        <v>0.8</v>
      </c>
      <c r="AC32" s="230" t="b">
        <f t="shared" si="14"/>
        <v>1</v>
      </c>
      <c r="AD32" s="230" t="b">
        <f t="shared" si="15"/>
        <v>1</v>
      </c>
    </row>
    <row r="33" spans="1:30" s="231" customFormat="1" ht="30" customHeight="1" x14ac:dyDescent="0.25">
      <c r="A33" s="240">
        <v>31</v>
      </c>
      <c r="B33" s="193" t="s">
        <v>171</v>
      </c>
      <c r="C33" s="215" t="s">
        <v>50</v>
      </c>
      <c r="D33" s="193" t="s">
        <v>172</v>
      </c>
      <c r="E33" s="193">
        <v>1611053</v>
      </c>
      <c r="F33" s="193" t="s">
        <v>63</v>
      </c>
      <c r="G33" s="193" t="s">
        <v>173</v>
      </c>
      <c r="H33" s="193" t="s">
        <v>57</v>
      </c>
      <c r="I33" s="195">
        <v>0.41399999999999998</v>
      </c>
      <c r="J33" s="197" t="s">
        <v>275</v>
      </c>
      <c r="K33" s="196">
        <v>5291424.5199999996</v>
      </c>
      <c r="L33" s="226">
        <f t="shared" si="6"/>
        <v>3174854.71</v>
      </c>
      <c r="M33" s="52">
        <f t="shared" si="3"/>
        <v>2116569.8099999996</v>
      </c>
      <c r="N33" s="222">
        <v>0.6</v>
      </c>
      <c r="O33" s="248">
        <v>0</v>
      </c>
      <c r="P33" s="248">
        <v>0</v>
      </c>
      <c r="Q33" s="233">
        <v>0</v>
      </c>
      <c r="R33" s="233">
        <v>0</v>
      </c>
      <c r="S33" s="226">
        <v>0</v>
      </c>
      <c r="T33" s="226">
        <f t="shared" si="11"/>
        <v>3174854.71</v>
      </c>
      <c r="U33" s="226">
        <v>0</v>
      </c>
      <c r="V33" s="226">
        <v>0</v>
      </c>
      <c r="W33" s="248">
        <v>0</v>
      </c>
      <c r="X33" s="248">
        <v>0</v>
      </c>
      <c r="Y33" s="233">
        <v>0</v>
      </c>
      <c r="Z33" s="233">
        <v>0</v>
      </c>
      <c r="AA33" s="228" t="b">
        <f t="shared" si="12"/>
        <v>1</v>
      </c>
      <c r="AB33" s="229">
        <f t="shared" si="13"/>
        <v>0.6</v>
      </c>
      <c r="AC33" s="230" t="b">
        <f t="shared" si="14"/>
        <v>1</v>
      </c>
      <c r="AD33" s="230" t="b">
        <f t="shared" si="15"/>
        <v>1</v>
      </c>
    </row>
    <row r="34" spans="1:30" s="327" customFormat="1" ht="30" customHeight="1" x14ac:dyDescent="0.25">
      <c r="A34" s="239">
        <v>32</v>
      </c>
      <c r="B34" s="198" t="s">
        <v>174</v>
      </c>
      <c r="C34" s="198" t="s">
        <v>59</v>
      </c>
      <c r="D34" s="198" t="s">
        <v>127</v>
      </c>
      <c r="E34" s="212">
        <v>1601011</v>
      </c>
      <c r="F34" s="198" t="s">
        <v>104</v>
      </c>
      <c r="G34" s="198" t="s">
        <v>175</v>
      </c>
      <c r="H34" s="198" t="s">
        <v>65</v>
      </c>
      <c r="I34" s="200">
        <v>0.13800000000000001</v>
      </c>
      <c r="J34" s="201" t="s">
        <v>296</v>
      </c>
      <c r="K34" s="205">
        <v>1622839.83</v>
      </c>
      <c r="L34" s="224">
        <f t="shared" si="6"/>
        <v>1298271.8600000001</v>
      </c>
      <c r="M34" s="206">
        <f t="shared" si="3"/>
        <v>324567.96999999997</v>
      </c>
      <c r="N34" s="221">
        <v>0.8</v>
      </c>
      <c r="O34" s="247">
        <v>0</v>
      </c>
      <c r="P34" s="247">
        <v>0</v>
      </c>
      <c r="Q34" s="232">
        <v>0</v>
      </c>
      <c r="R34" s="232">
        <v>0</v>
      </c>
      <c r="S34" s="224">
        <v>0</v>
      </c>
      <c r="T34" s="224">
        <v>1105440.53</v>
      </c>
      <c r="U34" s="224">
        <f>L34-T34</f>
        <v>192831.33000000007</v>
      </c>
      <c r="V34" s="224">
        <v>0</v>
      </c>
      <c r="W34" s="247">
        <v>0</v>
      </c>
      <c r="X34" s="247">
        <v>0</v>
      </c>
      <c r="Y34" s="232">
        <v>0</v>
      </c>
      <c r="Z34" s="232">
        <v>0</v>
      </c>
      <c r="AA34" s="324" t="b">
        <f t="shared" si="12"/>
        <v>1</v>
      </c>
      <c r="AB34" s="325">
        <f t="shared" si="13"/>
        <v>0.8</v>
      </c>
      <c r="AC34" s="326" t="b">
        <f t="shared" si="14"/>
        <v>1</v>
      </c>
      <c r="AD34" s="326" t="b">
        <f t="shared" si="15"/>
        <v>1</v>
      </c>
    </row>
    <row r="35" spans="1:30" s="231" customFormat="1" ht="36.75" customHeight="1" x14ac:dyDescent="0.25">
      <c r="A35" s="240">
        <v>33</v>
      </c>
      <c r="B35" s="193" t="s">
        <v>176</v>
      </c>
      <c r="C35" s="215" t="s">
        <v>50</v>
      </c>
      <c r="D35" s="193" t="s">
        <v>79</v>
      </c>
      <c r="E35" s="202">
        <v>1603062</v>
      </c>
      <c r="F35" s="202" t="s">
        <v>80</v>
      </c>
      <c r="G35" s="202" t="s">
        <v>177</v>
      </c>
      <c r="H35" s="193" t="s">
        <v>65</v>
      </c>
      <c r="I35" s="216">
        <v>0.33100000000000002</v>
      </c>
      <c r="J35" s="197" t="s">
        <v>267</v>
      </c>
      <c r="K35" s="196">
        <v>1274238.73</v>
      </c>
      <c r="L35" s="226">
        <v>837315.96</v>
      </c>
      <c r="M35" s="52">
        <f>SUM(K35-L35)</f>
        <v>436922.77</v>
      </c>
      <c r="N35" s="317">
        <v>0.65710000000000002</v>
      </c>
      <c r="O35" s="248">
        <v>0</v>
      </c>
      <c r="P35" s="248">
        <v>0</v>
      </c>
      <c r="Q35" s="233">
        <v>0</v>
      </c>
      <c r="R35" s="233">
        <v>0</v>
      </c>
      <c r="S35" s="226">
        <v>0</v>
      </c>
      <c r="T35" s="226">
        <f>L35</f>
        <v>837315.96</v>
      </c>
      <c r="U35" s="226">
        <v>0</v>
      </c>
      <c r="V35" s="226">
        <v>0</v>
      </c>
      <c r="W35" s="248">
        <v>0</v>
      </c>
      <c r="X35" s="248">
        <v>0</v>
      </c>
      <c r="Y35" s="233">
        <v>0</v>
      </c>
      <c r="Z35" s="233">
        <v>0</v>
      </c>
      <c r="AA35" s="228" t="b">
        <f t="shared" si="12"/>
        <v>1</v>
      </c>
      <c r="AB35" s="229">
        <f t="shared" si="13"/>
        <v>0.65710000000000002</v>
      </c>
      <c r="AC35" s="230" t="b">
        <f t="shared" si="14"/>
        <v>1</v>
      </c>
      <c r="AD35" s="230" t="b">
        <f t="shared" si="15"/>
        <v>1</v>
      </c>
    </row>
    <row r="36" spans="1:30" s="231" customFormat="1" ht="38.25" customHeight="1" x14ac:dyDescent="0.25">
      <c r="A36" s="240">
        <v>34</v>
      </c>
      <c r="B36" s="193" t="s">
        <v>179</v>
      </c>
      <c r="C36" s="215" t="s">
        <v>50</v>
      </c>
      <c r="D36" s="193" t="s">
        <v>180</v>
      </c>
      <c r="E36" s="219">
        <v>1605013</v>
      </c>
      <c r="F36" s="202" t="s">
        <v>67</v>
      </c>
      <c r="G36" s="202" t="s">
        <v>181</v>
      </c>
      <c r="H36" s="193" t="s">
        <v>65</v>
      </c>
      <c r="I36" s="216">
        <v>0.13500000000000001</v>
      </c>
      <c r="J36" s="197" t="s">
        <v>202</v>
      </c>
      <c r="K36" s="196">
        <v>597460.19999999995</v>
      </c>
      <c r="L36" s="226">
        <f t="shared" si="6"/>
        <v>298730.09999999998</v>
      </c>
      <c r="M36" s="52">
        <f t="shared" si="3"/>
        <v>298730.09999999998</v>
      </c>
      <c r="N36" s="222">
        <v>0.5</v>
      </c>
      <c r="O36" s="248">
        <v>0</v>
      </c>
      <c r="P36" s="248">
        <v>0</v>
      </c>
      <c r="Q36" s="233">
        <v>0</v>
      </c>
      <c r="R36" s="233">
        <v>0</v>
      </c>
      <c r="S36" s="226">
        <v>0</v>
      </c>
      <c r="T36" s="226">
        <f>L36</f>
        <v>298730.09999999998</v>
      </c>
      <c r="U36" s="226">
        <v>0</v>
      </c>
      <c r="V36" s="226">
        <v>0</v>
      </c>
      <c r="W36" s="248">
        <v>0</v>
      </c>
      <c r="X36" s="248">
        <v>0</v>
      </c>
      <c r="Y36" s="233">
        <v>0</v>
      </c>
      <c r="Z36" s="233">
        <v>0</v>
      </c>
      <c r="AA36" s="228" t="b">
        <f t="shared" si="12"/>
        <v>1</v>
      </c>
      <c r="AB36" s="229">
        <f t="shared" si="13"/>
        <v>0.5</v>
      </c>
      <c r="AC36" s="230" t="b">
        <f t="shared" si="14"/>
        <v>1</v>
      </c>
      <c r="AD36" s="230" t="b">
        <f t="shared" si="15"/>
        <v>1</v>
      </c>
    </row>
    <row r="37" spans="1:30" s="210" customFormat="1" ht="30" customHeight="1" x14ac:dyDescent="0.25">
      <c r="A37" s="239">
        <v>35</v>
      </c>
      <c r="B37" s="198" t="s">
        <v>182</v>
      </c>
      <c r="C37" s="211" t="s">
        <v>59</v>
      </c>
      <c r="D37" s="198" t="s">
        <v>99</v>
      </c>
      <c r="E37" s="218">
        <v>1611022</v>
      </c>
      <c r="F37" s="213" t="s">
        <v>63</v>
      </c>
      <c r="G37" s="213" t="s">
        <v>183</v>
      </c>
      <c r="H37" s="198" t="s">
        <v>57</v>
      </c>
      <c r="I37" s="214">
        <v>0.44400000000000001</v>
      </c>
      <c r="J37" s="201" t="s">
        <v>297</v>
      </c>
      <c r="K37" s="205">
        <v>1756589.78</v>
      </c>
      <c r="L37" s="224">
        <f t="shared" si="6"/>
        <v>1229612.8400000001</v>
      </c>
      <c r="M37" s="206">
        <f t="shared" si="3"/>
        <v>526976.93999999994</v>
      </c>
      <c r="N37" s="221">
        <v>0.7</v>
      </c>
      <c r="O37" s="247">
        <v>0</v>
      </c>
      <c r="P37" s="247">
        <v>0</v>
      </c>
      <c r="Q37" s="232">
        <v>0</v>
      </c>
      <c r="R37" s="232">
        <v>0</v>
      </c>
      <c r="S37" s="224">
        <v>0</v>
      </c>
      <c r="T37" s="224">
        <f>ROUNDDOWN(N37*1739360.59,2)</f>
        <v>1217552.4099999999</v>
      </c>
      <c r="U37" s="224">
        <f>L37-T37</f>
        <v>12060.430000000168</v>
      </c>
      <c r="V37" s="224">
        <v>0</v>
      </c>
      <c r="W37" s="247">
        <v>0</v>
      </c>
      <c r="X37" s="247">
        <v>0</v>
      </c>
      <c r="Y37" s="232">
        <v>0</v>
      </c>
      <c r="Z37" s="232">
        <v>0</v>
      </c>
      <c r="AA37" s="207" t="b">
        <f t="shared" si="12"/>
        <v>1</v>
      </c>
      <c r="AB37" s="208">
        <f t="shared" si="13"/>
        <v>0.7</v>
      </c>
      <c r="AC37" s="209" t="b">
        <f t="shared" si="14"/>
        <v>1</v>
      </c>
      <c r="AD37" s="209" t="b">
        <f t="shared" si="15"/>
        <v>1</v>
      </c>
    </row>
    <row r="38" spans="1:30" s="281" customFormat="1" ht="34.5" customHeight="1" x14ac:dyDescent="0.25">
      <c r="A38" s="240">
        <v>36</v>
      </c>
      <c r="B38" s="193" t="s">
        <v>184</v>
      </c>
      <c r="C38" s="215" t="s">
        <v>50</v>
      </c>
      <c r="D38" s="193" t="s">
        <v>92</v>
      </c>
      <c r="E38" s="323">
        <v>1603011</v>
      </c>
      <c r="F38" s="193" t="s">
        <v>80</v>
      </c>
      <c r="G38" s="193" t="s">
        <v>185</v>
      </c>
      <c r="H38" s="193" t="s">
        <v>57</v>
      </c>
      <c r="I38" s="195">
        <v>0.311</v>
      </c>
      <c r="J38" s="197" t="s">
        <v>252</v>
      </c>
      <c r="K38" s="196">
        <v>1553924.82</v>
      </c>
      <c r="L38" s="226">
        <f t="shared" si="6"/>
        <v>776962.41</v>
      </c>
      <c r="M38" s="52">
        <f t="shared" si="3"/>
        <v>776962.41</v>
      </c>
      <c r="N38" s="222">
        <v>0.5</v>
      </c>
      <c r="O38" s="248">
        <v>0</v>
      </c>
      <c r="P38" s="248">
        <v>0</v>
      </c>
      <c r="Q38" s="233">
        <v>0</v>
      </c>
      <c r="R38" s="233">
        <v>0</v>
      </c>
      <c r="S38" s="226">
        <v>0</v>
      </c>
      <c r="T38" s="226">
        <f>L38</f>
        <v>776962.41</v>
      </c>
      <c r="U38" s="226">
        <v>0</v>
      </c>
      <c r="V38" s="226">
        <v>0</v>
      </c>
      <c r="W38" s="248">
        <v>0</v>
      </c>
      <c r="X38" s="248">
        <v>0</v>
      </c>
      <c r="Y38" s="233">
        <v>0</v>
      </c>
      <c r="Z38" s="233">
        <v>0</v>
      </c>
      <c r="AA38" s="278" t="b">
        <f t="shared" si="12"/>
        <v>1</v>
      </c>
      <c r="AB38" s="279">
        <f t="shared" si="13"/>
        <v>0.5</v>
      </c>
      <c r="AC38" s="280" t="b">
        <f t="shared" si="14"/>
        <v>1</v>
      </c>
      <c r="AD38" s="280" t="b">
        <f t="shared" si="15"/>
        <v>1</v>
      </c>
    </row>
    <row r="39" spans="1:30" s="281" customFormat="1" ht="30" customHeight="1" x14ac:dyDescent="0.25">
      <c r="A39" s="240">
        <v>37</v>
      </c>
      <c r="B39" s="193" t="s">
        <v>186</v>
      </c>
      <c r="C39" s="215" t="s">
        <v>50</v>
      </c>
      <c r="D39" s="193" t="s">
        <v>89</v>
      </c>
      <c r="E39" s="323">
        <v>1607013</v>
      </c>
      <c r="F39" s="193" t="s">
        <v>55</v>
      </c>
      <c r="G39" s="193" t="s">
        <v>187</v>
      </c>
      <c r="H39" s="193" t="s">
        <v>65</v>
      </c>
      <c r="I39" s="195">
        <v>0.81799999999999995</v>
      </c>
      <c r="J39" s="197" t="s">
        <v>322</v>
      </c>
      <c r="K39" s="196">
        <v>3330766.29</v>
      </c>
      <c r="L39" s="226">
        <f t="shared" si="6"/>
        <v>2664613.0299999998</v>
      </c>
      <c r="M39" s="52">
        <f t="shared" si="3"/>
        <v>666153.26000000024</v>
      </c>
      <c r="N39" s="222">
        <v>0.8</v>
      </c>
      <c r="O39" s="248">
        <v>0</v>
      </c>
      <c r="P39" s="248">
        <v>0</v>
      </c>
      <c r="Q39" s="233">
        <v>0</v>
      </c>
      <c r="R39" s="233">
        <v>0</v>
      </c>
      <c r="S39" s="226">
        <v>0</v>
      </c>
      <c r="T39" s="226">
        <f>L39</f>
        <v>2664613.0299999998</v>
      </c>
      <c r="U39" s="226">
        <v>0</v>
      </c>
      <c r="V39" s="226">
        <v>0</v>
      </c>
      <c r="W39" s="248">
        <v>0</v>
      </c>
      <c r="X39" s="248">
        <v>0</v>
      </c>
      <c r="Y39" s="233">
        <v>0</v>
      </c>
      <c r="Z39" s="233">
        <v>0</v>
      </c>
      <c r="AA39" s="278" t="b">
        <f t="shared" si="12"/>
        <v>1</v>
      </c>
      <c r="AB39" s="279">
        <f t="shared" si="13"/>
        <v>0.8</v>
      </c>
      <c r="AC39" s="280" t="b">
        <f t="shared" si="14"/>
        <v>1</v>
      </c>
      <c r="AD39" s="280" t="b">
        <f t="shared" si="15"/>
        <v>1</v>
      </c>
    </row>
    <row r="40" spans="1:30" s="231" customFormat="1" ht="30" customHeight="1" x14ac:dyDescent="0.25">
      <c r="A40" s="240">
        <v>38</v>
      </c>
      <c r="B40" s="193" t="s">
        <v>188</v>
      </c>
      <c r="C40" s="215" t="s">
        <v>50</v>
      </c>
      <c r="D40" s="193" t="s">
        <v>95</v>
      </c>
      <c r="E40" s="219">
        <v>1611063</v>
      </c>
      <c r="F40" s="202" t="s">
        <v>63</v>
      </c>
      <c r="G40" s="202" t="s">
        <v>189</v>
      </c>
      <c r="H40" s="193" t="s">
        <v>65</v>
      </c>
      <c r="I40" s="216">
        <v>0.53700000000000003</v>
      </c>
      <c r="J40" s="197" t="s">
        <v>275</v>
      </c>
      <c r="K40" s="196">
        <v>1047920.49</v>
      </c>
      <c r="L40" s="226">
        <f t="shared" si="6"/>
        <v>523960.24</v>
      </c>
      <c r="M40" s="52">
        <f t="shared" si="3"/>
        <v>523960.25</v>
      </c>
      <c r="N40" s="222">
        <v>0.5</v>
      </c>
      <c r="O40" s="248">
        <v>0</v>
      </c>
      <c r="P40" s="248">
        <v>0</v>
      </c>
      <c r="Q40" s="233">
        <v>0</v>
      </c>
      <c r="R40" s="233">
        <v>0</v>
      </c>
      <c r="S40" s="226">
        <v>0</v>
      </c>
      <c r="T40" s="226">
        <f>L40</f>
        <v>523960.24</v>
      </c>
      <c r="U40" s="226">
        <v>0</v>
      </c>
      <c r="V40" s="226">
        <v>0</v>
      </c>
      <c r="W40" s="248">
        <v>0</v>
      </c>
      <c r="X40" s="248">
        <v>0</v>
      </c>
      <c r="Y40" s="233">
        <v>0</v>
      </c>
      <c r="Z40" s="233">
        <v>0</v>
      </c>
      <c r="AA40" s="228" t="b">
        <f t="shared" si="12"/>
        <v>1</v>
      </c>
      <c r="AB40" s="229">
        <f t="shared" si="13"/>
        <v>0.5</v>
      </c>
      <c r="AC40" s="230" t="b">
        <f t="shared" si="14"/>
        <v>1</v>
      </c>
      <c r="AD40" s="230" t="b">
        <f t="shared" si="15"/>
        <v>1</v>
      </c>
    </row>
    <row r="41" spans="1:30" s="231" customFormat="1" ht="30" customHeight="1" x14ac:dyDescent="0.25">
      <c r="A41" s="240">
        <v>39</v>
      </c>
      <c r="B41" s="193" t="s">
        <v>190</v>
      </c>
      <c r="C41" s="215" t="s">
        <v>50</v>
      </c>
      <c r="D41" s="193" t="s">
        <v>99</v>
      </c>
      <c r="E41" s="219">
        <v>1611022</v>
      </c>
      <c r="F41" s="202" t="s">
        <v>63</v>
      </c>
      <c r="G41" s="202" t="s">
        <v>191</v>
      </c>
      <c r="H41" s="193" t="s">
        <v>65</v>
      </c>
      <c r="I41" s="195">
        <v>7.6999999999999999E-2</v>
      </c>
      <c r="J41" s="197" t="s">
        <v>291</v>
      </c>
      <c r="K41" s="196">
        <v>250132.47</v>
      </c>
      <c r="L41" s="226">
        <f t="shared" si="6"/>
        <v>175092.72</v>
      </c>
      <c r="M41" s="52">
        <f t="shared" si="3"/>
        <v>75039.75</v>
      </c>
      <c r="N41" s="222">
        <v>0.7</v>
      </c>
      <c r="O41" s="248">
        <v>0</v>
      </c>
      <c r="P41" s="248">
        <v>0</v>
      </c>
      <c r="Q41" s="233">
        <v>0</v>
      </c>
      <c r="R41" s="233">
        <v>0</v>
      </c>
      <c r="S41" s="226">
        <v>0</v>
      </c>
      <c r="T41" s="226">
        <f>L41</f>
        <v>175092.72</v>
      </c>
      <c r="U41" s="226">
        <v>0</v>
      </c>
      <c r="V41" s="226">
        <v>0</v>
      </c>
      <c r="W41" s="248">
        <v>0</v>
      </c>
      <c r="X41" s="248">
        <v>0</v>
      </c>
      <c r="Y41" s="233">
        <v>0</v>
      </c>
      <c r="Z41" s="233">
        <v>0</v>
      </c>
      <c r="AA41" s="228" t="b">
        <f t="shared" ref="AA41:AA74" si="16">L41=SUM(O41:Z41)</f>
        <v>1</v>
      </c>
      <c r="AB41" s="229">
        <f t="shared" si="0"/>
        <v>0.7</v>
      </c>
      <c r="AC41" s="230" t="b">
        <f t="shared" si="1"/>
        <v>1</v>
      </c>
      <c r="AD41" s="230" t="b">
        <f t="shared" si="2"/>
        <v>1</v>
      </c>
    </row>
    <row r="42" spans="1:30" s="210" customFormat="1" ht="36.75" customHeight="1" x14ac:dyDescent="0.25">
      <c r="A42" s="239">
        <v>40</v>
      </c>
      <c r="B42" s="198" t="s">
        <v>192</v>
      </c>
      <c r="C42" s="211" t="s">
        <v>59</v>
      </c>
      <c r="D42" s="198" t="s">
        <v>193</v>
      </c>
      <c r="E42" s="218">
        <v>1606023</v>
      </c>
      <c r="F42" s="213" t="s">
        <v>51</v>
      </c>
      <c r="G42" s="213" t="s">
        <v>194</v>
      </c>
      <c r="H42" s="198" t="s">
        <v>65</v>
      </c>
      <c r="I42" s="214">
        <v>1.085</v>
      </c>
      <c r="J42" s="201" t="s">
        <v>195</v>
      </c>
      <c r="K42" s="205">
        <v>3191535.04</v>
      </c>
      <c r="L42" s="224">
        <f t="shared" si="6"/>
        <v>1914921.02</v>
      </c>
      <c r="M42" s="206">
        <f t="shared" si="3"/>
        <v>1276614.02</v>
      </c>
      <c r="N42" s="221">
        <v>0.6</v>
      </c>
      <c r="O42" s="247">
        <v>0</v>
      </c>
      <c r="P42" s="247">
        <v>0</v>
      </c>
      <c r="Q42" s="232">
        <v>0</v>
      </c>
      <c r="R42" s="232">
        <v>0</v>
      </c>
      <c r="S42" s="224">
        <v>0</v>
      </c>
      <c r="T42" s="224">
        <f>ROUNDDOWN(N42*2565688.07,2)</f>
        <v>1539412.84</v>
      </c>
      <c r="U42" s="224">
        <f>L42-T42</f>
        <v>375508.17999999993</v>
      </c>
      <c r="V42" s="224">
        <v>0</v>
      </c>
      <c r="W42" s="247">
        <v>0</v>
      </c>
      <c r="X42" s="247">
        <v>0</v>
      </c>
      <c r="Y42" s="232">
        <v>0</v>
      </c>
      <c r="Z42" s="232">
        <v>0</v>
      </c>
      <c r="AA42" s="207" t="b">
        <f t="shared" si="16"/>
        <v>1</v>
      </c>
      <c r="AB42" s="208">
        <f t="shared" si="0"/>
        <v>0.6</v>
      </c>
      <c r="AC42" s="209" t="b">
        <f t="shared" si="1"/>
        <v>1</v>
      </c>
      <c r="AD42" s="209" t="b">
        <f t="shared" si="2"/>
        <v>1</v>
      </c>
    </row>
    <row r="43" spans="1:30" s="210" customFormat="1" ht="30" customHeight="1" x14ac:dyDescent="0.25">
      <c r="A43" s="239">
        <v>41</v>
      </c>
      <c r="B43" s="198" t="s">
        <v>196</v>
      </c>
      <c r="C43" s="211" t="s">
        <v>59</v>
      </c>
      <c r="D43" s="198" t="s">
        <v>89</v>
      </c>
      <c r="E43" s="218">
        <v>1607013</v>
      </c>
      <c r="F43" s="213" t="s">
        <v>55</v>
      </c>
      <c r="G43" s="213" t="s">
        <v>197</v>
      </c>
      <c r="H43" s="198" t="s">
        <v>65</v>
      </c>
      <c r="I43" s="214">
        <v>0.51200000000000001</v>
      </c>
      <c r="J43" s="201" t="s">
        <v>266</v>
      </c>
      <c r="K43" s="205">
        <v>2638204.2000000002</v>
      </c>
      <c r="L43" s="224">
        <f t="shared" si="6"/>
        <v>2110563.36</v>
      </c>
      <c r="M43" s="206">
        <f t="shared" si="3"/>
        <v>527640.84000000032</v>
      </c>
      <c r="N43" s="221">
        <v>0.8</v>
      </c>
      <c r="O43" s="247">
        <v>0</v>
      </c>
      <c r="P43" s="247">
        <v>0</v>
      </c>
      <c r="Q43" s="232">
        <v>0</v>
      </c>
      <c r="R43" s="232">
        <v>0</v>
      </c>
      <c r="S43" s="224">
        <v>0</v>
      </c>
      <c r="T43" s="224">
        <f>ROUNDDOWN(N43*1623000,2)</f>
        <v>1298400</v>
      </c>
      <c r="U43" s="224">
        <f>L43-T43</f>
        <v>812163.35999999987</v>
      </c>
      <c r="V43" s="224">
        <v>0</v>
      </c>
      <c r="W43" s="247">
        <v>0</v>
      </c>
      <c r="X43" s="247">
        <v>0</v>
      </c>
      <c r="Y43" s="232">
        <v>0</v>
      </c>
      <c r="Z43" s="232">
        <v>0</v>
      </c>
      <c r="AA43" s="207" t="b">
        <f t="shared" si="16"/>
        <v>1</v>
      </c>
      <c r="AB43" s="208">
        <f t="shared" si="0"/>
        <v>0.8</v>
      </c>
      <c r="AC43" s="209" t="b">
        <f t="shared" si="1"/>
        <v>1</v>
      </c>
      <c r="AD43" s="209" t="b">
        <f t="shared" si="2"/>
        <v>1</v>
      </c>
    </row>
    <row r="44" spans="1:30" s="231" customFormat="1" ht="30" customHeight="1" x14ac:dyDescent="0.25">
      <c r="A44" s="240">
        <v>42</v>
      </c>
      <c r="B44" s="193" t="s">
        <v>198</v>
      </c>
      <c r="C44" s="215" t="s">
        <v>50</v>
      </c>
      <c r="D44" s="193" t="s">
        <v>199</v>
      </c>
      <c r="E44" s="219">
        <v>1609103</v>
      </c>
      <c r="F44" s="202" t="s">
        <v>200</v>
      </c>
      <c r="G44" s="202" t="s">
        <v>201</v>
      </c>
      <c r="H44" s="193" t="s">
        <v>57</v>
      </c>
      <c r="I44" s="216">
        <v>0.25700000000000001</v>
      </c>
      <c r="J44" s="197" t="s">
        <v>202</v>
      </c>
      <c r="K44" s="196">
        <v>732262.86</v>
      </c>
      <c r="L44" s="226">
        <f t="shared" si="6"/>
        <v>366131.43</v>
      </c>
      <c r="M44" s="52">
        <f t="shared" si="3"/>
        <v>366131.43</v>
      </c>
      <c r="N44" s="222">
        <v>0.5</v>
      </c>
      <c r="O44" s="248">
        <v>0</v>
      </c>
      <c r="P44" s="248">
        <v>0</v>
      </c>
      <c r="Q44" s="233">
        <v>0</v>
      </c>
      <c r="R44" s="233">
        <v>0</v>
      </c>
      <c r="S44" s="226">
        <v>0</v>
      </c>
      <c r="T44" s="226">
        <f t="shared" ref="T44:T52" si="17">L44</f>
        <v>366131.43</v>
      </c>
      <c r="U44" s="226">
        <v>0</v>
      </c>
      <c r="V44" s="226">
        <v>0</v>
      </c>
      <c r="W44" s="248">
        <v>0</v>
      </c>
      <c r="X44" s="248">
        <v>0</v>
      </c>
      <c r="Y44" s="233">
        <v>0</v>
      </c>
      <c r="Z44" s="233">
        <v>0</v>
      </c>
      <c r="AA44" s="228" t="b">
        <f t="shared" si="16"/>
        <v>1</v>
      </c>
      <c r="AB44" s="229">
        <f t="shared" si="0"/>
        <v>0.5</v>
      </c>
      <c r="AC44" s="230" t="b">
        <f t="shared" si="1"/>
        <v>1</v>
      </c>
      <c r="AD44" s="230" t="b">
        <f t="shared" si="2"/>
        <v>1</v>
      </c>
    </row>
    <row r="45" spans="1:30" s="231" customFormat="1" ht="30" customHeight="1" x14ac:dyDescent="0.25">
      <c r="A45" s="240">
        <v>43</v>
      </c>
      <c r="B45" s="193" t="s">
        <v>203</v>
      </c>
      <c r="C45" s="215" t="s">
        <v>50</v>
      </c>
      <c r="D45" s="193" t="s">
        <v>193</v>
      </c>
      <c r="E45" s="219">
        <v>1606023</v>
      </c>
      <c r="F45" s="202" t="s">
        <v>51</v>
      </c>
      <c r="G45" s="202" t="s">
        <v>204</v>
      </c>
      <c r="H45" s="193" t="s">
        <v>57</v>
      </c>
      <c r="I45" s="216">
        <v>0.13900000000000001</v>
      </c>
      <c r="J45" s="197" t="s">
        <v>265</v>
      </c>
      <c r="K45" s="196">
        <v>360179.67</v>
      </c>
      <c r="L45" s="226">
        <f t="shared" si="6"/>
        <v>216107.8</v>
      </c>
      <c r="M45" s="52">
        <f t="shared" si="3"/>
        <v>144071.87</v>
      </c>
      <c r="N45" s="222">
        <v>0.6</v>
      </c>
      <c r="O45" s="248">
        <v>0</v>
      </c>
      <c r="P45" s="248">
        <v>0</v>
      </c>
      <c r="Q45" s="233">
        <v>0</v>
      </c>
      <c r="R45" s="233">
        <v>0</v>
      </c>
      <c r="S45" s="226">
        <v>0</v>
      </c>
      <c r="T45" s="226">
        <f t="shared" si="17"/>
        <v>216107.8</v>
      </c>
      <c r="U45" s="226">
        <v>0</v>
      </c>
      <c r="V45" s="226">
        <v>0</v>
      </c>
      <c r="W45" s="248">
        <v>0</v>
      </c>
      <c r="X45" s="248">
        <v>0</v>
      </c>
      <c r="Y45" s="233">
        <v>0</v>
      </c>
      <c r="Z45" s="233">
        <v>0</v>
      </c>
      <c r="AA45" s="228" t="b">
        <f t="shared" si="16"/>
        <v>1</v>
      </c>
      <c r="AB45" s="229">
        <f t="shared" si="0"/>
        <v>0.6</v>
      </c>
      <c r="AC45" s="230" t="b">
        <f t="shared" si="1"/>
        <v>1</v>
      </c>
      <c r="AD45" s="230" t="b">
        <f t="shared" si="2"/>
        <v>1</v>
      </c>
    </row>
    <row r="46" spans="1:30" s="281" customFormat="1" ht="37.5" customHeight="1" x14ac:dyDescent="0.25">
      <c r="A46" s="240">
        <v>44</v>
      </c>
      <c r="B46" s="193" t="s">
        <v>206</v>
      </c>
      <c r="C46" s="215" t="s">
        <v>50</v>
      </c>
      <c r="D46" s="193" t="s">
        <v>207</v>
      </c>
      <c r="E46" s="323">
        <v>1602043</v>
      </c>
      <c r="F46" s="193" t="s">
        <v>75</v>
      </c>
      <c r="G46" s="193" t="s">
        <v>324</v>
      </c>
      <c r="H46" s="193" t="s">
        <v>57</v>
      </c>
      <c r="I46" s="195">
        <v>0.48757</v>
      </c>
      <c r="J46" s="197" t="s">
        <v>131</v>
      </c>
      <c r="K46" s="196">
        <v>2102712.94</v>
      </c>
      <c r="L46" s="226">
        <f t="shared" si="6"/>
        <v>1471899.05</v>
      </c>
      <c r="M46" s="52">
        <f t="shared" si="3"/>
        <v>630813.8899999999</v>
      </c>
      <c r="N46" s="222">
        <v>0.7</v>
      </c>
      <c r="O46" s="248">
        <v>0</v>
      </c>
      <c r="P46" s="248">
        <v>0</v>
      </c>
      <c r="Q46" s="233">
        <v>0</v>
      </c>
      <c r="R46" s="233">
        <v>0</v>
      </c>
      <c r="S46" s="226">
        <v>0</v>
      </c>
      <c r="T46" s="226">
        <f t="shared" si="17"/>
        <v>1471899.05</v>
      </c>
      <c r="U46" s="226">
        <v>0</v>
      </c>
      <c r="V46" s="226">
        <v>0</v>
      </c>
      <c r="W46" s="248">
        <v>0</v>
      </c>
      <c r="X46" s="248">
        <v>0</v>
      </c>
      <c r="Y46" s="233">
        <v>0</v>
      </c>
      <c r="Z46" s="233">
        <v>0</v>
      </c>
      <c r="AA46" s="278" t="b">
        <f t="shared" si="16"/>
        <v>1</v>
      </c>
      <c r="AB46" s="279">
        <f t="shared" si="0"/>
        <v>0.7</v>
      </c>
      <c r="AC46" s="280" t="b">
        <f t="shared" si="1"/>
        <v>1</v>
      </c>
      <c r="AD46" s="280" t="b">
        <f t="shared" si="2"/>
        <v>1</v>
      </c>
    </row>
    <row r="47" spans="1:30" s="231" customFormat="1" ht="35.25" customHeight="1" x14ac:dyDescent="0.25">
      <c r="A47" s="240">
        <v>45</v>
      </c>
      <c r="B47" s="193" t="s">
        <v>208</v>
      </c>
      <c r="C47" s="215" t="s">
        <v>50</v>
      </c>
      <c r="D47" s="193" t="s">
        <v>207</v>
      </c>
      <c r="E47" s="219">
        <v>1602043</v>
      </c>
      <c r="F47" s="202" t="s">
        <v>75</v>
      </c>
      <c r="G47" s="202" t="s">
        <v>209</v>
      </c>
      <c r="H47" s="193" t="s">
        <v>57</v>
      </c>
      <c r="I47" s="216">
        <v>0.80876000000000003</v>
      </c>
      <c r="J47" s="197" t="s">
        <v>320</v>
      </c>
      <c r="K47" s="196">
        <v>1104692.82</v>
      </c>
      <c r="L47" s="226">
        <f t="shared" si="6"/>
        <v>773284.97</v>
      </c>
      <c r="M47" s="52">
        <f t="shared" si="3"/>
        <v>331407.85000000009</v>
      </c>
      <c r="N47" s="222">
        <v>0.7</v>
      </c>
      <c r="O47" s="248">
        <v>0</v>
      </c>
      <c r="P47" s="248">
        <v>0</v>
      </c>
      <c r="Q47" s="233">
        <v>0</v>
      </c>
      <c r="R47" s="233">
        <v>0</v>
      </c>
      <c r="S47" s="226">
        <v>0</v>
      </c>
      <c r="T47" s="226">
        <f t="shared" si="17"/>
        <v>773284.97</v>
      </c>
      <c r="U47" s="226">
        <v>0</v>
      </c>
      <c r="V47" s="226">
        <v>0</v>
      </c>
      <c r="W47" s="248">
        <v>0</v>
      </c>
      <c r="X47" s="248">
        <v>0</v>
      </c>
      <c r="Y47" s="233">
        <v>0</v>
      </c>
      <c r="Z47" s="233">
        <v>0</v>
      </c>
      <c r="AA47" s="228" t="b">
        <f t="shared" si="16"/>
        <v>1</v>
      </c>
      <c r="AB47" s="229">
        <f t="shared" si="0"/>
        <v>0.7</v>
      </c>
      <c r="AC47" s="230" t="b">
        <f t="shared" si="1"/>
        <v>1</v>
      </c>
      <c r="AD47" s="230" t="b">
        <f t="shared" si="2"/>
        <v>1</v>
      </c>
    </row>
    <row r="48" spans="1:30" s="231" customFormat="1" ht="30" customHeight="1" x14ac:dyDescent="0.25">
      <c r="A48" s="240">
        <v>46</v>
      </c>
      <c r="B48" s="193" t="s">
        <v>210</v>
      </c>
      <c r="C48" s="215" t="s">
        <v>50</v>
      </c>
      <c r="D48" s="193" t="s">
        <v>159</v>
      </c>
      <c r="E48" s="219">
        <v>1608013</v>
      </c>
      <c r="F48" s="202" t="s">
        <v>110</v>
      </c>
      <c r="G48" s="202" t="s">
        <v>211</v>
      </c>
      <c r="H48" s="193" t="s">
        <v>57</v>
      </c>
      <c r="I48" s="216">
        <v>0.28299999999999997</v>
      </c>
      <c r="J48" s="197" t="s">
        <v>289</v>
      </c>
      <c r="K48" s="196">
        <v>229119.9</v>
      </c>
      <c r="L48" s="226">
        <f t="shared" si="6"/>
        <v>160383.93</v>
      </c>
      <c r="M48" s="52">
        <f t="shared" si="3"/>
        <v>68735.97</v>
      </c>
      <c r="N48" s="223">
        <v>0.7</v>
      </c>
      <c r="O48" s="248">
        <v>0</v>
      </c>
      <c r="P48" s="248">
        <v>0</v>
      </c>
      <c r="Q48" s="233">
        <v>0</v>
      </c>
      <c r="R48" s="233">
        <v>0</v>
      </c>
      <c r="S48" s="226">
        <v>0</v>
      </c>
      <c r="T48" s="226">
        <f t="shared" si="17"/>
        <v>160383.93</v>
      </c>
      <c r="U48" s="226">
        <v>0</v>
      </c>
      <c r="V48" s="226">
        <v>0</v>
      </c>
      <c r="W48" s="248">
        <v>0</v>
      </c>
      <c r="X48" s="248">
        <v>0</v>
      </c>
      <c r="Y48" s="233">
        <v>0</v>
      </c>
      <c r="Z48" s="233">
        <v>0</v>
      </c>
      <c r="AA48" s="228" t="b">
        <f t="shared" si="16"/>
        <v>1</v>
      </c>
      <c r="AB48" s="229">
        <f t="shared" si="0"/>
        <v>0.7</v>
      </c>
      <c r="AC48" s="230" t="b">
        <f t="shared" si="1"/>
        <v>1</v>
      </c>
      <c r="AD48" s="230" t="b">
        <f t="shared" si="2"/>
        <v>1</v>
      </c>
    </row>
    <row r="49" spans="1:30" s="231" customFormat="1" ht="30" customHeight="1" x14ac:dyDescent="0.25">
      <c r="A49" s="240">
        <v>47</v>
      </c>
      <c r="B49" s="193" t="s">
        <v>212</v>
      </c>
      <c r="C49" s="215" t="s">
        <v>50</v>
      </c>
      <c r="D49" s="193" t="s">
        <v>213</v>
      </c>
      <c r="E49" s="219" t="s">
        <v>214</v>
      </c>
      <c r="F49" s="202" t="s">
        <v>67</v>
      </c>
      <c r="G49" s="202" t="s">
        <v>215</v>
      </c>
      <c r="H49" s="193" t="s">
        <v>53</v>
      </c>
      <c r="I49" s="216">
        <v>0.53800000000000003</v>
      </c>
      <c r="J49" s="197" t="s">
        <v>168</v>
      </c>
      <c r="K49" s="196">
        <v>688865.6</v>
      </c>
      <c r="L49" s="226">
        <f t="shared" si="6"/>
        <v>482205.92</v>
      </c>
      <c r="M49" s="52">
        <f t="shared" si="3"/>
        <v>206659.68</v>
      </c>
      <c r="N49" s="318">
        <v>0.7</v>
      </c>
      <c r="O49" s="248">
        <v>0</v>
      </c>
      <c r="P49" s="248">
        <v>0</v>
      </c>
      <c r="Q49" s="233">
        <v>0</v>
      </c>
      <c r="R49" s="233">
        <v>0</v>
      </c>
      <c r="S49" s="226">
        <v>0</v>
      </c>
      <c r="T49" s="226">
        <f t="shared" si="17"/>
        <v>482205.92</v>
      </c>
      <c r="U49" s="226">
        <v>0</v>
      </c>
      <c r="V49" s="226">
        <v>0</v>
      </c>
      <c r="W49" s="248">
        <v>0</v>
      </c>
      <c r="X49" s="248">
        <v>0</v>
      </c>
      <c r="Y49" s="233">
        <v>0</v>
      </c>
      <c r="Z49" s="233">
        <v>0</v>
      </c>
      <c r="AA49" s="228" t="b">
        <f t="shared" si="16"/>
        <v>1</v>
      </c>
      <c r="AB49" s="229">
        <f t="shared" si="0"/>
        <v>0.7</v>
      </c>
      <c r="AC49" s="230" t="b">
        <f t="shared" si="1"/>
        <v>1</v>
      </c>
      <c r="AD49" s="230" t="b">
        <f t="shared" si="2"/>
        <v>1</v>
      </c>
    </row>
    <row r="50" spans="1:30" s="231" customFormat="1" ht="35.25" customHeight="1" x14ac:dyDescent="0.25">
      <c r="A50" s="240">
        <v>48</v>
      </c>
      <c r="B50" s="193" t="s">
        <v>216</v>
      </c>
      <c r="C50" s="215" t="s">
        <v>50</v>
      </c>
      <c r="D50" s="193" t="s">
        <v>79</v>
      </c>
      <c r="E50" s="219">
        <v>1603062</v>
      </c>
      <c r="F50" s="202" t="s">
        <v>80</v>
      </c>
      <c r="G50" s="202" t="s">
        <v>217</v>
      </c>
      <c r="H50" s="193" t="s">
        <v>53</v>
      </c>
      <c r="I50" s="216">
        <v>0.41199999999999998</v>
      </c>
      <c r="J50" s="197" t="s">
        <v>274</v>
      </c>
      <c r="K50" s="196">
        <v>188844.94</v>
      </c>
      <c r="L50" s="226">
        <f t="shared" si="6"/>
        <v>132191.45000000001</v>
      </c>
      <c r="M50" s="52">
        <f t="shared" si="3"/>
        <v>56653.489999999991</v>
      </c>
      <c r="N50" s="222">
        <v>0.7</v>
      </c>
      <c r="O50" s="248">
        <v>0</v>
      </c>
      <c r="P50" s="248">
        <v>0</v>
      </c>
      <c r="Q50" s="233">
        <v>0</v>
      </c>
      <c r="R50" s="233">
        <v>0</v>
      </c>
      <c r="S50" s="226">
        <v>0</v>
      </c>
      <c r="T50" s="226">
        <f t="shared" si="17"/>
        <v>132191.45000000001</v>
      </c>
      <c r="U50" s="226">
        <v>0</v>
      </c>
      <c r="V50" s="226">
        <v>0</v>
      </c>
      <c r="W50" s="248">
        <v>0</v>
      </c>
      <c r="X50" s="248">
        <v>0</v>
      </c>
      <c r="Y50" s="233">
        <v>0</v>
      </c>
      <c r="Z50" s="233">
        <v>0</v>
      </c>
      <c r="AA50" s="228" t="b">
        <f t="shared" si="16"/>
        <v>1</v>
      </c>
      <c r="AB50" s="229">
        <f t="shared" si="0"/>
        <v>0.7</v>
      </c>
      <c r="AC50" s="230" t="b">
        <f t="shared" si="1"/>
        <v>1</v>
      </c>
      <c r="AD50" s="230" t="b">
        <f t="shared" si="2"/>
        <v>1</v>
      </c>
    </row>
    <row r="51" spans="1:30" s="231" customFormat="1" ht="30" customHeight="1" x14ac:dyDescent="0.25">
      <c r="A51" s="240">
        <v>49</v>
      </c>
      <c r="B51" s="193" t="s">
        <v>218</v>
      </c>
      <c r="C51" s="215" t="s">
        <v>50</v>
      </c>
      <c r="D51" s="193" t="s">
        <v>219</v>
      </c>
      <c r="E51" s="219">
        <v>1607092</v>
      </c>
      <c r="F51" s="202" t="s">
        <v>55</v>
      </c>
      <c r="G51" s="202" t="s">
        <v>220</v>
      </c>
      <c r="H51" s="193" t="s">
        <v>57</v>
      </c>
      <c r="I51" s="216">
        <v>0.40600000000000003</v>
      </c>
      <c r="J51" s="197" t="s">
        <v>298</v>
      </c>
      <c r="K51" s="196">
        <v>3152806.29</v>
      </c>
      <c r="L51" s="226">
        <f t="shared" si="6"/>
        <v>2206964.4</v>
      </c>
      <c r="M51" s="52">
        <f t="shared" si="3"/>
        <v>945841.89000000013</v>
      </c>
      <c r="N51" s="222">
        <v>0.7</v>
      </c>
      <c r="O51" s="248">
        <v>0</v>
      </c>
      <c r="P51" s="248">
        <v>0</v>
      </c>
      <c r="Q51" s="233">
        <v>0</v>
      </c>
      <c r="R51" s="233">
        <v>0</v>
      </c>
      <c r="S51" s="226">
        <v>0</v>
      </c>
      <c r="T51" s="226">
        <f t="shared" si="17"/>
        <v>2206964.4</v>
      </c>
      <c r="U51" s="226">
        <v>0</v>
      </c>
      <c r="V51" s="226">
        <v>0</v>
      </c>
      <c r="W51" s="248">
        <v>0</v>
      </c>
      <c r="X51" s="248">
        <v>0</v>
      </c>
      <c r="Y51" s="233">
        <v>0</v>
      </c>
      <c r="Z51" s="233">
        <v>0</v>
      </c>
      <c r="AA51" s="228" t="b">
        <f t="shared" si="16"/>
        <v>1</v>
      </c>
      <c r="AB51" s="229">
        <f t="shared" si="0"/>
        <v>0.7</v>
      </c>
      <c r="AC51" s="230" t="b">
        <f t="shared" si="1"/>
        <v>1</v>
      </c>
      <c r="AD51" s="230" t="b">
        <f t="shared" si="2"/>
        <v>1</v>
      </c>
    </row>
    <row r="52" spans="1:30" s="231" customFormat="1" ht="30" customHeight="1" x14ac:dyDescent="0.25">
      <c r="A52" s="240">
        <v>50</v>
      </c>
      <c r="B52" s="193" t="s">
        <v>221</v>
      </c>
      <c r="C52" s="215" t="s">
        <v>50</v>
      </c>
      <c r="D52" s="193" t="s">
        <v>219</v>
      </c>
      <c r="E52" s="219">
        <v>1607092</v>
      </c>
      <c r="F52" s="202" t="s">
        <v>55</v>
      </c>
      <c r="G52" s="202" t="s">
        <v>222</v>
      </c>
      <c r="H52" s="193" t="s">
        <v>65</v>
      </c>
      <c r="I52" s="216">
        <v>0.90300000000000002</v>
      </c>
      <c r="J52" s="197" t="s">
        <v>298</v>
      </c>
      <c r="K52" s="196">
        <v>5601101.8099999996</v>
      </c>
      <c r="L52" s="226">
        <f t="shared" si="6"/>
        <v>3920771.26</v>
      </c>
      <c r="M52" s="52">
        <f t="shared" si="3"/>
        <v>1680330.5499999998</v>
      </c>
      <c r="N52" s="222">
        <v>0.7</v>
      </c>
      <c r="O52" s="248">
        <v>0</v>
      </c>
      <c r="P52" s="248">
        <v>0</v>
      </c>
      <c r="Q52" s="233">
        <v>0</v>
      </c>
      <c r="R52" s="233">
        <v>0</v>
      </c>
      <c r="S52" s="226">
        <v>0</v>
      </c>
      <c r="T52" s="226">
        <f t="shared" si="17"/>
        <v>3920771.26</v>
      </c>
      <c r="U52" s="226">
        <v>0</v>
      </c>
      <c r="V52" s="226">
        <v>0</v>
      </c>
      <c r="W52" s="248">
        <v>0</v>
      </c>
      <c r="X52" s="248">
        <v>0</v>
      </c>
      <c r="Y52" s="233">
        <v>0</v>
      </c>
      <c r="Z52" s="233">
        <v>0</v>
      </c>
      <c r="AA52" s="228" t="b">
        <f t="shared" si="16"/>
        <v>1</v>
      </c>
      <c r="AB52" s="229">
        <f t="shared" si="0"/>
        <v>0.7</v>
      </c>
      <c r="AC52" s="230" t="b">
        <f t="shared" si="1"/>
        <v>1</v>
      </c>
      <c r="AD52" s="230" t="b">
        <f t="shared" si="2"/>
        <v>1</v>
      </c>
    </row>
    <row r="53" spans="1:30" s="231" customFormat="1" ht="30" customHeight="1" x14ac:dyDescent="0.25">
      <c r="A53" s="240">
        <v>51</v>
      </c>
      <c r="B53" s="193" t="s">
        <v>223</v>
      </c>
      <c r="C53" s="215" t="s">
        <v>50</v>
      </c>
      <c r="D53" s="193" t="s">
        <v>121</v>
      </c>
      <c r="E53" s="219">
        <v>1609083</v>
      </c>
      <c r="F53" s="202" t="s">
        <v>224</v>
      </c>
      <c r="G53" s="202" t="s">
        <v>225</v>
      </c>
      <c r="H53" s="193" t="s">
        <v>53</v>
      </c>
      <c r="I53" s="216">
        <v>0.14299999999999999</v>
      </c>
      <c r="J53" s="197" t="s">
        <v>275</v>
      </c>
      <c r="K53" s="196">
        <v>264871.34000000003</v>
      </c>
      <c r="L53" s="226">
        <f t="shared" ref="L53:L55" si="18">ROUNDDOWN(K53*N53,2)</f>
        <v>185409.93</v>
      </c>
      <c r="M53" s="52">
        <f t="shared" ref="M53:M54" si="19">K53-L53</f>
        <v>79461.410000000033</v>
      </c>
      <c r="N53" s="222">
        <v>0.7</v>
      </c>
      <c r="O53" s="248">
        <v>0</v>
      </c>
      <c r="P53" s="248">
        <v>0</v>
      </c>
      <c r="Q53" s="233">
        <v>0</v>
      </c>
      <c r="R53" s="233">
        <v>0</v>
      </c>
      <c r="S53" s="226">
        <v>0</v>
      </c>
      <c r="T53" s="226">
        <f t="shared" ref="T53:T54" si="20">L53</f>
        <v>185409.93</v>
      </c>
      <c r="U53" s="226">
        <v>0</v>
      </c>
      <c r="V53" s="226">
        <v>0</v>
      </c>
      <c r="W53" s="248">
        <v>0</v>
      </c>
      <c r="X53" s="248">
        <v>0</v>
      </c>
      <c r="Y53" s="233">
        <v>0</v>
      </c>
      <c r="Z53" s="233">
        <v>0</v>
      </c>
      <c r="AA53" s="228" t="b">
        <f t="shared" ref="AA53:AA54" si="21">L53=SUM(O53:Z53)</f>
        <v>1</v>
      </c>
      <c r="AB53" s="229">
        <f t="shared" ref="AB53:AB54" si="22">ROUND(L53/K53,4)</f>
        <v>0.7</v>
      </c>
      <c r="AC53" s="230" t="b">
        <f t="shared" ref="AC53:AC54" si="23">AB53=N53</f>
        <v>1</v>
      </c>
      <c r="AD53" s="230" t="b">
        <f t="shared" ref="AD53:AD54" si="24">K53=L53+M53</f>
        <v>1</v>
      </c>
    </row>
    <row r="54" spans="1:30" s="231" customFormat="1" ht="30" customHeight="1" x14ac:dyDescent="0.25">
      <c r="A54" s="240">
        <v>52</v>
      </c>
      <c r="B54" s="234" t="s">
        <v>226</v>
      </c>
      <c r="C54" s="235" t="s">
        <v>50</v>
      </c>
      <c r="D54" s="236" t="s">
        <v>219</v>
      </c>
      <c r="E54" s="234">
        <v>1607092</v>
      </c>
      <c r="F54" s="234" t="s">
        <v>55</v>
      </c>
      <c r="G54" s="234" t="s">
        <v>227</v>
      </c>
      <c r="H54" s="237" t="s">
        <v>53</v>
      </c>
      <c r="I54" s="234">
        <v>0.76500000000000001</v>
      </c>
      <c r="J54" s="236" t="s">
        <v>291</v>
      </c>
      <c r="K54" s="238">
        <v>686075.35</v>
      </c>
      <c r="L54" s="226">
        <f t="shared" si="18"/>
        <v>480252.74</v>
      </c>
      <c r="M54" s="52">
        <f t="shared" si="19"/>
        <v>205822.61</v>
      </c>
      <c r="N54" s="223">
        <v>0.7</v>
      </c>
      <c r="O54" s="248">
        <v>0</v>
      </c>
      <c r="P54" s="248">
        <v>0</v>
      </c>
      <c r="Q54" s="233">
        <v>0</v>
      </c>
      <c r="R54" s="233">
        <v>0</v>
      </c>
      <c r="S54" s="227">
        <v>0</v>
      </c>
      <c r="T54" s="227">
        <f t="shared" si="20"/>
        <v>480252.74</v>
      </c>
      <c r="U54" s="227">
        <v>0</v>
      </c>
      <c r="V54" s="227">
        <v>0</v>
      </c>
      <c r="W54" s="248">
        <v>0</v>
      </c>
      <c r="X54" s="248">
        <v>0</v>
      </c>
      <c r="Y54" s="233">
        <v>0</v>
      </c>
      <c r="Z54" s="233">
        <v>0</v>
      </c>
      <c r="AA54" s="228" t="b">
        <f t="shared" si="21"/>
        <v>1</v>
      </c>
      <c r="AB54" s="229">
        <f t="shared" si="22"/>
        <v>0.7</v>
      </c>
      <c r="AC54" s="230" t="b">
        <f t="shared" si="23"/>
        <v>1</v>
      </c>
      <c r="AD54" s="230" t="b">
        <f t="shared" si="24"/>
        <v>1</v>
      </c>
    </row>
    <row r="55" spans="1:30" s="281" customFormat="1" ht="30" customHeight="1" x14ac:dyDescent="0.25">
      <c r="A55" s="240">
        <v>53</v>
      </c>
      <c r="B55" s="236" t="s">
        <v>228</v>
      </c>
      <c r="C55" s="241" t="s">
        <v>50</v>
      </c>
      <c r="D55" s="236" t="s">
        <v>89</v>
      </c>
      <c r="E55" s="236">
        <v>1607013</v>
      </c>
      <c r="F55" s="236" t="s">
        <v>55</v>
      </c>
      <c r="G55" s="236" t="s">
        <v>229</v>
      </c>
      <c r="H55" s="277" t="s">
        <v>65</v>
      </c>
      <c r="I55" s="236">
        <v>1.206</v>
      </c>
      <c r="J55" s="236" t="s">
        <v>323</v>
      </c>
      <c r="K55" s="238">
        <v>8545977.7799999993</v>
      </c>
      <c r="L55" s="226">
        <f t="shared" si="18"/>
        <v>6836782.2199999997</v>
      </c>
      <c r="M55" s="52">
        <f t="shared" ref="M55" si="25">K55-L55</f>
        <v>1709195.5599999996</v>
      </c>
      <c r="N55" s="223">
        <v>0.8</v>
      </c>
      <c r="O55" s="248">
        <v>0</v>
      </c>
      <c r="P55" s="248">
        <v>0</v>
      </c>
      <c r="Q55" s="233">
        <v>0</v>
      </c>
      <c r="R55" s="233">
        <v>0</v>
      </c>
      <c r="S55" s="227">
        <v>0</v>
      </c>
      <c r="T55" s="227">
        <f>L55</f>
        <v>6836782.2199999997</v>
      </c>
      <c r="U55" s="227">
        <v>0</v>
      </c>
      <c r="V55" s="227">
        <v>0</v>
      </c>
      <c r="W55" s="248">
        <v>0</v>
      </c>
      <c r="X55" s="248">
        <v>0</v>
      </c>
      <c r="Y55" s="233">
        <v>0</v>
      </c>
      <c r="Z55" s="233">
        <v>0</v>
      </c>
      <c r="AA55" s="278" t="b">
        <f t="shared" ref="AA55" si="26">L55=SUM(O55:Z55)</f>
        <v>1</v>
      </c>
      <c r="AB55" s="279">
        <f t="shared" ref="AB55" si="27">ROUND(L55/K55,4)</f>
        <v>0.8</v>
      </c>
      <c r="AC55" s="280" t="b">
        <f t="shared" ref="AC55" si="28">AB55=N55</f>
        <v>1</v>
      </c>
      <c r="AD55" s="280" t="b">
        <f t="shared" ref="AD55" si="29">K55=L55+M55</f>
        <v>1</v>
      </c>
    </row>
    <row r="56" spans="1:30" s="281" customFormat="1" ht="36.75" customHeight="1" x14ac:dyDescent="0.25">
      <c r="A56" s="240">
        <v>54</v>
      </c>
      <c r="B56" s="236" t="s">
        <v>268</v>
      </c>
      <c r="C56" s="241" t="s">
        <v>50</v>
      </c>
      <c r="D56" s="236" t="s">
        <v>231</v>
      </c>
      <c r="E56" s="337">
        <v>1611073</v>
      </c>
      <c r="F56" s="236" t="s">
        <v>63</v>
      </c>
      <c r="G56" s="236" t="s">
        <v>232</v>
      </c>
      <c r="H56" s="236" t="s">
        <v>53</v>
      </c>
      <c r="I56" s="338">
        <v>0.57989999999999997</v>
      </c>
      <c r="J56" s="238" t="s">
        <v>325</v>
      </c>
      <c r="K56" s="336">
        <v>2082000.67</v>
      </c>
      <c r="L56" s="226">
        <f>ROUNDDOWN(K56*N56,2)</f>
        <v>1665600.53</v>
      </c>
      <c r="M56" s="52">
        <f>K56-L56</f>
        <v>416400.1399999999</v>
      </c>
      <c r="N56" s="246">
        <v>0.8</v>
      </c>
      <c r="O56" s="248">
        <v>0</v>
      </c>
      <c r="P56" s="248">
        <v>0</v>
      </c>
      <c r="Q56" s="233">
        <v>0</v>
      </c>
      <c r="R56" s="233">
        <v>0</v>
      </c>
      <c r="S56" s="227">
        <v>0</v>
      </c>
      <c r="T56" s="227">
        <f>L56</f>
        <v>1665600.53</v>
      </c>
      <c r="U56" s="227">
        <v>0</v>
      </c>
      <c r="V56" s="227">
        <v>0</v>
      </c>
      <c r="W56" s="248">
        <v>0</v>
      </c>
      <c r="X56" s="248">
        <v>0</v>
      </c>
      <c r="Y56" s="233">
        <v>0</v>
      </c>
      <c r="Z56" s="233">
        <v>0</v>
      </c>
      <c r="AA56" s="278" t="b">
        <f t="shared" ref="AA56" si="30">L56=SUM(O56:Z56)</f>
        <v>1</v>
      </c>
      <c r="AB56" s="279">
        <f t="shared" ref="AB56:AB58" si="31">ROUND(L56/K56,4)</f>
        <v>0.8</v>
      </c>
      <c r="AC56" s="280" t="b">
        <f t="shared" ref="AC56:AC58" si="32">AB56=N56</f>
        <v>1</v>
      </c>
      <c r="AD56" s="280" t="b">
        <f t="shared" ref="AD56:AD58" si="33">K56=L56+M56</f>
        <v>1</v>
      </c>
    </row>
    <row r="57" spans="1:30" s="281" customFormat="1" ht="37.5" customHeight="1" x14ac:dyDescent="0.25">
      <c r="A57" s="240">
        <v>55</v>
      </c>
      <c r="B57" s="193" t="s">
        <v>269</v>
      </c>
      <c r="C57" s="215" t="s">
        <v>50</v>
      </c>
      <c r="D57" s="193" t="s">
        <v>99</v>
      </c>
      <c r="E57" s="323">
        <v>1611022</v>
      </c>
      <c r="F57" s="193" t="s">
        <v>63</v>
      </c>
      <c r="G57" s="193" t="s">
        <v>235</v>
      </c>
      <c r="H57" s="193" t="s">
        <v>57</v>
      </c>
      <c r="I57" s="195">
        <v>0.27600000000000002</v>
      </c>
      <c r="J57" s="197" t="s">
        <v>71</v>
      </c>
      <c r="K57" s="196">
        <v>938781.88</v>
      </c>
      <c r="L57" s="226">
        <f>ROUNDDOWN(K57*N57,2)</f>
        <v>657147.31000000006</v>
      </c>
      <c r="M57" s="52">
        <f t="shared" ref="M57" si="34">K57-L57</f>
        <v>281634.56999999995</v>
      </c>
      <c r="N57" s="223">
        <v>0.7</v>
      </c>
      <c r="O57" s="248">
        <v>0</v>
      </c>
      <c r="P57" s="248">
        <v>0</v>
      </c>
      <c r="Q57" s="233">
        <v>0</v>
      </c>
      <c r="R57" s="233">
        <v>0</v>
      </c>
      <c r="S57" s="227">
        <v>0</v>
      </c>
      <c r="T57" s="227">
        <f>L57</f>
        <v>657147.31000000006</v>
      </c>
      <c r="U57" s="227">
        <v>0</v>
      </c>
      <c r="V57" s="227">
        <v>0</v>
      </c>
      <c r="W57" s="248">
        <v>0</v>
      </c>
      <c r="X57" s="248">
        <v>0</v>
      </c>
      <c r="Y57" s="233">
        <v>0</v>
      </c>
      <c r="Z57" s="233">
        <v>0</v>
      </c>
      <c r="AA57" s="278" t="b">
        <f t="shared" ref="AA57:AA58" si="35">L57=SUM(O57:Z57)</f>
        <v>1</v>
      </c>
      <c r="AB57" s="279">
        <f t="shared" si="31"/>
        <v>0.7</v>
      </c>
      <c r="AC57" s="280" t="b">
        <f t="shared" si="32"/>
        <v>1</v>
      </c>
      <c r="AD57" s="280" t="b">
        <f t="shared" si="33"/>
        <v>1</v>
      </c>
    </row>
    <row r="58" spans="1:30" s="275" customFormat="1" ht="37.5" customHeight="1" x14ac:dyDescent="0.25">
      <c r="A58" s="262">
        <v>56</v>
      </c>
      <c r="B58" s="263" t="s">
        <v>277</v>
      </c>
      <c r="C58" s="264"/>
      <c r="D58" s="263" t="s">
        <v>149</v>
      </c>
      <c r="E58" s="292">
        <v>1609022</v>
      </c>
      <c r="F58" s="263" t="s">
        <v>85</v>
      </c>
      <c r="G58" s="263" t="s">
        <v>237</v>
      </c>
      <c r="H58" s="263" t="s">
        <v>57</v>
      </c>
      <c r="I58" s="265"/>
      <c r="J58" s="266" t="s">
        <v>261</v>
      </c>
      <c r="K58" s="267"/>
      <c r="L58" s="261"/>
      <c r="M58" s="268"/>
      <c r="N58" s="269">
        <v>0.6</v>
      </c>
      <c r="O58" s="270"/>
      <c r="P58" s="270"/>
      <c r="Q58" s="271"/>
      <c r="R58" s="271"/>
      <c r="S58" s="320"/>
      <c r="T58" s="320"/>
      <c r="U58" s="320"/>
      <c r="V58" s="320"/>
      <c r="W58" s="270"/>
      <c r="X58" s="270"/>
      <c r="Y58" s="271"/>
      <c r="Z58" s="271"/>
      <c r="AA58" s="272" t="b">
        <f t="shared" si="35"/>
        <v>1</v>
      </c>
      <c r="AB58" s="273" t="e">
        <f t="shared" si="31"/>
        <v>#DIV/0!</v>
      </c>
      <c r="AC58" s="274" t="e">
        <f t="shared" si="32"/>
        <v>#DIV/0!</v>
      </c>
      <c r="AD58" s="274" t="b">
        <f t="shared" si="33"/>
        <v>1</v>
      </c>
    </row>
    <row r="59" spans="1:30" s="281" customFormat="1" ht="37.5" customHeight="1" x14ac:dyDescent="0.25">
      <c r="A59" s="240">
        <v>57</v>
      </c>
      <c r="B59" s="193" t="s">
        <v>278</v>
      </c>
      <c r="C59" s="215" t="s">
        <v>50</v>
      </c>
      <c r="D59" s="193" t="s">
        <v>99</v>
      </c>
      <c r="E59" s="323">
        <v>1611022</v>
      </c>
      <c r="F59" s="193" t="s">
        <v>63</v>
      </c>
      <c r="G59" s="193" t="s">
        <v>241</v>
      </c>
      <c r="H59" s="193" t="s">
        <v>57</v>
      </c>
      <c r="I59" s="195">
        <v>0.11899999999999999</v>
      </c>
      <c r="J59" s="197" t="s">
        <v>71</v>
      </c>
      <c r="K59" s="196">
        <v>365821.02</v>
      </c>
      <c r="L59" s="226">
        <f>ROUNDDOWN(K59*N59,2)</f>
        <v>256074.71</v>
      </c>
      <c r="M59" s="52">
        <f t="shared" ref="M59" si="36">K59-L59</f>
        <v>109746.31000000003</v>
      </c>
      <c r="N59" s="223">
        <v>0.7</v>
      </c>
      <c r="O59" s="248">
        <v>0</v>
      </c>
      <c r="P59" s="248">
        <v>0</v>
      </c>
      <c r="Q59" s="233">
        <v>0</v>
      </c>
      <c r="R59" s="233">
        <v>0</v>
      </c>
      <c r="S59" s="227">
        <v>0</v>
      </c>
      <c r="T59" s="227">
        <f t="shared" ref="T59" si="37">L59</f>
        <v>256074.71</v>
      </c>
      <c r="U59" s="227">
        <v>0</v>
      </c>
      <c r="V59" s="227">
        <v>0</v>
      </c>
      <c r="W59" s="248">
        <v>0</v>
      </c>
      <c r="X59" s="248">
        <v>0</v>
      </c>
      <c r="Y59" s="233">
        <v>0</v>
      </c>
      <c r="Z59" s="233">
        <v>0</v>
      </c>
      <c r="AA59" s="278" t="b">
        <f t="shared" ref="AA59" si="38">L59=SUM(O59:Z59)</f>
        <v>1</v>
      </c>
      <c r="AB59" s="279">
        <f t="shared" ref="AB59" si="39">ROUND(L59/K59,4)</f>
        <v>0.7</v>
      </c>
      <c r="AC59" s="280" t="b">
        <f t="shared" ref="AC59" si="40">AB59=N59</f>
        <v>1</v>
      </c>
      <c r="AD59" s="280" t="b">
        <f t="shared" ref="AD59" si="41">K59=L59+M59</f>
        <v>1</v>
      </c>
    </row>
    <row r="60" spans="1:30" s="281" customFormat="1" ht="37.5" customHeight="1" x14ac:dyDescent="0.25">
      <c r="A60" s="240">
        <v>58</v>
      </c>
      <c r="B60" s="193" t="s">
        <v>279</v>
      </c>
      <c r="C60" s="215" t="s">
        <v>50</v>
      </c>
      <c r="D60" s="193" t="s">
        <v>193</v>
      </c>
      <c r="E60" s="323">
        <v>1606023</v>
      </c>
      <c r="F60" s="193" t="s">
        <v>51</v>
      </c>
      <c r="G60" s="193" t="s">
        <v>242</v>
      </c>
      <c r="H60" s="193" t="s">
        <v>57</v>
      </c>
      <c r="I60" s="195">
        <v>0.77800000000000002</v>
      </c>
      <c r="J60" s="197" t="s">
        <v>321</v>
      </c>
      <c r="K60" s="196">
        <v>1450559.74</v>
      </c>
      <c r="L60" s="226">
        <f>ROUNDDOWN(K60*N60,2)</f>
        <v>870335.84</v>
      </c>
      <c r="M60" s="52">
        <f t="shared" ref="M60" si="42">K60-L60</f>
        <v>580223.9</v>
      </c>
      <c r="N60" s="223">
        <v>0.6</v>
      </c>
      <c r="O60" s="248">
        <v>0</v>
      </c>
      <c r="P60" s="248">
        <v>0</v>
      </c>
      <c r="Q60" s="233">
        <v>0</v>
      </c>
      <c r="R60" s="233">
        <v>0</v>
      </c>
      <c r="S60" s="227">
        <v>0</v>
      </c>
      <c r="T60" s="227">
        <f>L60</f>
        <v>870335.84</v>
      </c>
      <c r="U60" s="227">
        <v>0</v>
      </c>
      <c r="V60" s="227">
        <v>0</v>
      </c>
      <c r="W60" s="248">
        <v>0</v>
      </c>
      <c r="X60" s="248">
        <v>0</v>
      </c>
      <c r="Y60" s="233">
        <v>0</v>
      </c>
      <c r="Z60" s="233">
        <v>0</v>
      </c>
      <c r="AA60" s="278" t="b">
        <f t="shared" ref="AA60" si="43">L60=SUM(O60:Z60)</f>
        <v>1</v>
      </c>
      <c r="AB60" s="279">
        <f t="shared" ref="AB60" si="44">ROUND(L60/K60,4)</f>
        <v>0.6</v>
      </c>
      <c r="AC60" s="280" t="b">
        <f t="shared" ref="AC60" si="45">AB60=N60</f>
        <v>1</v>
      </c>
      <c r="AD60" s="280" t="b">
        <f t="shared" ref="AD60" si="46">K60=L60+M60</f>
        <v>1</v>
      </c>
    </row>
    <row r="61" spans="1:30" s="275" customFormat="1" ht="37.5" customHeight="1" x14ac:dyDescent="0.25">
      <c r="A61" s="262">
        <v>59</v>
      </c>
      <c r="B61" s="263" t="s">
        <v>292</v>
      </c>
      <c r="C61" s="264"/>
      <c r="D61" s="263" t="s">
        <v>219</v>
      </c>
      <c r="E61" s="292">
        <v>1607092</v>
      </c>
      <c r="F61" s="263" t="s">
        <v>55</v>
      </c>
      <c r="G61" s="263" t="s">
        <v>243</v>
      </c>
      <c r="H61" s="263" t="s">
        <v>65</v>
      </c>
      <c r="I61" s="265"/>
      <c r="J61" s="266" t="s">
        <v>261</v>
      </c>
      <c r="K61" s="267"/>
      <c r="L61" s="261"/>
      <c r="M61" s="268"/>
      <c r="N61" s="293">
        <v>0.7</v>
      </c>
      <c r="O61" s="270"/>
      <c r="P61" s="270"/>
      <c r="Q61" s="271"/>
      <c r="R61" s="271"/>
      <c r="S61" s="320"/>
      <c r="T61" s="320"/>
      <c r="U61" s="320"/>
      <c r="V61" s="320"/>
      <c r="W61" s="270"/>
      <c r="X61" s="270"/>
      <c r="Y61" s="271"/>
      <c r="Z61" s="271"/>
      <c r="AA61" s="272" t="b">
        <f t="shared" ref="AA61:AA70" si="47">L61=SUM(O61:Z61)</f>
        <v>1</v>
      </c>
      <c r="AB61" s="273" t="e">
        <f t="shared" ref="AB61:AB70" si="48">ROUND(L61/K61,4)</f>
        <v>#DIV/0!</v>
      </c>
      <c r="AC61" s="274" t="e">
        <f t="shared" ref="AC61:AC70" si="49">AB61=N61</f>
        <v>#DIV/0!</v>
      </c>
      <c r="AD61" s="274" t="b">
        <f t="shared" ref="AD61:AD70" si="50">K61=L61+M61</f>
        <v>1</v>
      </c>
    </row>
    <row r="62" spans="1:30" s="281" customFormat="1" ht="37.5" customHeight="1" x14ac:dyDescent="0.25">
      <c r="A62" s="240">
        <v>60</v>
      </c>
      <c r="B62" s="193" t="s">
        <v>299</v>
      </c>
      <c r="C62" s="215" t="s">
        <v>50</v>
      </c>
      <c r="D62" s="193" t="s">
        <v>246</v>
      </c>
      <c r="E62" s="323">
        <v>1605042</v>
      </c>
      <c r="F62" s="193" t="s">
        <v>67</v>
      </c>
      <c r="G62" s="193" t="s">
        <v>247</v>
      </c>
      <c r="H62" s="193" t="s">
        <v>53</v>
      </c>
      <c r="I62" s="195">
        <v>0.45900000000000002</v>
      </c>
      <c r="J62" s="197" t="s">
        <v>233</v>
      </c>
      <c r="K62" s="196">
        <v>400810.2</v>
      </c>
      <c r="L62" s="226">
        <v>180000</v>
      </c>
      <c r="M62" s="52">
        <f t="shared" ref="M62:M70" si="51">K62-L62</f>
        <v>220810.2</v>
      </c>
      <c r="N62" s="328">
        <v>0.4491</v>
      </c>
      <c r="O62" s="248">
        <v>0</v>
      </c>
      <c r="P62" s="248">
        <v>0</v>
      </c>
      <c r="Q62" s="233">
        <v>0</v>
      </c>
      <c r="R62" s="233">
        <v>0</v>
      </c>
      <c r="S62" s="227">
        <v>0</v>
      </c>
      <c r="T62" s="227">
        <f t="shared" ref="T62:T70" si="52">L62</f>
        <v>180000</v>
      </c>
      <c r="U62" s="227">
        <v>0</v>
      </c>
      <c r="V62" s="227">
        <v>0</v>
      </c>
      <c r="W62" s="248">
        <v>0</v>
      </c>
      <c r="X62" s="248">
        <v>0</v>
      </c>
      <c r="Y62" s="233">
        <v>0</v>
      </c>
      <c r="Z62" s="233">
        <v>0</v>
      </c>
      <c r="AA62" s="278" t="b">
        <f t="shared" si="47"/>
        <v>1</v>
      </c>
      <c r="AB62" s="279">
        <f t="shared" si="48"/>
        <v>0.4491</v>
      </c>
      <c r="AC62" s="280" t="b">
        <f t="shared" si="49"/>
        <v>1</v>
      </c>
      <c r="AD62" s="280" t="b">
        <f t="shared" si="50"/>
        <v>1</v>
      </c>
    </row>
    <row r="63" spans="1:30" s="281" customFormat="1" ht="37.5" customHeight="1" x14ac:dyDescent="0.25">
      <c r="A63" s="240">
        <v>61</v>
      </c>
      <c r="B63" s="193" t="s">
        <v>300</v>
      </c>
      <c r="C63" s="215" t="s">
        <v>50</v>
      </c>
      <c r="D63" s="193" t="s">
        <v>219</v>
      </c>
      <c r="E63" s="323">
        <v>1607092</v>
      </c>
      <c r="F63" s="193" t="s">
        <v>55</v>
      </c>
      <c r="G63" s="193" t="s">
        <v>249</v>
      </c>
      <c r="H63" s="193" t="s">
        <v>57</v>
      </c>
      <c r="I63" s="195">
        <v>0.26100000000000001</v>
      </c>
      <c r="J63" s="197" t="s">
        <v>329</v>
      </c>
      <c r="K63" s="196">
        <v>937086.1</v>
      </c>
      <c r="L63" s="226">
        <f t="shared" ref="L63:L70" si="53">ROUNDDOWN(K63*N63,2)</f>
        <v>655960.27</v>
      </c>
      <c r="M63" s="52">
        <f t="shared" si="51"/>
        <v>281125.82999999996</v>
      </c>
      <c r="N63" s="223">
        <v>0.7</v>
      </c>
      <c r="O63" s="248">
        <v>0</v>
      </c>
      <c r="P63" s="248">
        <v>0</v>
      </c>
      <c r="Q63" s="233">
        <v>0</v>
      </c>
      <c r="R63" s="233">
        <v>0</v>
      </c>
      <c r="S63" s="227">
        <v>0</v>
      </c>
      <c r="T63" s="227">
        <f t="shared" si="52"/>
        <v>655960.27</v>
      </c>
      <c r="U63" s="227">
        <v>0</v>
      </c>
      <c r="V63" s="227">
        <v>0</v>
      </c>
      <c r="W63" s="248">
        <v>0</v>
      </c>
      <c r="X63" s="248">
        <v>0</v>
      </c>
      <c r="Y63" s="233">
        <v>0</v>
      </c>
      <c r="Z63" s="233">
        <v>0</v>
      </c>
      <c r="AA63" s="278" t="b">
        <f t="shared" si="47"/>
        <v>1</v>
      </c>
      <c r="AB63" s="279">
        <f t="shared" si="48"/>
        <v>0.7</v>
      </c>
      <c r="AC63" s="280" t="b">
        <f t="shared" si="49"/>
        <v>1</v>
      </c>
      <c r="AD63" s="280" t="b">
        <f t="shared" si="50"/>
        <v>1</v>
      </c>
    </row>
    <row r="64" spans="1:30" s="275" customFormat="1" ht="37.5" customHeight="1" x14ac:dyDescent="0.25">
      <c r="A64" s="262">
        <v>62</v>
      </c>
      <c r="B64" s="263" t="s">
        <v>301</v>
      </c>
      <c r="C64" s="264"/>
      <c r="D64" s="263" t="s">
        <v>250</v>
      </c>
      <c r="E64" s="292">
        <v>1611043</v>
      </c>
      <c r="F64" s="263" t="s">
        <v>63</v>
      </c>
      <c r="G64" s="263" t="s">
        <v>251</v>
      </c>
      <c r="H64" s="263" t="s">
        <v>53</v>
      </c>
      <c r="I64" s="265"/>
      <c r="J64" s="266" t="s">
        <v>261</v>
      </c>
      <c r="K64" s="267"/>
      <c r="L64" s="261"/>
      <c r="M64" s="268"/>
      <c r="N64" s="293">
        <v>0.6</v>
      </c>
      <c r="O64" s="270"/>
      <c r="P64" s="270"/>
      <c r="Q64" s="271"/>
      <c r="R64" s="271"/>
      <c r="S64" s="320"/>
      <c r="T64" s="320"/>
      <c r="U64" s="320"/>
      <c r="V64" s="320"/>
      <c r="W64" s="270"/>
      <c r="X64" s="270"/>
      <c r="Y64" s="271"/>
      <c r="Z64" s="271"/>
      <c r="AA64" s="272" t="b">
        <f t="shared" ref="AA64" si="54">L64=SUM(O64:Z64)</f>
        <v>1</v>
      </c>
      <c r="AB64" s="273" t="e">
        <f t="shared" ref="AB64" si="55">ROUND(L64/K64,4)</f>
        <v>#DIV/0!</v>
      </c>
      <c r="AC64" s="274" t="e">
        <f t="shared" ref="AC64" si="56">AB64=N64</f>
        <v>#DIV/0!</v>
      </c>
      <c r="AD64" s="274" t="b">
        <f t="shared" ref="AD64" si="57">K64=L64+M64</f>
        <v>1</v>
      </c>
    </row>
    <row r="65" spans="1:30" s="281" customFormat="1" ht="37.5" customHeight="1" x14ac:dyDescent="0.25">
      <c r="A65" s="240">
        <v>63</v>
      </c>
      <c r="B65" s="193" t="s">
        <v>307</v>
      </c>
      <c r="C65" s="215" t="s">
        <v>50</v>
      </c>
      <c r="D65" s="193" t="s">
        <v>79</v>
      </c>
      <c r="E65" s="323">
        <v>1603062</v>
      </c>
      <c r="F65" s="193" t="s">
        <v>80</v>
      </c>
      <c r="G65" s="193" t="s">
        <v>253</v>
      </c>
      <c r="H65" s="193" t="s">
        <v>65</v>
      </c>
      <c r="I65" s="195">
        <v>0.40600000000000003</v>
      </c>
      <c r="J65" s="197" t="s">
        <v>330</v>
      </c>
      <c r="K65" s="196">
        <v>571110</v>
      </c>
      <c r="L65" s="226">
        <v>399767.46</v>
      </c>
      <c r="M65" s="52">
        <f>K65-L65</f>
        <v>171342.53999999998</v>
      </c>
      <c r="N65" s="328">
        <v>0.69989999999999997</v>
      </c>
      <c r="O65" s="248">
        <v>0</v>
      </c>
      <c r="P65" s="248">
        <v>0</v>
      </c>
      <c r="Q65" s="233">
        <v>0</v>
      </c>
      <c r="R65" s="233">
        <v>0</v>
      </c>
      <c r="S65" s="227">
        <v>0</v>
      </c>
      <c r="T65" s="227">
        <f t="shared" ref="T65:T69" si="58">L65</f>
        <v>399767.46</v>
      </c>
      <c r="U65" s="227">
        <v>0</v>
      </c>
      <c r="V65" s="227">
        <v>0</v>
      </c>
      <c r="W65" s="248">
        <v>0</v>
      </c>
      <c r="X65" s="248">
        <v>0</v>
      </c>
      <c r="Y65" s="233">
        <v>0</v>
      </c>
      <c r="Z65" s="233">
        <v>0</v>
      </c>
      <c r="AA65" s="278" t="b">
        <f t="shared" ref="AA65:AA69" si="59">L65=SUM(O65:Z65)</f>
        <v>1</v>
      </c>
      <c r="AB65" s="279">
        <f>N65</f>
        <v>0.69989999999999997</v>
      </c>
      <c r="AC65" s="280" t="b">
        <f t="shared" ref="AC65:AC69" si="60">AB65=N65</f>
        <v>1</v>
      </c>
      <c r="AD65" s="280" t="b">
        <f t="shared" ref="AD65:AD69" si="61">K65=L65+M65</f>
        <v>1</v>
      </c>
    </row>
    <row r="66" spans="1:30" s="281" customFormat="1" ht="37.5" customHeight="1" x14ac:dyDescent="0.25">
      <c r="A66" s="240">
        <v>64</v>
      </c>
      <c r="B66" s="193" t="s">
        <v>308</v>
      </c>
      <c r="C66" s="215" t="s">
        <v>50</v>
      </c>
      <c r="D66" s="193" t="s">
        <v>89</v>
      </c>
      <c r="E66" s="323">
        <v>1607013</v>
      </c>
      <c r="F66" s="193" t="s">
        <v>55</v>
      </c>
      <c r="G66" s="193" t="s">
        <v>254</v>
      </c>
      <c r="H66" s="193" t="s">
        <v>53</v>
      </c>
      <c r="I66" s="195">
        <v>0.17799999999999999</v>
      </c>
      <c r="J66" s="197" t="s">
        <v>233</v>
      </c>
      <c r="K66" s="196">
        <v>116260.07</v>
      </c>
      <c r="L66" s="226">
        <v>92568</v>
      </c>
      <c r="M66" s="52">
        <f t="shared" ref="M66:M69" si="62">K66-L66</f>
        <v>23692.070000000007</v>
      </c>
      <c r="N66" s="328">
        <v>0.79620000000000002</v>
      </c>
      <c r="O66" s="248">
        <v>0</v>
      </c>
      <c r="P66" s="248">
        <v>0</v>
      </c>
      <c r="Q66" s="233">
        <v>0</v>
      </c>
      <c r="R66" s="233">
        <v>0</v>
      </c>
      <c r="S66" s="227">
        <v>0</v>
      </c>
      <c r="T66" s="227">
        <f t="shared" si="58"/>
        <v>92568</v>
      </c>
      <c r="U66" s="227">
        <v>0</v>
      </c>
      <c r="V66" s="227">
        <v>0</v>
      </c>
      <c r="W66" s="248">
        <v>0</v>
      </c>
      <c r="X66" s="248">
        <v>0</v>
      </c>
      <c r="Y66" s="233">
        <v>0</v>
      </c>
      <c r="Z66" s="233">
        <v>0</v>
      </c>
      <c r="AA66" s="278" t="b">
        <f t="shared" si="59"/>
        <v>1</v>
      </c>
      <c r="AB66" s="279">
        <f t="shared" ref="AB66:AB69" si="63">ROUND(L66/K66,4)</f>
        <v>0.79620000000000002</v>
      </c>
      <c r="AC66" s="280" t="b">
        <f t="shared" si="60"/>
        <v>1</v>
      </c>
      <c r="AD66" s="280" t="b">
        <f t="shared" si="61"/>
        <v>1</v>
      </c>
    </row>
    <row r="67" spans="1:30" s="281" customFormat="1" ht="37.5" customHeight="1" x14ac:dyDescent="0.25">
      <c r="A67" s="240">
        <v>65</v>
      </c>
      <c r="B67" s="193" t="s">
        <v>309</v>
      </c>
      <c r="C67" s="215" t="s">
        <v>50</v>
      </c>
      <c r="D67" s="193" t="s">
        <v>89</v>
      </c>
      <c r="E67" s="193">
        <v>1607013</v>
      </c>
      <c r="F67" s="193" t="s">
        <v>55</v>
      </c>
      <c r="G67" s="193" t="s">
        <v>255</v>
      </c>
      <c r="H67" s="193" t="s">
        <v>53</v>
      </c>
      <c r="I67" s="193">
        <v>0.25729999999999997</v>
      </c>
      <c r="J67" s="197" t="s">
        <v>233</v>
      </c>
      <c r="K67" s="196">
        <v>129801.35</v>
      </c>
      <c r="L67" s="226">
        <f t="shared" ref="L67:L69" si="64">ROUNDDOWN(K67*N67,2)</f>
        <v>103841.08</v>
      </c>
      <c r="M67" s="52">
        <f t="shared" si="62"/>
        <v>25960.270000000004</v>
      </c>
      <c r="N67" s="223">
        <v>0.8</v>
      </c>
      <c r="O67" s="248">
        <v>0</v>
      </c>
      <c r="P67" s="248">
        <v>0</v>
      </c>
      <c r="Q67" s="233">
        <v>0</v>
      </c>
      <c r="R67" s="233">
        <v>0</v>
      </c>
      <c r="S67" s="227">
        <v>0</v>
      </c>
      <c r="T67" s="227">
        <f t="shared" si="58"/>
        <v>103841.08</v>
      </c>
      <c r="U67" s="227">
        <v>0</v>
      </c>
      <c r="V67" s="227">
        <v>0</v>
      </c>
      <c r="W67" s="248">
        <v>0</v>
      </c>
      <c r="X67" s="248">
        <v>0</v>
      </c>
      <c r="Y67" s="233">
        <v>0</v>
      </c>
      <c r="Z67" s="233">
        <v>0</v>
      </c>
      <c r="AA67" s="278" t="b">
        <f t="shared" si="59"/>
        <v>1</v>
      </c>
      <c r="AB67" s="279">
        <f t="shared" si="63"/>
        <v>0.8</v>
      </c>
      <c r="AC67" s="280" t="b">
        <f t="shared" si="60"/>
        <v>1</v>
      </c>
      <c r="AD67" s="280" t="b">
        <f t="shared" si="61"/>
        <v>1</v>
      </c>
    </row>
    <row r="68" spans="1:30" s="281" customFormat="1" ht="37.5" customHeight="1" x14ac:dyDescent="0.25">
      <c r="A68" s="240">
        <v>66</v>
      </c>
      <c r="B68" s="193" t="s">
        <v>310</v>
      </c>
      <c r="C68" s="215" t="s">
        <v>50</v>
      </c>
      <c r="D68" s="193" t="s">
        <v>89</v>
      </c>
      <c r="E68" s="193">
        <v>1607013</v>
      </c>
      <c r="F68" s="193" t="s">
        <v>55</v>
      </c>
      <c r="G68" s="193" t="s">
        <v>256</v>
      </c>
      <c r="H68" s="193" t="s">
        <v>53</v>
      </c>
      <c r="I68" s="193">
        <v>0.47586000000000001</v>
      </c>
      <c r="J68" s="197" t="s">
        <v>233</v>
      </c>
      <c r="K68" s="196">
        <v>267046.45</v>
      </c>
      <c r="L68" s="226">
        <f t="shared" si="64"/>
        <v>213637.16</v>
      </c>
      <c r="M68" s="52">
        <f t="shared" si="62"/>
        <v>53409.290000000008</v>
      </c>
      <c r="N68" s="223">
        <v>0.8</v>
      </c>
      <c r="O68" s="248">
        <v>0</v>
      </c>
      <c r="P68" s="248">
        <v>0</v>
      </c>
      <c r="Q68" s="233">
        <v>0</v>
      </c>
      <c r="R68" s="233">
        <v>0</v>
      </c>
      <c r="S68" s="227">
        <v>0</v>
      </c>
      <c r="T68" s="227">
        <f t="shared" si="58"/>
        <v>213637.16</v>
      </c>
      <c r="U68" s="227">
        <v>0</v>
      </c>
      <c r="V68" s="227">
        <v>0</v>
      </c>
      <c r="W68" s="248">
        <v>0</v>
      </c>
      <c r="X68" s="248">
        <v>0</v>
      </c>
      <c r="Y68" s="233">
        <v>0</v>
      </c>
      <c r="Z68" s="233">
        <v>0</v>
      </c>
      <c r="AA68" s="278" t="b">
        <f t="shared" si="59"/>
        <v>1</v>
      </c>
      <c r="AB68" s="279">
        <f t="shared" si="63"/>
        <v>0.8</v>
      </c>
      <c r="AC68" s="280" t="b">
        <f t="shared" si="60"/>
        <v>1</v>
      </c>
      <c r="AD68" s="280" t="b">
        <f t="shared" si="61"/>
        <v>1</v>
      </c>
    </row>
    <row r="69" spans="1:30" s="281" customFormat="1" ht="37.5" customHeight="1" x14ac:dyDescent="0.25">
      <c r="A69" s="240">
        <v>67</v>
      </c>
      <c r="B69" s="193" t="s">
        <v>311</v>
      </c>
      <c r="C69" s="215" t="s">
        <v>50</v>
      </c>
      <c r="D69" s="193" t="s">
        <v>89</v>
      </c>
      <c r="E69" s="193">
        <v>1607013</v>
      </c>
      <c r="F69" s="193" t="s">
        <v>55</v>
      </c>
      <c r="G69" s="193" t="s">
        <v>257</v>
      </c>
      <c r="H69" s="193" t="s">
        <v>53</v>
      </c>
      <c r="I69" s="193">
        <v>0.26529999999999998</v>
      </c>
      <c r="J69" s="197" t="s">
        <v>233</v>
      </c>
      <c r="K69" s="196">
        <v>216901.94</v>
      </c>
      <c r="L69" s="226">
        <f t="shared" si="64"/>
        <v>173521.55</v>
      </c>
      <c r="M69" s="52">
        <f t="shared" si="62"/>
        <v>43380.390000000014</v>
      </c>
      <c r="N69" s="223">
        <v>0.8</v>
      </c>
      <c r="O69" s="248">
        <v>0</v>
      </c>
      <c r="P69" s="248">
        <v>0</v>
      </c>
      <c r="Q69" s="233">
        <v>0</v>
      </c>
      <c r="R69" s="233">
        <v>0</v>
      </c>
      <c r="S69" s="227">
        <v>0</v>
      </c>
      <c r="T69" s="227">
        <f t="shared" si="58"/>
        <v>173521.55</v>
      </c>
      <c r="U69" s="227">
        <v>0</v>
      </c>
      <c r="V69" s="227">
        <v>0</v>
      </c>
      <c r="W69" s="248">
        <v>0</v>
      </c>
      <c r="X69" s="248">
        <v>0</v>
      </c>
      <c r="Y69" s="233">
        <v>0</v>
      </c>
      <c r="Z69" s="233">
        <v>0</v>
      </c>
      <c r="AA69" s="278" t="b">
        <f t="shared" si="59"/>
        <v>1</v>
      </c>
      <c r="AB69" s="279">
        <f t="shared" si="63"/>
        <v>0.8</v>
      </c>
      <c r="AC69" s="280" t="b">
        <f t="shared" si="60"/>
        <v>1</v>
      </c>
      <c r="AD69" s="280" t="b">
        <f t="shared" si="61"/>
        <v>1</v>
      </c>
    </row>
    <row r="70" spans="1:30" s="281" customFormat="1" ht="33.75" customHeight="1" x14ac:dyDescent="0.25">
      <c r="A70" s="240">
        <v>68</v>
      </c>
      <c r="B70" s="193" t="s">
        <v>312</v>
      </c>
      <c r="C70" s="215" t="s">
        <v>50</v>
      </c>
      <c r="D70" s="193" t="s">
        <v>89</v>
      </c>
      <c r="E70" s="193">
        <v>1607013</v>
      </c>
      <c r="F70" s="193" t="s">
        <v>55</v>
      </c>
      <c r="G70" s="193" t="s">
        <v>258</v>
      </c>
      <c r="H70" s="193" t="s">
        <v>53</v>
      </c>
      <c r="I70" s="193">
        <v>0.105</v>
      </c>
      <c r="J70" s="197" t="s">
        <v>233</v>
      </c>
      <c r="K70" s="196">
        <v>48296.84</v>
      </c>
      <c r="L70" s="226">
        <f t="shared" si="53"/>
        <v>38637.47</v>
      </c>
      <c r="M70" s="52">
        <f t="shared" si="51"/>
        <v>9659.3699999999953</v>
      </c>
      <c r="N70" s="223">
        <v>0.8</v>
      </c>
      <c r="O70" s="248">
        <v>0</v>
      </c>
      <c r="P70" s="248">
        <v>0</v>
      </c>
      <c r="Q70" s="233">
        <v>0</v>
      </c>
      <c r="R70" s="233">
        <v>0</v>
      </c>
      <c r="S70" s="227">
        <v>0</v>
      </c>
      <c r="T70" s="227">
        <f t="shared" si="52"/>
        <v>38637.47</v>
      </c>
      <c r="U70" s="227">
        <v>0</v>
      </c>
      <c r="V70" s="227">
        <v>0</v>
      </c>
      <c r="W70" s="248">
        <v>0</v>
      </c>
      <c r="X70" s="248">
        <v>0</v>
      </c>
      <c r="Y70" s="233">
        <v>0</v>
      </c>
      <c r="Z70" s="233">
        <v>0</v>
      </c>
      <c r="AA70" s="278" t="b">
        <f t="shared" si="47"/>
        <v>1</v>
      </c>
      <c r="AB70" s="279">
        <f t="shared" si="48"/>
        <v>0.8</v>
      </c>
      <c r="AC70" s="280" t="b">
        <f t="shared" si="49"/>
        <v>1</v>
      </c>
      <c r="AD70" s="280" t="b">
        <f t="shared" si="50"/>
        <v>1</v>
      </c>
    </row>
    <row r="71" spans="1:30" ht="15" customHeight="1" x14ac:dyDescent="0.25">
      <c r="A71" s="372" t="s">
        <v>45</v>
      </c>
      <c r="B71" s="373"/>
      <c r="C71" s="373"/>
      <c r="D71" s="373"/>
      <c r="E71" s="373"/>
      <c r="F71" s="373"/>
      <c r="G71" s="373"/>
      <c r="H71" s="374"/>
      <c r="I71" s="63">
        <f>SUM(I3:I70)</f>
        <v>38.575700000000012</v>
      </c>
      <c r="J71" s="64" t="s">
        <v>14</v>
      </c>
      <c r="K71" s="65">
        <f>SUM(K3:K70)</f>
        <v>139660387.60999995</v>
      </c>
      <c r="L71" s="66">
        <f>SUM(L3:L70)</f>
        <v>97300891.810000017</v>
      </c>
      <c r="M71" s="66">
        <f>SUM(M3:M70)</f>
        <v>42359495.799999997</v>
      </c>
      <c r="N71" s="67" t="s">
        <v>14</v>
      </c>
      <c r="O71" s="66">
        <f t="shared" ref="O71:Z71" si="65">SUM(O3:O70)</f>
        <v>0</v>
      </c>
      <c r="P71" s="66">
        <f t="shared" si="65"/>
        <v>0</v>
      </c>
      <c r="Q71" s="68">
        <f t="shared" si="65"/>
        <v>0</v>
      </c>
      <c r="R71" s="68">
        <f t="shared" si="65"/>
        <v>0</v>
      </c>
      <c r="S71" s="68">
        <f t="shared" si="65"/>
        <v>10835376.120000001</v>
      </c>
      <c r="T71" s="68">
        <f t="shared" si="65"/>
        <v>74784760.099999994</v>
      </c>
      <c r="U71" s="68">
        <f t="shared" si="65"/>
        <v>9693404.8299999982</v>
      </c>
      <c r="V71" s="68">
        <f t="shared" si="65"/>
        <v>1987350.7600000007</v>
      </c>
      <c r="W71" s="68">
        <f t="shared" si="65"/>
        <v>0</v>
      </c>
      <c r="X71" s="68">
        <f t="shared" si="65"/>
        <v>0</v>
      </c>
      <c r="Y71" s="68">
        <f t="shared" si="65"/>
        <v>0</v>
      </c>
      <c r="Z71" s="68">
        <f t="shared" si="65"/>
        <v>0</v>
      </c>
      <c r="AA71" s="1" t="b">
        <f t="shared" si="16"/>
        <v>1</v>
      </c>
      <c r="AB71" s="45">
        <f t="shared" si="0"/>
        <v>0.69669999999999999</v>
      </c>
      <c r="AC71" s="46" t="s">
        <v>14</v>
      </c>
      <c r="AD71" s="46" t="b">
        <f t="shared" si="2"/>
        <v>1</v>
      </c>
    </row>
    <row r="72" spans="1:30" ht="15" customHeight="1" x14ac:dyDescent="0.25">
      <c r="A72" s="372" t="s">
        <v>38</v>
      </c>
      <c r="B72" s="373"/>
      <c r="C72" s="373"/>
      <c r="D72" s="373"/>
      <c r="E72" s="373"/>
      <c r="F72" s="373"/>
      <c r="G72" s="373"/>
      <c r="H72" s="374"/>
      <c r="I72" s="63">
        <f>SUMIF($C$3:$C$70,"K",I3:I70)</f>
        <v>6.7217499999999992</v>
      </c>
      <c r="J72" s="64" t="s">
        <v>14</v>
      </c>
      <c r="K72" s="65">
        <f>SUMIF($C$3:$C$70,"K",K3:K70)</f>
        <v>32087681.740000002</v>
      </c>
      <c r="L72" s="66">
        <f>SUMIF($C$3:$C$70,"K",L3:L70)</f>
        <v>21465702.130000003</v>
      </c>
      <c r="M72" s="66">
        <f>SUMIF($C$3:$C$70,"K",M3:M70)</f>
        <v>10621979.609999999</v>
      </c>
      <c r="N72" s="67" t="s">
        <v>14</v>
      </c>
      <c r="O72" s="66">
        <f t="shared" ref="O72:Z72" si="66">SUMIF($C$3:$C$70,"K",O3:O70)</f>
        <v>0</v>
      </c>
      <c r="P72" s="66">
        <f t="shared" si="66"/>
        <v>0</v>
      </c>
      <c r="Q72" s="68">
        <f t="shared" si="66"/>
        <v>0</v>
      </c>
      <c r="R72" s="68">
        <f t="shared" si="66"/>
        <v>0</v>
      </c>
      <c r="S72" s="68">
        <f t="shared" si="66"/>
        <v>10835376.120000001</v>
      </c>
      <c r="T72" s="68">
        <f t="shared" si="66"/>
        <v>10630326.010000002</v>
      </c>
      <c r="U72" s="68">
        <f t="shared" si="66"/>
        <v>0</v>
      </c>
      <c r="V72" s="68">
        <f t="shared" si="66"/>
        <v>0</v>
      </c>
      <c r="W72" s="68">
        <f t="shared" si="66"/>
        <v>0</v>
      </c>
      <c r="X72" s="68">
        <f t="shared" si="66"/>
        <v>0</v>
      </c>
      <c r="Y72" s="68">
        <f t="shared" si="66"/>
        <v>0</v>
      </c>
      <c r="Z72" s="68">
        <f t="shared" si="66"/>
        <v>0</v>
      </c>
      <c r="AA72" s="1" t="b">
        <f t="shared" si="16"/>
        <v>1</v>
      </c>
      <c r="AB72" s="45">
        <f t="shared" si="0"/>
        <v>0.66900000000000004</v>
      </c>
      <c r="AC72" s="46" t="s">
        <v>14</v>
      </c>
      <c r="AD72" s="46" t="b">
        <f t="shared" si="2"/>
        <v>1</v>
      </c>
    </row>
    <row r="73" spans="1:30" ht="15" customHeight="1" x14ac:dyDescent="0.25">
      <c r="A73" s="372" t="s">
        <v>39</v>
      </c>
      <c r="B73" s="373"/>
      <c r="C73" s="373"/>
      <c r="D73" s="373"/>
      <c r="E73" s="373"/>
      <c r="F73" s="373"/>
      <c r="G73" s="373"/>
      <c r="H73" s="374"/>
      <c r="I73" s="63">
        <f>SUMIF($C$3:$C$70,"N",I3:I70)</f>
        <v>26.54561</v>
      </c>
      <c r="J73" s="64" t="s">
        <v>14</v>
      </c>
      <c r="K73" s="65">
        <f>SUMIF($C$3:$C$70,"N",K3:K70)</f>
        <v>72842790.369999975</v>
      </c>
      <c r="L73" s="66">
        <f>SUMIF($C$3:$C$70,"N",L3:L70)</f>
        <v>50120264.63000001</v>
      </c>
      <c r="M73" s="66">
        <f>SUMIF($C$3:$C$70,"N",M3:M70)</f>
        <v>22722525.739999995</v>
      </c>
      <c r="N73" s="67" t="s">
        <v>14</v>
      </c>
      <c r="O73" s="66">
        <f t="shared" ref="O73:Z73" si="67">SUMIF($C$3:$C$70,"N",O3:O70)</f>
        <v>0</v>
      </c>
      <c r="P73" s="66">
        <f t="shared" si="67"/>
        <v>0</v>
      </c>
      <c r="Q73" s="68">
        <f t="shared" si="67"/>
        <v>0</v>
      </c>
      <c r="R73" s="68">
        <f t="shared" si="67"/>
        <v>0</v>
      </c>
      <c r="S73" s="68">
        <f t="shared" si="67"/>
        <v>0</v>
      </c>
      <c r="T73" s="68">
        <f t="shared" si="67"/>
        <v>50120264.63000001</v>
      </c>
      <c r="U73" s="68">
        <f t="shared" si="67"/>
        <v>0</v>
      </c>
      <c r="V73" s="68">
        <f t="shared" si="67"/>
        <v>0</v>
      </c>
      <c r="W73" s="68">
        <f t="shared" si="67"/>
        <v>0</v>
      </c>
      <c r="X73" s="68">
        <f t="shared" si="67"/>
        <v>0</v>
      </c>
      <c r="Y73" s="68">
        <f t="shared" si="67"/>
        <v>0</v>
      </c>
      <c r="Z73" s="68">
        <f t="shared" si="67"/>
        <v>0</v>
      </c>
      <c r="AA73" s="1" t="b">
        <f t="shared" si="16"/>
        <v>1</v>
      </c>
      <c r="AB73" s="45">
        <f t="shared" si="0"/>
        <v>0.68810000000000004</v>
      </c>
      <c r="AC73" s="46" t="s">
        <v>14</v>
      </c>
      <c r="AD73" s="46" t="b">
        <f t="shared" si="2"/>
        <v>1</v>
      </c>
    </row>
    <row r="74" spans="1:30" ht="15" customHeight="1" x14ac:dyDescent="0.25">
      <c r="A74" s="369" t="s">
        <v>40</v>
      </c>
      <c r="B74" s="370"/>
      <c r="C74" s="370"/>
      <c r="D74" s="370"/>
      <c r="E74" s="370"/>
      <c r="F74" s="370"/>
      <c r="G74" s="370"/>
      <c r="H74" s="371"/>
      <c r="I74" s="69">
        <f>SUMIF($C$3:$C$70,"W",I3:I70)</f>
        <v>5.3083399999999994</v>
      </c>
      <c r="J74" s="70" t="s">
        <v>14</v>
      </c>
      <c r="K74" s="71">
        <f>SUMIF($C$3:$C$70,"W",K3:K70)</f>
        <v>34729915.5</v>
      </c>
      <c r="L74" s="72">
        <f>SUMIF($C$3:$C$70,"W",L3:L70)</f>
        <v>25714925.049999997</v>
      </c>
      <c r="M74" s="72">
        <f>SUMIF($C$3:$C$70,"W",M3:M70)</f>
        <v>9014990.4499999993</v>
      </c>
      <c r="N74" s="73" t="s">
        <v>14</v>
      </c>
      <c r="O74" s="72">
        <f t="shared" ref="O74:Z74" si="68">SUMIF($C$3:$C$70,"W",O3:O70)</f>
        <v>0</v>
      </c>
      <c r="P74" s="72">
        <f t="shared" si="68"/>
        <v>0</v>
      </c>
      <c r="Q74" s="74">
        <f t="shared" si="68"/>
        <v>0</v>
      </c>
      <c r="R74" s="74">
        <f t="shared" si="68"/>
        <v>0</v>
      </c>
      <c r="S74" s="74">
        <f t="shared" si="68"/>
        <v>0</v>
      </c>
      <c r="T74" s="74">
        <f t="shared" si="68"/>
        <v>14034169.459999999</v>
      </c>
      <c r="U74" s="74">
        <f t="shared" si="68"/>
        <v>9693404.8299999982</v>
      </c>
      <c r="V74" s="74">
        <f t="shared" si="68"/>
        <v>1987350.7600000007</v>
      </c>
      <c r="W74" s="74">
        <f t="shared" si="68"/>
        <v>0</v>
      </c>
      <c r="X74" s="74">
        <f t="shared" si="68"/>
        <v>0</v>
      </c>
      <c r="Y74" s="74">
        <f t="shared" si="68"/>
        <v>0</v>
      </c>
      <c r="Z74" s="74">
        <f t="shared" si="68"/>
        <v>0</v>
      </c>
      <c r="AA74" s="1" t="b">
        <f t="shared" si="16"/>
        <v>1</v>
      </c>
      <c r="AB74" s="45">
        <f t="shared" ref="AB74" si="69">ROUND(L74/K74,4)</f>
        <v>0.74039999999999995</v>
      </c>
      <c r="AC74" s="46" t="s">
        <v>14</v>
      </c>
      <c r="AD74" s="46" t="b">
        <f t="shared" ref="AD74" si="70">K74=L74+M74</f>
        <v>1</v>
      </c>
    </row>
    <row r="75" spans="1:30" x14ac:dyDescent="0.25">
      <c r="A75" s="32"/>
      <c r="K75" s="5"/>
    </row>
    <row r="76" spans="1:30" x14ac:dyDescent="0.25">
      <c r="A76" s="33" t="s">
        <v>25</v>
      </c>
      <c r="J76" s="282"/>
      <c r="K76" s="331"/>
      <c r="L76" s="330"/>
      <c r="M76" s="319"/>
      <c r="S76" s="3" t="s">
        <v>263</v>
      </c>
    </row>
    <row r="77" spans="1:30" x14ac:dyDescent="0.25">
      <c r="A77" s="34" t="s">
        <v>26</v>
      </c>
      <c r="K77" s="331"/>
      <c r="L77" s="332"/>
      <c r="M77" s="319"/>
      <c r="N77" s="46"/>
    </row>
    <row r="78" spans="1:30" x14ac:dyDescent="0.25">
      <c r="A78" s="33" t="s">
        <v>43</v>
      </c>
      <c r="K78" s="329"/>
      <c r="L78" s="321"/>
      <c r="M78" s="322"/>
    </row>
    <row r="79" spans="1:30" x14ac:dyDescent="0.25">
      <c r="A79" s="36" t="s">
        <v>47</v>
      </c>
    </row>
    <row r="83" spans="9:9" x14ac:dyDescent="0.25">
      <c r="I83" s="276"/>
    </row>
  </sheetData>
  <autoFilter ref="A2:AD74"/>
  <customSheetViews>
    <customSheetView guid="{B4405FF1-036B-45AD-810F-8C9DF67F9D7F}" scale="90" showGridLines="0" fitToPage="1" printArea="1" filter="1" showAutoFilter="1" topLeftCell="C1">
      <selection activeCell="I94" sqref="I94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1"/>
      <headerFooter>
        <oddHeader>&amp;LWojewództwo &amp;K000000Opolskie &amp;K01+000- zadania gminne lista podstawowa</oddHeader>
        <oddFooter>Strona &amp;P z &amp;N</oddFooter>
      </headerFooter>
      <autoFilter ref="A2:AD74">
        <filterColumn colId="3">
          <filters>
            <filter val="Gmina Dobrzeń Wielki"/>
          </filters>
        </filterColumn>
      </autoFilter>
    </customSheetView>
    <customSheetView guid="{CB410AB3-2DDF-47B7-B021-1F68EEA98257}" scale="85" showPageBreaks="1" showGridLines="0" fitToPage="1" printArea="1" showAutoFilter="1" view="pageBreakPreview" topLeftCell="A61">
      <selection activeCell="O69" sqref="O69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2"/>
      <headerFooter>
        <oddHeader>&amp;LWojewództwo &amp;K000000Opolskie &amp;K01+000- zadania gminne lista podstawowa</oddHeader>
        <oddFooter>Strona &amp;P z &amp;N</oddFooter>
      </headerFooter>
      <autoFilter ref="A2:AD74"/>
    </customSheetView>
    <customSheetView guid="{E7CAF9DC-53CB-464B-97B7-E2DEFBC16359}" showPageBreaks="1" showGridLines="0" fitToPage="1" printArea="1" filter="1" showAutoFilter="1" view="pageBreakPreview" topLeftCell="E1">
      <selection activeCell="O76" sqref="O76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3"/>
      <headerFooter>
        <oddHeader>&amp;LWojewództwo &amp;K000000Opolskie &amp;K01+000- zadania gminne lista podstawowa</oddHeader>
        <oddFooter>Strona &amp;P z &amp;N</oddFooter>
      </headerFooter>
      <autoFilter ref="A2:AD74">
        <filterColumn colId="6">
          <filters>
            <filter val="Przebudowa ul. Grabskiego w Kędzierzynie-Koźlu"/>
          </filters>
        </filterColumn>
      </autoFilter>
    </customSheetView>
    <customSheetView guid="{C76DCD22-0DC9-4799-A058-B64B837BBA0E}" scale="85" showPageBreaks="1" showGridLines="0" fitToPage="1" printArea="1" view="pageBreakPreview">
      <selection activeCell="B11" sqref="B11"/>
      <pageMargins left="0.23622047244094491" right="0.23622047244094491" top="0.74803149606299213" bottom="0.74803149606299213" header="0.31496062992125984" footer="0.31496062992125984"/>
      <pageSetup paperSize="9" scale="27" fitToHeight="0" orientation="portrait" r:id="rId4"/>
      <headerFooter>
        <oddHeader>&amp;LWojewództwo &amp;K000000Opolskie &amp;K01+000- zadania gminne lista podstawowa</oddHeader>
        <oddFooter>Strona &amp;P z &amp;N</oddFooter>
      </headerFooter>
    </customSheetView>
  </customSheetViews>
  <mergeCells count="19">
    <mergeCell ref="F1:F2"/>
    <mergeCell ref="G1:G2"/>
    <mergeCell ref="D1:D2"/>
    <mergeCell ref="O1:Z1"/>
    <mergeCell ref="A74:H74"/>
    <mergeCell ref="A73:H73"/>
    <mergeCell ref="E1:E2"/>
    <mergeCell ref="A72:H72"/>
    <mergeCell ref="N1:N2"/>
    <mergeCell ref="L1:L2"/>
    <mergeCell ref="M1:M2"/>
    <mergeCell ref="A71:H71"/>
    <mergeCell ref="H1:H2"/>
    <mergeCell ref="I1:I2"/>
    <mergeCell ref="J1:J2"/>
    <mergeCell ref="K1:K2"/>
    <mergeCell ref="A1:A2"/>
    <mergeCell ref="B1:B2"/>
    <mergeCell ref="C1:C2"/>
  </mergeCells>
  <conditionalFormatting sqref="AB3:AC3 AA41:AD54 AA71:AA74 AB71:AD72">
    <cfRule type="cellIs" dxfId="60" priority="32" operator="equal">
      <formula>FALSE</formula>
    </cfRule>
  </conditionalFormatting>
  <conditionalFormatting sqref="AA3:AC3 AA41:AC54 AA71:AA74 AB71:AC72">
    <cfRule type="containsText" dxfId="59" priority="30" operator="containsText" text="fałsz">
      <formula>NOT(ISERROR(SEARCH("fałsz",AA3)))</formula>
    </cfRule>
  </conditionalFormatting>
  <conditionalFormatting sqref="AB74:AC74">
    <cfRule type="cellIs" dxfId="58" priority="27" operator="equal">
      <formula>FALSE</formula>
    </cfRule>
  </conditionalFormatting>
  <conditionalFormatting sqref="AA3">
    <cfRule type="cellIs" dxfId="57" priority="31" operator="equal">
      <formula>FALSE</formula>
    </cfRule>
  </conditionalFormatting>
  <conditionalFormatting sqref="AB74:AC74">
    <cfRule type="containsText" dxfId="56" priority="25" operator="containsText" text="fałsz">
      <formula>NOT(ISERROR(SEARCH("fałsz",AB74)))</formula>
    </cfRule>
  </conditionalFormatting>
  <conditionalFormatting sqref="AD3">
    <cfRule type="cellIs" dxfId="55" priority="29" operator="equal">
      <formula>FALSE</formula>
    </cfRule>
  </conditionalFormatting>
  <conditionalFormatting sqref="AD3">
    <cfRule type="cellIs" dxfId="54" priority="28" operator="equal">
      <formula>FALSE</formula>
    </cfRule>
  </conditionalFormatting>
  <conditionalFormatting sqref="AD74">
    <cfRule type="cellIs" dxfId="53" priority="24" operator="equal">
      <formula>FALSE</formula>
    </cfRule>
  </conditionalFormatting>
  <conditionalFormatting sqref="AD74">
    <cfRule type="cellIs" dxfId="52" priority="23" operator="equal">
      <formula>FALSE</formula>
    </cfRule>
  </conditionalFormatting>
  <conditionalFormatting sqref="AB73:AC73">
    <cfRule type="cellIs" dxfId="51" priority="22" operator="equal">
      <formula>FALSE</formula>
    </cfRule>
  </conditionalFormatting>
  <conditionalFormatting sqref="AB73:AC73">
    <cfRule type="containsText" dxfId="50" priority="20" operator="containsText" text="fałsz">
      <formula>NOT(ISERROR(SEARCH("fałsz",AB73)))</formula>
    </cfRule>
  </conditionalFormatting>
  <conditionalFormatting sqref="AD73">
    <cfRule type="cellIs" dxfId="49" priority="19" operator="equal">
      <formula>FALSE</formula>
    </cfRule>
  </conditionalFormatting>
  <conditionalFormatting sqref="AD73">
    <cfRule type="cellIs" dxfId="48" priority="18" operator="equal">
      <formula>FALSE</formula>
    </cfRule>
  </conditionalFormatting>
  <conditionalFormatting sqref="AB25:AC40">
    <cfRule type="cellIs" dxfId="47" priority="17" operator="equal">
      <formula>FALSE</formula>
    </cfRule>
  </conditionalFormatting>
  <conditionalFormatting sqref="AA25:AC40">
    <cfRule type="containsText" dxfId="46" priority="15" operator="containsText" text="fałsz">
      <formula>NOT(ISERROR(SEARCH("fałsz",AA25)))</formula>
    </cfRule>
  </conditionalFormatting>
  <conditionalFormatting sqref="AA25:AA40">
    <cfRule type="cellIs" dxfId="45" priority="16" operator="equal">
      <formula>FALSE</formula>
    </cfRule>
  </conditionalFormatting>
  <conditionalFormatting sqref="AD25:AD40">
    <cfRule type="cellIs" dxfId="44" priority="14" operator="equal">
      <formula>FALSE</formula>
    </cfRule>
  </conditionalFormatting>
  <conditionalFormatting sqref="AD25:AD40">
    <cfRule type="cellIs" dxfId="43" priority="13" operator="equal">
      <formula>FALSE</formula>
    </cfRule>
  </conditionalFormatting>
  <conditionalFormatting sqref="AB20:AC24">
    <cfRule type="cellIs" dxfId="42" priority="12" operator="equal">
      <formula>FALSE</formula>
    </cfRule>
  </conditionalFormatting>
  <conditionalFormatting sqref="AA20:AC24">
    <cfRule type="containsText" dxfId="41" priority="10" operator="containsText" text="fałsz">
      <formula>NOT(ISERROR(SEARCH("fałsz",AA20)))</formula>
    </cfRule>
  </conditionalFormatting>
  <conditionalFormatting sqref="AA20:AA24">
    <cfRule type="cellIs" dxfId="40" priority="11" operator="equal">
      <formula>FALSE</formula>
    </cfRule>
  </conditionalFormatting>
  <conditionalFormatting sqref="AD20:AD24">
    <cfRule type="cellIs" dxfId="39" priority="9" operator="equal">
      <formula>FALSE</formula>
    </cfRule>
  </conditionalFormatting>
  <conditionalFormatting sqref="AD20:AD24">
    <cfRule type="cellIs" dxfId="38" priority="8" operator="equal">
      <formula>FALSE</formula>
    </cfRule>
  </conditionalFormatting>
  <conditionalFormatting sqref="AB4:AC19">
    <cfRule type="cellIs" dxfId="37" priority="7" operator="equal">
      <formula>FALSE</formula>
    </cfRule>
  </conditionalFormatting>
  <conditionalFormatting sqref="AA4:AC19">
    <cfRule type="containsText" dxfId="36" priority="5" operator="containsText" text="fałsz">
      <formula>NOT(ISERROR(SEARCH("fałsz",AA4)))</formula>
    </cfRule>
  </conditionalFormatting>
  <conditionalFormatting sqref="AA4:AA19">
    <cfRule type="cellIs" dxfId="35" priority="6" operator="equal">
      <formula>FALSE</formula>
    </cfRule>
  </conditionalFormatting>
  <conditionalFormatting sqref="AD4:AD19">
    <cfRule type="cellIs" dxfId="34" priority="4" operator="equal">
      <formula>FALSE</formula>
    </cfRule>
  </conditionalFormatting>
  <conditionalFormatting sqref="AD4:AD19">
    <cfRule type="cellIs" dxfId="33" priority="3" operator="equal">
      <formula>FALSE</formula>
    </cfRule>
  </conditionalFormatting>
  <conditionalFormatting sqref="AA55:AD70">
    <cfRule type="cellIs" dxfId="32" priority="2" operator="equal">
      <formula>FALSE</formula>
    </cfRule>
  </conditionalFormatting>
  <conditionalFormatting sqref="AA55:AC70">
    <cfRule type="containsText" dxfId="31" priority="1" operator="containsText" text="fałsz">
      <formula>NOT(ISERROR(SEARCH("fałsz",AA55)))</formula>
    </cfRule>
  </conditionalFormatting>
  <dataValidations count="2">
    <dataValidation type="list" allowBlank="1" showInputMessage="1" showErrorMessage="1" sqref="H3:H53 H56:H70">
      <formula1>"B,P,R"</formula1>
    </dataValidation>
    <dataValidation type="list" allowBlank="1" showInputMessage="1" showErrorMessage="1" sqref="C3:C53 C56:C70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5"/>
  <headerFooter>
    <oddHeader>&amp;LWojewództwo &amp;K000000Opolskie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28515625" style="14"/>
  </cols>
  <sheetData>
    <row r="1" spans="1:30" ht="20.100000000000001" customHeight="1" x14ac:dyDescent="0.25">
      <c r="A1" s="375" t="s">
        <v>4</v>
      </c>
      <c r="B1" s="375" t="s">
        <v>5</v>
      </c>
      <c r="C1" s="379" t="s">
        <v>46</v>
      </c>
      <c r="D1" s="376" t="s">
        <v>6</v>
      </c>
      <c r="E1" s="379" t="s">
        <v>33</v>
      </c>
      <c r="F1" s="376" t="s">
        <v>7</v>
      </c>
      <c r="G1" s="375" t="s">
        <v>27</v>
      </c>
      <c r="H1" s="375" t="s">
        <v>8</v>
      </c>
      <c r="I1" s="375" t="s">
        <v>24</v>
      </c>
      <c r="J1" s="378" t="s">
        <v>9</v>
      </c>
      <c r="K1" s="375" t="s">
        <v>10</v>
      </c>
      <c r="L1" s="376" t="s">
        <v>13</v>
      </c>
      <c r="M1" s="375" t="s">
        <v>11</v>
      </c>
      <c r="N1" s="367" t="s">
        <v>12</v>
      </c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</row>
    <row r="2" spans="1:30" ht="20.100000000000001" customHeight="1" x14ac:dyDescent="0.25">
      <c r="A2" s="375"/>
      <c r="B2" s="375"/>
      <c r="C2" s="367"/>
      <c r="D2" s="377"/>
      <c r="E2" s="367"/>
      <c r="F2" s="377"/>
      <c r="G2" s="375"/>
      <c r="H2" s="375"/>
      <c r="I2" s="375"/>
      <c r="J2" s="378"/>
      <c r="K2" s="375"/>
      <c r="L2" s="377"/>
      <c r="M2" s="37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5">
        <v>2029</v>
      </c>
      <c r="Y2" s="18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53"/>
      <c r="K3" s="54"/>
      <c r="L3" s="55"/>
      <c r="M3" s="61"/>
      <c r="N3" s="54"/>
      <c r="O3" s="54"/>
      <c r="P3" s="62"/>
      <c r="Q3" s="62"/>
      <c r="R3" s="62"/>
      <c r="S3" s="62"/>
      <c r="T3" s="62"/>
      <c r="U3" s="62"/>
      <c r="V3" s="62"/>
      <c r="W3" s="62"/>
      <c r="X3" s="62"/>
      <c r="Y3" s="62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5"/>
      <c r="B4" s="75"/>
      <c r="C4" s="75"/>
      <c r="D4" s="76"/>
      <c r="E4" s="76"/>
      <c r="F4" s="75"/>
      <c r="G4" s="75"/>
      <c r="H4" s="77"/>
      <c r="I4" s="78"/>
      <c r="J4" s="79"/>
      <c r="K4" s="80"/>
      <c r="L4" s="79"/>
      <c r="M4" s="81"/>
      <c r="N4" s="79"/>
      <c r="O4" s="80"/>
      <c r="P4" s="82"/>
      <c r="Q4" s="82"/>
      <c r="R4" s="82"/>
      <c r="S4" s="82"/>
      <c r="T4" s="82"/>
      <c r="U4" s="82"/>
      <c r="V4" s="82"/>
      <c r="W4" s="82"/>
      <c r="X4" s="82"/>
      <c r="Y4" s="82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5"/>
      <c r="B5" s="75"/>
      <c r="C5" s="75"/>
      <c r="D5" s="76"/>
      <c r="E5" s="76"/>
      <c r="F5" s="75"/>
      <c r="G5" s="75"/>
      <c r="H5" s="77"/>
      <c r="I5" s="78"/>
      <c r="J5" s="79"/>
      <c r="K5" s="79"/>
      <c r="L5" s="79"/>
      <c r="M5" s="81"/>
      <c r="N5" s="79"/>
      <c r="O5" s="79"/>
      <c r="P5" s="82"/>
      <c r="Q5" s="82"/>
      <c r="R5" s="82"/>
      <c r="S5" s="82"/>
      <c r="T5" s="82"/>
      <c r="U5" s="82"/>
      <c r="V5" s="82"/>
      <c r="W5" s="82"/>
      <c r="X5" s="82"/>
      <c r="Y5" s="82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381" t="s">
        <v>45</v>
      </c>
      <c r="B6" s="381"/>
      <c r="C6" s="381"/>
      <c r="D6" s="381"/>
      <c r="E6" s="381"/>
      <c r="F6" s="381"/>
      <c r="G6" s="381"/>
      <c r="H6" s="63">
        <f>SUM(H3:H5)</f>
        <v>0</v>
      </c>
      <c r="I6" s="64" t="s">
        <v>14</v>
      </c>
      <c r="J6" s="65">
        <f t="shared" ref="J6:L6" si="7">SUM(J3:J5)</f>
        <v>0</v>
      </c>
      <c r="K6" s="66">
        <f t="shared" si="7"/>
        <v>0</v>
      </c>
      <c r="L6" s="66">
        <f t="shared" si="7"/>
        <v>0</v>
      </c>
      <c r="M6" s="67" t="s">
        <v>14</v>
      </c>
      <c r="N6" s="83">
        <f>SUM(N3:N5)</f>
        <v>0</v>
      </c>
      <c r="O6" s="83">
        <f t="shared" ref="O6:W6" si="8">SUM(O3:O5)</f>
        <v>0</v>
      </c>
      <c r="P6" s="83">
        <f t="shared" si="8"/>
        <v>0</v>
      </c>
      <c r="Q6" s="83">
        <f t="shared" si="8"/>
        <v>0</v>
      </c>
      <c r="R6" s="83">
        <f t="shared" si="8"/>
        <v>0</v>
      </c>
      <c r="S6" s="83">
        <f t="shared" si="8"/>
        <v>0</v>
      </c>
      <c r="T6" s="83">
        <f t="shared" si="8"/>
        <v>0</v>
      </c>
      <c r="U6" s="83">
        <f t="shared" si="8"/>
        <v>0</v>
      </c>
      <c r="V6" s="83">
        <f t="shared" si="8"/>
        <v>0</v>
      </c>
      <c r="W6" s="83">
        <f t="shared" si="8"/>
        <v>0</v>
      </c>
      <c r="X6" s="83">
        <f t="shared" ref="X6:Y6" si="9">SUM(X3:X5)</f>
        <v>0</v>
      </c>
      <c r="Y6" s="83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381" t="s">
        <v>39</v>
      </c>
      <c r="B7" s="381"/>
      <c r="C7" s="381"/>
      <c r="D7" s="381"/>
      <c r="E7" s="381"/>
      <c r="F7" s="381"/>
      <c r="G7" s="381"/>
      <c r="H7" s="63">
        <f>SUMIF($C$3:$C$5,"N",H3:H5)</f>
        <v>0</v>
      </c>
      <c r="I7" s="64" t="s">
        <v>14</v>
      </c>
      <c r="J7" s="65">
        <f t="shared" ref="J7:L7" si="12">SUMIF($C$3:$C$5,"N",J3:J5)</f>
        <v>0</v>
      </c>
      <c r="K7" s="66">
        <f t="shared" si="12"/>
        <v>0</v>
      </c>
      <c r="L7" s="66">
        <f t="shared" si="12"/>
        <v>0</v>
      </c>
      <c r="M7" s="67" t="s">
        <v>14</v>
      </c>
      <c r="N7" s="83">
        <f t="shared" ref="N7:W7" si="13">SUMIF($C$3:$C$5,"N",N3:N5)</f>
        <v>0</v>
      </c>
      <c r="O7" s="83">
        <f t="shared" si="13"/>
        <v>0</v>
      </c>
      <c r="P7" s="83">
        <f t="shared" si="13"/>
        <v>0</v>
      </c>
      <c r="Q7" s="83">
        <f t="shared" si="13"/>
        <v>0</v>
      </c>
      <c r="R7" s="83">
        <f t="shared" si="13"/>
        <v>0</v>
      </c>
      <c r="S7" s="83">
        <f t="shared" si="13"/>
        <v>0</v>
      </c>
      <c r="T7" s="83">
        <f t="shared" si="13"/>
        <v>0</v>
      </c>
      <c r="U7" s="83">
        <f t="shared" si="13"/>
        <v>0</v>
      </c>
      <c r="V7" s="83">
        <f t="shared" si="13"/>
        <v>0</v>
      </c>
      <c r="W7" s="83">
        <f t="shared" si="13"/>
        <v>0</v>
      </c>
      <c r="X7" s="83">
        <f t="shared" ref="X7:Y7" si="14">SUMIF($C$3:$C$5,"N",X3:X5)</f>
        <v>0</v>
      </c>
      <c r="Y7" s="83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380" t="s">
        <v>40</v>
      </c>
      <c r="B8" s="380"/>
      <c r="C8" s="380"/>
      <c r="D8" s="380"/>
      <c r="E8" s="380"/>
      <c r="F8" s="380"/>
      <c r="G8" s="380"/>
      <c r="H8" s="69">
        <f>SUMIF($C$3:$C$5,"W",H3:H5)</f>
        <v>0</v>
      </c>
      <c r="I8" s="70" t="s">
        <v>14</v>
      </c>
      <c r="J8" s="71">
        <f>SUMIF($C$3:$C$5,"W",J3:J5)</f>
        <v>0</v>
      </c>
      <c r="K8" s="72">
        <f t="shared" ref="K8:L8" si="17">SUMIF($C$3:$C$5,"W",K3:K5)</f>
        <v>0</v>
      </c>
      <c r="L8" s="72">
        <f t="shared" si="17"/>
        <v>0</v>
      </c>
      <c r="M8" s="73" t="s">
        <v>14</v>
      </c>
      <c r="N8" s="84">
        <f t="shared" ref="N8:W8" si="18">SUMIF($C$3:$C$5,"W",N3:N5)</f>
        <v>0</v>
      </c>
      <c r="O8" s="84">
        <f t="shared" si="18"/>
        <v>0</v>
      </c>
      <c r="P8" s="84">
        <f t="shared" si="18"/>
        <v>0</v>
      </c>
      <c r="Q8" s="84">
        <f t="shared" si="18"/>
        <v>0</v>
      </c>
      <c r="R8" s="84">
        <f t="shared" si="18"/>
        <v>0</v>
      </c>
      <c r="S8" s="84">
        <f t="shared" si="18"/>
        <v>0</v>
      </c>
      <c r="T8" s="84">
        <f t="shared" si="18"/>
        <v>0</v>
      </c>
      <c r="U8" s="84">
        <f t="shared" si="18"/>
        <v>0</v>
      </c>
      <c r="V8" s="84">
        <f t="shared" si="18"/>
        <v>0</v>
      </c>
      <c r="W8" s="84">
        <f t="shared" si="18"/>
        <v>0</v>
      </c>
      <c r="X8" s="84">
        <f t="shared" ref="X8:Y8" si="19">SUMIF($C$3:$C$5,"W",X3:X5)</f>
        <v>0</v>
      </c>
      <c r="Y8" s="84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customSheetViews>
    <customSheetView guid="{B4405FF1-036B-45AD-810F-8C9DF67F9D7F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1"/>
      <headerFooter>
        <oddHeader>&amp;LWojewództwo &amp;K000000Opolskie &amp;K01+000- zadania powiatowe lista rezerwowa</oddHeader>
        <oddFooter>Strona &amp;P z &amp;N</oddFooter>
      </headerFooter>
    </customSheetView>
    <customSheetView guid="{CB410AB3-2DDF-47B7-B021-1F68EEA98257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2"/>
      <headerFooter>
        <oddHeader>&amp;LWojewództwo &amp;K000000Opolskie &amp;K01+000- zadania powiatowe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3"/>
      <headerFooter>
        <oddHeader>&amp;LWojewództwo &amp;K000000Opolskie &amp;K01+000- zadania powiatowe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9" scale="25" fitToHeight="0" orientation="portrait" r:id="rId4"/>
      <headerFooter>
        <oddHeader>&amp;LWojewództwo &amp;K000000Opolskie &amp;K01+000- zadania powiatowe lista rezerwowa</oddHeader>
        <oddFooter>Strona &amp;P z &amp;N</oddFooter>
      </headerFooter>
    </customSheetView>
  </customSheetViews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0" priority="14" operator="equal">
      <formula>FALSE</formula>
    </cfRule>
  </conditionalFormatting>
  <conditionalFormatting sqref="AD3:AD5 AD8">
    <cfRule type="cellIs" dxfId="29" priority="19" operator="equal">
      <formula>FALSE</formula>
    </cfRule>
  </conditionalFormatting>
  <conditionalFormatting sqref="AD3:AD5 AD8">
    <cfRule type="cellIs" dxfId="28" priority="18" operator="equal">
      <formula>FALSE</formula>
    </cfRule>
  </conditionalFormatting>
  <conditionalFormatting sqref="AA3:AB5 AA8:AB8">
    <cfRule type="cellIs" dxfId="27" priority="17" operator="equal">
      <formula>FALSE</formula>
    </cfRule>
  </conditionalFormatting>
  <conditionalFormatting sqref="Z3:Z8">
    <cfRule type="cellIs" dxfId="26" priority="16" operator="equal">
      <formula>FALSE</formula>
    </cfRule>
  </conditionalFormatting>
  <conditionalFormatting sqref="Z3:AB3 AA8:AB8 AA4:AB5 Z4:Z8">
    <cfRule type="containsText" dxfId="25" priority="15" operator="containsText" text="fałsz">
      <formula>NOT(ISERROR(SEARCH("fałsz",Z3)))</formula>
    </cfRule>
  </conditionalFormatting>
  <conditionalFormatting sqref="AC3:AC5 AC8">
    <cfRule type="cellIs" dxfId="24" priority="13" operator="equal">
      <formula>FALSE</formula>
    </cfRule>
  </conditionalFormatting>
  <conditionalFormatting sqref="AD6:AD7">
    <cfRule type="cellIs" dxfId="23" priority="12" operator="equal">
      <formula>FALSE</formula>
    </cfRule>
  </conditionalFormatting>
  <conditionalFormatting sqref="AD6:AD7">
    <cfRule type="cellIs" dxfId="22" priority="11" operator="equal">
      <formula>FALSE</formula>
    </cfRule>
  </conditionalFormatting>
  <conditionalFormatting sqref="AA6:AB6">
    <cfRule type="cellIs" dxfId="21" priority="10" operator="equal">
      <formula>FALSE</formula>
    </cfRule>
  </conditionalFormatting>
  <conditionalFormatting sqref="AA6:AB6">
    <cfRule type="containsText" dxfId="20" priority="8" operator="containsText" text="fałsz">
      <formula>NOT(ISERROR(SEARCH("fałsz",AA6)))</formula>
    </cfRule>
  </conditionalFormatting>
  <conditionalFormatting sqref="AC6">
    <cfRule type="cellIs" dxfId="19" priority="7" operator="equal">
      <formula>FALSE</formula>
    </cfRule>
  </conditionalFormatting>
  <conditionalFormatting sqref="AC6">
    <cfRule type="cellIs" dxfId="18" priority="6" operator="equal">
      <formula>FALSE</formula>
    </cfRule>
  </conditionalFormatting>
  <conditionalFormatting sqref="AA7:AB7">
    <cfRule type="cellIs" dxfId="17" priority="5" operator="equal">
      <formula>FALSE</formula>
    </cfRule>
  </conditionalFormatting>
  <conditionalFormatting sqref="AA7:AB7">
    <cfRule type="containsText" dxfId="16" priority="3" operator="containsText" text="fałsz">
      <formula>NOT(ISERROR(SEARCH("fałsz",AA7)))</formula>
    </cfRule>
  </conditionalFormatting>
  <conditionalFormatting sqref="AC7">
    <cfRule type="cellIs" dxfId="15" priority="2" operator="equal">
      <formula>FALSE</formula>
    </cfRule>
  </conditionalFormatting>
  <conditionalFormatting sqref="AC7">
    <cfRule type="cellIs" dxfId="14" priority="1" operator="equal">
      <formula>FALSE</formula>
    </cfRule>
  </conditionalFormatting>
  <dataValidations disablePrompts="1" count="2">
    <dataValidation type="list" allowBlank="1" showInputMessage="1" showErrorMessage="1" sqref="C3:C5">
      <formula1>"N,W"</formula1>
    </dataValidation>
    <dataValidation type="list" allowBlank="1" showInputMessage="1" showErrorMessage="1" sqref="G3:G5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5"/>
  <headerFooter>
    <oddHeader>&amp;LWojewództwo &amp;K000000Opolskie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1" width="6.7109375" style="14" customWidth="1"/>
    <col min="2" max="2" width="13.7109375" style="14" customWidth="1"/>
    <col min="3" max="3" width="12.5703125" style="14" customWidth="1"/>
    <col min="4" max="4" width="15.7109375" style="14" customWidth="1"/>
    <col min="5" max="5" width="10.7109375" style="14" customWidth="1"/>
    <col min="6" max="6" width="15.7109375" style="14" customWidth="1"/>
    <col min="7" max="7" width="47.5703125" style="14" customWidth="1"/>
    <col min="8" max="8" width="11.28515625" style="14" customWidth="1"/>
    <col min="9" max="9" width="13" style="14" customWidth="1"/>
    <col min="10" max="10" width="15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28515625" style="14"/>
  </cols>
  <sheetData>
    <row r="1" spans="1:30" ht="20.100000000000001" customHeight="1" x14ac:dyDescent="0.25">
      <c r="A1" s="375" t="s">
        <v>4</v>
      </c>
      <c r="B1" s="375" t="s">
        <v>5</v>
      </c>
      <c r="C1" s="379" t="s">
        <v>46</v>
      </c>
      <c r="D1" s="376" t="s">
        <v>6</v>
      </c>
      <c r="E1" s="376" t="s">
        <v>33</v>
      </c>
      <c r="F1" s="376" t="s">
        <v>15</v>
      </c>
      <c r="G1" s="375" t="s">
        <v>7</v>
      </c>
      <c r="H1" s="375" t="s">
        <v>27</v>
      </c>
      <c r="I1" s="375" t="s">
        <v>8</v>
      </c>
      <c r="J1" s="375" t="s">
        <v>28</v>
      </c>
      <c r="K1" s="378" t="s">
        <v>9</v>
      </c>
      <c r="L1" s="375" t="s">
        <v>10</v>
      </c>
      <c r="M1" s="376" t="s">
        <v>13</v>
      </c>
      <c r="N1" s="375" t="s">
        <v>11</v>
      </c>
      <c r="O1" s="367" t="s">
        <v>12</v>
      </c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</row>
    <row r="2" spans="1:30" ht="20.100000000000001" customHeight="1" x14ac:dyDescent="0.25">
      <c r="A2" s="375"/>
      <c r="B2" s="375"/>
      <c r="C2" s="367"/>
      <c r="D2" s="377"/>
      <c r="E2" s="377"/>
      <c r="F2" s="377"/>
      <c r="G2" s="375"/>
      <c r="H2" s="375"/>
      <c r="I2" s="375"/>
      <c r="J2" s="375"/>
      <c r="K2" s="378"/>
      <c r="L2" s="375"/>
      <c r="M2" s="377"/>
      <c r="N2" s="37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45" customHeight="1" x14ac:dyDescent="0.25">
      <c r="A3" s="203">
        <v>1</v>
      </c>
      <c r="B3" s="236" t="s">
        <v>270</v>
      </c>
      <c r="C3" s="241"/>
      <c r="D3" s="236" t="s">
        <v>231</v>
      </c>
      <c r="E3" s="242">
        <v>1611073</v>
      </c>
      <c r="F3" s="243" t="s">
        <v>63</v>
      </c>
      <c r="G3" s="243" t="s">
        <v>232</v>
      </c>
      <c r="H3" s="236" t="s">
        <v>53</v>
      </c>
      <c r="I3" s="244"/>
      <c r="J3" s="238" t="s">
        <v>233</v>
      </c>
      <c r="K3" s="245"/>
      <c r="L3" s="49"/>
      <c r="M3" s="52"/>
      <c r="N3" s="246">
        <v>0.8</v>
      </c>
      <c r="O3" s="248"/>
      <c r="P3" s="248"/>
      <c r="Q3" s="249"/>
      <c r="R3" s="249"/>
      <c r="S3" s="249"/>
      <c r="T3" s="250"/>
      <c r="U3" s="248"/>
      <c r="V3" s="248"/>
      <c r="W3" s="249"/>
      <c r="X3" s="249"/>
      <c r="Y3" s="249"/>
      <c r="Z3" s="249"/>
      <c r="AA3" s="1" t="b">
        <f>L3=SUM(O3:Z3)</f>
        <v>1</v>
      </c>
      <c r="AB3" s="45" t="e">
        <f>ROUND(L3/K3,4)</f>
        <v>#DIV/0!</v>
      </c>
      <c r="AC3" s="46" t="e">
        <f>AB3=N3</f>
        <v>#DIV/0!</v>
      </c>
      <c r="AD3" s="46" t="b">
        <f>K3=L3+M3</f>
        <v>1</v>
      </c>
    </row>
    <row r="4" spans="1:30" s="294" customFormat="1" ht="30" customHeight="1" x14ac:dyDescent="0.25">
      <c r="A4" s="283">
        <v>2</v>
      </c>
      <c r="B4" s="263" t="s">
        <v>271</v>
      </c>
      <c r="C4" s="264"/>
      <c r="D4" s="263" t="s">
        <v>219</v>
      </c>
      <c r="E4" s="292">
        <v>1607092</v>
      </c>
      <c r="F4" s="263" t="s">
        <v>55</v>
      </c>
      <c r="G4" s="263" t="s">
        <v>234</v>
      </c>
      <c r="H4" s="263" t="s">
        <v>57</v>
      </c>
      <c r="I4" s="265"/>
      <c r="J4" s="266" t="s">
        <v>261</v>
      </c>
      <c r="K4" s="267"/>
      <c r="L4" s="285"/>
      <c r="M4" s="268"/>
      <c r="N4" s="293">
        <v>0.7</v>
      </c>
      <c r="O4" s="270"/>
      <c r="P4" s="270"/>
      <c r="Q4" s="287"/>
      <c r="R4" s="287"/>
      <c r="S4" s="287"/>
      <c r="T4" s="260"/>
      <c r="U4" s="270"/>
      <c r="V4" s="270"/>
      <c r="W4" s="287"/>
      <c r="X4" s="287"/>
      <c r="Y4" s="287"/>
      <c r="Z4" s="287"/>
      <c r="AA4" s="288" t="b">
        <f t="shared" ref="AA4:AA20" si="0">L4=SUM(O4:Z4)</f>
        <v>1</v>
      </c>
      <c r="AB4" s="289" t="e">
        <f t="shared" ref="AB4:AB20" si="1">ROUND(L4/K4,4)</f>
        <v>#DIV/0!</v>
      </c>
      <c r="AC4" s="290" t="e">
        <f t="shared" ref="AC4:AC20" si="2">AB4=N4</f>
        <v>#DIV/0!</v>
      </c>
      <c r="AD4" s="290" t="b">
        <f t="shared" ref="AD4:AD20" si="3">K4=L4+M4</f>
        <v>1</v>
      </c>
    </row>
    <row r="5" spans="1:30" ht="47.25" customHeight="1" x14ac:dyDescent="0.25">
      <c r="A5" s="203">
        <v>3</v>
      </c>
      <c r="B5" s="193" t="s">
        <v>272</v>
      </c>
      <c r="C5" s="215"/>
      <c r="D5" s="193" t="s">
        <v>99</v>
      </c>
      <c r="E5" s="219">
        <v>1611022</v>
      </c>
      <c r="F5" s="202" t="s">
        <v>63</v>
      </c>
      <c r="G5" s="202" t="s">
        <v>235</v>
      </c>
      <c r="H5" s="193" t="s">
        <v>57</v>
      </c>
      <c r="I5" s="216"/>
      <c r="J5" s="197" t="s">
        <v>236</v>
      </c>
      <c r="K5" s="217"/>
      <c r="L5" s="49"/>
      <c r="M5" s="52"/>
      <c r="N5" s="223">
        <v>0.7</v>
      </c>
      <c r="O5" s="248"/>
      <c r="P5" s="248"/>
      <c r="Q5" s="249"/>
      <c r="R5" s="249"/>
      <c r="S5" s="249"/>
      <c r="T5" s="250"/>
      <c r="U5" s="248"/>
      <c r="V5" s="248"/>
      <c r="W5" s="249"/>
      <c r="X5" s="249"/>
      <c r="Y5" s="249"/>
      <c r="Z5" s="249"/>
      <c r="AA5" s="1" t="b">
        <f t="shared" si="0"/>
        <v>1</v>
      </c>
      <c r="AB5" s="45" t="e">
        <f t="shared" si="1"/>
        <v>#DIV/0!</v>
      </c>
      <c r="AC5" s="46" t="e">
        <f t="shared" si="2"/>
        <v>#DIV/0!</v>
      </c>
      <c r="AD5" s="46" t="b">
        <f t="shared" si="3"/>
        <v>1</v>
      </c>
    </row>
    <row r="6" spans="1:30" ht="47.25" customHeight="1" x14ac:dyDescent="0.25">
      <c r="A6" s="203">
        <v>4</v>
      </c>
      <c r="B6" s="193" t="s">
        <v>280</v>
      </c>
      <c r="C6" s="215"/>
      <c r="D6" s="193" t="s">
        <v>149</v>
      </c>
      <c r="E6" s="219">
        <v>1609022</v>
      </c>
      <c r="F6" s="202" t="s">
        <v>85</v>
      </c>
      <c r="G6" s="202" t="s">
        <v>237</v>
      </c>
      <c r="H6" s="193" t="s">
        <v>57</v>
      </c>
      <c r="I6" s="216"/>
      <c r="J6" s="197" t="s">
        <v>131</v>
      </c>
      <c r="K6" s="217"/>
      <c r="L6" s="49"/>
      <c r="M6" s="52"/>
      <c r="N6" s="223">
        <v>0.6</v>
      </c>
      <c r="O6" s="248"/>
      <c r="P6" s="248"/>
      <c r="Q6" s="249"/>
      <c r="R6" s="249"/>
      <c r="S6" s="249"/>
      <c r="T6" s="250"/>
      <c r="U6" s="248"/>
      <c r="V6" s="248"/>
      <c r="W6" s="249"/>
      <c r="X6" s="249"/>
      <c r="Y6" s="249"/>
      <c r="Z6" s="249"/>
      <c r="AA6" s="1" t="b">
        <f t="shared" si="0"/>
        <v>1</v>
      </c>
      <c r="AB6" s="45" t="e">
        <f t="shared" si="1"/>
        <v>#DIV/0!</v>
      </c>
      <c r="AC6" s="46" t="e">
        <f t="shared" si="2"/>
        <v>#DIV/0!</v>
      </c>
      <c r="AD6" s="46" t="b">
        <f t="shared" si="3"/>
        <v>1</v>
      </c>
    </row>
    <row r="7" spans="1:30" s="294" customFormat="1" ht="30" customHeight="1" x14ac:dyDescent="0.25">
      <c r="A7" s="283">
        <v>5</v>
      </c>
      <c r="B7" s="263" t="s">
        <v>238</v>
      </c>
      <c r="C7" s="264"/>
      <c r="D7" s="263" t="s">
        <v>89</v>
      </c>
      <c r="E7" s="292">
        <v>1607013</v>
      </c>
      <c r="F7" s="263" t="s">
        <v>55</v>
      </c>
      <c r="G7" s="263" t="s">
        <v>239</v>
      </c>
      <c r="H7" s="263" t="s">
        <v>53</v>
      </c>
      <c r="I7" s="265"/>
      <c r="J7" s="266" t="s">
        <v>261</v>
      </c>
      <c r="K7" s="267"/>
      <c r="L7" s="285"/>
      <c r="M7" s="268"/>
      <c r="N7" s="293">
        <v>0.8</v>
      </c>
      <c r="O7" s="270"/>
      <c r="P7" s="270"/>
      <c r="Q7" s="287"/>
      <c r="R7" s="287"/>
      <c r="S7" s="287"/>
      <c r="T7" s="260"/>
      <c r="U7" s="270"/>
      <c r="V7" s="270"/>
      <c r="W7" s="287"/>
      <c r="X7" s="287"/>
      <c r="Y7" s="287"/>
      <c r="Z7" s="287"/>
      <c r="AA7" s="288" t="b">
        <f t="shared" si="0"/>
        <v>1</v>
      </c>
      <c r="AB7" s="289" t="e">
        <f t="shared" si="1"/>
        <v>#DIV/0!</v>
      </c>
      <c r="AC7" s="290" t="e">
        <f t="shared" si="2"/>
        <v>#DIV/0!</v>
      </c>
      <c r="AD7" s="290" t="b">
        <f t="shared" si="3"/>
        <v>1</v>
      </c>
    </row>
    <row r="8" spans="1:30" ht="49.5" customHeight="1" x14ac:dyDescent="0.25">
      <c r="A8" s="203">
        <v>6</v>
      </c>
      <c r="B8" s="193" t="s">
        <v>281</v>
      </c>
      <c r="C8" s="215"/>
      <c r="D8" s="193" t="s">
        <v>99</v>
      </c>
      <c r="E8" s="219">
        <v>1611022</v>
      </c>
      <c r="F8" s="202" t="s">
        <v>63</v>
      </c>
      <c r="G8" s="202" t="s">
        <v>241</v>
      </c>
      <c r="H8" s="193" t="s">
        <v>57</v>
      </c>
      <c r="I8" s="216"/>
      <c r="J8" s="197" t="s">
        <v>71</v>
      </c>
      <c r="K8" s="217"/>
      <c r="L8" s="49"/>
      <c r="M8" s="52"/>
      <c r="N8" s="223">
        <v>0.7</v>
      </c>
      <c r="O8" s="248"/>
      <c r="P8" s="248"/>
      <c r="Q8" s="249"/>
      <c r="R8" s="249"/>
      <c r="S8" s="249"/>
      <c r="T8" s="250"/>
      <c r="U8" s="248"/>
      <c r="V8" s="248"/>
      <c r="W8" s="249"/>
      <c r="X8" s="249"/>
      <c r="Y8" s="249"/>
      <c r="Z8" s="249"/>
      <c r="AA8" s="1" t="b">
        <f t="shared" si="0"/>
        <v>1</v>
      </c>
      <c r="AB8" s="45" t="e">
        <f t="shared" si="1"/>
        <v>#DIV/0!</v>
      </c>
      <c r="AC8" s="46" t="e">
        <f t="shared" si="2"/>
        <v>#DIV/0!</v>
      </c>
      <c r="AD8" s="46" t="b">
        <f t="shared" si="3"/>
        <v>1</v>
      </c>
    </row>
    <row r="9" spans="1:30" ht="45" customHeight="1" x14ac:dyDescent="0.25">
      <c r="A9" s="203">
        <v>7</v>
      </c>
      <c r="B9" s="193" t="s">
        <v>282</v>
      </c>
      <c r="C9" s="215"/>
      <c r="D9" s="193" t="s">
        <v>193</v>
      </c>
      <c r="E9" s="219">
        <v>1606023</v>
      </c>
      <c r="F9" s="202" t="s">
        <v>51</v>
      </c>
      <c r="G9" s="202" t="s">
        <v>242</v>
      </c>
      <c r="H9" s="193" t="s">
        <v>57</v>
      </c>
      <c r="I9" s="216"/>
      <c r="J9" s="197" t="s">
        <v>205</v>
      </c>
      <c r="K9" s="217"/>
      <c r="L9" s="49"/>
      <c r="M9" s="52"/>
      <c r="N9" s="223">
        <v>0.6</v>
      </c>
      <c r="O9" s="248"/>
      <c r="P9" s="248"/>
      <c r="Q9" s="249"/>
      <c r="R9" s="249"/>
      <c r="S9" s="249"/>
      <c r="T9" s="250"/>
      <c r="U9" s="248"/>
      <c r="V9" s="248"/>
      <c r="W9" s="249"/>
      <c r="X9" s="249"/>
      <c r="Y9" s="249"/>
      <c r="Z9" s="249"/>
      <c r="AA9" s="1" t="b">
        <f t="shared" si="0"/>
        <v>1</v>
      </c>
      <c r="AB9" s="45" t="e">
        <f t="shared" si="1"/>
        <v>#DIV/0!</v>
      </c>
      <c r="AC9" s="46" t="e">
        <f t="shared" si="2"/>
        <v>#DIV/0!</v>
      </c>
      <c r="AD9" s="46" t="b">
        <f t="shared" si="3"/>
        <v>1</v>
      </c>
    </row>
    <row r="10" spans="1:30" ht="46.5" customHeight="1" x14ac:dyDescent="0.25">
      <c r="A10" s="203">
        <v>8</v>
      </c>
      <c r="B10" s="193" t="s">
        <v>293</v>
      </c>
      <c r="C10" s="215"/>
      <c r="D10" s="193" t="s">
        <v>219</v>
      </c>
      <c r="E10" s="219">
        <v>1607092</v>
      </c>
      <c r="F10" s="202" t="s">
        <v>55</v>
      </c>
      <c r="G10" s="202" t="s">
        <v>243</v>
      </c>
      <c r="H10" s="193" t="s">
        <v>65</v>
      </c>
      <c r="I10" s="216"/>
      <c r="J10" s="197" t="s">
        <v>164</v>
      </c>
      <c r="K10" s="217"/>
      <c r="L10" s="49"/>
      <c r="M10" s="52"/>
      <c r="N10" s="223">
        <v>0.7</v>
      </c>
      <c r="O10" s="248"/>
      <c r="P10" s="248"/>
      <c r="Q10" s="249"/>
      <c r="R10" s="249"/>
      <c r="S10" s="249"/>
      <c r="T10" s="250"/>
      <c r="U10" s="248"/>
      <c r="V10" s="248"/>
      <c r="W10" s="249"/>
      <c r="X10" s="249"/>
      <c r="Y10" s="249"/>
      <c r="Z10" s="249"/>
      <c r="AA10" s="1" t="b">
        <f t="shared" si="0"/>
        <v>1</v>
      </c>
      <c r="AB10" s="45" t="e">
        <f t="shared" si="1"/>
        <v>#DIV/0!</v>
      </c>
      <c r="AC10" s="46" t="e">
        <f t="shared" si="2"/>
        <v>#DIV/0!</v>
      </c>
      <c r="AD10" s="46" t="b">
        <f t="shared" si="3"/>
        <v>1</v>
      </c>
    </row>
    <row r="11" spans="1:30" s="294" customFormat="1" ht="30" customHeight="1" x14ac:dyDescent="0.25">
      <c r="A11" s="283">
        <v>9</v>
      </c>
      <c r="B11" s="263" t="s">
        <v>244</v>
      </c>
      <c r="C11" s="264"/>
      <c r="D11" s="263" t="s">
        <v>89</v>
      </c>
      <c r="E11" s="292">
        <v>1607013</v>
      </c>
      <c r="F11" s="263" t="s">
        <v>55</v>
      </c>
      <c r="G11" s="263" t="s">
        <v>245</v>
      </c>
      <c r="H11" s="263" t="s">
        <v>53</v>
      </c>
      <c r="I11" s="265"/>
      <c r="J11" s="266" t="s">
        <v>261</v>
      </c>
      <c r="K11" s="267"/>
      <c r="L11" s="285"/>
      <c r="M11" s="268"/>
      <c r="N11" s="293">
        <v>0.8</v>
      </c>
      <c r="O11" s="270"/>
      <c r="P11" s="270"/>
      <c r="Q11" s="287"/>
      <c r="R11" s="287"/>
      <c r="S11" s="287"/>
      <c r="T11" s="260"/>
      <c r="U11" s="270"/>
      <c r="V11" s="270"/>
      <c r="W11" s="287"/>
      <c r="X11" s="287"/>
      <c r="Y11" s="287"/>
      <c r="Z11" s="287"/>
      <c r="AA11" s="288" t="b">
        <f t="shared" si="0"/>
        <v>1</v>
      </c>
      <c r="AB11" s="289" t="e">
        <f t="shared" si="1"/>
        <v>#DIV/0!</v>
      </c>
      <c r="AC11" s="290" t="e">
        <f t="shared" si="2"/>
        <v>#DIV/0!</v>
      </c>
      <c r="AD11" s="290" t="b">
        <f t="shared" si="3"/>
        <v>1</v>
      </c>
    </row>
    <row r="12" spans="1:30" ht="48" customHeight="1" x14ac:dyDescent="0.25">
      <c r="A12" s="203">
        <v>10</v>
      </c>
      <c r="B12" s="193" t="s">
        <v>302</v>
      </c>
      <c r="C12" s="215"/>
      <c r="D12" s="193" t="s">
        <v>246</v>
      </c>
      <c r="E12" s="219">
        <v>1605042</v>
      </c>
      <c r="F12" s="202" t="s">
        <v>67</v>
      </c>
      <c r="G12" s="202" t="s">
        <v>247</v>
      </c>
      <c r="H12" s="193" t="s">
        <v>53</v>
      </c>
      <c r="I12" s="216"/>
      <c r="J12" s="197" t="s">
        <v>248</v>
      </c>
      <c r="K12" s="217"/>
      <c r="L12" s="49"/>
      <c r="M12" s="52"/>
      <c r="N12" s="223">
        <v>0.6</v>
      </c>
      <c r="O12" s="248"/>
      <c r="P12" s="248"/>
      <c r="Q12" s="249"/>
      <c r="R12" s="249"/>
      <c r="S12" s="249"/>
      <c r="T12" s="250"/>
      <c r="U12" s="248"/>
      <c r="V12" s="248"/>
      <c r="W12" s="249"/>
      <c r="X12" s="249"/>
      <c r="Y12" s="249"/>
      <c r="Z12" s="249"/>
      <c r="AA12" s="1" t="b">
        <f t="shared" si="0"/>
        <v>1</v>
      </c>
      <c r="AB12" s="45" t="e">
        <f t="shared" si="1"/>
        <v>#DIV/0!</v>
      </c>
      <c r="AC12" s="46" t="e">
        <f t="shared" si="2"/>
        <v>#DIV/0!</v>
      </c>
      <c r="AD12" s="46" t="b">
        <f t="shared" si="3"/>
        <v>1</v>
      </c>
    </row>
    <row r="13" spans="1:30" ht="48.75" customHeight="1" x14ac:dyDescent="0.25">
      <c r="A13" s="203">
        <v>11</v>
      </c>
      <c r="B13" s="193" t="s">
        <v>303</v>
      </c>
      <c r="C13" s="215"/>
      <c r="D13" s="193" t="s">
        <v>219</v>
      </c>
      <c r="E13" s="219">
        <v>1607092</v>
      </c>
      <c r="F13" s="202" t="s">
        <v>55</v>
      </c>
      <c r="G13" s="202" t="s">
        <v>249</v>
      </c>
      <c r="H13" s="193" t="s">
        <v>57</v>
      </c>
      <c r="I13" s="216"/>
      <c r="J13" s="197" t="s">
        <v>131</v>
      </c>
      <c r="K13" s="217"/>
      <c r="L13" s="49"/>
      <c r="M13" s="52"/>
      <c r="N13" s="223">
        <v>0.7</v>
      </c>
      <c r="O13" s="248"/>
      <c r="P13" s="248"/>
      <c r="Q13" s="249"/>
      <c r="R13" s="249"/>
      <c r="S13" s="249"/>
      <c r="T13" s="250"/>
      <c r="U13" s="248"/>
      <c r="V13" s="248"/>
      <c r="W13" s="249"/>
      <c r="X13" s="249"/>
      <c r="Y13" s="249"/>
      <c r="Z13" s="249"/>
      <c r="AA13" s="1" t="b">
        <f t="shared" si="0"/>
        <v>1</v>
      </c>
      <c r="AB13" s="45" t="e">
        <f t="shared" si="1"/>
        <v>#DIV/0!</v>
      </c>
      <c r="AC13" s="46" t="e">
        <f t="shared" si="2"/>
        <v>#DIV/0!</v>
      </c>
      <c r="AD13" s="46" t="b">
        <f t="shared" si="3"/>
        <v>1</v>
      </c>
    </row>
    <row r="14" spans="1:30" ht="45.75" customHeight="1" x14ac:dyDescent="0.25">
      <c r="A14" s="203">
        <v>12</v>
      </c>
      <c r="B14" s="193" t="s">
        <v>304</v>
      </c>
      <c r="C14" s="215"/>
      <c r="D14" s="193" t="s">
        <v>250</v>
      </c>
      <c r="E14" s="219">
        <v>1611043</v>
      </c>
      <c r="F14" s="202" t="s">
        <v>63</v>
      </c>
      <c r="G14" s="202" t="s">
        <v>251</v>
      </c>
      <c r="H14" s="193" t="s">
        <v>53</v>
      </c>
      <c r="I14" s="216"/>
      <c r="J14" s="197" t="s">
        <v>252</v>
      </c>
      <c r="K14" s="217"/>
      <c r="L14" s="49"/>
      <c r="M14" s="52"/>
      <c r="N14" s="223">
        <v>0.6</v>
      </c>
      <c r="O14" s="248"/>
      <c r="P14" s="248"/>
      <c r="Q14" s="249"/>
      <c r="R14" s="249"/>
      <c r="S14" s="249"/>
      <c r="T14" s="250"/>
      <c r="U14" s="248"/>
      <c r="V14" s="248"/>
      <c r="W14" s="249"/>
      <c r="X14" s="249"/>
      <c r="Y14" s="249"/>
      <c r="Z14" s="249"/>
      <c r="AA14" s="1" t="b">
        <f t="shared" si="0"/>
        <v>1</v>
      </c>
      <c r="AB14" s="45" t="e">
        <f t="shared" si="1"/>
        <v>#DIV/0!</v>
      </c>
      <c r="AC14" s="46" t="e">
        <f t="shared" si="2"/>
        <v>#DIV/0!</v>
      </c>
      <c r="AD14" s="46" t="b">
        <f t="shared" si="3"/>
        <v>1</v>
      </c>
    </row>
    <row r="15" spans="1:30" ht="45.75" customHeight="1" x14ac:dyDescent="0.25">
      <c r="A15" s="203">
        <v>13</v>
      </c>
      <c r="B15" s="193" t="s">
        <v>313</v>
      </c>
      <c r="C15" s="215"/>
      <c r="D15" s="193" t="s">
        <v>79</v>
      </c>
      <c r="E15" s="219">
        <v>1603062</v>
      </c>
      <c r="F15" s="202" t="s">
        <v>80</v>
      </c>
      <c r="G15" s="202" t="s">
        <v>253</v>
      </c>
      <c r="H15" s="193" t="s">
        <v>65</v>
      </c>
      <c r="I15" s="216"/>
      <c r="J15" s="197" t="s">
        <v>178</v>
      </c>
      <c r="K15" s="217"/>
      <c r="L15" s="49"/>
      <c r="M15" s="52"/>
      <c r="N15" s="223">
        <v>0.7</v>
      </c>
      <c r="O15" s="248"/>
      <c r="P15" s="248"/>
      <c r="Q15" s="249"/>
      <c r="R15" s="249"/>
      <c r="S15" s="249"/>
      <c r="T15" s="250"/>
      <c r="U15" s="248"/>
      <c r="V15" s="248"/>
      <c r="W15" s="249"/>
      <c r="X15" s="249"/>
      <c r="Y15" s="249"/>
      <c r="Z15" s="249"/>
      <c r="AA15" s="1" t="b">
        <f t="shared" si="0"/>
        <v>1</v>
      </c>
      <c r="AB15" s="45" t="e">
        <f t="shared" si="1"/>
        <v>#DIV/0!</v>
      </c>
      <c r="AC15" s="46" t="e">
        <f t="shared" si="2"/>
        <v>#DIV/0!</v>
      </c>
      <c r="AD15" s="46" t="b">
        <f t="shared" si="3"/>
        <v>1</v>
      </c>
    </row>
    <row r="16" spans="1:30" ht="50.25" customHeight="1" x14ac:dyDescent="0.25">
      <c r="A16" s="203">
        <v>14</v>
      </c>
      <c r="B16" s="193" t="s">
        <v>314</v>
      </c>
      <c r="C16" s="215"/>
      <c r="D16" s="193" t="s">
        <v>89</v>
      </c>
      <c r="E16" s="219">
        <v>1607013</v>
      </c>
      <c r="F16" s="202" t="s">
        <v>55</v>
      </c>
      <c r="G16" s="202" t="s">
        <v>254</v>
      </c>
      <c r="H16" s="193" t="s">
        <v>53</v>
      </c>
      <c r="I16" s="216"/>
      <c r="J16" s="197" t="s">
        <v>240</v>
      </c>
      <c r="K16" s="217"/>
      <c r="L16" s="49"/>
      <c r="M16" s="52"/>
      <c r="N16" s="223">
        <v>0.8</v>
      </c>
      <c r="O16" s="248"/>
      <c r="P16" s="248"/>
      <c r="Q16" s="249"/>
      <c r="R16" s="249"/>
      <c r="S16" s="249"/>
      <c r="T16" s="250"/>
      <c r="U16" s="248"/>
      <c r="V16" s="248"/>
      <c r="W16" s="249"/>
      <c r="X16" s="249"/>
      <c r="Y16" s="249"/>
      <c r="Z16" s="249"/>
      <c r="AA16" s="1" t="b">
        <f t="shared" si="0"/>
        <v>1</v>
      </c>
      <c r="AB16" s="45" t="e">
        <f t="shared" si="1"/>
        <v>#DIV/0!</v>
      </c>
      <c r="AC16" s="46" t="e">
        <f t="shared" si="2"/>
        <v>#DIV/0!</v>
      </c>
      <c r="AD16" s="46" t="b">
        <f t="shared" si="3"/>
        <v>1</v>
      </c>
    </row>
    <row r="17" spans="1:30" ht="47.25" customHeight="1" x14ac:dyDescent="0.25">
      <c r="A17" s="203">
        <v>15</v>
      </c>
      <c r="B17" s="193" t="s">
        <v>315</v>
      </c>
      <c r="C17" s="215"/>
      <c r="D17" s="193" t="s">
        <v>89</v>
      </c>
      <c r="E17" s="202">
        <v>1607013</v>
      </c>
      <c r="F17" s="202" t="s">
        <v>55</v>
      </c>
      <c r="G17" s="202" t="s">
        <v>255</v>
      </c>
      <c r="H17" s="193" t="s">
        <v>53</v>
      </c>
      <c r="I17" s="202"/>
      <c r="J17" s="197" t="s">
        <v>240</v>
      </c>
      <c r="K17" s="196"/>
      <c r="L17" s="49"/>
      <c r="M17" s="52"/>
      <c r="N17" s="223">
        <v>0.8</v>
      </c>
      <c r="O17" s="248"/>
      <c r="P17" s="248"/>
      <c r="Q17" s="249"/>
      <c r="R17" s="249"/>
      <c r="S17" s="249"/>
      <c r="T17" s="250"/>
      <c r="U17" s="248"/>
      <c r="V17" s="248"/>
      <c r="W17" s="249"/>
      <c r="X17" s="249"/>
      <c r="Y17" s="249"/>
      <c r="Z17" s="249"/>
      <c r="AA17" s="1" t="b">
        <f t="shared" si="0"/>
        <v>1</v>
      </c>
      <c r="AB17" s="45" t="e">
        <f t="shared" si="1"/>
        <v>#DIV/0!</v>
      </c>
      <c r="AC17" s="46" t="e">
        <f t="shared" si="2"/>
        <v>#DIV/0!</v>
      </c>
      <c r="AD17" s="46" t="b">
        <f t="shared" si="3"/>
        <v>1</v>
      </c>
    </row>
    <row r="18" spans="1:30" ht="48" customHeight="1" x14ac:dyDescent="0.25">
      <c r="A18" s="203">
        <v>16</v>
      </c>
      <c r="B18" s="193" t="s">
        <v>316</v>
      </c>
      <c r="C18" s="215"/>
      <c r="D18" s="193" t="s">
        <v>89</v>
      </c>
      <c r="E18" s="202">
        <v>1607013</v>
      </c>
      <c r="F18" s="202" t="s">
        <v>55</v>
      </c>
      <c r="G18" s="202" t="s">
        <v>256</v>
      </c>
      <c r="H18" s="193" t="s">
        <v>53</v>
      </c>
      <c r="I18" s="202"/>
      <c r="J18" s="197" t="s">
        <v>240</v>
      </c>
      <c r="K18" s="196"/>
      <c r="L18" s="49"/>
      <c r="M18" s="52"/>
      <c r="N18" s="223">
        <v>0.8</v>
      </c>
      <c r="O18" s="248"/>
      <c r="P18" s="248"/>
      <c r="Q18" s="249"/>
      <c r="R18" s="249"/>
      <c r="S18" s="249"/>
      <c r="T18" s="250"/>
      <c r="U18" s="248"/>
      <c r="V18" s="248"/>
      <c r="W18" s="249"/>
      <c r="X18" s="249"/>
      <c r="Y18" s="249"/>
      <c r="Z18" s="249"/>
      <c r="AA18" s="1" t="b">
        <f t="shared" si="0"/>
        <v>1</v>
      </c>
      <c r="AB18" s="45" t="e">
        <f t="shared" si="1"/>
        <v>#DIV/0!</v>
      </c>
      <c r="AC18" s="46" t="e">
        <f t="shared" si="2"/>
        <v>#DIV/0!</v>
      </c>
      <c r="AD18" s="46" t="b">
        <f t="shared" si="3"/>
        <v>1</v>
      </c>
    </row>
    <row r="19" spans="1:30" ht="48" customHeight="1" x14ac:dyDescent="0.25">
      <c r="A19" s="203">
        <v>17</v>
      </c>
      <c r="B19" s="193" t="s">
        <v>317</v>
      </c>
      <c r="C19" s="215"/>
      <c r="D19" s="193" t="s">
        <v>89</v>
      </c>
      <c r="E19" s="202">
        <v>1607013</v>
      </c>
      <c r="F19" s="202" t="s">
        <v>55</v>
      </c>
      <c r="G19" s="202" t="s">
        <v>257</v>
      </c>
      <c r="H19" s="193" t="s">
        <v>53</v>
      </c>
      <c r="I19" s="202"/>
      <c r="J19" s="197" t="s">
        <v>240</v>
      </c>
      <c r="K19" s="196"/>
      <c r="L19" s="49"/>
      <c r="M19" s="52"/>
      <c r="N19" s="223">
        <v>0.8</v>
      </c>
      <c r="O19" s="248"/>
      <c r="P19" s="248"/>
      <c r="Q19" s="249"/>
      <c r="R19" s="249"/>
      <c r="S19" s="249"/>
      <c r="T19" s="250"/>
      <c r="U19" s="248"/>
      <c r="V19" s="248"/>
      <c r="W19" s="249"/>
      <c r="X19" s="249"/>
      <c r="Y19" s="249"/>
      <c r="Z19" s="249"/>
      <c r="AA19" s="1" t="b">
        <f t="shared" si="0"/>
        <v>1</v>
      </c>
      <c r="AB19" s="45" t="e">
        <f t="shared" si="1"/>
        <v>#DIV/0!</v>
      </c>
      <c r="AC19" s="46" t="e">
        <f t="shared" si="2"/>
        <v>#DIV/0!</v>
      </c>
      <c r="AD19" s="46" t="b">
        <f t="shared" si="3"/>
        <v>1</v>
      </c>
    </row>
    <row r="20" spans="1:30" ht="49.5" customHeight="1" x14ac:dyDescent="0.25">
      <c r="A20" s="203">
        <v>18</v>
      </c>
      <c r="B20" s="193" t="s">
        <v>318</v>
      </c>
      <c r="C20" s="215"/>
      <c r="D20" s="193" t="s">
        <v>89</v>
      </c>
      <c r="E20" s="202">
        <v>1607013</v>
      </c>
      <c r="F20" s="202" t="s">
        <v>55</v>
      </c>
      <c r="G20" s="202" t="s">
        <v>258</v>
      </c>
      <c r="H20" s="193" t="s">
        <v>53</v>
      </c>
      <c r="I20" s="202"/>
      <c r="J20" s="197" t="s">
        <v>240</v>
      </c>
      <c r="K20" s="196"/>
      <c r="L20" s="49"/>
      <c r="M20" s="52"/>
      <c r="N20" s="223">
        <v>0.8</v>
      </c>
      <c r="O20" s="248"/>
      <c r="P20" s="248"/>
      <c r="Q20" s="249"/>
      <c r="R20" s="249"/>
      <c r="S20" s="249"/>
      <c r="T20" s="250"/>
      <c r="U20" s="248"/>
      <c r="V20" s="248"/>
      <c r="W20" s="249"/>
      <c r="X20" s="249"/>
      <c r="Y20" s="249"/>
      <c r="Z20" s="249"/>
      <c r="AA20" s="1" t="b">
        <f t="shared" si="0"/>
        <v>1</v>
      </c>
      <c r="AB20" s="45" t="e">
        <f t="shared" si="1"/>
        <v>#DIV/0!</v>
      </c>
      <c r="AC20" s="46" t="e">
        <f t="shared" si="2"/>
        <v>#DIV/0!</v>
      </c>
      <c r="AD20" s="46" t="b">
        <f t="shared" si="3"/>
        <v>1</v>
      </c>
    </row>
    <row r="21" spans="1:30" ht="20.100000000000001" customHeight="1" x14ac:dyDescent="0.25">
      <c r="A21" s="381" t="s">
        <v>45</v>
      </c>
      <c r="B21" s="381"/>
      <c r="C21" s="381"/>
      <c r="D21" s="381"/>
      <c r="E21" s="381"/>
      <c r="F21" s="381"/>
      <c r="G21" s="381"/>
      <c r="H21" s="381"/>
      <c r="I21" s="63">
        <f>SUM(I3:I20)</f>
        <v>0</v>
      </c>
      <c r="J21" s="64" t="s">
        <v>14</v>
      </c>
      <c r="K21" s="65">
        <f>SUM(K3:K20)</f>
        <v>0</v>
      </c>
      <c r="L21" s="66">
        <f>SUM(L3:L20)</f>
        <v>0</v>
      </c>
      <c r="M21" s="66">
        <f>SUM(M3:M20)</f>
        <v>0</v>
      </c>
      <c r="N21" s="67" t="s">
        <v>14</v>
      </c>
      <c r="O21" s="83">
        <f t="shared" ref="O21:Z21" si="4">SUM(O3:O20)</f>
        <v>0</v>
      </c>
      <c r="P21" s="83">
        <f t="shared" si="4"/>
        <v>0</v>
      </c>
      <c r="Q21" s="83">
        <f t="shared" si="4"/>
        <v>0</v>
      </c>
      <c r="R21" s="83">
        <f t="shared" si="4"/>
        <v>0</v>
      </c>
      <c r="S21" s="83">
        <f t="shared" si="4"/>
        <v>0</v>
      </c>
      <c r="T21" s="83">
        <f t="shared" si="4"/>
        <v>0</v>
      </c>
      <c r="U21" s="83">
        <f t="shared" si="4"/>
        <v>0</v>
      </c>
      <c r="V21" s="83">
        <f t="shared" si="4"/>
        <v>0</v>
      </c>
      <c r="W21" s="83">
        <f t="shared" si="4"/>
        <v>0</v>
      </c>
      <c r="X21" s="83">
        <f t="shared" si="4"/>
        <v>0</v>
      </c>
      <c r="Y21" s="83">
        <f t="shared" si="4"/>
        <v>0</v>
      </c>
      <c r="Z21" s="83">
        <f t="shared" si="4"/>
        <v>0</v>
      </c>
      <c r="AA21" s="1" t="b">
        <f t="shared" ref="AA21:AA23" si="5">L21=SUM(O21:Z21)</f>
        <v>1</v>
      </c>
      <c r="AB21" s="45" t="e">
        <f>ROUND(L21/K21,4)</f>
        <v>#DIV/0!</v>
      </c>
      <c r="AC21" s="46" t="s">
        <v>14</v>
      </c>
      <c r="AD21" s="46" t="b">
        <f t="shared" ref="AD21" si="6">K21=L21+M21</f>
        <v>1</v>
      </c>
    </row>
    <row r="22" spans="1:30" ht="20.100000000000001" customHeight="1" x14ac:dyDescent="0.25">
      <c r="A22" s="372" t="s">
        <v>39</v>
      </c>
      <c r="B22" s="373"/>
      <c r="C22" s="373"/>
      <c r="D22" s="373"/>
      <c r="E22" s="373"/>
      <c r="F22" s="373"/>
      <c r="G22" s="373"/>
      <c r="H22" s="374"/>
      <c r="I22" s="63">
        <f>SUMIF($C$3:$C$20,"N",I3:I20)</f>
        <v>0</v>
      </c>
      <c r="J22" s="64" t="s">
        <v>14</v>
      </c>
      <c r="K22" s="65">
        <f>SUMIF($C$3:$C$20,"N",K3:K20)</f>
        <v>0</v>
      </c>
      <c r="L22" s="66">
        <f>SUMIF($C$3:$C$20,"N",L3:L20)</f>
        <v>0</v>
      </c>
      <c r="M22" s="66">
        <f>SUMIF($C$3:$C$20,"N",M3:M20)</f>
        <v>0</v>
      </c>
      <c r="N22" s="67" t="s">
        <v>14</v>
      </c>
      <c r="O22" s="83">
        <f t="shared" ref="O22:Z22" si="7">SUMIF($C$3:$C$20,"N",O3:O20)</f>
        <v>0</v>
      </c>
      <c r="P22" s="83">
        <f t="shared" si="7"/>
        <v>0</v>
      </c>
      <c r="Q22" s="83">
        <f t="shared" si="7"/>
        <v>0</v>
      </c>
      <c r="R22" s="83">
        <f t="shared" si="7"/>
        <v>0</v>
      </c>
      <c r="S22" s="83">
        <f t="shared" si="7"/>
        <v>0</v>
      </c>
      <c r="T22" s="83">
        <f t="shared" si="7"/>
        <v>0</v>
      </c>
      <c r="U22" s="83">
        <f t="shared" si="7"/>
        <v>0</v>
      </c>
      <c r="V22" s="83">
        <f t="shared" si="7"/>
        <v>0</v>
      </c>
      <c r="W22" s="83">
        <f t="shared" si="7"/>
        <v>0</v>
      </c>
      <c r="X22" s="83">
        <f t="shared" si="7"/>
        <v>0</v>
      </c>
      <c r="Y22" s="83">
        <f t="shared" si="7"/>
        <v>0</v>
      </c>
      <c r="Z22" s="83">
        <f t="shared" si="7"/>
        <v>0</v>
      </c>
      <c r="AA22" s="1" t="b">
        <f t="shared" si="5"/>
        <v>1</v>
      </c>
      <c r="AB22" s="45" t="e">
        <f t="shared" ref="AB22" si="8">ROUND(L22/K22,4)</f>
        <v>#DIV/0!</v>
      </c>
      <c r="AC22" s="46" t="s">
        <v>14</v>
      </c>
      <c r="AD22" s="46" t="b">
        <f t="shared" ref="AD22" si="9">K22=L22+M22</f>
        <v>1</v>
      </c>
    </row>
    <row r="23" spans="1:30" ht="20.100000000000001" customHeight="1" x14ac:dyDescent="0.25">
      <c r="A23" s="380" t="s">
        <v>40</v>
      </c>
      <c r="B23" s="380"/>
      <c r="C23" s="380"/>
      <c r="D23" s="380"/>
      <c r="E23" s="380"/>
      <c r="F23" s="380"/>
      <c r="G23" s="380"/>
      <c r="H23" s="380"/>
      <c r="I23" s="69">
        <f>SUMIF($C$3:$C$20,"W",I3:I20)</f>
        <v>0</v>
      </c>
      <c r="J23" s="70" t="s">
        <v>14</v>
      </c>
      <c r="K23" s="71">
        <f>SUMIF($C$3:$C$20,"W",K3:K20)</f>
        <v>0</v>
      </c>
      <c r="L23" s="72">
        <f>SUMIF($C$3:$C$20,"W",L3:L20)</f>
        <v>0</v>
      </c>
      <c r="M23" s="72">
        <f>SUMIF($C$3:$C$20,"W",M3:M20)</f>
        <v>0</v>
      </c>
      <c r="N23" s="73" t="s">
        <v>14</v>
      </c>
      <c r="O23" s="84">
        <f t="shared" ref="O23:Z23" si="10">SUMIF($C$3:$C$20,"W",O3:O20)</f>
        <v>0</v>
      </c>
      <c r="P23" s="84">
        <f t="shared" si="10"/>
        <v>0</v>
      </c>
      <c r="Q23" s="84">
        <f t="shared" si="10"/>
        <v>0</v>
      </c>
      <c r="R23" s="84">
        <f t="shared" si="10"/>
        <v>0</v>
      </c>
      <c r="S23" s="84">
        <f t="shared" si="10"/>
        <v>0</v>
      </c>
      <c r="T23" s="84">
        <f t="shared" si="10"/>
        <v>0</v>
      </c>
      <c r="U23" s="84">
        <f t="shared" si="10"/>
        <v>0</v>
      </c>
      <c r="V23" s="84">
        <f t="shared" si="10"/>
        <v>0</v>
      </c>
      <c r="W23" s="84">
        <f t="shared" si="10"/>
        <v>0</v>
      </c>
      <c r="X23" s="84">
        <f t="shared" si="10"/>
        <v>0</v>
      </c>
      <c r="Y23" s="84">
        <f t="shared" si="10"/>
        <v>0</v>
      </c>
      <c r="Z23" s="84">
        <f t="shared" si="10"/>
        <v>0</v>
      </c>
      <c r="AA23" s="1" t="b">
        <f t="shared" si="5"/>
        <v>1</v>
      </c>
      <c r="AB23" s="45" t="e">
        <f t="shared" ref="AB23" si="11">ROUND(L23/K23,4)</f>
        <v>#DIV/0!</v>
      </c>
      <c r="AC23" s="46" t="s">
        <v>14</v>
      </c>
      <c r="AD23" s="46" t="b">
        <f t="shared" ref="AD23" si="12">K23=L23+M23</f>
        <v>1</v>
      </c>
    </row>
    <row r="24" spans="1:30" x14ac:dyDescent="0.25">
      <c r="A24" s="40"/>
      <c r="AD24" s="37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36</v>
      </c>
    </row>
    <row r="28" spans="1:30" x14ac:dyDescent="0.25">
      <c r="A28" s="41"/>
    </row>
  </sheetData>
  <autoFilter ref="A2:AD23"/>
  <customSheetViews>
    <customSheetView guid="{B4405FF1-036B-45AD-810F-8C9DF67F9D7F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1"/>
      <headerFooter>
        <oddHeader>&amp;LWojewództwo &amp;K000000Opolskie - &amp;K01+000zadania gminne lista rezerwowa</oddHeader>
        <oddFooter>Strona &amp;P z &amp;N</oddFooter>
      </headerFooter>
    </customSheetView>
    <customSheetView guid="{CB410AB3-2DDF-47B7-B021-1F68EEA98257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2"/>
      <headerFooter>
        <oddHeader>&amp;LWojewództwo &amp;K000000Opolskie - &amp;K01+000zadania gminne lista rezerwowa</oddHeader>
        <oddFooter>Strona &amp;P z &amp;N</oddFooter>
      </headerFooter>
      <autoFilter ref="A2:AD23"/>
    </customSheetView>
    <customSheetView guid="{E7CAF9DC-53CB-464B-97B7-E2DEFBC16359}" scale="85" showPageBreaks="1" showGridLines="0" fitToPage="1" printArea="1" view="pageBreakPreview">
      <selection activeCell="J4" sqref="J4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3"/>
      <headerFooter>
        <oddHeader>&amp;LWojewództwo &amp;K000000Opolskie - &amp;K01+000zadania gminne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 topLeftCell="A10">
      <selection activeCell="A7" sqref="A7:XFD7"/>
      <pageMargins left="0.23622047244094491" right="0.23622047244094491" top="0.74803149606299213" bottom="0.74803149606299213" header="0.31496062992125984" footer="0.31496062992125984"/>
      <pageSetup paperSize="9" scale="23" fitToHeight="0" orientation="portrait" r:id="rId4"/>
      <headerFooter>
        <oddHeader>&amp;LWojewództwo &amp;K000000Opolskie - &amp;K01+000zadania gminne lista rezerwowa</oddHeader>
        <oddFooter>Strona &amp;P z &amp;N</oddFooter>
      </headerFooter>
    </customSheetView>
  </customSheetViews>
  <mergeCells count="18">
    <mergeCell ref="G1:G2"/>
    <mergeCell ref="H1:H2"/>
    <mergeCell ref="A22:H22"/>
    <mergeCell ref="D1:D2"/>
    <mergeCell ref="A23:H23"/>
    <mergeCell ref="E1:E2"/>
    <mergeCell ref="O1:Z1"/>
    <mergeCell ref="M1:M2"/>
    <mergeCell ref="N1:N2"/>
    <mergeCell ref="A21:H21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24 AB21:AD21 AA21:AA23">
    <cfRule type="cellIs" dxfId="13" priority="25" operator="equal">
      <formula>FALSE</formula>
    </cfRule>
  </conditionalFormatting>
  <conditionalFormatting sqref="AB21:AC21 AA21:AA23 AA3:AC20">
    <cfRule type="containsText" dxfId="12" priority="18" operator="containsText" text="fałsz">
      <formula>NOT(ISERROR(SEARCH("fałsz",AA3)))</formula>
    </cfRule>
  </conditionalFormatting>
  <conditionalFormatting sqref="AB3:AC20">
    <cfRule type="cellIs" dxfId="11" priority="20" operator="equal">
      <formula>FALSE</formula>
    </cfRule>
  </conditionalFormatting>
  <conditionalFormatting sqref="AA3:AA20">
    <cfRule type="cellIs" dxfId="10" priority="19" operator="equal">
      <formula>FALSE</formula>
    </cfRule>
  </conditionalFormatting>
  <conditionalFormatting sqref="AD3:AD20">
    <cfRule type="cellIs" dxfId="9" priority="17" operator="equal">
      <formula>FALSE</formula>
    </cfRule>
  </conditionalFormatting>
  <conditionalFormatting sqref="AD3:AD20">
    <cfRule type="cellIs" dxfId="8" priority="16" operator="equal">
      <formula>FALSE</formula>
    </cfRule>
  </conditionalFormatting>
  <conditionalFormatting sqref="AB23:AC23">
    <cfRule type="cellIs" dxfId="7" priority="15" operator="equal">
      <formula>FALSE</formula>
    </cfRule>
  </conditionalFormatting>
  <conditionalFormatting sqref="AB23:AC23">
    <cfRule type="containsText" dxfId="6" priority="13" operator="containsText" text="fałsz">
      <formula>NOT(ISERROR(SEARCH("fałsz",AB23)))</formula>
    </cfRule>
  </conditionalFormatting>
  <conditionalFormatting sqref="AD23">
    <cfRule type="cellIs" dxfId="5" priority="12" operator="equal">
      <formula>FALSE</formula>
    </cfRule>
  </conditionalFormatting>
  <conditionalFormatting sqref="AD23">
    <cfRule type="cellIs" dxfId="4" priority="11" operator="equal">
      <formula>FALSE</formula>
    </cfRule>
  </conditionalFormatting>
  <conditionalFormatting sqref="AB22:AC22">
    <cfRule type="containsText" dxfId="3" priority="8" operator="containsText" text="fałsz">
      <formula>NOT(ISERROR(SEARCH("fałsz",AB22)))</formula>
    </cfRule>
  </conditionalFormatting>
  <conditionalFormatting sqref="AB22:AC22">
    <cfRule type="cellIs" dxfId="2" priority="10" operator="equal">
      <formula>FALSE</formula>
    </cfRule>
  </conditionalFormatting>
  <conditionalFormatting sqref="AD22">
    <cfRule type="cellIs" dxfId="1" priority="7" operator="equal">
      <formula>FALSE</formula>
    </cfRule>
  </conditionalFormatting>
  <conditionalFormatting sqref="AD22">
    <cfRule type="cellIs" dxfId="0" priority="6" operator="equal">
      <formula>FALSE</formula>
    </cfRule>
  </conditionalFormatting>
  <dataValidations count="2">
    <dataValidation type="list" allowBlank="1" showInputMessage="1" showErrorMessage="1" sqref="H3:H20">
      <formula1>"B,P,R"</formula1>
    </dataValidation>
    <dataValidation type="list" allowBlank="1" showInputMessage="1" showErrorMessage="1" sqref="C3:C20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5"/>
  <headerFooter>
    <oddHeader>&amp;LWojewództwo &amp;K000000Opolskie - &amp;K01+000zadania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2023-09-11T08:50:25Z</cp:lastPrinted>
  <dcterms:created xsi:type="dcterms:W3CDTF">2019-02-25T10:53:14Z</dcterms:created>
  <dcterms:modified xsi:type="dcterms:W3CDTF">2024-09-25T13:13:42Z</dcterms:modified>
</cp:coreProperties>
</file>