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```ST7\Besti@\2023\II kwartał\Dane ostateczne 2023.08.14\Zbiorówki_2023_k2_20230814\"/>
    </mc:Choice>
  </mc:AlternateContent>
  <bookViews>
    <workbookView xWindow="240" yWindow="120" windowWidth="14220" windowHeight="8835"/>
  </bookViews>
  <sheets>
    <sheet name="doch_wyd" sheetId="4" r:id="rId1"/>
    <sheet name="definicja" sheetId="5" r:id="rId2"/>
  </sheets>
  <definedNames>
    <definedName name="_xlnm.Print_Area" localSheetId="0">doch_wyd!$A$1:$L$98</definedName>
  </definedNames>
  <calcPr calcId="152511"/>
</workbook>
</file>

<file path=xl/calcChain.xml><?xml version="1.0" encoding="utf-8"?>
<calcChain xmlns="http://schemas.openxmlformats.org/spreadsheetml/2006/main">
  <c r="C99" i="5" l="1"/>
  <c r="C98" i="5"/>
  <c r="C97" i="5"/>
  <c r="C98" i="4"/>
  <c r="C97" i="4"/>
  <c r="C96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K54" i="4" s="1"/>
  <c r="I53" i="4"/>
  <c r="H53" i="4"/>
  <c r="H58" i="4" s="1"/>
  <c r="G53" i="4"/>
  <c r="G58" i="4" s="1"/>
  <c r="F53" i="4"/>
  <c r="E53" i="4"/>
  <c r="D53" i="4"/>
  <c r="J53" i="4" s="1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D39" i="4"/>
  <c r="C39" i="4"/>
  <c r="D36" i="4"/>
  <c r="C36" i="4"/>
  <c r="D35" i="4"/>
  <c r="C35" i="4"/>
  <c r="D34" i="4"/>
  <c r="K34" i="4" s="1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C38" i="4" s="1"/>
  <c r="K73" i="4"/>
  <c r="D97" i="5"/>
  <c r="C59" i="4"/>
  <c r="K6" i="4"/>
  <c r="K9" i="4"/>
  <c r="K11" i="4"/>
  <c r="K16" i="4"/>
  <c r="K18" i="4"/>
  <c r="K20" i="4"/>
  <c r="K22" i="4"/>
  <c r="K24" i="4"/>
  <c r="K26" i="4"/>
  <c r="K28" i="4"/>
  <c r="K30" i="4"/>
  <c r="K32" i="4"/>
  <c r="K36" i="4"/>
  <c r="C52" i="4"/>
  <c r="C58" i="4" s="1"/>
  <c r="K49" i="4"/>
  <c r="G52" i="4"/>
  <c r="K65" i="4"/>
  <c r="K67" i="4"/>
  <c r="K69" i="4"/>
  <c r="K71" i="4"/>
  <c r="J21" i="4"/>
  <c r="J34" i="4"/>
  <c r="J33" i="4"/>
  <c r="J35" i="4"/>
  <c r="J15" i="4"/>
  <c r="J20" i="4"/>
  <c r="D59" i="4"/>
  <c r="J25" i="4"/>
  <c r="J26" i="4"/>
  <c r="J39" i="4"/>
  <c r="J32" i="4"/>
  <c r="J6" i="4"/>
  <c r="J18" i="4"/>
  <c r="J24" i="4"/>
  <c r="J23" i="4"/>
  <c r="J27" i="4"/>
  <c r="J31" i="4"/>
  <c r="J16" i="4"/>
  <c r="J22" i="4"/>
  <c r="J36" i="4"/>
  <c r="J11" i="4"/>
  <c r="J28" i="4"/>
  <c r="J10" i="4"/>
  <c r="J17" i="4"/>
  <c r="J30" i="4"/>
  <c r="J19" i="4"/>
  <c r="J29" i="4"/>
  <c r="J8" i="4"/>
  <c r="D38" i="4"/>
  <c r="J38" i="4" s="1"/>
  <c r="J9" i="4"/>
  <c r="J51" i="4"/>
  <c r="J50" i="4"/>
  <c r="J54" i="4"/>
  <c r="J55" i="4"/>
  <c r="D52" i="4"/>
  <c r="J52" i="4" s="1"/>
  <c r="J49" i="4"/>
  <c r="J57" i="4"/>
  <c r="J56" i="4"/>
  <c r="H52" i="4"/>
  <c r="K53" i="4"/>
  <c r="K57" i="4"/>
  <c r="J69" i="4"/>
  <c r="J72" i="4"/>
  <c r="J71" i="4"/>
  <c r="J73" i="4"/>
  <c r="J74" i="4"/>
  <c r="J67" i="4"/>
  <c r="J68" i="4"/>
  <c r="J70" i="4"/>
  <c r="J75" i="4"/>
  <c r="J65" i="4"/>
  <c r="J66" i="4"/>
  <c r="K74" i="4"/>
  <c r="K76" i="4"/>
  <c r="K78" i="4"/>
  <c r="K80" i="4"/>
  <c r="K8" i="4"/>
  <c r="K10" i="4"/>
  <c r="K15" i="4"/>
  <c r="C14" i="4"/>
  <c r="C13" i="4" s="1"/>
  <c r="K17" i="4"/>
  <c r="K19" i="4"/>
  <c r="K21" i="4"/>
  <c r="K23" i="4"/>
  <c r="K25" i="4"/>
  <c r="K27" i="4"/>
  <c r="K29" i="4"/>
  <c r="K31" i="4"/>
  <c r="K33" i="4"/>
  <c r="K35" i="4"/>
  <c r="K39" i="4"/>
  <c r="E52" i="4"/>
  <c r="E58" i="4" s="1"/>
  <c r="I52" i="4"/>
  <c r="I58" i="4"/>
  <c r="K51" i="4"/>
  <c r="K56" i="4"/>
  <c r="K66" i="4"/>
  <c r="K68" i="4"/>
  <c r="K70" i="4"/>
  <c r="K72" i="4"/>
  <c r="J79" i="4"/>
  <c r="J76" i="4"/>
  <c r="J81" i="4"/>
  <c r="J80" i="4"/>
  <c r="J77" i="4"/>
  <c r="J78" i="4"/>
  <c r="D96" i="4"/>
  <c r="B42" i="4" s="1"/>
  <c r="D14" i="4"/>
  <c r="J14" i="4" s="1"/>
  <c r="F52" i="4"/>
  <c r="F58" i="4"/>
  <c r="K50" i="4"/>
  <c r="K55" i="4"/>
  <c r="K75" i="4"/>
  <c r="K77" i="4"/>
  <c r="K79" i="4"/>
  <c r="K81" i="4"/>
  <c r="B1" i="5"/>
  <c r="B42" i="5"/>
  <c r="B62" i="5"/>
  <c r="B61" i="4" l="1"/>
  <c r="B1" i="4"/>
  <c r="D58" i="4"/>
  <c r="J58" i="4" s="1"/>
  <c r="K58" i="4"/>
  <c r="K52" i="4"/>
  <c r="D13" i="4"/>
  <c r="C7" i="4"/>
  <c r="C12" i="4" s="1"/>
  <c r="K13" i="4"/>
  <c r="K14" i="4"/>
  <c r="D40" i="4"/>
  <c r="J40" i="4" s="1"/>
  <c r="K38" i="4"/>
  <c r="C40" i="4"/>
  <c r="K40" i="4" s="1"/>
  <c r="D7" i="4" l="1"/>
  <c r="J13" i="4"/>
  <c r="J7" i="4" l="1"/>
  <c r="L11" i="4"/>
  <c r="L7" i="4"/>
  <c r="L8" i="4"/>
  <c r="K7" i="4"/>
  <c r="D12" i="4"/>
  <c r="L10" i="4"/>
  <c r="L9" i="4"/>
  <c r="K12" i="4" l="1"/>
  <c r="J12" i="4"/>
  <c r="L12" i="4"/>
</calcChain>
</file>

<file path=xl/sharedStrings.xml><?xml version="1.0" encoding="utf-8"?>
<sst xmlns="http://schemas.openxmlformats.org/spreadsheetml/2006/main" count="753" uniqueCount="334">
  <si>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</si>
  <si>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</si>
  <si>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</si>
  <si>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</si>
  <si>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</si>
  <si>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</si>
  <si>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</si>
  <si>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</si>
  <si>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</si>
  <si>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</si>
  <si>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</si>
  <si>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</si>
  <si>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</si>
  <si>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</si>
  <si>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</si>
  <si>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</si>
  <si>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</si>
  <si>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</si>
  <si>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</si>
  <si>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</si>
  <si>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</si>
  <si>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</si>
  <si>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</si>
  <si>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</si>
  <si>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</si>
  <si>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</si>
  <si>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</si>
  <si>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Zobowiązania wg stanu na koniec 
okresu sprawozdawczego</t>
  </si>
  <si>
    <t>w tym:   wydatki na inwestycje</t>
  </si>
  <si>
    <t xml:space="preserve">wydatki majątkowe      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</si>
  <si>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</si>
  <si>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</si>
  <si>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</si>
  <si>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</si>
  <si>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</si>
  <si>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</si>
  <si>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</si>
  <si>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</si>
  <si>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</si>
  <si>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</si>
  <si>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</t>
  </si>
  <si>
    <t xml:space="preserve">WYNIK  </t>
  </si>
  <si>
    <t>Wyszczególnienie</t>
  </si>
  <si>
    <t>Plan (po zmianach)</t>
  </si>
  <si>
    <t>D1</t>
  </si>
  <si>
    <t>D11</t>
  </si>
  <si>
    <t>D12</t>
  </si>
  <si>
    <t>D13</t>
  </si>
  <si>
    <t>D14</t>
  </si>
  <si>
    <t>D15</t>
  </si>
  <si>
    <t>D16</t>
  </si>
  <si>
    <t>D2</t>
  </si>
  <si>
    <t>D21</t>
  </si>
  <si>
    <t>D22</t>
  </si>
  <si>
    <t>Wskaźnik 
(3:2)</t>
  </si>
  <si>
    <t>dochody z majątku</t>
  </si>
  <si>
    <t xml:space="preserve">pozostałe dochody </t>
  </si>
  <si>
    <t>A1/A</t>
  </si>
  <si>
    <t>A2/A</t>
  </si>
  <si>
    <t>A3/A</t>
  </si>
  <si>
    <t>A14/A</t>
  </si>
  <si>
    <t>R4/R1</t>
  </si>
  <si>
    <t>A2/A1</t>
  </si>
  <si>
    <t>A3/A1</t>
  </si>
  <si>
    <t>B1/B</t>
  </si>
  <si>
    <t>B2/B</t>
  </si>
  <si>
    <t>B3/B</t>
  </si>
  <si>
    <t>B4/B</t>
  </si>
  <si>
    <t>B5/B</t>
  </si>
  <si>
    <t>B6/B</t>
  </si>
  <si>
    <t>B7/B</t>
  </si>
  <si>
    <t>B8/B</t>
  </si>
  <si>
    <t>B9/B</t>
  </si>
  <si>
    <t>C=A-B</t>
  </si>
  <si>
    <t>DW</t>
  </si>
  <si>
    <t>B3=B-B1</t>
  </si>
  <si>
    <t>Struktura</t>
  </si>
  <si>
    <t>Wskaźnik</t>
  </si>
  <si>
    <t>D1W/D1P</t>
  </si>
  <si>
    <t>D11W/D1W</t>
  </si>
  <si>
    <t>D11W/D11P</t>
  </si>
  <si>
    <t>D12W/D1W</t>
  </si>
  <si>
    <t>D12W/D12P</t>
  </si>
  <si>
    <t>D13W/D1W</t>
  </si>
  <si>
    <t>D13W/D13P</t>
  </si>
  <si>
    <t>D14W/D1W</t>
  </si>
  <si>
    <t>D14W/D14P</t>
  </si>
  <si>
    <t>D15W/D1W</t>
  </si>
  <si>
    <t>D15W/D15P</t>
  </si>
  <si>
    <t>D16W/D1W</t>
  </si>
  <si>
    <t>D16W/D16P</t>
  </si>
  <si>
    <t>D21W/D2W</t>
  </si>
  <si>
    <t>D21W/D21P</t>
  </si>
  <si>
    <t>D22W/D2W</t>
  </si>
  <si>
    <t>D22W/D22P</t>
  </si>
  <si>
    <t>D2W/D2P</t>
  </si>
  <si>
    <t>D111</t>
  </si>
  <si>
    <t>D111W/D1W</t>
  </si>
  <si>
    <t>D111W/D111P</t>
  </si>
  <si>
    <t xml:space="preserve">  spłaty pożyczek udzielonych</t>
  </si>
  <si>
    <t xml:space="preserve">  nadwyżka z lat ubiegłych</t>
  </si>
  <si>
    <t xml:space="preserve">  obligacje j.s.t. oraz związków komunalnych</t>
  </si>
  <si>
    <t xml:space="preserve">  prywatyzacja majątku j.s.t.</t>
  </si>
  <si>
    <t xml:space="preserve">  inne źródła</t>
  </si>
  <si>
    <t xml:space="preserve"> ROZCHODY OGÓŁEM     z tego:</t>
  </si>
  <si>
    <t xml:space="preserve">  spłaty kredytów i pożyczek</t>
  </si>
  <si>
    <t>D211</t>
  </si>
  <si>
    <t>D211W/D2W</t>
  </si>
  <si>
    <t>D211W/D211P</t>
  </si>
  <si>
    <t xml:space="preserve">  pożyczki</t>
  </si>
  <si>
    <t xml:space="preserve">  wykup papierów wartościowych</t>
  </si>
  <si>
    <t xml:space="preserve">  wykup obligacji samorządowych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</si>
  <si>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</si>
  <si>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</si>
  <si>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</si>
  <si>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Dochody 
otrzymane
</t>
    </r>
    <r>
      <rPr>
        <b/>
        <sz val="10"/>
        <color indexed="8"/>
        <rFont val="Arial"/>
        <family val="2"/>
        <charset val="238"/>
      </rPr>
      <t>R9</t>
    </r>
  </si>
  <si>
    <t>pozostałe wydatki</t>
  </si>
  <si>
    <t>wydatki na obsługę długu</t>
  </si>
  <si>
    <t>dotacje</t>
  </si>
  <si>
    <t>B=Σ§§</t>
  </si>
  <si>
    <t>PL</t>
  </si>
  <si>
    <t>DO</t>
  </si>
  <si>
    <t>A = Σ §§</t>
  </si>
  <si>
    <t>ZA</t>
  </si>
  <si>
    <t>WW</t>
  </si>
  <si>
    <t>ZO</t>
  </si>
  <si>
    <t>LU</t>
  </si>
  <si>
    <t>RB</t>
  </si>
  <si>
    <t>WN</t>
  </si>
  <si>
    <t>P</t>
  </si>
  <si>
    <t>W</t>
  </si>
  <si>
    <t>A4/A</t>
  </si>
  <si>
    <t>A5/A</t>
  </si>
  <si>
    <t>A6/A</t>
  </si>
  <si>
    <t>A7/A</t>
  </si>
  <si>
    <t>A8/A</t>
  </si>
  <si>
    <t>A9/A</t>
  </si>
  <si>
    <t>A10/A</t>
  </si>
  <si>
    <t>A11/A</t>
  </si>
  <si>
    <t>A12/A</t>
  </si>
  <si>
    <t>A13/A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</si>
  <si>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</si>
  <si>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</si>
  <si>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</si>
  <si>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</si>
  <si>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</si>
  <si>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</si>
  <si>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</si>
  <si>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</si>
  <si>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</si>
  <si>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</si>
  <si>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D23</t>
  </si>
  <si>
    <t>D23W/D23P</t>
  </si>
  <si>
    <t>D23W/D2W</t>
  </si>
  <si>
    <t>A15</t>
  </si>
  <si>
    <t>A16</t>
  </si>
  <si>
    <t>A15/A</t>
  </si>
  <si>
    <t>A16/A</t>
  </si>
  <si>
    <t>Dotacje ogółem                       z tego:</t>
  </si>
  <si>
    <t>A17</t>
  </si>
  <si>
    <t>A17/A</t>
  </si>
  <si>
    <t>świadczenia na rzecz osób fizycznych</t>
  </si>
  <si>
    <t>w tym: inwestycyjne § 620</t>
  </si>
  <si>
    <t>Dotacje §§ 200 i 620</t>
  </si>
  <si>
    <t>w złotych</t>
  </si>
  <si>
    <t>A1=A-A4</t>
  </si>
  <si>
    <t>z tytułu pomocy finansowej udzielanej między jst na dofinansowanie własnych zadań</t>
  </si>
  <si>
    <t>A18</t>
  </si>
  <si>
    <t>A19</t>
  </si>
  <si>
    <t>A18/A</t>
  </si>
  <si>
    <t>A19/A</t>
  </si>
  <si>
    <t>A3=A1-A2</t>
  </si>
  <si>
    <t xml:space="preserve"> E</t>
  </si>
  <si>
    <t xml:space="preserve"> E1</t>
  </si>
  <si>
    <t>sprzedaż papierów wartościowych wyemitowanych przez jednostkę samorządu terytorialnego</t>
  </si>
  <si>
    <t xml:space="preserve"> E2</t>
  </si>
  <si>
    <t>kredyty i pożyczki</t>
  </si>
  <si>
    <t xml:space="preserve"> E3</t>
  </si>
  <si>
    <t>prywatyzacja majątku jednostki samorządu terytorialnego</t>
  </si>
  <si>
    <t xml:space="preserve"> E5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</si>
  <si>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</si>
  <si>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</si>
  <si>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</si>
  <si>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A20</t>
  </si>
  <si>
    <t>A21</t>
  </si>
  <si>
    <t>A20/A</t>
  </si>
  <si>
    <t>A21/A</t>
  </si>
  <si>
    <t>majątkowe</t>
  </si>
  <si>
    <t>bieżące</t>
  </si>
  <si>
    <t>AM</t>
  </si>
  <si>
    <t>AB</t>
  </si>
  <si>
    <t>A=Σ§§</t>
  </si>
  <si>
    <t>AM/A</t>
  </si>
  <si>
    <t>AB/A</t>
  </si>
  <si>
    <t>AB=A-AM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</si>
  <si>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</si>
  <si>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</si>
  <si>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</si>
  <si>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</si>
  <si>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</si>
  <si>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</si>
  <si>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</si>
  <si>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</si>
  <si>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</si>
  <si>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</si>
  <si>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</si>
  <si>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</si>
  <si>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</si>
  <si>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</si>
  <si>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</si>
  <si>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</si>
  <si>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</si>
  <si>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B9=B3-B4-B5-B6-B7-B8</t>
  </si>
  <si>
    <t>otrzymane ze środków z Funduszu Przeciwdziałania COVID-19 (m.in. z Rządowego Funduszu Inwestycji Lokalnych)</t>
  </si>
  <si>
    <t>A22</t>
  </si>
  <si>
    <t>A23</t>
  </si>
  <si>
    <t>A22/A</t>
  </si>
  <si>
    <t>A23/A</t>
  </si>
  <si>
    <t>Wpływy z wpłat gmin i powiatów na rzecz związków</t>
  </si>
  <si>
    <t>Wpływy z innych lokalnych opłat pobieranych przez j.s.t. na podstawie odrębnych ustaw</t>
  </si>
  <si>
    <t>udziały w podatku dochodowym PIT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</si>
  <si>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</si>
  <si>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</si>
  <si>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</si>
  <si>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A24</t>
  </si>
  <si>
    <t>A25</t>
  </si>
  <si>
    <t>A24/A</t>
  </si>
  <si>
    <t>A25/A</t>
  </si>
  <si>
    <t>wynagrodzenia i składki od nich naliczane</t>
  </si>
  <si>
    <t xml:space="preserve"> E4</t>
  </si>
  <si>
    <t xml:space="preserve"> E6</t>
  </si>
  <si>
    <t xml:space="preserve"> E7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</si>
  <si>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</si>
  <si>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</si>
  <si>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</si>
  <si>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</si>
  <si>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</si>
  <si>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</si>
  <si>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</si>
  <si>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</si>
  <si>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</si>
  <si>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</si>
  <si>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</si>
  <si>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</si>
  <si>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</si>
  <si>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 xml:space="preserve">paragraf zawiera(001) </t>
  </si>
  <si>
    <t xml:space="preserve">paragraf zawiera(290,665) </t>
  </si>
  <si>
    <t xml:space="preserve">paragraf zawiera(049) </t>
  </si>
  <si>
    <t xml:space="preserve">paragraf zawiera(073,074,075,076,077,078,080,081,087) </t>
  </si>
  <si>
    <t xml:space="preserve">paragraf zawiera(202,212,222,632,642,652) </t>
  </si>
  <si>
    <t xml:space="preserve">paragraf zawiera(632,642,652) </t>
  </si>
  <si>
    <t xml:space="preserve">paragraf zawiera(231,232,233,288,661,662,663,664) </t>
  </si>
  <si>
    <t xml:space="preserve">paragraf zawiera(661,662,663,664) </t>
  </si>
  <si>
    <t xml:space="preserve">paragraf zawiera(271,278,630) </t>
  </si>
  <si>
    <t xml:space="preserve">paragraf zawiera(630) </t>
  </si>
  <si>
    <t xml:space="preserve">paragraf zawiera(244,626) </t>
  </si>
  <si>
    <t xml:space="preserve">paragraf zawiera(626) </t>
  </si>
  <si>
    <t xml:space="preserve">paragraf zawiera (273, 656) </t>
  </si>
  <si>
    <t xml:space="preserve">paragraf zawiera (656) </t>
  </si>
  <si>
    <t xml:space="preserve">paragraf zawiera(200,620) </t>
  </si>
  <si>
    <t xml:space="preserve">paragraf zawiera(620) </t>
  </si>
  <si>
    <t xml:space="preserve">paragraf zawiera(205,625) </t>
  </si>
  <si>
    <t xml:space="preserve">paragraf zawiera(625) </t>
  </si>
  <si>
    <t xml:space="preserve">Symbol=D1 </t>
  </si>
  <si>
    <t xml:space="preserve">Symbol=D11 </t>
  </si>
  <si>
    <t xml:space="preserve">Symbol=D111 </t>
  </si>
  <si>
    <t xml:space="preserve">Symbol=D12 </t>
  </si>
  <si>
    <t xml:space="preserve">Symbol=D13 </t>
  </si>
  <si>
    <t xml:space="preserve">Symbol=D2 </t>
  </si>
  <si>
    <t xml:space="preserve">Symbol=D21 </t>
  </si>
  <si>
    <t xml:space="preserve">Symbol=D211 </t>
  </si>
  <si>
    <t xml:space="preserve">Symbol=D22 </t>
  </si>
  <si>
    <t xml:space="preserve">Symbol=D23 </t>
  </si>
  <si>
    <t xml:space="preserve">Symbol=E </t>
  </si>
  <si>
    <t xml:space="preserve">Symbol=E1 </t>
  </si>
  <si>
    <t xml:space="preserve">Symbol=E2 </t>
  </si>
  <si>
    <t xml:space="preserve">Symbol=E3 </t>
  </si>
  <si>
    <t xml:space="preserve">Symbol=E4 </t>
  </si>
  <si>
    <t xml:space="preserve">Symbol=E5 </t>
  </si>
  <si>
    <t xml:space="preserve">Symbol=E6 </t>
  </si>
  <si>
    <t xml:space="preserve">Symbol=E7 </t>
  </si>
  <si>
    <t>paragraf zawiera(801,804,806,807,809,811,812,813) lub grupa zawiera(1810)</t>
  </si>
  <si>
    <t>paragraf zawiera(802,803) lub grupa zawiera(1800)</t>
  </si>
  <si>
    <t>otrzymane z Funduszu Pomocy lub z innych środków (*)</t>
  </si>
  <si>
    <t>AUkr</t>
  </si>
  <si>
    <t>AUkrinw</t>
  </si>
  <si>
    <t>AUkr/A</t>
  </si>
  <si>
    <t>AUkrinw/A</t>
  </si>
  <si>
    <t xml:space="preserve">paragraf zawiera(201,208,211,221,631,641,651,671) </t>
  </si>
  <si>
    <t xml:space="preserve">paragraf zawiera(631,641,651,671) </t>
  </si>
  <si>
    <t xml:space="preserve">paragraf zawiera(203,207,213,223,633,643,653,670) </t>
  </si>
  <si>
    <t xml:space="preserve">paragraf zawiera(633,643,653,670) </t>
  </si>
  <si>
    <t xml:space="preserve">paragraf zawiera(218,609,610,637) </t>
  </si>
  <si>
    <t xml:space="preserve">paragraf zawiera(609,610,637) </t>
  </si>
  <si>
    <r>
      <t>paragraf zawiera(</t>
    </r>
    <r>
      <rPr>
        <sz val="9"/>
        <rFont val="Arial"/>
        <family val="2"/>
        <charset val="238"/>
      </rPr>
      <t>210,638,253,639</t>
    </r>
    <r>
      <rPr>
        <sz val="8"/>
        <rFont val="Arial"/>
        <family val="2"/>
        <charset val="238"/>
      </rPr>
      <t>)</t>
    </r>
  </si>
  <si>
    <r>
      <t>paragraf zawiera(638,639</t>
    </r>
    <r>
      <rPr>
        <sz val="8"/>
        <rFont val="Arial"/>
        <family val="2"/>
        <charset val="238"/>
      </rPr>
      <t>)</t>
    </r>
  </si>
  <si>
    <t xml:space="preserve">paragraf zawiera(076,077,078,080,087,609,610,618,620,625,626,628,629,630,631,632,633,634,635,637,638,639,641,642,643,644,651,652,653,656,661,662,663,664,665,666,668,669,670,671) </t>
  </si>
  <si>
    <t>paragraf zawiera(601,603,605,606,610,613,614,615,617,619,620,621,622,623,625,630,637,647,648,649,656,657,658,659,661,662,663,664,665,666,669,672,680) lub grupa zawiera (1600,1601,1602,1610,1611,1612,1620,1630)</t>
  </si>
  <si>
    <t>paragraf zawiera(605,606,610,613,614,617,619,620,621,622,623,625,630,637,647,648,649,656,657,658,659,661,662,663,664,665,666,669,672,680) lub grupa zawiera(1600,1601,1602,1610,1611,1612)</t>
  </si>
  <si>
    <t>paragraf zawiera(401,402,404,405,406,407,408,409,410,411,412,417,418,471,474,475,478,479,480,483,484,485) lub grupa zawiera(1400,1401,1402,1403)</t>
  </si>
  <si>
    <t>paragraf zawiera(200,205,209,220,226,227,231,232,233,234,236,241,243,248,249,251,254,255,256,257,258,259,262,263,264,265,271,272,273,274,278,280,281,282,283,288,290) lub grupa zawiera(1200,1201,1202,1203)</t>
  </si>
  <si>
    <t>paragraf zawiera(302,303,304,305,307,311,320,321,324,325,326,328,329) lub grupa zawiera (1300,1301,1302,1303)</t>
  </si>
  <si>
    <t>(*) na finansowanie lub dofinansowanie realizacji zadań w zakresie pomocy obywatelom Ukrainy</t>
  </si>
  <si>
    <t>A5=A6+A8+A10+A12+A14+A16+A18+A20+Aukr</t>
  </si>
  <si>
    <t>A4=A5+A22+A24</t>
  </si>
  <si>
    <t>tytul</t>
  </si>
  <si>
    <t>Symbol=D14</t>
  </si>
  <si>
    <t>Symbol=D15</t>
  </si>
  <si>
    <t>Symbol=D16</t>
  </si>
  <si>
    <t>Symbol=D17</t>
  </si>
  <si>
    <t>D17</t>
  </si>
  <si>
    <t>Symbol=D18</t>
  </si>
  <si>
    <t>D18</t>
  </si>
  <si>
    <t>D181</t>
  </si>
  <si>
    <t>Symbol=D181</t>
  </si>
  <si>
    <t>D17W/D1W</t>
  </si>
  <si>
    <t>D17W/D17P</t>
  </si>
  <si>
    <t>D18W/D1W</t>
  </si>
  <si>
    <t>D18W/D18P</t>
  </si>
  <si>
    <t>D181W/D1W</t>
  </si>
  <si>
    <t>D181W/D181P</t>
  </si>
  <si>
    <t>D231</t>
  </si>
  <si>
    <t>Symbol=D231</t>
  </si>
  <si>
    <t>D231W/D2W</t>
  </si>
  <si>
    <t>D231W/D231P</t>
  </si>
  <si>
    <t xml:space="preserve"> E8</t>
  </si>
  <si>
    <t>Symbol=E8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</si>
  <si>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</si>
  <si>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</si>
  <si>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</si>
  <si>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</si>
  <si>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</si>
  <si>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</si>
  <si>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=""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</si>
</sst>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6" formatCode="dd/mm/yy\ h:mm;@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242424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7" fillId="0" borderId="0"/>
    <xf numFmtId="0" fontId="37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4" fontId="4" fillId="0" borderId="10" xfId="0" applyNumberFormat="1" applyFont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0" xfId="0" applyFont="1" applyBorder="1"/>
    <xf numFmtId="164" fontId="12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10" fillId="20" borderId="10" xfId="0" applyNumberFormat="1" applyFont="1" applyFill="1" applyBorder="1" applyAlignment="1">
      <alignment horizontal="right" vertical="center"/>
    </xf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4" fontId="10" fillId="20" borderId="10" xfId="28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20" borderId="10" xfId="0" applyNumberFormat="1" applyFont="1" applyFill="1" applyBorder="1" applyAlignment="1">
      <alignment horizontal="center" vertical="center"/>
    </xf>
    <xf numFmtId="4" fontId="10" fillId="20" borderId="10" xfId="0" applyNumberFormat="1" applyFont="1" applyFill="1" applyBorder="1" applyAlignment="1">
      <alignment horizontal="center" vertical="center"/>
    </xf>
    <xf numFmtId="4" fontId="6" fillId="21" borderId="10" xfId="0" applyNumberFormat="1" applyFont="1" applyFill="1" applyBorder="1" applyAlignment="1">
      <alignment horizontal="center" vertical="center"/>
    </xf>
    <xf numFmtId="0" fontId="38" fillId="0" borderId="0" xfId="39" applyFont="1" applyAlignment="1">
      <alignment horizontal="center" vertical="center"/>
    </xf>
    <xf numFmtId="164" fontId="10" fillId="20" borderId="10" xfId="28" applyNumberFormat="1" applyFont="1" applyFill="1" applyBorder="1" applyAlignment="1">
      <alignment horizontal="right" vertical="center"/>
    </xf>
    <xf numFmtId="0" fontId="6" fillId="19" borderId="11" xfId="0" applyFont="1" applyFill="1" applyBorder="1" applyAlignment="1">
      <alignment horizontal="center"/>
    </xf>
    <xf numFmtId="4" fontId="10" fillId="20" borderId="11" xfId="0" applyNumberFormat="1" applyFont="1" applyFill="1" applyBorder="1" applyAlignment="1">
      <alignment horizontal="right" vertical="center"/>
    </xf>
    <xf numFmtId="4" fontId="6" fillId="0" borderId="11" xfId="0" applyNumberFormat="1" applyFont="1" applyBorder="1" applyAlignment="1">
      <alignment horizontal="right" vertical="center"/>
    </xf>
    <xf numFmtId="4" fontId="6" fillId="20" borderId="11" xfId="0" applyNumberFormat="1" applyFont="1" applyFill="1" applyBorder="1" applyAlignment="1">
      <alignment horizontal="right" vertical="center"/>
    </xf>
    <xf numFmtId="4" fontId="6" fillId="22" borderId="11" xfId="0" applyNumberFormat="1" applyFont="1" applyFill="1" applyBorder="1" applyAlignment="1">
      <alignment horizontal="right" vertical="center"/>
    </xf>
    <xf numFmtId="4" fontId="10" fillId="23" borderId="11" xfId="0" applyNumberFormat="1" applyFont="1" applyFill="1" applyBorder="1" applyAlignment="1">
      <alignment horizontal="right" vertical="center"/>
    </xf>
    <xf numFmtId="164" fontId="10" fillId="22" borderId="10" xfId="28" applyNumberFormat="1" applyFont="1" applyFill="1" applyBorder="1" applyAlignment="1">
      <alignment horizontal="right" vertical="center"/>
    </xf>
    <xf numFmtId="164" fontId="10" fillId="22" borderId="10" xfId="0" applyNumberFormat="1" applyFont="1" applyFill="1" applyBorder="1" applyAlignment="1">
      <alignment horizontal="right" vertical="center"/>
    </xf>
    <xf numFmtId="164" fontId="10" fillId="23" borderId="10" xfId="0" applyNumberFormat="1" applyFont="1" applyFill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4" fontId="8" fillId="0" borderId="1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4" fontId="31" fillId="0" borderId="10" xfId="0" applyNumberFormat="1" applyFont="1" applyFill="1" applyBorder="1" applyAlignment="1">
      <alignment horizontal="right" vertical="center"/>
    </xf>
    <xf numFmtId="0" fontId="8" fillId="0" borderId="0" xfId="0" applyFont="1"/>
    <xf numFmtId="0" fontId="31" fillId="20" borderId="10" xfId="0" applyFont="1" applyFill="1" applyBorder="1" applyAlignment="1">
      <alignment horizontal="left" vertical="center" wrapText="1"/>
    </xf>
    <xf numFmtId="4" fontId="31" fillId="20" borderId="1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 indent="1"/>
    </xf>
    <xf numFmtId="4" fontId="5" fillId="0" borderId="10" xfId="0" applyNumberFormat="1" applyFont="1" applyFill="1" applyBorder="1" applyAlignment="1">
      <alignment horizontal="right" vertical="center"/>
    </xf>
    <xf numFmtId="0" fontId="5" fillId="20" borderId="10" xfId="0" applyFont="1" applyFill="1" applyBorder="1" applyAlignment="1">
      <alignment horizontal="left" vertical="center" wrapText="1" indent="1"/>
    </xf>
    <xf numFmtId="4" fontId="5" fillId="20" borderId="10" xfId="0" applyNumberFormat="1" applyFont="1" applyFill="1" applyBorder="1" applyAlignment="1">
      <alignment horizontal="right" vertical="center"/>
    </xf>
    <xf numFmtId="4" fontId="31" fillId="0" borderId="12" xfId="0" applyNumberFormat="1" applyFont="1" applyFill="1" applyBorder="1" applyAlignment="1">
      <alignment horizontal="right" vertical="center"/>
    </xf>
    <xf numFmtId="164" fontId="8" fillId="0" borderId="0" xfId="0" applyNumberFormat="1" applyFont="1"/>
    <xf numFmtId="4" fontId="5" fillId="0" borderId="13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 indent="2"/>
    </xf>
    <xf numFmtId="4" fontId="5" fillId="20" borderId="13" xfId="0" applyNumberFormat="1" applyFont="1" applyFill="1" applyBorder="1" applyAlignment="1">
      <alignment horizontal="right" vertical="center"/>
    </xf>
    <xf numFmtId="4" fontId="31" fillId="0" borderId="13" xfId="0" applyNumberFormat="1" applyFont="1" applyFill="1" applyBorder="1" applyAlignment="1">
      <alignment horizontal="right" vertical="center"/>
    </xf>
    <xf numFmtId="164" fontId="8" fillId="0" borderId="0" xfId="0" applyNumberFormat="1" applyFont="1" applyFill="1"/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indent="1"/>
    </xf>
    <xf numFmtId="0" fontId="31" fillId="0" borderId="10" xfId="0" applyFont="1" applyFill="1" applyBorder="1" applyAlignment="1">
      <alignment horizontal="left" vertical="center" wrapText="1" indent="1"/>
    </xf>
    <xf numFmtId="0" fontId="8" fillId="19" borderId="10" xfId="0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 vertical="center" wrapText="1"/>
    </xf>
    <xf numFmtId="0" fontId="8" fillId="19" borderId="10" xfId="0" applyFont="1" applyFill="1" applyBorder="1" applyAlignment="1">
      <alignment horizontal="center" vertical="center"/>
    </xf>
    <xf numFmtId="0" fontId="5" fillId="19" borderId="10" xfId="0" applyFont="1" applyFill="1" applyBorder="1" applyAlignment="1">
      <alignment horizontal="center" vertical="center"/>
    </xf>
    <xf numFmtId="4" fontId="35" fillId="0" borderId="14" xfId="0" applyNumberFormat="1" applyFont="1" applyBorder="1" applyAlignment="1">
      <alignment horizontal="right" vertical="center"/>
    </xf>
    <xf numFmtId="4" fontId="35" fillId="20" borderId="10" xfId="0" applyNumberFormat="1" applyFont="1" applyFill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4" fontId="8" fillId="20" borderId="10" xfId="0" applyNumberFormat="1" applyFont="1" applyFill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19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5" fillId="19" borderId="10" xfId="0" applyFont="1" applyFill="1" applyBorder="1" applyAlignment="1">
      <alignment horizontal="center" vertical="center" wrapText="1"/>
    </xf>
    <xf numFmtId="0" fontId="8" fillId="19" borderId="10" xfId="0" applyNumberFormat="1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/>
    </xf>
    <xf numFmtId="0" fontId="8" fillId="19" borderId="10" xfId="0" applyFont="1" applyFill="1" applyBorder="1" applyAlignment="1">
      <alignment horizontal="center"/>
    </xf>
    <xf numFmtId="0" fontId="32" fillId="0" borderId="0" xfId="0" applyFont="1" applyAlignment="1">
      <alignment horizontal="center" vertical="center" wrapText="1"/>
    </xf>
    <xf numFmtId="4" fontId="12" fillId="23" borderId="10" xfId="0" applyNumberFormat="1" applyFont="1" applyFill="1" applyBorder="1" applyAlignment="1">
      <alignment horizontal="right" vertical="center"/>
    </xf>
    <xf numFmtId="164" fontId="12" fillId="23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164" fontId="4" fillId="23" borderId="10" xfId="0" applyNumberFormat="1" applyFont="1" applyFill="1" applyBorder="1" applyAlignment="1">
      <alignment horizontal="right" vertical="center"/>
    </xf>
    <xf numFmtId="4" fontId="10" fillId="23" borderId="10" xfId="0" applyNumberFormat="1" applyFont="1" applyFill="1" applyBorder="1" applyAlignment="1">
      <alignment horizontal="right" vertical="center"/>
    </xf>
    <xf numFmtId="4" fontId="12" fillId="23" borderId="10" xfId="0" applyNumberFormat="1" applyFont="1" applyFill="1" applyBorder="1" applyAlignment="1">
      <alignment horizontal="right" vertical="center" wrapText="1"/>
    </xf>
    <xf numFmtId="164" fontId="10" fillId="0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1" xfId="0" applyNumberFormat="1" applyFont="1" applyFill="1" applyBorder="1" applyAlignment="1">
      <alignment horizontal="right" vertical="center"/>
    </xf>
    <xf numFmtId="164" fontId="10" fillId="0" borderId="10" xfId="28" applyNumberFormat="1" applyFont="1" applyFill="1" applyBorder="1" applyAlignment="1">
      <alignment horizontal="right" vertical="center"/>
    </xf>
    <xf numFmtId="0" fontId="39" fillId="0" borderId="0" xfId="0" applyFont="1" applyAlignment="1">
      <alignment vertical="center"/>
    </xf>
    <xf numFmtId="164" fontId="4" fillId="22" borderId="10" xfId="0" applyNumberFormat="1" applyFont="1" applyFill="1" applyBorder="1" applyAlignment="1">
      <alignment horizontal="right" vertical="center"/>
    </xf>
    <xf numFmtId="4" fontId="12" fillId="23" borderId="10" xfId="0" applyNumberFormat="1" applyFont="1" applyFill="1" applyBorder="1" applyAlignment="1">
      <alignment horizontal="right" vertical="center" wrapText="1"/>
    </xf>
    <xf numFmtId="4" fontId="10" fillId="23" borderId="10" xfId="0" applyNumberFormat="1" applyFont="1" applyFill="1" applyBorder="1" applyAlignment="1">
      <alignment horizontal="right" vertical="center"/>
    </xf>
    <xf numFmtId="0" fontId="8" fillId="19" borderId="11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right" vertical="center"/>
    </xf>
    <xf numFmtId="4" fontId="12" fillId="0" borderId="16" xfId="0" applyNumberFormat="1" applyFont="1" applyFill="1" applyBorder="1" applyAlignment="1">
      <alignment horizontal="right" vertical="center" wrapText="1"/>
    </xf>
    <xf numFmtId="4" fontId="12" fillId="0" borderId="17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right" vertical="center"/>
    </xf>
    <xf numFmtId="4" fontId="10" fillId="23" borderId="10" xfId="0" applyNumberFormat="1" applyFont="1" applyFill="1" applyBorder="1" applyAlignment="1">
      <alignment vertical="center"/>
    </xf>
    <xf numFmtId="4" fontId="12" fillId="23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1" xfId="0" applyNumberFormat="1" applyFont="1" applyFill="1" applyBorder="1" applyAlignment="1">
      <alignment vertical="center" wrapText="1"/>
    </xf>
    <xf numFmtId="4" fontId="4" fillId="0" borderId="16" xfId="0" applyNumberFormat="1" applyFont="1" applyFill="1" applyBorder="1" applyAlignment="1">
      <alignment vertical="center" wrapText="1"/>
    </xf>
    <xf numFmtId="0" fontId="8" fillId="19" borderId="10" xfId="0" applyFont="1" applyFill="1" applyBorder="1" applyAlignment="1">
      <alignment vertical="center"/>
    </xf>
    <xf numFmtId="4" fontId="6" fillId="22" borderId="10" xfId="0" applyNumberFormat="1" applyFont="1" applyFill="1" applyBorder="1" applyAlignment="1">
      <alignment horizontal="right" vertical="center"/>
    </xf>
    <xf numFmtId="4" fontId="6" fillId="20" borderId="10" xfId="0" applyNumberFormat="1" applyFont="1" applyFill="1" applyBorder="1" applyAlignment="1">
      <alignment horizontal="right" vertical="center"/>
    </xf>
    <xf numFmtId="4" fontId="9" fillId="20" borderId="11" xfId="0" applyNumberFormat="1" applyFont="1" applyFill="1" applyBorder="1" applyAlignment="1">
      <alignment vertical="center"/>
    </xf>
    <xf numFmtId="4" fontId="9" fillId="20" borderId="18" xfId="0" applyNumberFormat="1" applyFont="1" applyFill="1" applyBorder="1" applyAlignment="1">
      <alignment vertical="center"/>
    </xf>
    <xf numFmtId="4" fontId="9" fillId="20" borderId="13" xfId="0" applyNumberFormat="1" applyFont="1" applyFill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4" fontId="8" fillId="0" borderId="18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20" borderId="11" xfId="0" applyNumberFormat="1" applyFont="1" applyFill="1" applyBorder="1" applyAlignment="1">
      <alignment vertical="center"/>
    </xf>
    <xf numFmtId="4" fontId="8" fillId="20" borderId="18" xfId="0" applyNumberFormat="1" applyFont="1" applyFill="1" applyBorder="1" applyAlignment="1">
      <alignment vertical="center"/>
    </xf>
    <xf numFmtId="4" fontId="8" fillId="20" borderId="13" xfId="0" applyNumberFormat="1" applyFont="1" applyFill="1" applyBorder="1" applyAlignment="1">
      <alignment vertical="center"/>
    </xf>
    <xf numFmtId="4" fontId="8" fillId="21" borderId="11" xfId="0" applyNumberFormat="1" applyFont="1" applyFill="1" applyBorder="1" applyAlignment="1">
      <alignment vertical="center"/>
    </xf>
    <xf numFmtId="4" fontId="8" fillId="21" borderId="18" xfId="0" applyNumberFormat="1" applyFont="1" applyFill="1" applyBorder="1" applyAlignment="1">
      <alignment vertical="center"/>
    </xf>
    <xf numFmtId="4" fontId="8" fillId="21" borderId="13" xfId="0" applyNumberFormat="1" applyFont="1" applyFill="1" applyBorder="1" applyAlignment="1">
      <alignment vertical="center"/>
    </xf>
    <xf numFmtId="4" fontId="12" fillId="23" borderId="10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4" fontId="4" fillId="23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23" borderId="10" xfId="0" applyFont="1" applyFill="1" applyBorder="1" applyAlignment="1">
      <alignment vertical="center" wrapText="1"/>
    </xf>
    <xf numFmtId="0" fontId="7" fillId="23" borderId="10" xfId="0" applyFont="1" applyFill="1" applyBorder="1" applyAlignment="1">
      <alignment horizontal="left"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Fill="1" applyBorder="1" applyAlignment="1">
      <alignment horizontal="left" vertical="top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4" fontId="10" fillId="20" borderId="11" xfId="0" applyNumberFormat="1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0" fillId="23" borderId="11" xfId="0" applyNumberFormat="1" applyFont="1" applyFill="1" applyBorder="1" applyAlignment="1">
      <alignment horizontal="center" vertical="center"/>
    </xf>
    <xf numFmtId="4" fontId="6" fillId="22" borderId="11" xfId="0" applyNumberFormat="1" applyFont="1" applyFill="1" applyBorder="1" applyAlignment="1">
      <alignment horizontal="center" vertical="center"/>
    </xf>
    <xf numFmtId="0" fontId="9" fillId="20" borderId="10" xfId="0" applyFont="1" applyFill="1" applyBorder="1" applyAlignment="1">
      <alignment vertical="center" wrapText="1"/>
    </xf>
    <xf numFmtId="0" fontId="38" fillId="23" borderId="10" xfId="39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8" fillId="0" borderId="10" xfId="39" applyFont="1" applyBorder="1" applyAlignment="1">
      <alignment horizontal="left" vertical="center" wrapText="1" indent="1"/>
    </xf>
    <xf numFmtId="0" fontId="36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2" fillId="0" borderId="0" xfId="39" applyFont="1" applyFill="1" applyAlignment="1">
      <alignment horizontal="center" vertical="center"/>
    </xf>
    <xf numFmtId="0" fontId="40" fillId="0" borderId="0" xfId="0" applyFont="1"/>
    <xf numFmtId="4" fontId="8" fillId="0" borderId="11" xfId="0" applyNumberFormat="1" applyFont="1" applyFill="1" applyBorder="1" applyAlignment="1">
      <alignment vertical="center"/>
    </xf>
    <xf numFmtId="4" fontId="8" fillId="0" borderId="18" xfId="0" applyNumberFormat="1" applyFont="1" applyFill="1" applyBorder="1" applyAlignment="1">
      <alignment vertical="center"/>
    </xf>
    <xf numFmtId="4" fontId="8" fillId="0" borderId="13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/>
    <xf numFmtId="0" fontId="31" fillId="19" borderId="10" xfId="0" applyFont="1" applyFill="1" applyBorder="1" applyAlignment="1">
      <alignment horizontal="center" vertical="center"/>
    </xf>
    <xf numFmtId="0" fontId="8" fillId="19" borderId="11" xfId="0" applyFont="1" applyFill="1" applyBorder="1" applyAlignment="1">
      <alignment horizontal="center" vertical="center" wrapText="1"/>
    </xf>
    <xf numFmtId="0" fontId="8" fillId="19" borderId="10" xfId="0" applyFont="1" applyFill="1" applyBorder="1" applyAlignment="1">
      <alignment horizontal="center" vertical="center"/>
    </xf>
    <xf numFmtId="0" fontId="8" fillId="19" borderId="13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/>
    </xf>
    <xf numFmtId="0" fontId="5" fillId="19" borderId="18" xfId="0" applyFont="1" applyFill="1" applyBorder="1" applyAlignment="1">
      <alignment horizontal="center" vertical="center"/>
    </xf>
    <xf numFmtId="0" fontId="5" fillId="19" borderId="13" xfId="0" applyFont="1" applyFill="1" applyBorder="1" applyAlignment="1">
      <alignment horizontal="center" vertical="center"/>
    </xf>
    <xf numFmtId="0" fontId="5" fillId="19" borderId="16" xfId="0" applyFont="1" applyFill="1" applyBorder="1" applyAlignment="1">
      <alignment horizontal="center" vertical="center"/>
    </xf>
    <xf numFmtId="0" fontId="5" fillId="19" borderId="17" xfId="0" applyFont="1" applyFill="1" applyBorder="1" applyAlignment="1">
      <alignment horizontal="center" vertical="center"/>
    </xf>
    <xf numFmtId="0" fontId="5" fillId="19" borderId="19" xfId="0" applyFont="1" applyFill="1" applyBorder="1" applyAlignment="1">
      <alignment horizontal="center" vertical="center"/>
    </xf>
    <xf numFmtId="0" fontId="5" fillId="19" borderId="22" xfId="0" applyFont="1" applyFill="1" applyBorder="1" applyAlignment="1">
      <alignment horizontal="center" vertical="center"/>
    </xf>
    <xf numFmtId="0" fontId="5" fillId="19" borderId="23" xfId="0" applyFont="1" applyFill="1" applyBorder="1" applyAlignment="1">
      <alignment horizontal="center" vertical="center"/>
    </xf>
    <xf numFmtId="0" fontId="5" fillId="19" borderId="12" xfId="0" applyFont="1" applyFill="1" applyBorder="1" applyAlignment="1">
      <alignment horizontal="center" vertical="center"/>
    </xf>
    <xf numFmtId="0" fontId="5" fillId="19" borderId="10" xfId="0" applyFont="1" applyFill="1" applyBorder="1" applyAlignment="1">
      <alignment horizontal="center" vertical="center"/>
    </xf>
    <xf numFmtId="0" fontId="8" fillId="19" borderId="10" xfId="0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right" vertical="center" wrapText="1"/>
    </xf>
    <xf numFmtId="0" fontId="8" fillId="19" borderId="13" xfId="0" applyFont="1" applyFill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0" fontId="8" fillId="19" borderId="16" xfId="0" applyFont="1" applyFill="1" applyBorder="1" applyAlignment="1">
      <alignment horizontal="center" vertical="center"/>
    </xf>
    <xf numFmtId="0" fontId="8" fillId="19" borderId="17" xfId="0" applyFont="1" applyFill="1" applyBorder="1" applyAlignment="1">
      <alignment horizontal="center" vertical="center"/>
    </xf>
    <xf numFmtId="0" fontId="8" fillId="19" borderId="19" xfId="0" applyFont="1" applyFill="1" applyBorder="1" applyAlignment="1">
      <alignment horizontal="center" vertical="center"/>
    </xf>
    <xf numFmtId="0" fontId="8" fillId="19" borderId="20" xfId="0" applyFont="1" applyFill="1" applyBorder="1" applyAlignment="1">
      <alignment horizontal="center" vertical="center"/>
    </xf>
    <xf numFmtId="0" fontId="8" fillId="19" borderId="0" xfId="0" applyFont="1" applyFill="1" applyBorder="1" applyAlignment="1">
      <alignment horizontal="center" vertical="center"/>
    </xf>
    <xf numFmtId="0" fontId="8" fillId="19" borderId="21" xfId="0" applyFont="1" applyFill="1" applyBorder="1" applyAlignment="1">
      <alignment horizontal="center" vertical="center"/>
    </xf>
    <xf numFmtId="0" fontId="8" fillId="19" borderId="22" xfId="0" applyFont="1" applyFill="1" applyBorder="1" applyAlignment="1">
      <alignment horizontal="center" vertical="center"/>
    </xf>
    <xf numFmtId="0" fontId="8" fillId="19" borderId="23" xfId="0" applyFont="1" applyFill="1" applyBorder="1" applyAlignment="1">
      <alignment horizontal="center" vertical="center"/>
    </xf>
    <xf numFmtId="0" fontId="8" fillId="19" borderId="12" xfId="0" applyFont="1" applyFill="1" applyBorder="1" applyAlignment="1">
      <alignment horizontal="center" vertical="center"/>
    </xf>
    <xf numFmtId="0" fontId="5" fillId="19" borderId="10" xfId="0" applyFont="1" applyFill="1" applyBorder="1" applyAlignment="1">
      <alignment horizontal="center" vertical="center" wrapText="1"/>
    </xf>
    <xf numFmtId="0" fontId="8" fillId="19" borderId="15" xfId="0" applyFont="1" applyFill="1" applyBorder="1" applyAlignment="1">
      <alignment horizontal="center" vertical="center" wrapText="1"/>
    </xf>
    <xf numFmtId="0" fontId="8" fillId="19" borderId="24" xfId="0" applyFont="1" applyFill="1" applyBorder="1" applyAlignment="1">
      <alignment horizontal="center" vertical="center" wrapText="1"/>
    </xf>
    <xf numFmtId="0" fontId="8" fillId="19" borderId="14" xfId="0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left" vertical="center"/>
    </xf>
    <xf numFmtId="4" fontId="5" fillId="0" borderId="18" xfId="0" applyNumberFormat="1" applyFont="1" applyBorder="1" applyAlignment="1">
      <alignment horizontal="left" vertical="center"/>
    </xf>
    <xf numFmtId="4" fontId="5" fillId="0" borderId="13" xfId="0" applyNumberFormat="1" applyFont="1" applyBorder="1" applyAlignment="1">
      <alignment horizontal="left" vertical="center"/>
    </xf>
    <xf numFmtId="4" fontId="5" fillId="20" borderId="11" xfId="0" applyNumberFormat="1" applyFont="1" applyFill="1" applyBorder="1" applyAlignment="1">
      <alignment horizontal="left" vertical="center"/>
    </xf>
    <xf numFmtId="4" fontId="5" fillId="20" borderId="18" xfId="0" applyNumberFormat="1" applyFont="1" applyFill="1" applyBorder="1" applyAlignment="1">
      <alignment horizontal="left" vertical="center"/>
    </xf>
    <xf numFmtId="4" fontId="5" fillId="20" borderId="13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4" fontId="31" fillId="20" borderId="10" xfId="0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9" fillId="20" borderId="10" xfId="0" applyFont="1" applyFill="1" applyBorder="1" applyAlignment="1">
      <alignment horizontal="left" vertical="center" wrapText="1"/>
    </xf>
    <xf numFmtId="0" fontId="9" fillId="20" borderId="10" xfId="0" applyFont="1" applyFill="1" applyBorder="1" applyAlignment="1">
      <alignment horizontal="left" vertical="center"/>
    </xf>
    <xf numFmtId="4" fontId="31" fillId="0" borderId="11" xfId="0" applyNumberFormat="1" applyFont="1" applyBorder="1" applyAlignment="1">
      <alignment horizontal="left" vertical="center"/>
    </xf>
    <xf numFmtId="4" fontId="31" fillId="0" borderId="18" xfId="0" applyNumberFormat="1" applyFont="1" applyBorder="1" applyAlignment="1">
      <alignment horizontal="left" vertical="center"/>
    </xf>
    <xf numFmtId="4" fontId="31" fillId="0" borderId="13" xfId="0" applyNumberFormat="1" applyFont="1" applyBorder="1" applyAlignment="1">
      <alignment horizontal="left" vertical="center"/>
    </xf>
    <xf numFmtId="3" fontId="31" fillId="0" borderId="11" xfId="0" applyNumberFormat="1" applyFont="1" applyFill="1" applyBorder="1" applyAlignment="1">
      <alignment horizontal="left" vertical="center" wrapText="1"/>
    </xf>
    <xf numFmtId="0" fontId="33" fillId="0" borderId="18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4" fontId="8" fillId="0" borderId="11" xfId="0" applyNumberFormat="1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left" vertical="center"/>
    </xf>
    <xf numFmtId="4" fontId="8" fillId="0" borderId="13" xfId="0" applyNumberFormat="1" applyFont="1" applyBorder="1" applyAlignment="1">
      <alignment horizontal="left" vertical="center"/>
    </xf>
    <xf numFmtId="0" fontId="6" fillId="19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20" borderId="11" xfId="0" applyFont="1" applyFill="1" applyBorder="1" applyAlignment="1">
      <alignment horizontal="left" vertical="center" wrapText="1"/>
    </xf>
    <xf numFmtId="0" fontId="9" fillId="20" borderId="13" xfId="0" applyFont="1" applyFill="1" applyBorder="1" applyAlignment="1">
      <alignment horizontal="left" vertical="center" wrapText="1"/>
    </xf>
    <xf numFmtId="0" fontId="9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4" fontId="5" fillId="0" borderId="10" xfId="0" applyNumberFormat="1" applyFont="1" applyBorder="1" applyAlignment="1">
      <alignment horizontal="left" vertical="center"/>
    </xf>
    <xf numFmtId="4" fontId="5" fillId="20" borderId="10" xfId="0" applyNumberFormat="1" applyFont="1" applyFill="1" applyBorder="1" applyAlignment="1">
      <alignment horizontal="left" vertical="center" wrapText="1"/>
    </xf>
    <xf numFmtId="4" fontId="5" fillId="20" borderId="11" xfId="0" applyNumberFormat="1" applyFont="1" applyFill="1" applyBorder="1" applyAlignment="1">
      <alignment horizontal="left" vertical="center" wrapText="1"/>
    </xf>
    <xf numFmtId="4" fontId="5" fillId="20" borderId="18" xfId="0" applyNumberFormat="1" applyFont="1" applyFill="1" applyBorder="1" applyAlignment="1">
      <alignment horizontal="left" vertical="center" wrapText="1"/>
    </xf>
    <xf numFmtId="4" fontId="5" fillId="20" borderId="13" xfId="0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4" fontId="31" fillId="20" borderId="11" xfId="0" applyNumberFormat="1" applyFont="1" applyFill="1" applyBorder="1" applyAlignment="1">
      <alignment horizontal="left" vertical="center"/>
    </xf>
    <xf numFmtId="4" fontId="31" fillId="20" borderId="18" xfId="0" applyNumberFormat="1" applyFont="1" applyFill="1" applyBorder="1" applyAlignment="1">
      <alignment horizontal="left" vertical="center"/>
    </xf>
    <xf numFmtId="4" fontId="31" fillId="20" borderId="13" xfId="0" applyNumberFormat="1" applyFont="1" applyFill="1" applyBorder="1" applyAlignment="1">
      <alignment horizontal="left" vertical="center"/>
    </xf>
    <xf numFmtId="3" fontId="5" fillId="0" borderId="11" xfId="0" applyNumberFormat="1" applyFont="1" applyFill="1" applyBorder="1" applyAlignment="1">
      <alignment horizontal="left" vertical="top" wrapText="1"/>
    </xf>
    <xf numFmtId="0" fontId="34" fillId="0" borderId="18" xfId="0" applyFont="1" applyBorder="1" applyAlignment="1">
      <alignment vertical="top" wrapText="1"/>
    </xf>
    <xf numFmtId="0" fontId="34" fillId="0" borderId="13" xfId="0" applyFont="1" applyBorder="1" applyAlignment="1">
      <alignment vertical="top" wrapText="1"/>
    </xf>
    <xf numFmtId="4" fontId="35" fillId="0" borderId="10" xfId="0" applyNumberFormat="1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left" vertical="center" wrapText="1"/>
    </xf>
    <xf numFmtId="0" fontId="6" fillId="19" borderId="10" xfId="0" applyFont="1" applyFill="1" applyBorder="1" applyAlignment="1">
      <alignment horizontal="center" vertical="top" wrapText="1"/>
    </xf>
    <xf numFmtId="0" fontId="6" fillId="21" borderId="10" xfId="0" applyFont="1" applyFill="1" applyBorder="1" applyAlignment="1">
      <alignment horizontal="left" vertical="center" wrapText="1"/>
    </xf>
    <xf numFmtId="0" fontId="6" fillId="21" borderId="10" xfId="0" applyFont="1" applyFill="1" applyBorder="1" applyAlignment="1">
      <alignment horizontal="left" vertical="center" wrapText="1" indent="1"/>
    </xf>
    <xf numFmtId="166" fontId="2" fillId="0" borderId="11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ny" xfId="0" builtinId="0"/>
    <cellStyle name="Normalny 2" xfId="39"/>
    <cellStyle name="Normalny 2 2" xfId="40"/>
    <cellStyle name="Note" xfId="41"/>
    <cellStyle name="Output" xfId="42"/>
    <cellStyle name="Title" xfId="43"/>
    <cellStyle name="Total" xfId="44"/>
    <cellStyle name="Warning Text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99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5.7109375" style="1" customWidth="1"/>
    <col min="5" max="9" width="15.7109375" style="1" customWidth="1" outlineLevel="1"/>
    <col min="10" max="10" width="13" style="1" customWidth="1"/>
    <col min="11" max="11" width="9.7109375" style="1" customWidth="1"/>
    <col min="12" max="12" width="10.140625" style="1" customWidth="1"/>
    <col min="13" max="13" width="8.140625" style="1" customWidth="1"/>
    <col min="14" max="16384" width="9.140625" style="1"/>
  </cols>
  <sheetData>
    <row r="1" spans="2:12" ht="18" customHeight="1" x14ac:dyDescent="0.2">
      <c r="B1" s="168" t="str">
        <f>CONCATENATE("Informacja z wykonania budżetów związków jednostek samorządu terytorialnego za ",$D$96," ",$C$97," rok    ",$C$99,"")</f>
        <v>Informacja z wykonania budżetów związków jednostek samorządu terytorialnego za II Kwartały 2023 rok    =""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2:12" ht="13.5" customHeight="1" x14ac:dyDescent="0.2"/>
    <row r="3" spans="2:12" ht="66.75" customHeight="1" x14ac:dyDescent="0.2">
      <c r="B3" s="182" t="s">
        <v>0</v>
      </c>
      <c r="C3" s="76" t="s">
        <v>202</v>
      </c>
      <c r="D3" s="76" t="s">
        <v>203</v>
      </c>
      <c r="E3" s="16" t="s">
        <v>239</v>
      </c>
      <c r="F3" s="16" t="s">
        <v>240</v>
      </c>
      <c r="G3" s="16" t="s">
        <v>241</v>
      </c>
      <c r="H3" s="16" t="s">
        <v>242</v>
      </c>
      <c r="I3" s="16" t="s">
        <v>243</v>
      </c>
      <c r="J3" s="78" t="s">
        <v>2</v>
      </c>
      <c r="K3" s="76" t="s">
        <v>54</v>
      </c>
      <c r="L3" s="76" t="s">
        <v>3</v>
      </c>
    </row>
    <row r="4" spans="2:12" x14ac:dyDescent="0.2">
      <c r="B4" s="182"/>
      <c r="C4" s="188" t="s">
        <v>164</v>
      </c>
      <c r="D4" s="190"/>
      <c r="E4" s="191" t="s">
        <v>238</v>
      </c>
      <c r="F4" s="192"/>
      <c r="G4" s="192"/>
      <c r="H4" s="192"/>
      <c r="I4" s="193"/>
      <c r="J4" s="188" t="s">
        <v>4</v>
      </c>
      <c r="K4" s="189"/>
      <c r="L4" s="190"/>
    </row>
    <row r="5" spans="2:12" x14ac:dyDescent="0.2">
      <c r="B5" s="78">
        <v>1</v>
      </c>
      <c r="C5" s="77">
        <v>2</v>
      </c>
      <c r="D5" s="77">
        <v>3</v>
      </c>
      <c r="E5" s="194"/>
      <c r="F5" s="195"/>
      <c r="G5" s="195"/>
      <c r="H5" s="195"/>
      <c r="I5" s="196"/>
      <c r="J5" s="77">
        <v>4</v>
      </c>
      <c r="K5" s="77">
        <v>5</v>
      </c>
      <c r="L5" s="77">
        <v>6</v>
      </c>
    </row>
    <row r="6" spans="2:12" ht="14.1" customHeight="1" x14ac:dyDescent="0.2">
      <c r="B6" s="148" t="s">
        <v>5</v>
      </c>
      <c r="C6" s="93">
        <f>4107256492.7</f>
        <v>4107256492.6999998</v>
      </c>
      <c r="D6" s="93">
        <f>1847811424.18</f>
        <v>1847811424.1800001</v>
      </c>
      <c r="E6" s="142" t="s">
        <v>238</v>
      </c>
      <c r="F6" s="142" t="s">
        <v>238</v>
      </c>
      <c r="G6" s="142" t="s">
        <v>238</v>
      </c>
      <c r="H6" s="142" t="s">
        <v>238</v>
      </c>
      <c r="I6" s="142" t="s">
        <v>238</v>
      </c>
      <c r="J6" s="94">
        <f t="shared" ref="J6:J40" si="0">IF($D$6=0,"",100*$D6/$D$6)</f>
        <v>100</v>
      </c>
      <c r="K6" s="94">
        <f t="shared" ref="K6:K40" si="1">IF(C6=0,"",100*D6/C6)</f>
        <v>44.988946452801116</v>
      </c>
      <c r="L6" s="94"/>
    </row>
    <row r="7" spans="2:12" ht="27" customHeight="1" x14ac:dyDescent="0.2">
      <c r="B7" s="150" t="s">
        <v>141</v>
      </c>
      <c r="C7" s="21">
        <f>C6-C13</f>
        <v>3584396668.4399996</v>
      </c>
      <c r="D7" s="21">
        <f>D6-D13</f>
        <v>1741139895.1400001</v>
      </c>
      <c r="E7" s="142" t="s">
        <v>238</v>
      </c>
      <c r="F7" s="142" t="s">
        <v>238</v>
      </c>
      <c r="G7" s="142" t="s">
        <v>238</v>
      </c>
      <c r="H7" s="142" t="s">
        <v>238</v>
      </c>
      <c r="I7" s="142" t="s">
        <v>238</v>
      </c>
      <c r="J7" s="29">
        <f t="shared" si="0"/>
        <v>94.22714203169636</v>
      </c>
      <c r="K7" s="29">
        <f t="shared" si="1"/>
        <v>48.57553603010625</v>
      </c>
      <c r="L7" s="29">
        <f t="shared" ref="L7:L12" si="2">IF($D$7=0,"",100*$D7/$D$7)</f>
        <v>100</v>
      </c>
    </row>
    <row r="8" spans="2:12" ht="22.5" outlineLevel="1" x14ac:dyDescent="0.2">
      <c r="B8" s="24" t="s">
        <v>221</v>
      </c>
      <c r="C8" s="95">
        <f>375699286</f>
        <v>375699286</v>
      </c>
      <c r="D8" s="96">
        <f>187849638</f>
        <v>187849638</v>
      </c>
      <c r="E8" s="143" t="s">
        <v>238</v>
      </c>
      <c r="F8" s="143" t="s">
        <v>238</v>
      </c>
      <c r="G8" s="143" t="s">
        <v>238</v>
      </c>
      <c r="H8" s="143" t="s">
        <v>238</v>
      </c>
      <c r="I8" s="143" t="s">
        <v>238</v>
      </c>
      <c r="J8" s="30">
        <f t="shared" si="0"/>
        <v>10.166061078627745</v>
      </c>
      <c r="K8" s="30">
        <f t="shared" si="1"/>
        <v>49.99999866914839</v>
      </c>
      <c r="L8" s="30">
        <f t="shared" si="2"/>
        <v>10.788888275108736</v>
      </c>
    </row>
    <row r="9" spans="2:12" ht="22.5" outlineLevel="1" x14ac:dyDescent="0.2">
      <c r="B9" s="98" t="s">
        <v>218</v>
      </c>
      <c r="C9" s="95">
        <f>1079932554.03</f>
        <v>1079932554.03</v>
      </c>
      <c r="D9" s="96">
        <f>503380005.65</f>
        <v>503380005.64999998</v>
      </c>
      <c r="E9" s="143" t="s">
        <v>238</v>
      </c>
      <c r="F9" s="143" t="s">
        <v>238</v>
      </c>
      <c r="G9" s="143" t="s">
        <v>238</v>
      </c>
      <c r="H9" s="143" t="s">
        <v>238</v>
      </c>
      <c r="I9" s="143" t="s">
        <v>238</v>
      </c>
      <c r="J9" s="30">
        <f t="shared" si="0"/>
        <v>27.241957651245933</v>
      </c>
      <c r="K9" s="30">
        <f t="shared" si="1"/>
        <v>46.61217071117354</v>
      </c>
      <c r="L9" s="30">
        <f t="shared" si="2"/>
        <v>28.910945470554775</v>
      </c>
    </row>
    <row r="10" spans="2:12" ht="33.75" outlineLevel="1" x14ac:dyDescent="0.2">
      <c r="B10" s="98" t="s">
        <v>244</v>
      </c>
      <c r="C10" s="95">
        <f>869520187.01</f>
        <v>869520187.00999999</v>
      </c>
      <c r="D10" s="96">
        <f>443075050.3</f>
        <v>443075050.30000001</v>
      </c>
      <c r="E10" s="143" t="s">
        <v>238</v>
      </c>
      <c r="F10" s="143" t="s">
        <v>238</v>
      </c>
      <c r="G10" s="143" t="s">
        <v>238</v>
      </c>
      <c r="H10" s="143" t="s">
        <v>238</v>
      </c>
      <c r="I10" s="143" t="s">
        <v>238</v>
      </c>
      <c r="J10" s="30">
        <f t="shared" si="0"/>
        <v>23.978369464655877</v>
      </c>
      <c r="K10" s="30">
        <f t="shared" si="1"/>
        <v>50.956269551784928</v>
      </c>
      <c r="L10" s="30">
        <f t="shared" si="2"/>
        <v>25.447412441512839</v>
      </c>
    </row>
    <row r="11" spans="2:12" ht="12.75" customHeight="1" outlineLevel="1" x14ac:dyDescent="0.2">
      <c r="B11" s="98" t="s">
        <v>55</v>
      </c>
      <c r="C11" s="95">
        <f>99782604.52</f>
        <v>99782604.519999996</v>
      </c>
      <c r="D11" s="96">
        <f>53814774.29</f>
        <v>53814774.289999999</v>
      </c>
      <c r="E11" s="143" t="s">
        <v>238</v>
      </c>
      <c r="F11" s="143" t="s">
        <v>238</v>
      </c>
      <c r="G11" s="143" t="s">
        <v>238</v>
      </c>
      <c r="H11" s="143" t="s">
        <v>238</v>
      </c>
      <c r="I11" s="143" t="s">
        <v>238</v>
      </c>
      <c r="J11" s="30">
        <f t="shared" si="0"/>
        <v>2.9123520715259827</v>
      </c>
      <c r="K11" s="30">
        <f t="shared" si="1"/>
        <v>53.932020063891599</v>
      </c>
      <c r="L11" s="30">
        <f t="shared" si="2"/>
        <v>3.0907783136904636</v>
      </c>
    </row>
    <row r="12" spans="2:12" ht="12.75" customHeight="1" outlineLevel="1" x14ac:dyDescent="0.2">
      <c r="B12" s="98" t="s">
        <v>56</v>
      </c>
      <c r="C12" s="95">
        <f>C7-SUM(C8:C11)</f>
        <v>1159462036.8799996</v>
      </c>
      <c r="D12" s="95">
        <f>D7-SUM(D8:D11)</f>
        <v>553020426.9000001</v>
      </c>
      <c r="E12" s="143" t="s">
        <v>238</v>
      </c>
      <c r="F12" s="143" t="s">
        <v>238</v>
      </c>
      <c r="G12" s="143" t="s">
        <v>238</v>
      </c>
      <c r="H12" s="143" t="s">
        <v>238</v>
      </c>
      <c r="I12" s="143" t="s">
        <v>238</v>
      </c>
      <c r="J12" s="30">
        <f t="shared" si="0"/>
        <v>29.928401765640828</v>
      </c>
      <c r="K12" s="30">
        <f t="shared" si="1"/>
        <v>47.696294428761519</v>
      </c>
      <c r="L12" s="30">
        <f t="shared" si="2"/>
        <v>31.761975499133186</v>
      </c>
    </row>
    <row r="13" spans="2:12" ht="27" customHeight="1" x14ac:dyDescent="0.2">
      <c r="B13" s="151" t="s">
        <v>204</v>
      </c>
      <c r="C13" s="93">
        <f>C14+C33+C35</f>
        <v>522859824.25999999</v>
      </c>
      <c r="D13" s="93">
        <f>D14+D33+D35</f>
        <v>106671529.03999999</v>
      </c>
      <c r="E13" s="142" t="s">
        <v>238</v>
      </c>
      <c r="F13" s="142" t="s">
        <v>238</v>
      </c>
      <c r="G13" s="142" t="s">
        <v>238</v>
      </c>
      <c r="H13" s="142" t="s">
        <v>238</v>
      </c>
      <c r="I13" s="142" t="s">
        <v>238</v>
      </c>
      <c r="J13" s="94">
        <f t="shared" si="0"/>
        <v>5.7728579683036338</v>
      </c>
      <c r="K13" s="94">
        <f t="shared" si="1"/>
        <v>20.401553932924852</v>
      </c>
      <c r="L13" s="97"/>
    </row>
    <row r="14" spans="2:12" ht="27" customHeight="1" outlineLevel="1" x14ac:dyDescent="0.2">
      <c r="B14" s="153" t="s">
        <v>142</v>
      </c>
      <c r="C14" s="93">
        <f>C15+C17+C19+C21+C23+C25+C27+C29+C31</f>
        <v>271093209.29000002</v>
      </c>
      <c r="D14" s="93">
        <f>D15+D17+D19+D21+D23+D25+D27+D29+D31</f>
        <v>52723993.18</v>
      </c>
      <c r="E14" s="142" t="s">
        <v>238</v>
      </c>
      <c r="F14" s="142" t="s">
        <v>238</v>
      </c>
      <c r="G14" s="142" t="s">
        <v>238</v>
      </c>
      <c r="H14" s="142" t="s">
        <v>238</v>
      </c>
      <c r="I14" s="142" t="s">
        <v>238</v>
      </c>
      <c r="J14" s="94">
        <f t="shared" si="0"/>
        <v>2.8533210959769466</v>
      </c>
      <c r="K14" s="94">
        <f t="shared" si="1"/>
        <v>19.448658753970811</v>
      </c>
      <c r="L14" s="23"/>
    </row>
    <row r="15" spans="2:12" ht="22.5" outlineLevel="1" x14ac:dyDescent="0.2">
      <c r="B15" s="152" t="s">
        <v>9</v>
      </c>
      <c r="C15" s="95">
        <f>0</f>
        <v>0</v>
      </c>
      <c r="D15" s="95">
        <f>0</f>
        <v>0</v>
      </c>
      <c r="E15" s="143" t="s">
        <v>238</v>
      </c>
      <c r="F15" s="143" t="s">
        <v>238</v>
      </c>
      <c r="G15" s="143" t="s">
        <v>238</v>
      </c>
      <c r="H15" s="143" t="s">
        <v>238</v>
      </c>
      <c r="I15" s="143" t="s">
        <v>238</v>
      </c>
      <c r="J15" s="30">
        <f t="shared" si="0"/>
        <v>0</v>
      </c>
      <c r="K15" s="30" t="str">
        <f t="shared" si="1"/>
        <v/>
      </c>
      <c r="L15" s="23"/>
    </row>
    <row r="16" spans="2:12" ht="12.75" customHeight="1" outlineLevel="1" x14ac:dyDescent="0.2">
      <c r="B16" s="154" t="s">
        <v>6</v>
      </c>
      <c r="C16" s="95">
        <f>0</f>
        <v>0</v>
      </c>
      <c r="D16" s="95">
        <f>0</f>
        <v>0</v>
      </c>
      <c r="E16" s="143" t="s">
        <v>238</v>
      </c>
      <c r="F16" s="143" t="s">
        <v>238</v>
      </c>
      <c r="G16" s="143" t="s">
        <v>238</v>
      </c>
      <c r="H16" s="143" t="s">
        <v>238</v>
      </c>
      <c r="I16" s="143" t="s">
        <v>238</v>
      </c>
      <c r="J16" s="30">
        <f t="shared" si="0"/>
        <v>0</v>
      </c>
      <c r="K16" s="30" t="str">
        <f t="shared" si="1"/>
        <v/>
      </c>
      <c r="L16" s="23"/>
    </row>
    <row r="17" spans="2:12" ht="12.75" customHeight="1" outlineLevel="1" x14ac:dyDescent="0.2">
      <c r="B17" s="152" t="s">
        <v>7</v>
      </c>
      <c r="C17" s="95">
        <f>8694000</f>
        <v>8694000</v>
      </c>
      <c r="D17" s="95">
        <f>4000</f>
        <v>4000</v>
      </c>
      <c r="E17" s="143" t="s">
        <v>238</v>
      </c>
      <c r="F17" s="143" t="s">
        <v>238</v>
      </c>
      <c r="G17" s="143" t="s">
        <v>238</v>
      </c>
      <c r="H17" s="143" t="s">
        <v>238</v>
      </c>
      <c r="I17" s="143" t="s">
        <v>238</v>
      </c>
      <c r="J17" s="30">
        <f t="shared" si="0"/>
        <v>2.1647230597543647E-4</v>
      </c>
      <c r="K17" s="30">
        <f t="shared" si="1"/>
        <v>4.6008741660915571E-2</v>
      </c>
      <c r="L17" s="23"/>
    </row>
    <row r="18" spans="2:12" ht="12.75" customHeight="1" outlineLevel="1" x14ac:dyDescent="0.2">
      <c r="B18" s="154" t="s">
        <v>6</v>
      </c>
      <c r="C18" s="95">
        <f>8690000</f>
        <v>8690000</v>
      </c>
      <c r="D18" s="95">
        <f>0</f>
        <v>0</v>
      </c>
      <c r="E18" s="143" t="s">
        <v>238</v>
      </c>
      <c r="F18" s="143" t="s">
        <v>238</v>
      </c>
      <c r="G18" s="143" t="s">
        <v>238</v>
      </c>
      <c r="H18" s="143" t="s">
        <v>238</v>
      </c>
      <c r="I18" s="143" t="s">
        <v>238</v>
      </c>
      <c r="J18" s="30">
        <f t="shared" si="0"/>
        <v>0</v>
      </c>
      <c r="K18" s="30">
        <f t="shared" si="1"/>
        <v>0</v>
      </c>
      <c r="L18" s="23"/>
    </row>
    <row r="19" spans="2:12" ht="33.75" outlineLevel="1" x14ac:dyDescent="0.2">
      <c r="B19" s="152" t="s">
        <v>10</v>
      </c>
      <c r="C19" s="95">
        <f>0</f>
        <v>0</v>
      </c>
      <c r="D19" s="95">
        <f>0</f>
        <v>0</v>
      </c>
      <c r="E19" s="143" t="s">
        <v>238</v>
      </c>
      <c r="F19" s="143" t="s">
        <v>238</v>
      </c>
      <c r="G19" s="143" t="s">
        <v>238</v>
      </c>
      <c r="H19" s="143" t="s">
        <v>238</v>
      </c>
      <c r="I19" s="143" t="s">
        <v>238</v>
      </c>
      <c r="J19" s="30">
        <f t="shared" si="0"/>
        <v>0</v>
      </c>
      <c r="K19" s="30" t="str">
        <f t="shared" si="1"/>
        <v/>
      </c>
      <c r="L19" s="23"/>
    </row>
    <row r="20" spans="2:12" ht="12.75" customHeight="1" outlineLevel="1" x14ac:dyDescent="0.2">
      <c r="B20" s="154" t="s">
        <v>6</v>
      </c>
      <c r="C20" s="95">
        <f>0</f>
        <v>0</v>
      </c>
      <c r="D20" s="95">
        <f>0</f>
        <v>0</v>
      </c>
      <c r="E20" s="143" t="s">
        <v>238</v>
      </c>
      <c r="F20" s="143" t="s">
        <v>238</v>
      </c>
      <c r="G20" s="143" t="s">
        <v>238</v>
      </c>
      <c r="H20" s="143" t="s">
        <v>238</v>
      </c>
      <c r="I20" s="143" t="s">
        <v>238</v>
      </c>
      <c r="J20" s="30">
        <f t="shared" si="0"/>
        <v>0</v>
      </c>
      <c r="K20" s="30" t="str">
        <f t="shared" si="1"/>
        <v/>
      </c>
      <c r="L20" s="23"/>
    </row>
    <row r="21" spans="2:12" ht="22.5" outlineLevel="1" x14ac:dyDescent="0.2">
      <c r="B21" s="155" t="s">
        <v>11</v>
      </c>
      <c r="C21" s="95">
        <f>25123840.2</f>
        <v>25123840.199999999</v>
      </c>
      <c r="D21" s="95">
        <f>11962937.18</f>
        <v>11962937.18</v>
      </c>
      <c r="E21" s="143" t="s">
        <v>238</v>
      </c>
      <c r="F21" s="143" t="s">
        <v>238</v>
      </c>
      <c r="G21" s="143" t="s">
        <v>238</v>
      </c>
      <c r="H21" s="143" t="s">
        <v>238</v>
      </c>
      <c r="I21" s="143" t="s">
        <v>238</v>
      </c>
      <c r="J21" s="30">
        <f t="shared" si="0"/>
        <v>0.64741114939847122</v>
      </c>
      <c r="K21" s="30">
        <f t="shared" si="1"/>
        <v>47.615878324206186</v>
      </c>
      <c r="L21" s="23"/>
    </row>
    <row r="22" spans="2:12" ht="12.75" customHeight="1" outlineLevel="1" x14ac:dyDescent="0.2">
      <c r="B22" s="154" t="s">
        <v>6</v>
      </c>
      <c r="C22" s="95">
        <f>1533804.2</f>
        <v>1533804.2</v>
      </c>
      <c r="D22" s="95">
        <f>0</f>
        <v>0</v>
      </c>
      <c r="E22" s="143" t="s">
        <v>238</v>
      </c>
      <c r="F22" s="143" t="s">
        <v>238</v>
      </c>
      <c r="G22" s="143" t="s">
        <v>238</v>
      </c>
      <c r="H22" s="143" t="s">
        <v>238</v>
      </c>
      <c r="I22" s="143" t="s">
        <v>238</v>
      </c>
      <c r="J22" s="30">
        <f t="shared" si="0"/>
        <v>0</v>
      </c>
      <c r="K22" s="30">
        <f t="shared" si="1"/>
        <v>0</v>
      </c>
      <c r="L22" s="23"/>
    </row>
    <row r="23" spans="2:12" ht="34.5" customHeight="1" outlineLevel="1" x14ac:dyDescent="0.2">
      <c r="B23" s="155" t="s">
        <v>166</v>
      </c>
      <c r="C23" s="95">
        <f>5819445.63</f>
        <v>5819445.6299999999</v>
      </c>
      <c r="D23" s="95">
        <f>2781208.29</f>
        <v>2781208.29</v>
      </c>
      <c r="E23" s="143" t="s">
        <v>238</v>
      </c>
      <c r="F23" s="143" t="s">
        <v>238</v>
      </c>
      <c r="G23" s="143" t="s">
        <v>238</v>
      </c>
      <c r="H23" s="143" t="s">
        <v>238</v>
      </c>
      <c r="I23" s="143" t="s">
        <v>238</v>
      </c>
      <c r="J23" s="30">
        <f t="shared" si="0"/>
        <v>0.15051364298357511</v>
      </c>
      <c r="K23" s="30">
        <f t="shared" si="1"/>
        <v>47.791636297150184</v>
      </c>
      <c r="L23" s="23"/>
    </row>
    <row r="24" spans="2:12" ht="12.75" customHeight="1" outlineLevel="1" x14ac:dyDescent="0.2">
      <c r="B24" s="154" t="s">
        <v>6</v>
      </c>
      <c r="C24" s="95">
        <f>5270438.63</f>
        <v>5270438.63</v>
      </c>
      <c r="D24" s="95">
        <f>2516931.63</f>
        <v>2516931.63</v>
      </c>
      <c r="E24" s="143" t="s">
        <v>238</v>
      </c>
      <c r="F24" s="143" t="s">
        <v>238</v>
      </c>
      <c r="G24" s="143" t="s">
        <v>238</v>
      </c>
      <c r="H24" s="143" t="s">
        <v>238</v>
      </c>
      <c r="I24" s="143" t="s">
        <v>238</v>
      </c>
      <c r="J24" s="30">
        <f t="shared" si="0"/>
        <v>0.13621149848215353</v>
      </c>
      <c r="K24" s="30">
        <f t="shared" si="1"/>
        <v>47.755638699088692</v>
      </c>
      <c r="L24" s="23"/>
    </row>
    <row r="25" spans="2:12" ht="12.75" customHeight="1" outlineLevel="1" x14ac:dyDescent="0.2">
      <c r="B25" s="152" t="s">
        <v>8</v>
      </c>
      <c r="C25" s="95">
        <f>671820</f>
        <v>671820</v>
      </c>
      <c r="D25" s="95">
        <f>0</f>
        <v>0</v>
      </c>
      <c r="E25" s="143" t="s">
        <v>238</v>
      </c>
      <c r="F25" s="143" t="s">
        <v>238</v>
      </c>
      <c r="G25" s="143" t="s">
        <v>238</v>
      </c>
      <c r="H25" s="143" t="s">
        <v>238</v>
      </c>
      <c r="I25" s="143" t="s">
        <v>238</v>
      </c>
      <c r="J25" s="30">
        <f t="shared" si="0"/>
        <v>0</v>
      </c>
      <c r="K25" s="30">
        <f t="shared" si="1"/>
        <v>0</v>
      </c>
      <c r="L25" s="23"/>
    </row>
    <row r="26" spans="2:12" ht="12.75" customHeight="1" outlineLevel="1" x14ac:dyDescent="0.2">
      <c r="B26" s="154" t="s">
        <v>6</v>
      </c>
      <c r="C26" s="95">
        <f>321820</f>
        <v>321820</v>
      </c>
      <c r="D26" s="95">
        <f>0</f>
        <v>0</v>
      </c>
      <c r="E26" s="143" t="s">
        <v>238</v>
      </c>
      <c r="F26" s="143" t="s">
        <v>238</v>
      </c>
      <c r="G26" s="143" t="s">
        <v>238</v>
      </c>
      <c r="H26" s="143" t="s">
        <v>238</v>
      </c>
      <c r="I26" s="143" t="s">
        <v>238</v>
      </c>
      <c r="J26" s="30">
        <f t="shared" si="0"/>
        <v>0</v>
      </c>
      <c r="K26" s="30">
        <f t="shared" si="1"/>
        <v>0</v>
      </c>
      <c r="L26" s="23"/>
    </row>
    <row r="27" spans="2:12" ht="67.5" outlineLevel="1" x14ac:dyDescent="0.2">
      <c r="B27" s="156" t="s">
        <v>222</v>
      </c>
      <c r="C27" s="95">
        <f>565000</f>
        <v>565000</v>
      </c>
      <c r="D27" s="95">
        <f>0</f>
        <v>0</v>
      </c>
      <c r="E27" s="143" t="s">
        <v>238</v>
      </c>
      <c r="F27" s="143" t="s">
        <v>238</v>
      </c>
      <c r="G27" s="143" t="s">
        <v>238</v>
      </c>
      <c r="H27" s="143" t="s">
        <v>238</v>
      </c>
      <c r="I27" s="143" t="s">
        <v>238</v>
      </c>
      <c r="J27" s="30">
        <f t="shared" si="0"/>
        <v>0</v>
      </c>
      <c r="K27" s="30">
        <f t="shared" si="1"/>
        <v>0</v>
      </c>
      <c r="L27" s="23"/>
    </row>
    <row r="28" spans="2:12" ht="12.75" customHeight="1" outlineLevel="1" x14ac:dyDescent="0.2">
      <c r="B28" s="154" t="s">
        <v>223</v>
      </c>
      <c r="C28" s="95">
        <f>0</f>
        <v>0</v>
      </c>
      <c r="D28" s="95">
        <f>0</f>
        <v>0</v>
      </c>
      <c r="E28" s="143" t="s">
        <v>238</v>
      </c>
      <c r="F28" s="143" t="s">
        <v>238</v>
      </c>
      <c r="G28" s="143" t="s">
        <v>238</v>
      </c>
      <c r="H28" s="143" t="s">
        <v>238</v>
      </c>
      <c r="I28" s="143" t="s">
        <v>238</v>
      </c>
      <c r="J28" s="30">
        <f t="shared" si="0"/>
        <v>0</v>
      </c>
      <c r="K28" s="30" t="str">
        <f t="shared" si="1"/>
        <v/>
      </c>
      <c r="L28" s="23"/>
    </row>
    <row r="29" spans="2:12" ht="45" outlineLevel="1" x14ac:dyDescent="0.2">
      <c r="B29" s="156" t="s">
        <v>213</v>
      </c>
      <c r="C29" s="95">
        <f>230219103.46</f>
        <v>230219103.46000001</v>
      </c>
      <c r="D29" s="95">
        <f>37975847.71</f>
        <v>37975847.710000001</v>
      </c>
      <c r="E29" s="143" t="s">
        <v>238</v>
      </c>
      <c r="F29" s="143" t="s">
        <v>238</v>
      </c>
      <c r="G29" s="143" t="s">
        <v>238</v>
      </c>
      <c r="H29" s="143" t="s">
        <v>238</v>
      </c>
      <c r="I29" s="143" t="s">
        <v>238</v>
      </c>
      <c r="J29" s="109">
        <f t="shared" si="0"/>
        <v>2.0551798312889247</v>
      </c>
      <c r="K29" s="109">
        <f t="shared" si="1"/>
        <v>16.495524106928951</v>
      </c>
      <c r="L29" s="23"/>
    </row>
    <row r="30" spans="2:12" ht="12.75" customHeight="1" outlineLevel="1" x14ac:dyDescent="0.2">
      <c r="B30" s="154" t="s">
        <v>6</v>
      </c>
      <c r="C30" s="95">
        <f>230219103.46</f>
        <v>230219103.46000001</v>
      </c>
      <c r="D30" s="95">
        <f>37975847.71</f>
        <v>37975847.710000001</v>
      </c>
      <c r="E30" s="143" t="s">
        <v>238</v>
      </c>
      <c r="F30" s="143" t="s">
        <v>238</v>
      </c>
      <c r="G30" s="143" t="s">
        <v>238</v>
      </c>
      <c r="H30" s="143" t="s">
        <v>238</v>
      </c>
      <c r="I30" s="143" t="s">
        <v>238</v>
      </c>
      <c r="J30" s="30">
        <f t="shared" si="0"/>
        <v>2.0551798312889247</v>
      </c>
      <c r="K30" s="30">
        <f t="shared" si="1"/>
        <v>16.495524106928951</v>
      </c>
      <c r="L30" s="23"/>
    </row>
    <row r="31" spans="2:12" ht="22.5" outlineLevel="1" x14ac:dyDescent="0.2">
      <c r="B31" s="156" t="s">
        <v>283</v>
      </c>
      <c r="C31" s="95">
        <f>0</f>
        <v>0</v>
      </c>
      <c r="D31" s="95">
        <f>0</f>
        <v>0</v>
      </c>
      <c r="E31" s="143" t="s">
        <v>238</v>
      </c>
      <c r="F31" s="143" t="s">
        <v>238</v>
      </c>
      <c r="G31" s="143" t="s">
        <v>238</v>
      </c>
      <c r="H31" s="143" t="s">
        <v>238</v>
      </c>
      <c r="I31" s="143" t="s">
        <v>238</v>
      </c>
      <c r="J31" s="30">
        <f t="shared" si="0"/>
        <v>0</v>
      </c>
      <c r="K31" s="30" t="str">
        <f t="shared" si="1"/>
        <v/>
      </c>
      <c r="L31" s="23"/>
    </row>
    <row r="32" spans="2:12" ht="12.75" customHeight="1" outlineLevel="1" x14ac:dyDescent="0.2">
      <c r="B32" s="154" t="s">
        <v>6</v>
      </c>
      <c r="C32" s="95">
        <f>0</f>
        <v>0</v>
      </c>
      <c r="D32" s="95">
        <f>0</f>
        <v>0</v>
      </c>
      <c r="E32" s="143" t="s">
        <v>238</v>
      </c>
      <c r="F32" s="143" t="s">
        <v>238</v>
      </c>
      <c r="G32" s="143" t="s">
        <v>238</v>
      </c>
      <c r="H32" s="143" t="s">
        <v>238</v>
      </c>
      <c r="I32" s="143" t="s">
        <v>238</v>
      </c>
      <c r="J32" s="30">
        <f t="shared" si="0"/>
        <v>0</v>
      </c>
      <c r="K32" s="30" t="str">
        <f t="shared" si="1"/>
        <v/>
      </c>
      <c r="L32" s="23"/>
    </row>
    <row r="33" spans="1:26" s="6" customFormat="1" ht="13.5" customHeight="1" outlineLevel="1" x14ac:dyDescent="0.2">
      <c r="A33" s="3"/>
      <c r="B33" s="153" t="s">
        <v>163</v>
      </c>
      <c r="C33" s="95">
        <f>1744070.82</f>
        <v>1744070.82</v>
      </c>
      <c r="D33" s="95">
        <f>1031436.97</f>
        <v>1031436.97</v>
      </c>
      <c r="E33" s="142" t="s">
        <v>238</v>
      </c>
      <c r="F33" s="142" t="s">
        <v>238</v>
      </c>
      <c r="G33" s="142" t="s">
        <v>238</v>
      </c>
      <c r="H33" s="142" t="s">
        <v>238</v>
      </c>
      <c r="I33" s="142" t="s">
        <v>238</v>
      </c>
      <c r="J33" s="29">
        <f t="shared" si="0"/>
        <v>5.5819384841054275E-2</v>
      </c>
      <c r="K33" s="29">
        <f t="shared" si="1"/>
        <v>59.139626566311108</v>
      </c>
      <c r="L33" s="84"/>
      <c r="M33" s="17"/>
      <c r="N33" s="17"/>
      <c r="O33" s="10"/>
      <c r="P33" s="10"/>
      <c r="Q33" s="4"/>
    </row>
    <row r="34" spans="1:26" s="6" customFormat="1" ht="12.75" customHeight="1" outlineLevel="1" x14ac:dyDescent="0.2">
      <c r="A34" s="3"/>
      <c r="B34" s="157" t="s">
        <v>162</v>
      </c>
      <c r="C34" s="95">
        <f>1127543.3</f>
        <v>1127543.3</v>
      </c>
      <c r="D34" s="95">
        <f>982377</f>
        <v>982377</v>
      </c>
      <c r="E34" s="143" t="s">
        <v>238</v>
      </c>
      <c r="F34" s="143" t="s">
        <v>238</v>
      </c>
      <c r="G34" s="143" t="s">
        <v>238</v>
      </c>
      <c r="H34" s="143" t="s">
        <v>238</v>
      </c>
      <c r="I34" s="143" t="s">
        <v>238</v>
      </c>
      <c r="J34" s="30">
        <f t="shared" si="0"/>
        <v>5.316435363180784E-2</v>
      </c>
      <c r="K34" s="30">
        <f t="shared" si="1"/>
        <v>87.125434562025248</v>
      </c>
      <c r="L34" s="84"/>
      <c r="M34" s="17"/>
      <c r="N34" s="17"/>
      <c r="O34" s="10"/>
      <c r="P34" s="10"/>
      <c r="Q34" s="4"/>
    </row>
    <row r="35" spans="1:26" s="6" customFormat="1" ht="13.5" customHeight="1" outlineLevel="1" x14ac:dyDescent="0.2">
      <c r="A35" s="3"/>
      <c r="B35" s="153" t="s">
        <v>181</v>
      </c>
      <c r="C35" s="95">
        <f>250022544.15</f>
        <v>250022544.15000001</v>
      </c>
      <c r="D35" s="95">
        <f>52916098.89</f>
        <v>52916098.890000001</v>
      </c>
      <c r="E35" s="142" t="s">
        <v>238</v>
      </c>
      <c r="F35" s="142" t="s">
        <v>238</v>
      </c>
      <c r="G35" s="142" t="s">
        <v>238</v>
      </c>
      <c r="H35" s="142" t="s">
        <v>238</v>
      </c>
      <c r="I35" s="142" t="s">
        <v>238</v>
      </c>
      <c r="J35" s="99">
        <f t="shared" si="0"/>
        <v>2.8637174874856335</v>
      </c>
      <c r="K35" s="99">
        <f t="shared" si="1"/>
        <v>21.164531010552874</v>
      </c>
      <c r="L35" s="84"/>
      <c r="M35" s="17"/>
      <c r="N35" s="17"/>
      <c r="O35" s="10"/>
      <c r="P35" s="10"/>
      <c r="Q35" s="4"/>
    </row>
    <row r="36" spans="1:26" s="6" customFormat="1" ht="12.75" customHeight="1" outlineLevel="1" x14ac:dyDescent="0.2">
      <c r="A36" s="3"/>
      <c r="B36" s="157" t="s">
        <v>182</v>
      </c>
      <c r="C36" s="95">
        <f>227589359.66</f>
        <v>227589359.66</v>
      </c>
      <c r="D36" s="95">
        <f>44452500.08</f>
        <v>44452500.079999998</v>
      </c>
      <c r="E36" s="143" t="s">
        <v>238</v>
      </c>
      <c r="F36" s="143" t="s">
        <v>238</v>
      </c>
      <c r="G36" s="143" t="s">
        <v>238</v>
      </c>
      <c r="H36" s="143" t="s">
        <v>238</v>
      </c>
      <c r="I36" s="143" t="s">
        <v>238</v>
      </c>
      <c r="J36" s="30">
        <f t="shared" si="0"/>
        <v>2.4056837996727185</v>
      </c>
      <c r="K36" s="30">
        <f t="shared" si="1"/>
        <v>19.531888549802339</v>
      </c>
      <c r="L36" s="84"/>
      <c r="M36" s="17"/>
      <c r="N36" s="17"/>
      <c r="O36" s="10"/>
      <c r="P36" s="10"/>
      <c r="Q36" s="4"/>
    </row>
    <row r="37" spans="1:26" s="6" customFormat="1" ht="8.25" customHeight="1" x14ac:dyDescent="0.2">
      <c r="A37" s="3"/>
      <c r="B37" s="146"/>
      <c r="C37" s="51"/>
      <c r="D37" s="51"/>
      <c r="E37" s="51"/>
      <c r="F37" s="51"/>
      <c r="G37" s="51"/>
      <c r="H37" s="51"/>
      <c r="I37" s="51"/>
      <c r="J37" s="51"/>
      <c r="K37" s="51"/>
      <c r="L37" s="84"/>
      <c r="M37" s="17"/>
      <c r="N37" s="17"/>
      <c r="O37" s="10"/>
      <c r="P37" s="10"/>
      <c r="Q37" s="4"/>
    </row>
    <row r="38" spans="1:26" s="6" customFormat="1" ht="13.5" customHeight="1" x14ac:dyDescent="0.2">
      <c r="A38" s="3"/>
      <c r="B38" s="148" t="s">
        <v>5</v>
      </c>
      <c r="C38" s="93">
        <f>+C6</f>
        <v>4107256492.6999998</v>
      </c>
      <c r="D38" s="93">
        <f>+D6</f>
        <v>1847811424.1800001</v>
      </c>
      <c r="E38" s="144" t="s">
        <v>238</v>
      </c>
      <c r="F38" s="144" t="s">
        <v>238</v>
      </c>
      <c r="G38" s="144" t="s">
        <v>238</v>
      </c>
      <c r="H38" s="144" t="s">
        <v>238</v>
      </c>
      <c r="I38" s="144" t="s">
        <v>238</v>
      </c>
      <c r="J38" s="99">
        <f t="shared" si="0"/>
        <v>100</v>
      </c>
      <c r="K38" s="99">
        <f t="shared" si="1"/>
        <v>44.988946452801116</v>
      </c>
      <c r="L38" s="84"/>
      <c r="M38" s="17"/>
      <c r="N38" s="17"/>
      <c r="O38" s="10"/>
      <c r="P38" s="10"/>
      <c r="Q38" s="4"/>
    </row>
    <row r="39" spans="1:26" s="6" customFormat="1" ht="13.5" customHeight="1" x14ac:dyDescent="0.2">
      <c r="A39" s="3"/>
      <c r="B39" s="147" t="s">
        <v>187</v>
      </c>
      <c r="C39" s="20">
        <f>638475700.88</f>
        <v>638475700.88</v>
      </c>
      <c r="D39" s="20">
        <f>134201253.84</f>
        <v>134201253.84</v>
      </c>
      <c r="E39" s="145" t="s">
        <v>238</v>
      </c>
      <c r="F39" s="145" t="s">
        <v>238</v>
      </c>
      <c r="G39" s="145" t="s">
        <v>238</v>
      </c>
      <c r="H39" s="145" t="s">
        <v>238</v>
      </c>
      <c r="I39" s="145" t="s">
        <v>238</v>
      </c>
      <c r="J39" s="30">
        <f t="shared" si="0"/>
        <v>7.2627137208849248</v>
      </c>
      <c r="K39" s="30">
        <f t="shared" si="1"/>
        <v>21.019007247266064</v>
      </c>
      <c r="L39" s="84"/>
      <c r="M39" s="17"/>
      <c r="N39" s="17"/>
      <c r="O39" s="10"/>
      <c r="P39" s="10"/>
      <c r="Q39" s="4"/>
    </row>
    <row r="40" spans="1:26" s="6" customFormat="1" ht="13.5" customHeight="1" x14ac:dyDescent="0.2">
      <c r="A40" s="3"/>
      <c r="B40" s="147" t="s">
        <v>188</v>
      </c>
      <c r="C40" s="20">
        <f>C38-C39</f>
        <v>3468780791.8199997</v>
      </c>
      <c r="D40" s="20">
        <f>D38-D39</f>
        <v>1713610170.3400002</v>
      </c>
      <c r="E40" s="145" t="s">
        <v>238</v>
      </c>
      <c r="F40" s="145" t="s">
        <v>238</v>
      </c>
      <c r="G40" s="145" t="s">
        <v>238</v>
      </c>
      <c r="H40" s="145" t="s">
        <v>238</v>
      </c>
      <c r="I40" s="145" t="s">
        <v>238</v>
      </c>
      <c r="J40" s="30">
        <f t="shared" si="0"/>
        <v>92.737286279115068</v>
      </c>
      <c r="K40" s="30">
        <f t="shared" si="1"/>
        <v>49.400935751864075</v>
      </c>
      <c r="L40" s="84"/>
      <c r="M40" s="17"/>
      <c r="N40" s="17"/>
      <c r="O40" s="10"/>
      <c r="P40" s="10"/>
      <c r="Q40" s="4"/>
    </row>
    <row r="41" spans="1:26" s="6" customFormat="1" x14ac:dyDescent="0.2">
      <c r="A41" s="3"/>
      <c r="B41" s="176" t="s">
        <v>302</v>
      </c>
      <c r="C41" s="8"/>
      <c r="D41" s="9"/>
      <c r="E41" s="9"/>
      <c r="F41" s="17"/>
      <c r="G41" s="17"/>
      <c r="H41" s="17"/>
      <c r="I41" s="17"/>
      <c r="J41" s="17"/>
      <c r="K41" s="10"/>
      <c r="L41" s="10"/>
      <c r="M41" s="4"/>
    </row>
    <row r="42" spans="1:26" ht="18" customHeight="1" x14ac:dyDescent="0.2">
      <c r="B42" s="168" t="str">
        <f>CONCATENATE("Informacja z wykonania budżetów związków jednostek samorządu terytorialnego za ",$D$96," ",$C$97," rok        ",$C$99,"")</f>
        <v>Informacja z wykonania budżetów związków jednostek samorządu terytorialnego za II Kwartały 2023 rok        =""</v>
      </c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92"/>
    </row>
    <row r="43" spans="1:26" s="6" customFormat="1" ht="6" hidden="1" customHeight="1" x14ac:dyDescent="0.2">
      <c r="B43" s="7"/>
      <c r="C43" s="8"/>
      <c r="D43" s="9"/>
      <c r="E43" s="9"/>
      <c r="F43" s="5"/>
      <c r="G43" s="5"/>
      <c r="H43" s="5"/>
      <c r="I43" s="5"/>
      <c r="J43" s="5"/>
      <c r="K43" s="10"/>
      <c r="L43" s="10"/>
      <c r="M43" s="4"/>
    </row>
    <row r="44" spans="1:26" ht="29.25" customHeight="1" x14ac:dyDescent="0.2">
      <c r="B44" s="182" t="s">
        <v>0</v>
      </c>
      <c r="C44" s="198" t="s">
        <v>195</v>
      </c>
      <c r="D44" s="198" t="s">
        <v>197</v>
      </c>
      <c r="E44" s="198" t="s">
        <v>196</v>
      </c>
      <c r="F44" s="198" t="s">
        <v>27</v>
      </c>
      <c r="G44" s="198"/>
      <c r="H44" s="198"/>
      <c r="I44" s="213" t="s">
        <v>198</v>
      </c>
      <c r="J44" s="198" t="s">
        <v>2</v>
      </c>
      <c r="K44" s="212" t="s">
        <v>54</v>
      </c>
      <c r="L44" s="58"/>
      <c r="M44" s="17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8" customHeight="1" x14ac:dyDescent="0.2">
      <c r="B45" s="182"/>
      <c r="C45" s="198"/>
      <c r="D45" s="198"/>
      <c r="E45" s="184"/>
      <c r="F45" s="183" t="s">
        <v>199</v>
      </c>
      <c r="G45" s="200" t="s">
        <v>112</v>
      </c>
      <c r="H45" s="184"/>
      <c r="I45" s="214"/>
      <c r="J45" s="198"/>
      <c r="K45" s="212"/>
      <c r="L45" s="87"/>
      <c r="M45" s="17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64.5" customHeight="1" x14ac:dyDescent="0.2">
      <c r="B46" s="182"/>
      <c r="C46" s="198"/>
      <c r="D46" s="198"/>
      <c r="E46" s="184"/>
      <c r="F46" s="184"/>
      <c r="G46" s="75" t="s">
        <v>200</v>
      </c>
      <c r="H46" s="75" t="s">
        <v>201</v>
      </c>
      <c r="I46" s="215"/>
      <c r="J46" s="198"/>
      <c r="K46" s="212"/>
      <c r="L46" s="87"/>
      <c r="M46" s="17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3.5" customHeight="1" x14ac:dyDescent="0.2">
      <c r="B47" s="182"/>
      <c r="C47" s="188" t="s">
        <v>164</v>
      </c>
      <c r="D47" s="189"/>
      <c r="E47" s="189"/>
      <c r="F47" s="189"/>
      <c r="G47" s="189"/>
      <c r="H47" s="189"/>
      <c r="I47" s="190"/>
      <c r="J47" s="197" t="s">
        <v>4</v>
      </c>
      <c r="K47" s="197"/>
      <c r="L47" s="5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1.25" customHeight="1" x14ac:dyDescent="0.2">
      <c r="B48" s="78">
        <v>1</v>
      </c>
      <c r="C48" s="77">
        <v>2</v>
      </c>
      <c r="D48" s="77">
        <v>3</v>
      </c>
      <c r="E48" s="77">
        <v>4</v>
      </c>
      <c r="F48" s="78">
        <v>5</v>
      </c>
      <c r="G48" s="78">
        <v>6</v>
      </c>
      <c r="H48" s="77">
        <v>7</v>
      </c>
      <c r="I48" s="127">
        <v>8</v>
      </c>
      <c r="J48" s="78">
        <v>9</v>
      </c>
      <c r="K48" s="77">
        <v>10</v>
      </c>
      <c r="L48" s="58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2:16" ht="27" customHeight="1" x14ac:dyDescent="0.2">
      <c r="B49" s="149" t="s">
        <v>143</v>
      </c>
      <c r="C49" s="100">
        <f>4742732305.62</f>
        <v>4742732305.6199999</v>
      </c>
      <c r="D49" s="111">
        <f>1840384419.36</f>
        <v>1840384419.3599999</v>
      </c>
      <c r="E49" s="111">
        <f>2843343217.86</f>
        <v>2843343217.8600001</v>
      </c>
      <c r="F49" s="100">
        <f>210330608.36</f>
        <v>210330608.36000001</v>
      </c>
      <c r="G49" s="100">
        <f>0</f>
        <v>0</v>
      </c>
      <c r="H49" s="100">
        <f>12529.05</f>
        <v>12529.05</v>
      </c>
      <c r="I49" s="121">
        <f>0</f>
        <v>0</v>
      </c>
      <c r="J49" s="50">
        <f>IF($D$49=0,"",100*$D49/$D$49)</f>
        <v>100</v>
      </c>
      <c r="K49" s="50">
        <f>IF(C49=0,"",100*D49/C49)</f>
        <v>38.804307322578545</v>
      </c>
      <c r="L49" s="32"/>
      <c r="M49" s="118"/>
    </row>
    <row r="50" spans="2:16" x14ac:dyDescent="0.2">
      <c r="B50" s="150" t="s">
        <v>29</v>
      </c>
      <c r="C50" s="22">
        <f>1067905496.76</f>
        <v>1067905496.76</v>
      </c>
      <c r="D50" s="22">
        <f>188678104.32</f>
        <v>188678104.31999999</v>
      </c>
      <c r="E50" s="22">
        <f>572556101.37</f>
        <v>572556101.37</v>
      </c>
      <c r="F50" s="22">
        <f>12131431.06</f>
        <v>12131431.060000001</v>
      </c>
      <c r="G50" s="22">
        <f>0</f>
        <v>0</v>
      </c>
      <c r="H50" s="22">
        <f>0</f>
        <v>0</v>
      </c>
      <c r="I50" s="122">
        <f>0</f>
        <v>0</v>
      </c>
      <c r="J50" s="50">
        <f t="shared" ref="J50:J58" si="3">IF($D$49=0,"",100*$D50/$D$49)</f>
        <v>10.252102894112387</v>
      </c>
      <c r="K50" s="50">
        <f t="shared" ref="K50:K58" si="4">IF(C50=0,"",100*D50/C50)</f>
        <v>17.668052547013279</v>
      </c>
      <c r="L50" s="32"/>
      <c r="M50" s="120"/>
    </row>
    <row r="51" spans="2:16" ht="12.75" customHeight="1" outlineLevel="1" x14ac:dyDescent="0.2">
      <c r="B51" s="98" t="s">
        <v>28</v>
      </c>
      <c r="C51" s="95">
        <f>1032871691.82</f>
        <v>1032871691.8200001</v>
      </c>
      <c r="D51" s="95">
        <f>186250689.32</f>
        <v>186250689.31999999</v>
      </c>
      <c r="E51" s="95">
        <f>569965656.37</f>
        <v>569965656.37</v>
      </c>
      <c r="F51" s="95">
        <f>12131431.06</f>
        <v>12131431.060000001</v>
      </c>
      <c r="G51" s="95">
        <f>0</f>
        <v>0</v>
      </c>
      <c r="H51" s="95">
        <f>0</f>
        <v>0</v>
      </c>
      <c r="I51" s="123">
        <f>0</f>
        <v>0</v>
      </c>
      <c r="J51" s="50">
        <f t="shared" si="3"/>
        <v>10.120205722278898</v>
      </c>
      <c r="K51" s="50">
        <f t="shared" si="4"/>
        <v>18.032316191356919</v>
      </c>
      <c r="L51" s="32"/>
      <c r="M51" s="119"/>
    </row>
    <row r="52" spans="2:16" ht="27" customHeight="1" x14ac:dyDescent="0.2">
      <c r="B52" s="151" t="s">
        <v>144</v>
      </c>
      <c r="C52" s="101">
        <f t="shared" ref="C52:I52" si="5">C49-C50</f>
        <v>3674826808.8599997</v>
      </c>
      <c r="D52" s="110">
        <f>D49-D50</f>
        <v>1651706315.04</v>
      </c>
      <c r="E52" s="110">
        <f>E49-E50</f>
        <v>2270787116.4900002</v>
      </c>
      <c r="F52" s="101">
        <f t="shared" si="5"/>
        <v>198199177.30000001</v>
      </c>
      <c r="G52" s="101">
        <f t="shared" si="5"/>
        <v>0</v>
      </c>
      <c r="H52" s="101">
        <f t="shared" si="5"/>
        <v>12529.05</v>
      </c>
      <c r="I52" s="122">
        <f t="shared" si="5"/>
        <v>0</v>
      </c>
      <c r="J52" s="50">
        <f t="shared" si="3"/>
        <v>89.747897105887617</v>
      </c>
      <c r="K52" s="50">
        <f t="shared" si="4"/>
        <v>44.946507711812146</v>
      </c>
      <c r="L52" s="32"/>
      <c r="M52" s="120"/>
    </row>
    <row r="53" spans="2:16" ht="22.5" outlineLevel="1" x14ac:dyDescent="0.2">
      <c r="B53" s="98" t="s">
        <v>228</v>
      </c>
      <c r="C53" s="95">
        <f>277445829.97</f>
        <v>277445829.97000003</v>
      </c>
      <c r="D53" s="95">
        <f>125464459.38</f>
        <v>125464459.38</v>
      </c>
      <c r="E53" s="95">
        <f>214597180.26</f>
        <v>214597180.25999999</v>
      </c>
      <c r="F53" s="95">
        <f>8203742.29</f>
        <v>8203742.29</v>
      </c>
      <c r="G53" s="95">
        <f>0</f>
        <v>0</v>
      </c>
      <c r="H53" s="95">
        <f>0</f>
        <v>0</v>
      </c>
      <c r="I53" s="123">
        <f>0</f>
        <v>0</v>
      </c>
      <c r="J53" s="50">
        <f t="shared" si="3"/>
        <v>6.8172963246249774</v>
      </c>
      <c r="K53" s="50">
        <f t="shared" si="4"/>
        <v>45.221245312487255</v>
      </c>
      <c r="L53" s="32"/>
      <c r="M53" s="119"/>
    </row>
    <row r="54" spans="2:16" ht="12.75" customHeight="1" outlineLevel="1" x14ac:dyDescent="0.2">
      <c r="B54" s="98" t="s">
        <v>118</v>
      </c>
      <c r="C54" s="103">
        <f>42327589.85</f>
        <v>42327589.850000001</v>
      </c>
      <c r="D54" s="103">
        <f>20536974.33</f>
        <v>20536974.329999998</v>
      </c>
      <c r="E54" s="103">
        <f>32171304.16</f>
        <v>32171304.16</v>
      </c>
      <c r="F54" s="103">
        <f>528236.75</f>
        <v>528236.75</v>
      </c>
      <c r="G54" s="103">
        <f>0</f>
        <v>0</v>
      </c>
      <c r="H54" s="103">
        <f>0</f>
        <v>0</v>
      </c>
      <c r="I54" s="124">
        <f>0</f>
        <v>0</v>
      </c>
      <c r="J54" s="50">
        <f t="shared" si="3"/>
        <v>1.1159067700182879</v>
      </c>
      <c r="K54" s="50">
        <f t="shared" si="4"/>
        <v>48.519120514016215</v>
      </c>
      <c r="L54" s="32"/>
      <c r="M54" s="119"/>
    </row>
    <row r="55" spans="2:16" ht="12.75" customHeight="1" outlineLevel="1" x14ac:dyDescent="0.2">
      <c r="B55" s="98" t="s">
        <v>117</v>
      </c>
      <c r="C55" s="95">
        <f>28010745</f>
        <v>28010745</v>
      </c>
      <c r="D55" s="95">
        <f>11339398.22</f>
        <v>11339398.220000001</v>
      </c>
      <c r="E55" s="95">
        <f>14618690.61</f>
        <v>14618690.609999999</v>
      </c>
      <c r="F55" s="95">
        <f>327612.09</f>
        <v>327612.09000000003</v>
      </c>
      <c r="G55" s="95">
        <f>0</f>
        <v>0</v>
      </c>
      <c r="H55" s="95">
        <f>0</f>
        <v>0</v>
      </c>
      <c r="I55" s="123">
        <f>0</f>
        <v>0</v>
      </c>
      <c r="J55" s="50">
        <f t="shared" si="3"/>
        <v>0.61614291561669032</v>
      </c>
      <c r="K55" s="50">
        <f t="shared" si="4"/>
        <v>40.482315697065538</v>
      </c>
      <c r="L55" s="32"/>
      <c r="M55" s="119"/>
    </row>
    <row r="56" spans="2:16" ht="22.5" customHeight="1" outlineLevel="1" x14ac:dyDescent="0.2">
      <c r="B56" s="98" t="s">
        <v>150</v>
      </c>
      <c r="C56" s="103">
        <f>0</f>
        <v>0</v>
      </c>
      <c r="D56" s="103">
        <f>0</f>
        <v>0</v>
      </c>
      <c r="E56" s="103">
        <f>0</f>
        <v>0</v>
      </c>
      <c r="F56" s="103">
        <f>0</f>
        <v>0</v>
      </c>
      <c r="G56" s="103">
        <f>0</f>
        <v>0</v>
      </c>
      <c r="H56" s="103">
        <f>0</f>
        <v>0</v>
      </c>
      <c r="I56" s="124">
        <f>0</f>
        <v>0</v>
      </c>
      <c r="J56" s="50">
        <f t="shared" si="3"/>
        <v>0</v>
      </c>
      <c r="K56" s="50" t="str">
        <f t="shared" si="4"/>
        <v/>
      </c>
      <c r="L56" s="32"/>
      <c r="M56" s="119"/>
    </row>
    <row r="57" spans="2:16" ht="22.5" outlineLevel="1" x14ac:dyDescent="0.2">
      <c r="B57" s="98" t="s">
        <v>161</v>
      </c>
      <c r="C57" s="103">
        <f>3155628</f>
        <v>3155628</v>
      </c>
      <c r="D57" s="103">
        <f>768828.53</f>
        <v>768828.53</v>
      </c>
      <c r="E57" s="103">
        <f>1446303.32</f>
        <v>1446303.32</v>
      </c>
      <c r="F57" s="103">
        <f>49492.02</f>
        <v>49492.02</v>
      </c>
      <c r="G57" s="103">
        <f>0</f>
        <v>0</v>
      </c>
      <c r="H57" s="103">
        <f>0</f>
        <v>0</v>
      </c>
      <c r="I57" s="125">
        <f>0</f>
        <v>0</v>
      </c>
      <c r="J57" s="50">
        <f t="shared" si="3"/>
        <v>4.1775431367070737E-2</v>
      </c>
      <c r="K57" s="50">
        <f t="shared" si="4"/>
        <v>24.363725065185122</v>
      </c>
      <c r="L57" s="32"/>
      <c r="M57" s="119"/>
    </row>
    <row r="58" spans="2:16" ht="12.75" customHeight="1" outlineLevel="1" x14ac:dyDescent="0.2">
      <c r="B58" s="98" t="s">
        <v>116</v>
      </c>
      <c r="C58" s="95">
        <f t="shared" ref="C58:I58" si="6">C52-C53-C54-C55-C56-C57</f>
        <v>3323887016.0399995</v>
      </c>
      <c r="D58" s="95">
        <f>D52-D53-D54-D55-D56-D57</f>
        <v>1493596654.5799999</v>
      </c>
      <c r="E58" s="115">
        <f>E52-E53-E54-E55-E56-E57</f>
        <v>2007953638.1400003</v>
      </c>
      <c r="F58" s="115">
        <f t="shared" si="6"/>
        <v>189090094.15000001</v>
      </c>
      <c r="G58" s="115">
        <f t="shared" si="6"/>
        <v>0</v>
      </c>
      <c r="H58" s="115">
        <f t="shared" si="6"/>
        <v>12529.05</v>
      </c>
      <c r="I58" s="126">
        <f t="shared" si="6"/>
        <v>0</v>
      </c>
      <c r="J58" s="50">
        <f t="shared" si="3"/>
        <v>81.156775664260593</v>
      </c>
      <c r="K58" s="50">
        <f t="shared" si="4"/>
        <v>44.935241401780132</v>
      </c>
      <c r="L58" s="32"/>
      <c r="M58" s="119"/>
    </row>
    <row r="59" spans="2:16" x14ac:dyDescent="0.2">
      <c r="B59" s="149" t="s">
        <v>41</v>
      </c>
      <c r="C59" s="101">
        <f>C6-C49</f>
        <v>-635475812.92000008</v>
      </c>
      <c r="D59" s="110">
        <f>D6-D49</f>
        <v>7427004.8200001717</v>
      </c>
      <c r="E59" s="116"/>
      <c r="F59" s="117"/>
      <c r="G59" s="117"/>
      <c r="H59" s="117"/>
      <c r="I59" s="199"/>
      <c r="J59" s="199"/>
      <c r="K59" s="104"/>
      <c r="L59" s="104"/>
      <c r="M59" s="85"/>
    </row>
    <row r="60" spans="2:16" ht="7.5" customHeight="1" x14ac:dyDescent="0.2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</row>
    <row r="61" spans="2:16" ht="18" customHeight="1" x14ac:dyDescent="0.2">
      <c r="B61" s="168" t="str">
        <f>CONCATENATE("Informacja z wykonania budżetów związków jednostek samorządu terytorialnego za ",$D$96," ",$C$97," rok        ",$C$99,"")</f>
        <v>Informacja z wykonania budżetów związków jednostek samorządu terytorialnego za II Kwartały 2023 rok        =""</v>
      </c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92"/>
    </row>
    <row r="62" spans="2:16" x14ac:dyDescent="0.2">
      <c r="B62" s="88" t="s">
        <v>42</v>
      </c>
      <c r="C62" s="112" t="s">
        <v>43</v>
      </c>
      <c r="D62" s="112" t="s">
        <v>1</v>
      </c>
      <c r="E62" s="203" t="s">
        <v>238</v>
      </c>
      <c r="F62" s="204"/>
      <c r="G62" s="204"/>
      <c r="H62" s="204"/>
      <c r="I62" s="205"/>
      <c r="J62" s="77" t="s">
        <v>76</v>
      </c>
      <c r="K62" s="77" t="s">
        <v>77</v>
      </c>
      <c r="L62" s="58"/>
      <c r="M62" s="58"/>
      <c r="N62" s="58"/>
      <c r="O62" s="58"/>
      <c r="P62" s="58"/>
    </row>
    <row r="63" spans="2:16" x14ac:dyDescent="0.2">
      <c r="B63" s="88"/>
      <c r="C63" s="183" t="s">
        <v>164</v>
      </c>
      <c r="D63" s="185"/>
      <c r="E63" s="206"/>
      <c r="F63" s="207"/>
      <c r="G63" s="207"/>
      <c r="H63" s="207"/>
      <c r="I63" s="208"/>
      <c r="J63" s="216" t="s">
        <v>4</v>
      </c>
      <c r="K63" s="217"/>
      <c r="L63" s="58"/>
      <c r="M63" s="58"/>
      <c r="N63" s="58"/>
      <c r="O63" s="58"/>
      <c r="P63" s="58"/>
    </row>
    <row r="64" spans="2:16" x14ac:dyDescent="0.2">
      <c r="B64" s="89">
        <v>1</v>
      </c>
      <c r="C64" s="90">
        <v>2</v>
      </c>
      <c r="D64" s="90">
        <v>3</v>
      </c>
      <c r="E64" s="209"/>
      <c r="F64" s="210"/>
      <c r="G64" s="210"/>
      <c r="H64" s="210"/>
      <c r="I64" s="211"/>
      <c r="J64" s="91">
        <v>4</v>
      </c>
      <c r="K64" s="91">
        <v>5</v>
      </c>
      <c r="L64" s="58"/>
      <c r="M64" s="58"/>
      <c r="N64" s="58"/>
      <c r="O64" s="58"/>
      <c r="P64" s="58"/>
    </row>
    <row r="65" spans="2:16" ht="27" customHeight="1" x14ac:dyDescent="0.2">
      <c r="B65" s="162" t="s">
        <v>145</v>
      </c>
      <c r="C65" s="43">
        <f>688709663.29</f>
        <v>688709663.28999996</v>
      </c>
      <c r="D65" s="43">
        <f>1288150250.4</f>
        <v>1288150250.4000001</v>
      </c>
      <c r="E65" s="158" t="s">
        <v>238</v>
      </c>
      <c r="F65" s="158" t="s">
        <v>238</v>
      </c>
      <c r="G65" s="158" t="s">
        <v>238</v>
      </c>
      <c r="H65" s="158" t="s">
        <v>238</v>
      </c>
      <c r="I65" s="158" t="s">
        <v>238</v>
      </c>
      <c r="J65" s="41">
        <f>IF($D$65=0,"",100*$D65/$D$65)</f>
        <v>100</v>
      </c>
      <c r="K65" s="31">
        <f t="shared" ref="K65:K79" si="7">IF(C65=0,"",100*D65/C65)</f>
        <v>187.03821349717137</v>
      </c>
      <c r="L65" s="58"/>
      <c r="M65" s="58"/>
      <c r="N65" s="58"/>
      <c r="O65" s="58"/>
      <c r="P65" s="58"/>
    </row>
    <row r="66" spans="2:16" ht="22.5" x14ac:dyDescent="0.2">
      <c r="B66" s="164" t="s">
        <v>205</v>
      </c>
      <c r="C66" s="44">
        <f>38537493</f>
        <v>38537493</v>
      </c>
      <c r="D66" s="44">
        <f>14668786.5</f>
        <v>14668786.5</v>
      </c>
      <c r="E66" s="159" t="s">
        <v>238</v>
      </c>
      <c r="F66" s="159" t="s">
        <v>238</v>
      </c>
      <c r="G66" s="159" t="s">
        <v>238</v>
      </c>
      <c r="H66" s="159" t="s">
        <v>238</v>
      </c>
      <c r="I66" s="159" t="s">
        <v>238</v>
      </c>
      <c r="J66" s="48">
        <f t="shared" ref="J66:J75" si="8">IF($D$65=0,"",100*$D66/$D$65)</f>
        <v>1.1387480998777129</v>
      </c>
      <c r="K66" s="49">
        <f t="shared" si="7"/>
        <v>38.063676067356013</v>
      </c>
      <c r="L66" s="58"/>
      <c r="M66" s="58"/>
      <c r="N66" s="58"/>
      <c r="O66" s="58"/>
      <c r="P66" s="58"/>
    </row>
    <row r="67" spans="2:16" ht="22.5" x14ac:dyDescent="0.2">
      <c r="B67" s="165" t="s">
        <v>206</v>
      </c>
      <c r="C67" s="106">
        <f>0</f>
        <v>0</v>
      </c>
      <c r="D67" s="106">
        <f>0</f>
        <v>0</v>
      </c>
      <c r="E67" s="159" t="s">
        <v>238</v>
      </c>
      <c r="F67" s="159" t="s">
        <v>238</v>
      </c>
      <c r="G67" s="159" t="s">
        <v>238</v>
      </c>
      <c r="H67" s="159" t="s">
        <v>238</v>
      </c>
      <c r="I67" s="159" t="s">
        <v>238</v>
      </c>
      <c r="J67" s="107">
        <f t="shared" si="8"/>
        <v>0</v>
      </c>
      <c r="K67" s="102" t="str">
        <f t="shared" si="7"/>
        <v/>
      </c>
      <c r="L67" s="58"/>
      <c r="M67" s="58"/>
      <c r="N67" s="58"/>
      <c r="O67" s="58"/>
      <c r="P67" s="58"/>
    </row>
    <row r="68" spans="2:16" ht="12.75" customHeight="1" x14ac:dyDescent="0.2">
      <c r="B68" s="105" t="s">
        <v>207</v>
      </c>
      <c r="C68" s="106">
        <f>400000</f>
        <v>400000</v>
      </c>
      <c r="D68" s="106">
        <f>0</f>
        <v>0</v>
      </c>
      <c r="E68" s="159" t="s">
        <v>238</v>
      </c>
      <c r="F68" s="159" t="s">
        <v>238</v>
      </c>
      <c r="G68" s="159" t="s">
        <v>238</v>
      </c>
      <c r="H68" s="159" t="s">
        <v>238</v>
      </c>
      <c r="I68" s="159" t="s">
        <v>238</v>
      </c>
      <c r="J68" s="107">
        <f t="shared" si="8"/>
        <v>0</v>
      </c>
      <c r="K68" s="102">
        <f t="shared" si="7"/>
        <v>0</v>
      </c>
      <c r="L68" s="58"/>
      <c r="M68" s="58"/>
      <c r="N68" s="58"/>
      <c r="O68" s="58"/>
      <c r="P68" s="58"/>
    </row>
    <row r="69" spans="2:16" ht="56.25" x14ac:dyDescent="0.2">
      <c r="B69" s="105" t="s">
        <v>232</v>
      </c>
      <c r="C69" s="106">
        <f>555396527.8</f>
        <v>555396527.79999995</v>
      </c>
      <c r="D69" s="106">
        <f>1144772454.87</f>
        <v>1144772454.8699999</v>
      </c>
      <c r="E69" s="159" t="s">
        <v>238</v>
      </c>
      <c r="F69" s="159" t="s">
        <v>238</v>
      </c>
      <c r="G69" s="159" t="s">
        <v>238</v>
      </c>
      <c r="H69" s="159" t="s">
        <v>238</v>
      </c>
      <c r="I69" s="159" t="s">
        <v>238</v>
      </c>
      <c r="J69" s="107">
        <f t="shared" si="8"/>
        <v>88.869481996725298</v>
      </c>
      <c r="K69" s="102">
        <f t="shared" si="7"/>
        <v>206.1180431582093</v>
      </c>
      <c r="L69" s="58"/>
      <c r="M69" s="58"/>
      <c r="N69" s="58"/>
      <c r="O69" s="58"/>
      <c r="P69" s="58"/>
    </row>
    <row r="70" spans="2:16" ht="35.25" customHeight="1" x14ac:dyDescent="0.2">
      <c r="B70" s="105" t="s">
        <v>234</v>
      </c>
      <c r="C70" s="106">
        <f>25032779.51</f>
        <v>25032779.510000002</v>
      </c>
      <c r="D70" s="106">
        <f>42786866.6</f>
        <v>42786866.600000001</v>
      </c>
      <c r="E70" s="159" t="s">
        <v>238</v>
      </c>
      <c r="F70" s="159" t="s">
        <v>238</v>
      </c>
      <c r="G70" s="159" t="s">
        <v>238</v>
      </c>
      <c r="H70" s="159" t="s">
        <v>238</v>
      </c>
      <c r="I70" s="159" t="s">
        <v>238</v>
      </c>
      <c r="J70" s="107">
        <f t="shared" si="8"/>
        <v>3.3215742175040295</v>
      </c>
      <c r="K70" s="102">
        <f t="shared" si="7"/>
        <v>170.92335504696018</v>
      </c>
      <c r="L70" s="58"/>
      <c r="M70" s="58"/>
      <c r="N70" s="58"/>
      <c r="O70" s="58"/>
      <c r="P70" s="58"/>
    </row>
    <row r="71" spans="2:16" ht="12.75" customHeight="1" x14ac:dyDescent="0.2">
      <c r="B71" s="105" t="s">
        <v>208</v>
      </c>
      <c r="C71" s="106">
        <f>0</f>
        <v>0</v>
      </c>
      <c r="D71" s="106">
        <f>0</f>
        <v>0</v>
      </c>
      <c r="E71" s="159" t="s">
        <v>238</v>
      </c>
      <c r="F71" s="159" t="s">
        <v>238</v>
      </c>
      <c r="G71" s="159" t="s">
        <v>238</v>
      </c>
      <c r="H71" s="159" t="s">
        <v>238</v>
      </c>
      <c r="I71" s="159" t="s">
        <v>238</v>
      </c>
      <c r="J71" s="107">
        <f t="shared" si="8"/>
        <v>0</v>
      </c>
      <c r="K71" s="102" t="str">
        <f t="shared" si="7"/>
        <v/>
      </c>
      <c r="L71" s="58"/>
      <c r="M71" s="58"/>
      <c r="N71" s="58"/>
      <c r="O71" s="58"/>
      <c r="P71" s="58"/>
    </row>
    <row r="72" spans="2:16" ht="33.75" x14ac:dyDescent="0.2">
      <c r="B72" s="105" t="s">
        <v>209</v>
      </c>
      <c r="C72" s="106">
        <f>68342862.98</f>
        <v>68342862.980000004</v>
      </c>
      <c r="D72" s="106">
        <f>79739492.15</f>
        <v>79739492.150000006</v>
      </c>
      <c r="E72" s="159" t="s">
        <v>238</v>
      </c>
      <c r="F72" s="159" t="s">
        <v>238</v>
      </c>
      <c r="G72" s="159" t="s">
        <v>238</v>
      </c>
      <c r="H72" s="159" t="s">
        <v>238</v>
      </c>
      <c r="I72" s="159" t="s">
        <v>238</v>
      </c>
      <c r="J72" s="107">
        <f t="shared" si="8"/>
        <v>6.190232243889179</v>
      </c>
      <c r="K72" s="102">
        <f t="shared" si="7"/>
        <v>116.67566834789338</v>
      </c>
      <c r="L72" s="58"/>
      <c r="M72" s="58"/>
      <c r="N72" s="58"/>
      <c r="O72" s="58"/>
      <c r="P72" s="58"/>
    </row>
    <row r="73" spans="2:16" ht="56.25" x14ac:dyDescent="0.2">
      <c r="B73" s="105" t="s">
        <v>328</v>
      </c>
      <c r="C73" s="106"/>
      <c r="D73" s="106">
        <f>4983780.27</f>
        <v>4983780.2699999996</v>
      </c>
      <c r="E73" s="159" t="s">
        <v>238</v>
      </c>
      <c r="F73" s="159" t="s">
        <v>238</v>
      </c>
      <c r="G73" s="159" t="s">
        <v>238</v>
      </c>
      <c r="H73" s="159" t="s">
        <v>238</v>
      </c>
      <c r="I73" s="159" t="s">
        <v>238</v>
      </c>
      <c r="J73" s="107">
        <f t="shared" si="8"/>
        <v>0.38689432917102812</v>
      </c>
      <c r="K73" s="102" t="str">
        <f>IF(C73=0,"",100*D73/C73)</f>
        <v/>
      </c>
      <c r="L73" s="58"/>
      <c r="M73" s="58"/>
      <c r="N73" s="58"/>
      <c r="O73" s="58"/>
      <c r="P73" s="58"/>
    </row>
    <row r="74" spans="2:16" x14ac:dyDescent="0.2">
      <c r="B74" s="105" t="s">
        <v>329</v>
      </c>
      <c r="C74" s="106">
        <f>1000000</f>
        <v>1000000</v>
      </c>
      <c r="D74" s="106">
        <f>1198870.01</f>
        <v>1198870.01</v>
      </c>
      <c r="E74" s="159" t="s">
        <v>238</v>
      </c>
      <c r="F74" s="159" t="s">
        <v>238</v>
      </c>
      <c r="G74" s="159" t="s">
        <v>238</v>
      </c>
      <c r="H74" s="159" t="s">
        <v>238</v>
      </c>
      <c r="I74" s="159" t="s">
        <v>238</v>
      </c>
      <c r="J74" s="107">
        <f t="shared" si="8"/>
        <v>9.3069112832740081E-2</v>
      </c>
      <c r="K74" s="102">
        <f>IF(C74=0,"",100*D74/C74)</f>
        <v>119.887001</v>
      </c>
      <c r="L74" s="58"/>
      <c r="M74" s="58"/>
      <c r="N74" s="58"/>
      <c r="O74" s="58"/>
      <c r="P74" s="58"/>
    </row>
    <row r="75" spans="2:16" ht="22.5" x14ac:dyDescent="0.2">
      <c r="B75" s="165" t="s">
        <v>330</v>
      </c>
      <c r="C75" s="106">
        <f>0</f>
        <v>0</v>
      </c>
      <c r="D75" s="106">
        <f>0</f>
        <v>0</v>
      </c>
      <c r="E75" s="159" t="s">
        <v>238</v>
      </c>
      <c r="F75" s="159" t="s">
        <v>238</v>
      </c>
      <c r="G75" s="159" t="s">
        <v>238</v>
      </c>
      <c r="H75" s="159" t="s">
        <v>238</v>
      </c>
      <c r="I75" s="159" t="s">
        <v>238</v>
      </c>
      <c r="J75" s="107">
        <f t="shared" si="8"/>
        <v>0</v>
      </c>
      <c r="K75" s="102" t="str">
        <f t="shared" si="7"/>
        <v/>
      </c>
      <c r="L75" s="58"/>
      <c r="M75" s="58"/>
      <c r="N75" s="58"/>
      <c r="O75" s="58"/>
      <c r="P75" s="58"/>
    </row>
    <row r="76" spans="2:16" ht="27" customHeight="1" x14ac:dyDescent="0.2">
      <c r="B76" s="162" t="s">
        <v>146</v>
      </c>
      <c r="C76" s="47">
        <f>53133850.37</f>
        <v>53133850.369999997</v>
      </c>
      <c r="D76" s="47">
        <f>38191324.81</f>
        <v>38191324.810000002</v>
      </c>
      <c r="E76" s="160" t="s">
        <v>238</v>
      </c>
      <c r="F76" s="160" t="s">
        <v>238</v>
      </c>
      <c r="G76" s="160" t="s">
        <v>238</v>
      </c>
      <c r="H76" s="160" t="s">
        <v>238</v>
      </c>
      <c r="I76" s="160" t="s">
        <v>238</v>
      </c>
      <c r="J76" s="41">
        <f t="shared" ref="J76:J81" si="9">IF($D$76=0,"",100*$D76/$D$76)</f>
        <v>100</v>
      </c>
      <c r="K76" s="31">
        <f t="shared" si="7"/>
        <v>71.877578124026329</v>
      </c>
      <c r="L76" s="58"/>
      <c r="M76" s="58"/>
      <c r="N76" s="58"/>
      <c r="O76" s="58"/>
      <c r="P76" s="58"/>
    </row>
    <row r="77" spans="2:16" ht="22.5" x14ac:dyDescent="0.2">
      <c r="B77" s="164" t="s">
        <v>210</v>
      </c>
      <c r="C77" s="44">
        <f>38456250.57</f>
        <v>38456250.57</v>
      </c>
      <c r="D77" s="46">
        <f>16574605.57</f>
        <v>16574605.57</v>
      </c>
      <c r="E77" s="161" t="s">
        <v>238</v>
      </c>
      <c r="F77" s="161" t="s">
        <v>238</v>
      </c>
      <c r="G77" s="161" t="s">
        <v>238</v>
      </c>
      <c r="H77" s="161" t="s">
        <v>238</v>
      </c>
      <c r="I77" s="161" t="s">
        <v>238</v>
      </c>
      <c r="J77" s="48">
        <f t="shared" si="9"/>
        <v>43.398875667335091</v>
      </c>
      <c r="K77" s="49">
        <f t="shared" si="7"/>
        <v>43.099900079520417</v>
      </c>
      <c r="L77" s="58"/>
      <c r="M77" s="58"/>
      <c r="N77" s="58"/>
      <c r="O77" s="58"/>
      <c r="P77" s="58"/>
    </row>
    <row r="78" spans="2:16" ht="12.75" customHeight="1" x14ac:dyDescent="0.2">
      <c r="B78" s="165" t="s">
        <v>211</v>
      </c>
      <c r="C78" s="106">
        <f>0</f>
        <v>0</v>
      </c>
      <c r="D78" s="106">
        <f>0</f>
        <v>0</v>
      </c>
      <c r="E78" s="161" t="s">
        <v>238</v>
      </c>
      <c r="F78" s="161" t="s">
        <v>238</v>
      </c>
      <c r="G78" s="161" t="s">
        <v>238</v>
      </c>
      <c r="H78" s="161" t="s">
        <v>238</v>
      </c>
      <c r="I78" s="161" t="s">
        <v>238</v>
      </c>
      <c r="J78" s="107">
        <f t="shared" si="9"/>
        <v>0</v>
      </c>
      <c r="K78" s="102" t="str">
        <f t="shared" si="7"/>
        <v/>
      </c>
      <c r="L78" s="58"/>
      <c r="M78" s="58"/>
      <c r="N78" s="58"/>
      <c r="O78" s="58"/>
      <c r="P78" s="58"/>
    </row>
    <row r="79" spans="2:16" ht="12.75" customHeight="1" x14ac:dyDescent="0.2">
      <c r="B79" s="105" t="s">
        <v>233</v>
      </c>
      <c r="C79" s="106">
        <f>400000</f>
        <v>400000</v>
      </c>
      <c r="D79" s="106">
        <f>300000</f>
        <v>300000</v>
      </c>
      <c r="E79" s="161" t="s">
        <v>238</v>
      </c>
      <c r="F79" s="161" t="s">
        <v>238</v>
      </c>
      <c r="G79" s="161" t="s">
        <v>238</v>
      </c>
      <c r="H79" s="161" t="s">
        <v>238</v>
      </c>
      <c r="I79" s="161" t="s">
        <v>238</v>
      </c>
      <c r="J79" s="107">
        <f t="shared" si="9"/>
        <v>0.78551870481709007</v>
      </c>
      <c r="K79" s="102">
        <f t="shared" si="7"/>
        <v>75</v>
      </c>
      <c r="L79" s="58"/>
      <c r="M79" s="58"/>
      <c r="N79" s="58"/>
      <c r="O79" s="58"/>
      <c r="P79" s="58"/>
    </row>
    <row r="80" spans="2:16" ht="12.75" customHeight="1" x14ac:dyDescent="0.2">
      <c r="B80" s="105" t="s">
        <v>331</v>
      </c>
      <c r="C80" s="106">
        <f>14277599.8</f>
        <v>14277599.800000001</v>
      </c>
      <c r="D80" s="106">
        <f>21316719.24</f>
        <v>21316719.239999998</v>
      </c>
      <c r="E80" s="161" t="s">
        <v>238</v>
      </c>
      <c r="F80" s="161" t="s">
        <v>238</v>
      </c>
      <c r="G80" s="161" t="s">
        <v>238</v>
      </c>
      <c r="H80" s="161" t="s">
        <v>238</v>
      </c>
      <c r="I80" s="161" t="s">
        <v>238</v>
      </c>
      <c r="J80" s="107">
        <f t="shared" si="9"/>
        <v>55.815605627847809</v>
      </c>
      <c r="K80" s="102">
        <f>IF(C80=0,"",100*D80/C80)</f>
        <v>149.30184021546813</v>
      </c>
      <c r="L80" s="58"/>
      <c r="M80" s="58"/>
      <c r="N80" s="58"/>
      <c r="O80" s="58"/>
      <c r="P80" s="58"/>
    </row>
    <row r="81" spans="2:16" ht="22.5" x14ac:dyDescent="0.2">
      <c r="B81" s="165" t="s">
        <v>332</v>
      </c>
      <c r="C81" s="106">
        <f>0</f>
        <v>0</v>
      </c>
      <c r="D81" s="106">
        <f>0</f>
        <v>0</v>
      </c>
      <c r="E81" s="161" t="s">
        <v>238</v>
      </c>
      <c r="F81" s="161" t="s">
        <v>238</v>
      </c>
      <c r="G81" s="161" t="s">
        <v>238</v>
      </c>
      <c r="H81" s="161" t="s">
        <v>238</v>
      </c>
      <c r="I81" s="161" t="s">
        <v>238</v>
      </c>
      <c r="J81" s="107">
        <f t="shared" si="9"/>
        <v>0</v>
      </c>
      <c r="K81" s="102" t="str">
        <f>IF(C81=0,"",100*D81/C81)</f>
        <v/>
      </c>
      <c r="L81" s="58"/>
      <c r="M81" s="58"/>
      <c r="N81" s="58"/>
      <c r="O81" s="58"/>
      <c r="P81" s="58"/>
    </row>
    <row r="82" spans="2:16" x14ac:dyDescent="0.2">
      <c r="B82" s="32"/>
      <c r="C82" s="32"/>
      <c r="D82" s="32"/>
      <c r="E82" s="32"/>
      <c r="F82" s="32"/>
      <c r="G82" s="32"/>
      <c r="H82" s="32"/>
      <c r="I82" s="58"/>
      <c r="J82" s="58"/>
      <c r="K82" s="58"/>
      <c r="L82" s="58"/>
      <c r="M82" s="58"/>
    </row>
    <row r="83" spans="2:16" x14ac:dyDescent="0.2">
      <c r="B83" s="86" t="s">
        <v>42</v>
      </c>
      <c r="C83" s="113" t="s">
        <v>43</v>
      </c>
      <c r="D83" s="19" t="s">
        <v>1</v>
      </c>
      <c r="E83" s="58"/>
      <c r="F83" s="58"/>
      <c r="G83" s="58"/>
      <c r="H83" s="58"/>
      <c r="I83" s="58"/>
    </row>
    <row r="84" spans="2:16" x14ac:dyDescent="0.2">
      <c r="B84" s="86"/>
      <c r="C84" s="186" t="s">
        <v>164</v>
      </c>
      <c r="D84" s="187"/>
      <c r="E84" s="58"/>
      <c r="F84" s="58"/>
      <c r="G84" s="58"/>
      <c r="H84" s="58"/>
      <c r="I84" s="58"/>
    </row>
    <row r="85" spans="2:16" x14ac:dyDescent="0.2">
      <c r="B85" s="33">
        <v>1</v>
      </c>
      <c r="C85" s="42">
        <v>2</v>
      </c>
      <c r="D85" s="34">
        <v>3</v>
      </c>
      <c r="E85" s="58"/>
      <c r="F85" s="58"/>
      <c r="G85" s="58"/>
      <c r="H85" s="58"/>
      <c r="I85" s="58"/>
    </row>
    <row r="86" spans="2:16" ht="36.75" customHeight="1" x14ac:dyDescent="0.2">
      <c r="B86" s="163" t="s">
        <v>327</v>
      </c>
      <c r="C86" s="45">
        <f>639853626.91</f>
        <v>639853626.90999997</v>
      </c>
      <c r="D86" s="129">
        <f>0</f>
        <v>0</v>
      </c>
      <c r="E86" s="58"/>
      <c r="F86" s="58"/>
      <c r="G86" s="58"/>
      <c r="H86" s="58"/>
      <c r="I86" s="58"/>
    </row>
    <row r="87" spans="2:16" ht="36" customHeight="1" x14ac:dyDescent="0.2">
      <c r="B87" s="166" t="s">
        <v>174</v>
      </c>
      <c r="C87" s="46">
        <f>0</f>
        <v>0</v>
      </c>
      <c r="D87" s="128">
        <f>0</f>
        <v>0</v>
      </c>
      <c r="E87" s="58"/>
      <c r="F87" s="58"/>
      <c r="G87" s="58"/>
      <c r="H87" s="58"/>
      <c r="I87" s="58"/>
    </row>
    <row r="88" spans="2:16" ht="12.75" customHeight="1" x14ac:dyDescent="0.2">
      <c r="B88" s="166" t="s">
        <v>176</v>
      </c>
      <c r="C88" s="46">
        <f>28359924</f>
        <v>28359924</v>
      </c>
      <c r="D88" s="128">
        <f>0</f>
        <v>0</v>
      </c>
      <c r="E88" s="58"/>
      <c r="F88" s="58"/>
      <c r="G88" s="58"/>
      <c r="H88" s="58"/>
      <c r="I88" s="58"/>
    </row>
    <row r="89" spans="2:16" ht="25.5" customHeight="1" x14ac:dyDescent="0.2">
      <c r="B89" s="166" t="s">
        <v>178</v>
      </c>
      <c r="C89" s="46">
        <f>0</f>
        <v>0</v>
      </c>
      <c r="D89" s="128">
        <f>0</f>
        <v>0</v>
      </c>
      <c r="E89" s="58"/>
      <c r="F89" s="58"/>
      <c r="G89" s="58"/>
      <c r="H89" s="58"/>
      <c r="I89" s="58"/>
    </row>
    <row r="90" spans="2:16" ht="57.75" customHeight="1" x14ac:dyDescent="0.2">
      <c r="B90" s="166" t="s">
        <v>235</v>
      </c>
      <c r="C90" s="46">
        <f>551289469.91</f>
        <v>551289469.90999997</v>
      </c>
      <c r="D90" s="128">
        <f>0</f>
        <v>0</v>
      </c>
      <c r="E90" s="58"/>
      <c r="F90" s="58"/>
      <c r="G90" s="58"/>
      <c r="H90" s="58"/>
      <c r="I90" s="58"/>
    </row>
    <row r="91" spans="2:16" ht="84" customHeight="1" x14ac:dyDescent="0.2">
      <c r="B91" s="166" t="s">
        <v>180</v>
      </c>
      <c r="C91" s="46">
        <f>40583891.24</f>
        <v>40583891.240000002</v>
      </c>
      <c r="D91" s="128">
        <f>0</f>
        <v>0</v>
      </c>
      <c r="E91" s="58"/>
      <c r="F91" s="58"/>
      <c r="G91" s="58"/>
      <c r="H91" s="58"/>
      <c r="I91" s="58"/>
    </row>
    <row r="92" spans="2:16" ht="149.25" customHeight="1" x14ac:dyDescent="0.2">
      <c r="B92" s="166" t="s">
        <v>236</v>
      </c>
      <c r="C92" s="46">
        <f>19620341.76</f>
        <v>19620341.760000002</v>
      </c>
      <c r="D92" s="128">
        <f>0</f>
        <v>0</v>
      </c>
      <c r="E92" s="58"/>
      <c r="F92" s="58"/>
      <c r="G92" s="58"/>
      <c r="H92" s="58"/>
      <c r="I92" s="58"/>
    </row>
    <row r="93" spans="2:16" ht="24" customHeight="1" x14ac:dyDescent="0.2">
      <c r="B93" s="166" t="s">
        <v>237</v>
      </c>
      <c r="C93" s="46">
        <f>0</f>
        <v>0</v>
      </c>
      <c r="D93" s="128">
        <f>0</f>
        <v>0</v>
      </c>
      <c r="E93" s="58"/>
      <c r="F93" s="58"/>
      <c r="G93" s="58"/>
      <c r="H93" s="58"/>
      <c r="I93" s="58"/>
    </row>
    <row r="94" spans="2:16" ht="24" customHeight="1" x14ac:dyDescent="0.2">
      <c r="B94" s="166" t="s">
        <v>330</v>
      </c>
      <c r="C94" s="46">
        <f>0</f>
        <v>0</v>
      </c>
      <c r="D94" s="128">
        <f>0</f>
        <v>0</v>
      </c>
      <c r="E94" s="58"/>
      <c r="F94" s="58"/>
      <c r="G94" s="58"/>
      <c r="H94" s="58"/>
      <c r="I94" s="58"/>
    </row>
    <row r="95" spans="2:16" ht="13.5" customHeight="1" x14ac:dyDescent="0.2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</row>
    <row r="96" spans="2:16" x14ac:dyDescent="0.2">
      <c r="B96" s="174" t="s">
        <v>147</v>
      </c>
      <c r="C96" s="172">
        <f>2</f>
        <v>2</v>
      </c>
      <c r="D96" s="172" t="str">
        <f>IF(C96=1,"I Kwartał",IF(C96=2,"II Kwartały",IF(C96=3,"III Kwartały",IF(C96=4,"IV Kwartały",IF(C96="M1","Styczeń",IF(C96="M11","Listopad",IF(C96="M12","Grudzień","-")))))))</f>
        <v>II Kwartały</v>
      </c>
      <c r="E96" s="58"/>
      <c r="F96" s="58"/>
      <c r="G96" s="58"/>
      <c r="H96" s="58"/>
      <c r="I96" s="58"/>
      <c r="J96" s="58"/>
      <c r="K96" s="58"/>
      <c r="L96" s="58"/>
      <c r="M96" s="58"/>
    </row>
    <row r="97" spans="2:13" ht="11.25" customHeight="1" x14ac:dyDescent="0.2">
      <c r="B97" s="174" t="s">
        <v>148</v>
      </c>
      <c r="C97" s="173">
        <f>2023</f>
        <v>2023</v>
      </c>
      <c r="D97" s="55"/>
      <c r="E97" s="58"/>
      <c r="F97" s="58"/>
      <c r="G97" s="58"/>
      <c r="H97" s="58"/>
      <c r="I97" s="58"/>
      <c r="J97" s="58"/>
      <c r="K97" s="58"/>
      <c r="L97" s="58"/>
      <c r="M97" s="58"/>
    </row>
    <row r="98" spans="2:13" ht="10.5" customHeight="1" x14ac:dyDescent="0.2">
      <c r="B98" s="174" t="s">
        <v>149</v>
      </c>
      <c r="C98" s="201" t="str">
        <f>"Aug 14 2023 12:00AM"</f>
        <v>Aug 14 2023 12:00AM</v>
      </c>
      <c r="D98" s="202"/>
      <c r="E98" s="58"/>
      <c r="F98" s="58"/>
      <c r="G98" s="58"/>
      <c r="H98" s="58"/>
      <c r="I98" s="58"/>
      <c r="J98" s="58"/>
      <c r="K98" s="58"/>
      <c r="L98" s="58"/>
      <c r="M98" s="58"/>
    </row>
    <row r="99" spans="2:13" hidden="1" x14ac:dyDescent="0.2">
      <c r="B99" s="1" t="s">
        <v>305</v>
      </c>
      <c r="C99" s="181" t="s">
        <v>333</v>
      </c>
    </row>
  </sheetData>
  <mergeCells count="22">
    <mergeCell ref="C98:D98"/>
    <mergeCell ref="E62:I64"/>
    <mergeCell ref="K44:K46"/>
    <mergeCell ref="B44:B47"/>
    <mergeCell ref="I44:I46"/>
    <mergeCell ref="J44:J46"/>
    <mergeCell ref="D44:D46"/>
    <mergeCell ref="J63:K63"/>
    <mergeCell ref="J4:L4"/>
    <mergeCell ref="J47:K47"/>
    <mergeCell ref="E44:E46"/>
    <mergeCell ref="C44:C46"/>
    <mergeCell ref="I59:J59"/>
    <mergeCell ref="G45:H45"/>
    <mergeCell ref="F44:H44"/>
    <mergeCell ref="B3:B4"/>
    <mergeCell ref="F45:F46"/>
    <mergeCell ref="C63:D63"/>
    <mergeCell ref="C84:D84"/>
    <mergeCell ref="C47:I47"/>
    <mergeCell ref="E4:I5"/>
    <mergeCell ref="C4:D4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40" max="11" man="1"/>
    <brk id="60" max="11" man="1"/>
    <brk id="8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A101"/>
  <sheetViews>
    <sheetView zoomScaleNormal="100" workbookViewId="0">
      <selection activeCell="B3" sqref="B3:B4"/>
    </sheetView>
  </sheetViews>
  <sheetFormatPr defaultRowHeight="12.75" x14ac:dyDescent="0.2"/>
  <cols>
    <col min="1" max="1" width="7.85546875" style="25" bestFit="1" customWidth="1"/>
    <col min="2" max="2" width="22.85546875" style="1" customWidth="1"/>
    <col min="3" max="3" width="13.85546875" style="1" customWidth="1"/>
    <col min="4" max="4" width="17" style="1" customWidth="1"/>
    <col min="5" max="5" width="26.140625" style="1" customWidth="1"/>
    <col min="6" max="6" width="13.85546875" style="1" customWidth="1"/>
    <col min="7" max="10" width="13.5703125" style="1" customWidth="1"/>
    <col min="11" max="11" width="7.42578125" style="1" customWidth="1"/>
    <col min="12" max="12" width="7.28515625" style="1" customWidth="1"/>
    <col min="13" max="13" width="8.140625" style="1" customWidth="1"/>
    <col min="14" max="16384" width="9.140625" style="1"/>
  </cols>
  <sheetData>
    <row r="1" spans="1:13" ht="31.5" customHeight="1" x14ac:dyDescent="0.2">
      <c r="B1" s="257" t="str">
        <f>CONCATENATE("Informacja z wykonania budżetów związków jednostek samorządu terytorialnego za ",definicja!$D$97," ",definicja!$C$98," roku")</f>
        <v>Informacja z wykonania budżetów związków jednostek samorządu terytorialnego za - 2023 roku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3" ht="7.5" customHeight="1" x14ac:dyDescent="0.2"/>
    <row r="3" spans="1:13" ht="66.75" customHeight="1" x14ac:dyDescent="0.2">
      <c r="B3" s="250" t="s">
        <v>0</v>
      </c>
      <c r="C3" s="16" t="s">
        <v>113</v>
      </c>
      <c r="D3" s="16" t="s">
        <v>114</v>
      </c>
      <c r="E3" s="16" t="s">
        <v>115</v>
      </c>
      <c r="F3" s="18" t="s">
        <v>2</v>
      </c>
      <c r="G3" s="16" t="s">
        <v>54</v>
      </c>
      <c r="H3" s="16" t="s">
        <v>3</v>
      </c>
    </row>
    <row r="4" spans="1:13" x14ac:dyDescent="0.2">
      <c r="B4" s="250"/>
      <c r="C4" s="18" t="s">
        <v>120</v>
      </c>
      <c r="D4" s="18" t="s">
        <v>74</v>
      </c>
      <c r="E4" s="18" t="s">
        <v>121</v>
      </c>
      <c r="F4" s="251" t="s">
        <v>4</v>
      </c>
      <c r="G4" s="251"/>
      <c r="H4" s="251"/>
    </row>
    <row r="5" spans="1:13" ht="10.5" customHeight="1" x14ac:dyDescent="0.2">
      <c r="B5" s="18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</row>
    <row r="6" spans="1:13" ht="25.5" customHeight="1" x14ac:dyDescent="0.2">
      <c r="A6" s="55" t="s">
        <v>12</v>
      </c>
      <c r="B6" s="56" t="s">
        <v>5</v>
      </c>
      <c r="C6" s="233" t="s">
        <v>122</v>
      </c>
      <c r="D6" s="234"/>
      <c r="E6" s="235"/>
      <c r="F6" s="57">
        <v>100</v>
      </c>
      <c r="G6" s="57" t="s">
        <v>61</v>
      </c>
      <c r="H6" s="57"/>
      <c r="I6" s="58"/>
      <c r="J6" s="58"/>
      <c r="K6" s="58"/>
      <c r="L6" s="58"/>
      <c r="M6" s="58"/>
    </row>
    <row r="7" spans="1:13" ht="25.5" customHeight="1" x14ac:dyDescent="0.2">
      <c r="A7" s="55" t="s">
        <v>13</v>
      </c>
      <c r="B7" s="59" t="s">
        <v>141</v>
      </c>
      <c r="C7" s="258" t="s">
        <v>165</v>
      </c>
      <c r="D7" s="259"/>
      <c r="E7" s="260"/>
      <c r="F7" s="60" t="s">
        <v>57</v>
      </c>
      <c r="G7" s="60" t="s">
        <v>61</v>
      </c>
      <c r="H7" s="60">
        <v>100</v>
      </c>
      <c r="I7" s="58"/>
      <c r="J7" s="58"/>
      <c r="K7" s="58"/>
      <c r="L7" s="58"/>
      <c r="M7" s="58"/>
    </row>
    <row r="8" spans="1:13" ht="25.5" customHeight="1" x14ac:dyDescent="0.2">
      <c r="A8" s="55"/>
      <c r="B8" s="61" t="s">
        <v>220</v>
      </c>
      <c r="C8" s="218" t="s">
        <v>245</v>
      </c>
      <c r="D8" s="219"/>
      <c r="E8" s="220"/>
      <c r="F8" s="60"/>
      <c r="G8" s="60"/>
      <c r="H8" s="60"/>
      <c r="I8" s="58"/>
      <c r="J8" s="58"/>
      <c r="K8" s="58"/>
      <c r="L8" s="58"/>
      <c r="M8" s="58"/>
    </row>
    <row r="9" spans="1:13" ht="37.5" customHeight="1" x14ac:dyDescent="0.2">
      <c r="A9" s="55"/>
      <c r="B9" s="61" t="s">
        <v>218</v>
      </c>
      <c r="C9" s="218" t="s">
        <v>246</v>
      </c>
      <c r="D9" s="219"/>
      <c r="E9" s="220"/>
      <c r="F9" s="60"/>
      <c r="G9" s="60"/>
      <c r="H9" s="60"/>
      <c r="I9" s="58"/>
      <c r="J9" s="58"/>
      <c r="K9" s="58"/>
      <c r="L9" s="58"/>
      <c r="M9" s="58"/>
    </row>
    <row r="10" spans="1:13" ht="66" customHeight="1" x14ac:dyDescent="0.2">
      <c r="A10" s="55"/>
      <c r="B10" s="61" t="s">
        <v>219</v>
      </c>
      <c r="C10" s="218" t="s">
        <v>247</v>
      </c>
      <c r="D10" s="219"/>
      <c r="E10" s="220"/>
      <c r="F10" s="60"/>
      <c r="G10" s="60"/>
      <c r="H10" s="60"/>
      <c r="I10" s="58"/>
      <c r="J10" s="58"/>
      <c r="K10" s="58"/>
      <c r="L10" s="58"/>
      <c r="M10" s="58"/>
    </row>
    <row r="11" spans="1:13" ht="13.5" customHeight="1" x14ac:dyDescent="0.2">
      <c r="A11" s="55" t="s">
        <v>14</v>
      </c>
      <c r="B11" s="61" t="s">
        <v>55</v>
      </c>
      <c r="C11" s="218" t="s">
        <v>248</v>
      </c>
      <c r="D11" s="219"/>
      <c r="E11" s="220"/>
      <c r="F11" s="62" t="s">
        <v>58</v>
      </c>
      <c r="G11" s="62" t="s">
        <v>61</v>
      </c>
      <c r="H11" s="62" t="s">
        <v>62</v>
      </c>
      <c r="I11" s="58"/>
      <c r="J11" s="58"/>
      <c r="K11" s="58"/>
      <c r="L11" s="58"/>
      <c r="M11" s="58"/>
    </row>
    <row r="12" spans="1:13" ht="13.5" customHeight="1" x14ac:dyDescent="0.2">
      <c r="A12" s="55" t="s">
        <v>15</v>
      </c>
      <c r="B12" s="63" t="s">
        <v>56</v>
      </c>
      <c r="C12" s="221" t="s">
        <v>171</v>
      </c>
      <c r="D12" s="222"/>
      <c r="E12" s="223"/>
      <c r="F12" s="64" t="s">
        <v>59</v>
      </c>
      <c r="G12" s="64" t="s">
        <v>61</v>
      </c>
      <c r="H12" s="64" t="s">
        <v>63</v>
      </c>
      <c r="I12" s="58"/>
      <c r="J12" s="58"/>
      <c r="K12" s="58"/>
      <c r="L12" s="58"/>
      <c r="M12" s="58"/>
    </row>
    <row r="13" spans="1:13" ht="27" customHeight="1" x14ac:dyDescent="0.2">
      <c r="A13" s="55" t="s">
        <v>16</v>
      </c>
      <c r="B13" s="56" t="s">
        <v>158</v>
      </c>
      <c r="C13" s="233" t="s">
        <v>304</v>
      </c>
      <c r="D13" s="234"/>
      <c r="E13" s="235"/>
      <c r="F13" s="65" t="s">
        <v>131</v>
      </c>
      <c r="G13" s="57" t="s">
        <v>61</v>
      </c>
      <c r="H13" s="180"/>
      <c r="I13" s="58"/>
      <c r="J13" s="58"/>
      <c r="K13" s="58"/>
      <c r="L13" s="58"/>
      <c r="M13" s="58"/>
    </row>
    <row r="14" spans="1:13" ht="25.5" customHeight="1" x14ac:dyDescent="0.2">
      <c r="A14" s="55" t="s">
        <v>17</v>
      </c>
      <c r="B14" s="56" t="s">
        <v>142</v>
      </c>
      <c r="C14" s="233" t="s">
        <v>303</v>
      </c>
      <c r="D14" s="234"/>
      <c r="E14" s="235"/>
      <c r="F14" s="65" t="s">
        <v>132</v>
      </c>
      <c r="G14" s="57" t="s">
        <v>61</v>
      </c>
      <c r="H14" s="66"/>
      <c r="I14" s="58"/>
      <c r="J14" s="58"/>
      <c r="K14" s="58"/>
      <c r="L14" s="58"/>
      <c r="M14" s="58"/>
    </row>
    <row r="15" spans="1:13" ht="22.5" customHeight="1" x14ac:dyDescent="0.2">
      <c r="A15" s="55" t="s">
        <v>18</v>
      </c>
      <c r="B15" s="63" t="s">
        <v>9</v>
      </c>
      <c r="C15" s="221" t="s">
        <v>288</v>
      </c>
      <c r="D15" s="222"/>
      <c r="E15" s="223"/>
      <c r="F15" s="67" t="s">
        <v>133</v>
      </c>
      <c r="G15" s="64" t="s">
        <v>61</v>
      </c>
      <c r="H15" s="66"/>
      <c r="I15" s="58"/>
      <c r="J15" s="58"/>
      <c r="K15" s="58"/>
      <c r="L15" s="58"/>
      <c r="M15" s="58"/>
    </row>
    <row r="16" spans="1:13" ht="13.5" customHeight="1" x14ac:dyDescent="0.2">
      <c r="A16" s="55" t="s">
        <v>19</v>
      </c>
      <c r="B16" s="68" t="s">
        <v>6</v>
      </c>
      <c r="C16" s="218" t="s">
        <v>289</v>
      </c>
      <c r="D16" s="219"/>
      <c r="E16" s="220"/>
      <c r="F16" s="69" t="s">
        <v>134</v>
      </c>
      <c r="G16" s="62" t="s">
        <v>61</v>
      </c>
      <c r="H16" s="66"/>
      <c r="I16" s="58"/>
      <c r="J16" s="58"/>
      <c r="K16" s="58"/>
      <c r="L16" s="58"/>
      <c r="M16" s="58"/>
    </row>
    <row r="17" spans="1:13" ht="13.5" customHeight="1" x14ac:dyDescent="0.2">
      <c r="A17" s="55" t="s">
        <v>20</v>
      </c>
      <c r="B17" s="63" t="s">
        <v>7</v>
      </c>
      <c r="C17" s="221" t="s">
        <v>290</v>
      </c>
      <c r="D17" s="222"/>
      <c r="E17" s="223"/>
      <c r="F17" s="67" t="s">
        <v>135</v>
      </c>
      <c r="G17" s="64" t="s">
        <v>61</v>
      </c>
      <c r="H17" s="66"/>
      <c r="I17" s="58"/>
      <c r="J17" s="58"/>
      <c r="K17" s="58"/>
      <c r="L17" s="58"/>
      <c r="M17" s="58"/>
    </row>
    <row r="18" spans="1:13" ht="13.5" customHeight="1" x14ac:dyDescent="0.2">
      <c r="A18" s="55" t="s">
        <v>21</v>
      </c>
      <c r="B18" s="68" t="s">
        <v>6</v>
      </c>
      <c r="C18" s="218" t="s">
        <v>291</v>
      </c>
      <c r="D18" s="219"/>
      <c r="E18" s="220"/>
      <c r="F18" s="69" t="s">
        <v>136</v>
      </c>
      <c r="G18" s="62" t="s">
        <v>61</v>
      </c>
      <c r="H18" s="66"/>
      <c r="I18" s="58"/>
      <c r="J18" s="58"/>
      <c r="K18" s="58"/>
      <c r="L18" s="58"/>
      <c r="M18" s="58"/>
    </row>
    <row r="19" spans="1:13" ht="33" customHeight="1" x14ac:dyDescent="0.2">
      <c r="A19" s="55" t="s">
        <v>22</v>
      </c>
      <c r="B19" s="63" t="s">
        <v>10</v>
      </c>
      <c r="C19" s="221" t="s">
        <v>249</v>
      </c>
      <c r="D19" s="222"/>
      <c r="E19" s="223"/>
      <c r="F19" s="67" t="s">
        <v>137</v>
      </c>
      <c r="G19" s="64" t="s">
        <v>61</v>
      </c>
      <c r="H19" s="66"/>
      <c r="I19" s="58"/>
      <c r="J19" s="58"/>
      <c r="K19" s="58"/>
      <c r="L19" s="58"/>
      <c r="M19" s="58"/>
    </row>
    <row r="20" spans="1:13" ht="13.5" customHeight="1" x14ac:dyDescent="0.2">
      <c r="A20" s="55" t="s">
        <v>23</v>
      </c>
      <c r="B20" s="68" t="s">
        <v>6</v>
      </c>
      <c r="C20" s="218" t="s">
        <v>250</v>
      </c>
      <c r="D20" s="219"/>
      <c r="E20" s="220"/>
      <c r="F20" s="69" t="s">
        <v>138</v>
      </c>
      <c r="G20" s="62" t="s">
        <v>61</v>
      </c>
      <c r="H20" s="66"/>
      <c r="I20" s="58"/>
      <c r="J20" s="58"/>
      <c r="K20" s="58"/>
      <c r="L20" s="58"/>
      <c r="M20" s="58"/>
    </row>
    <row r="21" spans="1:13" ht="33" customHeight="1" x14ac:dyDescent="0.2">
      <c r="A21" s="55" t="s">
        <v>24</v>
      </c>
      <c r="B21" s="63" t="s">
        <v>11</v>
      </c>
      <c r="C21" s="221" t="s">
        <v>251</v>
      </c>
      <c r="D21" s="222"/>
      <c r="E21" s="223"/>
      <c r="F21" s="67" t="s">
        <v>139</v>
      </c>
      <c r="G21" s="64" t="s">
        <v>61</v>
      </c>
      <c r="H21" s="66"/>
      <c r="I21" s="58"/>
      <c r="J21" s="58"/>
      <c r="K21" s="58"/>
      <c r="L21" s="58"/>
      <c r="M21" s="58"/>
    </row>
    <row r="22" spans="1:13" ht="13.5" customHeight="1" x14ac:dyDescent="0.2">
      <c r="A22" s="55" t="s">
        <v>25</v>
      </c>
      <c r="B22" s="68" t="s">
        <v>6</v>
      </c>
      <c r="C22" s="218" t="s">
        <v>252</v>
      </c>
      <c r="D22" s="219"/>
      <c r="E22" s="220"/>
      <c r="F22" s="69" t="s">
        <v>140</v>
      </c>
      <c r="G22" s="62" t="s">
        <v>61</v>
      </c>
      <c r="H22" s="66"/>
      <c r="I22" s="58"/>
      <c r="J22" s="58"/>
      <c r="K22" s="58"/>
      <c r="L22" s="58"/>
      <c r="M22" s="58"/>
    </row>
    <row r="23" spans="1:13" ht="60" x14ac:dyDescent="0.2">
      <c r="A23" s="55" t="s">
        <v>26</v>
      </c>
      <c r="B23" s="63" t="s">
        <v>166</v>
      </c>
      <c r="C23" s="221" t="s">
        <v>253</v>
      </c>
      <c r="D23" s="222"/>
      <c r="E23" s="223"/>
      <c r="F23" s="69" t="s">
        <v>60</v>
      </c>
      <c r="G23" s="62" t="s">
        <v>61</v>
      </c>
      <c r="H23" s="66"/>
      <c r="I23" s="58"/>
      <c r="J23" s="58"/>
      <c r="K23" s="58"/>
      <c r="L23" s="58"/>
      <c r="M23" s="58"/>
    </row>
    <row r="24" spans="1:13" x14ac:dyDescent="0.2">
      <c r="A24" s="55" t="s">
        <v>154</v>
      </c>
      <c r="B24" s="68" t="s">
        <v>6</v>
      </c>
      <c r="C24" s="218" t="s">
        <v>254</v>
      </c>
      <c r="D24" s="219"/>
      <c r="E24" s="220"/>
      <c r="F24" s="69" t="s">
        <v>156</v>
      </c>
      <c r="G24" s="62" t="s">
        <v>61</v>
      </c>
      <c r="H24" s="66"/>
      <c r="I24" s="58"/>
      <c r="J24" s="58"/>
      <c r="K24" s="58"/>
      <c r="L24" s="58"/>
      <c r="M24" s="58"/>
    </row>
    <row r="25" spans="1:13" ht="22.5" customHeight="1" x14ac:dyDescent="0.2">
      <c r="A25" s="55" t="s">
        <v>155</v>
      </c>
      <c r="B25" s="63" t="s">
        <v>8</v>
      </c>
      <c r="C25" s="221" t="s">
        <v>255</v>
      </c>
      <c r="D25" s="222"/>
      <c r="E25" s="223"/>
      <c r="F25" s="67" t="s">
        <v>157</v>
      </c>
      <c r="G25" s="64" t="s">
        <v>61</v>
      </c>
      <c r="H25" s="66"/>
      <c r="I25" s="58"/>
      <c r="J25" s="58"/>
      <c r="K25" s="58"/>
      <c r="L25" s="58"/>
      <c r="M25" s="58"/>
    </row>
    <row r="26" spans="1:13" ht="13.5" customHeight="1" x14ac:dyDescent="0.2">
      <c r="A26" s="55" t="s">
        <v>159</v>
      </c>
      <c r="B26" s="68" t="s">
        <v>6</v>
      </c>
      <c r="C26" s="218" t="s">
        <v>256</v>
      </c>
      <c r="D26" s="219"/>
      <c r="E26" s="220"/>
      <c r="F26" s="67" t="s">
        <v>160</v>
      </c>
      <c r="G26" s="62" t="s">
        <v>61</v>
      </c>
      <c r="H26" s="66"/>
      <c r="I26" s="58"/>
      <c r="J26" s="58"/>
      <c r="K26" s="58"/>
      <c r="L26" s="58"/>
      <c r="M26" s="58"/>
    </row>
    <row r="27" spans="1:13" ht="84" x14ac:dyDescent="0.2">
      <c r="A27" s="55" t="s">
        <v>167</v>
      </c>
      <c r="B27" s="63" t="s">
        <v>222</v>
      </c>
      <c r="C27" s="221" t="s">
        <v>257</v>
      </c>
      <c r="D27" s="222"/>
      <c r="E27" s="223"/>
      <c r="F27" s="67" t="s">
        <v>169</v>
      </c>
      <c r="G27" s="62" t="s">
        <v>61</v>
      </c>
      <c r="H27" s="66"/>
      <c r="I27" s="58"/>
      <c r="J27" s="58"/>
      <c r="K27" s="58"/>
      <c r="L27" s="58"/>
      <c r="M27" s="58"/>
    </row>
    <row r="28" spans="1:13" ht="13.5" customHeight="1" x14ac:dyDescent="0.2">
      <c r="A28" s="55" t="s">
        <v>168</v>
      </c>
      <c r="B28" s="68" t="s">
        <v>223</v>
      </c>
      <c r="C28" s="218" t="s">
        <v>258</v>
      </c>
      <c r="D28" s="219"/>
      <c r="E28" s="220"/>
      <c r="F28" s="67" t="s">
        <v>170</v>
      </c>
      <c r="G28" s="62" t="s">
        <v>61</v>
      </c>
      <c r="H28" s="66"/>
      <c r="I28" s="58"/>
      <c r="J28" s="58"/>
      <c r="K28" s="58"/>
      <c r="L28" s="58"/>
      <c r="M28" s="58"/>
    </row>
    <row r="29" spans="1:13" ht="72" x14ac:dyDescent="0.2">
      <c r="A29" s="55" t="s">
        <v>183</v>
      </c>
      <c r="B29" s="63" t="s">
        <v>213</v>
      </c>
      <c r="C29" s="218" t="s">
        <v>292</v>
      </c>
      <c r="D29" s="219"/>
      <c r="E29" s="220"/>
      <c r="F29" s="70" t="s">
        <v>185</v>
      </c>
      <c r="G29" s="62" t="s">
        <v>61</v>
      </c>
      <c r="H29" s="66"/>
      <c r="I29" s="58"/>
      <c r="J29" s="58"/>
      <c r="K29" s="58"/>
      <c r="L29" s="58"/>
      <c r="M29" s="58"/>
    </row>
    <row r="30" spans="1:13" ht="13.5" customHeight="1" x14ac:dyDescent="0.2">
      <c r="A30" s="55" t="s">
        <v>184</v>
      </c>
      <c r="B30" s="68" t="s">
        <v>6</v>
      </c>
      <c r="C30" s="218" t="s">
        <v>293</v>
      </c>
      <c r="D30" s="219"/>
      <c r="E30" s="220"/>
      <c r="F30" s="67" t="s">
        <v>186</v>
      </c>
      <c r="G30" s="62" t="s">
        <v>61</v>
      </c>
      <c r="H30" s="66"/>
      <c r="I30" s="58"/>
      <c r="J30" s="58"/>
      <c r="K30" s="58"/>
      <c r="L30" s="58"/>
      <c r="M30" s="58"/>
    </row>
    <row r="31" spans="1:13" ht="36" x14ac:dyDescent="0.2">
      <c r="A31" s="175" t="s">
        <v>284</v>
      </c>
      <c r="B31" s="63" t="s">
        <v>283</v>
      </c>
      <c r="C31" s="218" t="s">
        <v>294</v>
      </c>
      <c r="D31" s="219"/>
      <c r="E31" s="220"/>
      <c r="F31" s="67" t="s">
        <v>286</v>
      </c>
      <c r="G31" s="62" t="s">
        <v>61</v>
      </c>
      <c r="H31" s="66"/>
      <c r="I31" s="58"/>
      <c r="J31" s="58"/>
      <c r="K31" s="58"/>
      <c r="L31" s="58"/>
      <c r="M31" s="58"/>
    </row>
    <row r="32" spans="1:13" ht="13.5" customHeight="1" x14ac:dyDescent="0.2">
      <c r="A32" s="175" t="s">
        <v>285</v>
      </c>
      <c r="B32" s="68" t="s">
        <v>6</v>
      </c>
      <c r="C32" s="239" t="s">
        <v>295</v>
      </c>
      <c r="D32" s="240"/>
      <c r="E32" s="241"/>
      <c r="F32" s="67" t="s">
        <v>287</v>
      </c>
      <c r="G32" s="62" t="s">
        <v>61</v>
      </c>
      <c r="H32" s="66"/>
      <c r="I32" s="58"/>
      <c r="J32" s="58"/>
      <c r="K32" s="58"/>
      <c r="L32" s="58"/>
      <c r="M32" s="58"/>
    </row>
    <row r="33" spans="1:27" s="6" customFormat="1" ht="13.5" customHeight="1" x14ac:dyDescent="0.2">
      <c r="A33" s="55" t="s">
        <v>214</v>
      </c>
      <c r="B33" s="56" t="s">
        <v>163</v>
      </c>
      <c r="C33" s="221" t="s">
        <v>259</v>
      </c>
      <c r="D33" s="222"/>
      <c r="E33" s="223"/>
      <c r="F33" s="70" t="s">
        <v>216</v>
      </c>
      <c r="G33" s="57" t="s">
        <v>61</v>
      </c>
      <c r="H33" s="17"/>
      <c r="I33" s="17"/>
      <c r="J33" s="17"/>
      <c r="K33" s="10"/>
      <c r="L33" s="10"/>
      <c r="M33" s="71"/>
    </row>
    <row r="34" spans="1:27" s="6" customFormat="1" ht="24" x14ac:dyDescent="0.2">
      <c r="A34" s="55" t="s">
        <v>215</v>
      </c>
      <c r="B34" s="68" t="s">
        <v>162</v>
      </c>
      <c r="C34" s="218" t="s">
        <v>260</v>
      </c>
      <c r="D34" s="219"/>
      <c r="E34" s="220"/>
      <c r="F34" s="67" t="s">
        <v>217</v>
      </c>
      <c r="G34" s="62" t="s">
        <v>61</v>
      </c>
      <c r="H34" s="17"/>
      <c r="I34" s="17"/>
      <c r="J34" s="17"/>
      <c r="K34" s="10"/>
      <c r="L34" s="10"/>
      <c r="M34" s="71"/>
    </row>
    <row r="35" spans="1:27" s="6" customFormat="1" ht="13.5" customHeight="1" x14ac:dyDescent="0.2">
      <c r="A35" s="55" t="s">
        <v>224</v>
      </c>
      <c r="B35" s="56" t="s">
        <v>181</v>
      </c>
      <c r="C35" s="221" t="s">
        <v>261</v>
      </c>
      <c r="D35" s="222"/>
      <c r="E35" s="223"/>
      <c r="F35" s="70" t="s">
        <v>226</v>
      </c>
      <c r="G35" s="62" t="s">
        <v>61</v>
      </c>
      <c r="H35" s="17"/>
      <c r="I35" s="17"/>
      <c r="J35" s="17"/>
      <c r="K35" s="10"/>
      <c r="L35" s="10"/>
      <c r="M35" s="71"/>
    </row>
    <row r="36" spans="1:27" s="6" customFormat="1" ht="21" customHeight="1" x14ac:dyDescent="0.2">
      <c r="A36" s="55" t="s">
        <v>225</v>
      </c>
      <c r="B36" s="68" t="s">
        <v>182</v>
      </c>
      <c r="C36" s="218" t="s">
        <v>262</v>
      </c>
      <c r="D36" s="219"/>
      <c r="E36" s="220"/>
      <c r="F36" s="67" t="s">
        <v>227</v>
      </c>
      <c r="G36" s="62" t="s">
        <v>61</v>
      </c>
      <c r="H36" s="17"/>
      <c r="I36" s="17"/>
      <c r="J36" s="17"/>
      <c r="K36" s="10"/>
      <c r="L36" s="10"/>
      <c r="M36" s="71"/>
    </row>
    <row r="37" spans="1:27" s="6" customFormat="1" ht="13.5" customHeight="1" x14ac:dyDescent="0.2">
      <c r="A37" s="72"/>
      <c r="B37" s="73"/>
      <c r="C37" s="8"/>
      <c r="D37" s="9"/>
      <c r="E37" s="9"/>
      <c r="F37" s="17"/>
      <c r="G37" s="17"/>
      <c r="H37" s="17"/>
      <c r="I37" s="17"/>
      <c r="J37" s="17"/>
      <c r="K37" s="10"/>
      <c r="L37" s="10"/>
      <c r="M37" s="71"/>
    </row>
    <row r="38" spans="1:27" s="6" customFormat="1" ht="13.5" customHeight="1" x14ac:dyDescent="0.2">
      <c r="A38" s="72" t="s">
        <v>12</v>
      </c>
      <c r="B38" s="74" t="s">
        <v>5</v>
      </c>
      <c r="C38" s="236" t="s">
        <v>191</v>
      </c>
      <c r="D38" s="237"/>
      <c r="E38" s="238"/>
      <c r="F38" s="52">
        <v>100</v>
      </c>
      <c r="G38" s="53" t="s">
        <v>61</v>
      </c>
      <c r="H38" s="52">
        <v>100</v>
      </c>
      <c r="I38" s="17"/>
      <c r="J38" s="17"/>
      <c r="K38" s="10"/>
      <c r="L38" s="10"/>
      <c r="M38" s="71"/>
    </row>
    <row r="39" spans="1:27" s="6" customFormat="1" ht="48" customHeight="1" x14ac:dyDescent="0.2">
      <c r="A39" s="72" t="s">
        <v>189</v>
      </c>
      <c r="B39" s="74" t="s">
        <v>187</v>
      </c>
      <c r="C39" s="261" t="s">
        <v>296</v>
      </c>
      <c r="D39" s="262"/>
      <c r="E39" s="263"/>
      <c r="F39" s="52">
        <v>100</v>
      </c>
      <c r="G39" s="53" t="s">
        <v>61</v>
      </c>
      <c r="H39" s="54" t="s">
        <v>192</v>
      </c>
      <c r="I39" s="17"/>
      <c r="J39" s="17"/>
      <c r="K39" s="10"/>
      <c r="L39" s="10"/>
      <c r="M39" s="71"/>
    </row>
    <row r="40" spans="1:27" s="6" customFormat="1" x14ac:dyDescent="0.2">
      <c r="A40" s="72" t="s">
        <v>190</v>
      </c>
      <c r="B40" s="74" t="s">
        <v>188</v>
      </c>
      <c r="C40" s="236" t="s">
        <v>194</v>
      </c>
      <c r="D40" s="237"/>
      <c r="E40" s="238"/>
      <c r="F40" s="52">
        <v>100</v>
      </c>
      <c r="G40" s="53" t="s">
        <v>61</v>
      </c>
      <c r="H40" s="54" t="s">
        <v>193</v>
      </c>
      <c r="I40" s="17"/>
      <c r="J40" s="17"/>
      <c r="K40" s="10"/>
      <c r="L40" s="10"/>
      <c r="M40" s="71"/>
    </row>
    <row r="41" spans="1:27" s="6" customFormat="1" ht="13.5" customHeight="1" x14ac:dyDescent="0.2">
      <c r="A41" s="26"/>
      <c r="B41" s="176" t="s">
        <v>302</v>
      </c>
      <c r="C41" s="8"/>
      <c r="D41" s="9"/>
      <c r="E41" s="9"/>
      <c r="F41" s="17"/>
      <c r="G41" s="17"/>
      <c r="H41" s="17"/>
      <c r="I41" s="17"/>
      <c r="J41" s="17"/>
      <c r="K41" s="10"/>
      <c r="L41" s="10"/>
      <c r="M41" s="4"/>
    </row>
    <row r="42" spans="1:27" ht="34.5" customHeight="1" x14ac:dyDescent="0.2">
      <c r="B42" s="257" t="str">
        <f>CONCATENATE("Informacja z wykonania budżetów związków jednostek samorządu terytorialnego za ",definicja!$D$97," ",definicja!$C$98," roku")</f>
        <v>Informacja z wykonania budżetów związków jednostek samorządu terytorialnego za - 2023 roku</v>
      </c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</row>
    <row r="43" spans="1:27" s="6" customFormat="1" ht="13.5" customHeight="1" x14ac:dyDescent="0.2">
      <c r="A43" s="27"/>
      <c r="B43" s="7"/>
      <c r="C43" s="8"/>
      <c r="D43" s="9"/>
      <c r="E43" s="9"/>
      <c r="F43" s="5"/>
      <c r="G43" s="5"/>
      <c r="H43" s="5"/>
      <c r="I43" s="5"/>
      <c r="J43" s="5"/>
      <c r="K43" s="10"/>
      <c r="L43" s="10"/>
      <c r="M43" s="4"/>
    </row>
    <row r="44" spans="1:27" ht="29.25" customHeight="1" x14ac:dyDescent="0.2">
      <c r="B44" s="182" t="s">
        <v>0</v>
      </c>
      <c r="C44" s="198" t="s">
        <v>195</v>
      </c>
      <c r="D44" s="198" t="s">
        <v>197</v>
      </c>
      <c r="E44" s="198" t="s">
        <v>196</v>
      </c>
      <c r="F44" s="198" t="s">
        <v>27</v>
      </c>
      <c r="G44" s="198"/>
      <c r="H44" s="198"/>
      <c r="I44" s="198" t="s">
        <v>198</v>
      </c>
      <c r="J44" s="198"/>
      <c r="K44" s="198" t="s">
        <v>2</v>
      </c>
      <c r="L44" s="212" t="s">
        <v>54</v>
      </c>
      <c r="N44" s="17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8" customHeight="1" x14ac:dyDescent="0.2">
      <c r="B45" s="182"/>
      <c r="C45" s="198"/>
      <c r="D45" s="198"/>
      <c r="E45" s="184"/>
      <c r="F45" s="183" t="s">
        <v>199</v>
      </c>
      <c r="G45" s="200" t="s">
        <v>112</v>
      </c>
      <c r="H45" s="184"/>
      <c r="I45" s="198"/>
      <c r="J45" s="198"/>
      <c r="K45" s="198"/>
      <c r="L45" s="212"/>
      <c r="M45" s="12"/>
      <c r="N45" s="17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36" customHeight="1" x14ac:dyDescent="0.2">
      <c r="B46" s="182"/>
      <c r="C46" s="198"/>
      <c r="D46" s="198"/>
      <c r="E46" s="184"/>
      <c r="F46" s="184"/>
      <c r="G46" s="75" t="s">
        <v>200</v>
      </c>
      <c r="H46" s="75" t="s">
        <v>201</v>
      </c>
      <c r="I46" s="198"/>
      <c r="J46" s="198"/>
      <c r="K46" s="198"/>
      <c r="L46" s="212"/>
      <c r="M46" s="12"/>
      <c r="N46" s="17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3.5" customHeight="1" x14ac:dyDescent="0.2">
      <c r="B47" s="182"/>
      <c r="C47" s="78" t="s">
        <v>120</v>
      </c>
      <c r="D47" s="78" t="s">
        <v>124</v>
      </c>
      <c r="E47" s="78" t="s">
        <v>123</v>
      </c>
      <c r="F47" s="78" t="s">
        <v>125</v>
      </c>
      <c r="G47" s="78" t="s">
        <v>126</v>
      </c>
      <c r="H47" s="78" t="s">
        <v>127</v>
      </c>
      <c r="I47" s="188" t="s">
        <v>128</v>
      </c>
      <c r="J47" s="190"/>
      <c r="K47" s="197" t="s">
        <v>4</v>
      </c>
      <c r="L47" s="197"/>
      <c r="N47" s="114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1.25" customHeight="1" x14ac:dyDescent="0.2">
      <c r="B48" s="78">
        <v>1</v>
      </c>
      <c r="C48" s="77">
        <v>2</v>
      </c>
      <c r="D48" s="77">
        <v>3</v>
      </c>
      <c r="E48" s="77">
        <v>4</v>
      </c>
      <c r="F48" s="78">
        <v>5</v>
      </c>
      <c r="G48" s="78">
        <v>6</v>
      </c>
      <c r="H48" s="77">
        <v>7</v>
      </c>
      <c r="I48" s="184">
        <v>8</v>
      </c>
      <c r="J48" s="184"/>
      <c r="K48" s="78">
        <v>9</v>
      </c>
      <c r="L48" s="77">
        <v>10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14" ht="25.5" customHeight="1" x14ac:dyDescent="0.2">
      <c r="A49" s="25" t="s">
        <v>30</v>
      </c>
      <c r="B49" s="56" t="s">
        <v>143</v>
      </c>
      <c r="C49" s="264" t="s">
        <v>119</v>
      </c>
      <c r="D49" s="264"/>
      <c r="E49" s="264"/>
      <c r="F49" s="264"/>
      <c r="G49" s="264"/>
      <c r="H49" s="264"/>
      <c r="I49" s="264"/>
      <c r="J49" s="264"/>
      <c r="K49" s="79">
        <v>100</v>
      </c>
      <c r="L49" s="79" t="s">
        <v>61</v>
      </c>
    </row>
    <row r="50" spans="1:14" ht="24" customHeight="1" x14ac:dyDescent="0.2">
      <c r="A50" s="25" t="s">
        <v>31</v>
      </c>
      <c r="B50" s="59" t="s">
        <v>29</v>
      </c>
      <c r="C50" s="227" t="s">
        <v>297</v>
      </c>
      <c r="D50" s="227"/>
      <c r="E50" s="227"/>
      <c r="F50" s="227"/>
      <c r="G50" s="227"/>
      <c r="H50" s="227"/>
      <c r="I50" s="227"/>
      <c r="J50" s="227"/>
      <c r="K50" s="80" t="s">
        <v>64</v>
      </c>
      <c r="L50" s="80" t="s">
        <v>61</v>
      </c>
    </row>
    <row r="51" spans="1:14" ht="24" x14ac:dyDescent="0.2">
      <c r="A51" s="25" t="s">
        <v>32</v>
      </c>
      <c r="B51" s="61" t="s">
        <v>28</v>
      </c>
      <c r="C51" s="265" t="s">
        <v>298</v>
      </c>
      <c r="D51" s="265"/>
      <c r="E51" s="265"/>
      <c r="F51" s="265"/>
      <c r="G51" s="265"/>
      <c r="H51" s="265"/>
      <c r="I51" s="265"/>
      <c r="J51" s="265"/>
      <c r="K51" s="81" t="s">
        <v>65</v>
      </c>
      <c r="L51" s="81" t="s">
        <v>61</v>
      </c>
    </row>
    <row r="52" spans="1:14" ht="25.5" customHeight="1" x14ac:dyDescent="0.2">
      <c r="A52" s="25" t="s">
        <v>33</v>
      </c>
      <c r="B52" s="59" t="s">
        <v>144</v>
      </c>
      <c r="C52" s="227" t="s">
        <v>75</v>
      </c>
      <c r="D52" s="227"/>
      <c r="E52" s="227"/>
      <c r="F52" s="227"/>
      <c r="G52" s="227"/>
      <c r="H52" s="227"/>
      <c r="I52" s="227"/>
      <c r="J52" s="227"/>
      <c r="K52" s="80" t="s">
        <v>66</v>
      </c>
      <c r="L52" s="80" t="s">
        <v>61</v>
      </c>
    </row>
    <row r="53" spans="1:14" ht="36.75" customHeight="1" x14ac:dyDescent="0.2">
      <c r="A53" s="25" t="s">
        <v>34</v>
      </c>
      <c r="B53" s="61" t="s">
        <v>228</v>
      </c>
      <c r="C53" s="252" t="s">
        <v>299</v>
      </c>
      <c r="D53" s="252"/>
      <c r="E53" s="252"/>
      <c r="F53" s="252"/>
      <c r="G53" s="252"/>
      <c r="H53" s="252"/>
      <c r="I53" s="252"/>
      <c r="J53" s="252"/>
      <c r="K53" s="81" t="s">
        <v>67</v>
      </c>
      <c r="L53" s="81" t="s">
        <v>61</v>
      </c>
    </row>
    <row r="54" spans="1:14" ht="40.5" customHeight="1" x14ac:dyDescent="0.2">
      <c r="A54" s="25" t="s">
        <v>35</v>
      </c>
      <c r="B54" s="63" t="s">
        <v>118</v>
      </c>
      <c r="C54" s="253" t="s">
        <v>300</v>
      </c>
      <c r="D54" s="253"/>
      <c r="E54" s="253"/>
      <c r="F54" s="253"/>
      <c r="G54" s="253"/>
      <c r="H54" s="253"/>
      <c r="I54" s="253"/>
      <c r="J54" s="253"/>
      <c r="K54" s="82" t="s">
        <v>68</v>
      </c>
      <c r="L54" s="82" t="s">
        <v>61</v>
      </c>
      <c r="N54" s="108"/>
    </row>
    <row r="55" spans="1:14" ht="13.5" customHeight="1" x14ac:dyDescent="0.2">
      <c r="A55" s="25" t="s">
        <v>36</v>
      </c>
      <c r="B55" s="61" t="s">
        <v>117</v>
      </c>
      <c r="C55" s="252" t="s">
        <v>281</v>
      </c>
      <c r="D55" s="252"/>
      <c r="E55" s="252"/>
      <c r="F55" s="252"/>
      <c r="G55" s="252"/>
      <c r="H55" s="252"/>
      <c r="I55" s="252"/>
      <c r="J55" s="252"/>
      <c r="K55" s="81" t="s">
        <v>69</v>
      </c>
      <c r="L55" s="81" t="s">
        <v>61</v>
      </c>
    </row>
    <row r="56" spans="1:14" ht="22.5" customHeight="1" x14ac:dyDescent="0.2">
      <c r="A56" s="25" t="s">
        <v>37</v>
      </c>
      <c r="B56" s="63" t="s">
        <v>150</v>
      </c>
      <c r="C56" s="253" t="s">
        <v>282</v>
      </c>
      <c r="D56" s="253"/>
      <c r="E56" s="253"/>
      <c r="F56" s="253"/>
      <c r="G56" s="253"/>
      <c r="H56" s="253"/>
      <c r="I56" s="253"/>
      <c r="J56" s="253"/>
      <c r="K56" s="82" t="s">
        <v>70</v>
      </c>
      <c r="L56" s="82" t="s">
        <v>61</v>
      </c>
    </row>
    <row r="57" spans="1:14" ht="22.5" customHeight="1" x14ac:dyDescent="0.2">
      <c r="A57" s="25" t="s">
        <v>38</v>
      </c>
      <c r="B57" s="63" t="s">
        <v>161</v>
      </c>
      <c r="C57" s="254" t="s">
        <v>301</v>
      </c>
      <c r="D57" s="255"/>
      <c r="E57" s="255"/>
      <c r="F57" s="255"/>
      <c r="G57" s="255"/>
      <c r="H57" s="255"/>
      <c r="I57" s="255"/>
      <c r="J57" s="256"/>
      <c r="K57" s="82" t="s">
        <v>71</v>
      </c>
      <c r="L57" s="82" t="s">
        <v>61</v>
      </c>
    </row>
    <row r="58" spans="1:14" ht="13.5" customHeight="1" x14ac:dyDescent="0.2">
      <c r="A58" s="25" t="s">
        <v>39</v>
      </c>
      <c r="B58" s="61" t="s">
        <v>116</v>
      </c>
      <c r="C58" s="252" t="s">
        <v>212</v>
      </c>
      <c r="D58" s="252"/>
      <c r="E58" s="252"/>
      <c r="F58" s="252"/>
      <c r="G58" s="252"/>
      <c r="H58" s="252"/>
      <c r="I58" s="252"/>
      <c r="J58" s="252"/>
      <c r="K58" s="81" t="s">
        <v>72</v>
      </c>
      <c r="L58" s="81" t="s">
        <v>61</v>
      </c>
    </row>
    <row r="59" spans="1:14" ht="24" customHeight="1" x14ac:dyDescent="0.2">
      <c r="A59" s="25" t="s">
        <v>40</v>
      </c>
      <c r="B59" s="59" t="s">
        <v>41</v>
      </c>
      <c r="C59" s="227" t="s">
        <v>73</v>
      </c>
      <c r="D59" s="227"/>
      <c r="E59" s="227"/>
      <c r="F59" s="227"/>
      <c r="G59" s="227"/>
      <c r="H59" s="227"/>
      <c r="I59" s="227"/>
      <c r="J59" s="227"/>
      <c r="K59" s="83"/>
      <c r="L59" s="83"/>
      <c r="M59" s="13"/>
    </row>
    <row r="60" spans="1:14" ht="12" customHeight="1" x14ac:dyDescent="0.2">
      <c r="B60" s="14"/>
      <c r="C60" s="15"/>
      <c r="D60" s="15"/>
      <c r="E60" s="15"/>
      <c r="F60" s="2"/>
      <c r="G60" s="2"/>
      <c r="H60" s="2"/>
      <c r="I60" s="2"/>
      <c r="L60" s="11"/>
      <c r="M60" s="11"/>
    </row>
    <row r="62" spans="1:14" ht="36" customHeight="1" x14ac:dyDescent="0.2">
      <c r="B62" s="249" t="str">
        <f>CONCATENATE("Informacja z wykonania budżetów związków jednostek samorządu terytorialnego za ",definicja!$D$97," ",definicja!$C$98," roku")</f>
        <v>Informacja z wykonania budżetów związków jednostek samorządu terytorialnego za - 2023 roku</v>
      </c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</row>
    <row r="63" spans="1:14" ht="11.25" customHeight="1" x14ac:dyDescent="0.2">
      <c r="A63"/>
      <c r="B63" s="247" t="s">
        <v>42</v>
      </c>
      <c r="C63" s="247"/>
      <c r="D63" s="242" t="s">
        <v>43</v>
      </c>
      <c r="E63" s="242"/>
      <c r="F63" s="242" t="s">
        <v>1</v>
      </c>
      <c r="G63" s="242"/>
      <c r="H63" s="19" t="s">
        <v>76</v>
      </c>
      <c r="I63" s="19" t="s">
        <v>77</v>
      </c>
    </row>
    <row r="64" spans="1:14" x14ac:dyDescent="0.2">
      <c r="A64"/>
      <c r="B64" s="247"/>
      <c r="C64" s="247"/>
      <c r="D64" s="226" t="s">
        <v>129</v>
      </c>
      <c r="E64" s="226"/>
      <c r="F64" s="226" t="s">
        <v>130</v>
      </c>
      <c r="G64" s="226"/>
      <c r="H64" s="266" t="s">
        <v>4</v>
      </c>
      <c r="I64" s="266"/>
    </row>
    <row r="65" spans="1:9" x14ac:dyDescent="0.2">
      <c r="A65"/>
      <c r="B65" s="225">
        <v>1</v>
      </c>
      <c r="C65" s="226"/>
      <c r="D65" s="248">
        <v>2</v>
      </c>
      <c r="E65" s="248"/>
      <c r="F65" s="248">
        <v>3</v>
      </c>
      <c r="G65" s="248"/>
      <c r="H65" s="34">
        <v>4</v>
      </c>
      <c r="I65" s="34">
        <v>5</v>
      </c>
    </row>
    <row r="66" spans="1:9" ht="28.5" customHeight="1" x14ac:dyDescent="0.2">
      <c r="A66" s="25" t="s">
        <v>44</v>
      </c>
      <c r="B66" s="231" t="s">
        <v>145</v>
      </c>
      <c r="C66" s="232"/>
      <c r="D66" s="130" t="s">
        <v>263</v>
      </c>
      <c r="E66" s="131"/>
      <c r="F66" s="131"/>
      <c r="G66" s="132"/>
      <c r="H66" s="35">
        <v>100</v>
      </c>
      <c r="I66" s="38" t="s">
        <v>78</v>
      </c>
    </row>
    <row r="67" spans="1:9" ht="26.25" customHeight="1" x14ac:dyDescent="0.2">
      <c r="A67" s="25" t="s">
        <v>45</v>
      </c>
      <c r="B67" s="230" t="s">
        <v>205</v>
      </c>
      <c r="C67" s="230"/>
      <c r="D67" s="133" t="s">
        <v>264</v>
      </c>
      <c r="E67" s="134"/>
      <c r="F67" s="134"/>
      <c r="G67" s="135"/>
      <c r="H67" s="36" t="s">
        <v>79</v>
      </c>
      <c r="I67" s="36" t="s">
        <v>80</v>
      </c>
    </row>
    <row r="68" spans="1:9" x14ac:dyDescent="0.2">
      <c r="A68" s="25" t="s">
        <v>96</v>
      </c>
      <c r="B68" s="224" t="s">
        <v>206</v>
      </c>
      <c r="C68" s="224"/>
      <c r="D68" s="136" t="s">
        <v>265</v>
      </c>
      <c r="E68" s="137"/>
      <c r="F68" s="137"/>
      <c r="G68" s="138"/>
      <c r="H68" s="37" t="s">
        <v>97</v>
      </c>
      <c r="I68" s="37" t="s">
        <v>98</v>
      </c>
    </row>
    <row r="69" spans="1:9" x14ac:dyDescent="0.2">
      <c r="A69" s="25" t="s">
        <v>46</v>
      </c>
      <c r="B69" s="230" t="s">
        <v>207</v>
      </c>
      <c r="C69" s="230" t="s">
        <v>99</v>
      </c>
      <c r="D69" s="136" t="s">
        <v>266</v>
      </c>
      <c r="E69" s="137"/>
      <c r="F69" s="137"/>
      <c r="G69" s="138"/>
      <c r="H69" s="37" t="s">
        <v>81</v>
      </c>
      <c r="I69" s="37" t="s">
        <v>82</v>
      </c>
    </row>
    <row r="70" spans="1:9" ht="45" customHeight="1" x14ac:dyDescent="0.2">
      <c r="A70" s="25" t="s">
        <v>47</v>
      </c>
      <c r="B70" s="230" t="s">
        <v>232</v>
      </c>
      <c r="C70" s="230" t="s">
        <v>100</v>
      </c>
      <c r="D70" s="133" t="s">
        <v>267</v>
      </c>
      <c r="E70" s="134"/>
      <c r="F70" s="134"/>
      <c r="G70" s="135"/>
      <c r="H70" s="36" t="s">
        <v>83</v>
      </c>
      <c r="I70" s="36" t="s">
        <v>84</v>
      </c>
    </row>
    <row r="71" spans="1:9" ht="38.25" customHeight="1" x14ac:dyDescent="0.2">
      <c r="A71" s="25" t="s">
        <v>48</v>
      </c>
      <c r="B71" s="230" t="s">
        <v>234</v>
      </c>
      <c r="C71" s="230"/>
      <c r="D71" s="133" t="s">
        <v>306</v>
      </c>
      <c r="E71" s="134"/>
      <c r="F71" s="134"/>
      <c r="G71" s="135"/>
      <c r="H71" s="36" t="s">
        <v>85</v>
      </c>
      <c r="I71" s="36" t="s">
        <v>86</v>
      </c>
    </row>
    <row r="72" spans="1:9" x14ac:dyDescent="0.2">
      <c r="A72" s="25" t="s">
        <v>49</v>
      </c>
      <c r="B72" s="230" t="s">
        <v>208</v>
      </c>
      <c r="C72" s="230" t="s">
        <v>101</v>
      </c>
      <c r="D72" s="133" t="s">
        <v>307</v>
      </c>
      <c r="E72" s="134"/>
      <c r="F72" s="134"/>
      <c r="G72" s="135"/>
      <c r="H72" s="36" t="s">
        <v>87</v>
      </c>
      <c r="I72" s="36" t="s">
        <v>88</v>
      </c>
    </row>
    <row r="73" spans="1:9" ht="26.25" customHeight="1" x14ac:dyDescent="0.2">
      <c r="A73" s="25" t="s">
        <v>50</v>
      </c>
      <c r="B73" s="230" t="s">
        <v>209</v>
      </c>
      <c r="C73" s="230" t="s">
        <v>102</v>
      </c>
      <c r="D73" s="133" t="s">
        <v>308</v>
      </c>
      <c r="E73" s="134"/>
      <c r="F73" s="134"/>
      <c r="G73" s="135"/>
      <c r="H73" s="36" t="s">
        <v>89</v>
      </c>
      <c r="I73" s="36" t="s">
        <v>90</v>
      </c>
    </row>
    <row r="74" spans="1:9" ht="48" customHeight="1" x14ac:dyDescent="0.2">
      <c r="A74" s="25" t="s">
        <v>310</v>
      </c>
      <c r="B74" s="230" t="s">
        <v>328</v>
      </c>
      <c r="C74" s="230"/>
      <c r="D74" s="133" t="s">
        <v>309</v>
      </c>
      <c r="E74" s="134"/>
      <c r="F74" s="134"/>
      <c r="G74" s="135"/>
      <c r="H74" s="36" t="s">
        <v>315</v>
      </c>
      <c r="I74" s="36" t="s">
        <v>316</v>
      </c>
    </row>
    <row r="75" spans="1:9" ht="26.25" customHeight="1" x14ac:dyDescent="0.2">
      <c r="A75" s="25" t="s">
        <v>312</v>
      </c>
      <c r="B75" s="230" t="s">
        <v>329</v>
      </c>
      <c r="C75" s="230" t="s">
        <v>103</v>
      </c>
      <c r="D75" s="133" t="s">
        <v>311</v>
      </c>
      <c r="E75" s="134"/>
      <c r="F75" s="134"/>
      <c r="G75" s="135"/>
      <c r="H75" s="36" t="s">
        <v>317</v>
      </c>
      <c r="I75" s="36" t="s">
        <v>318</v>
      </c>
    </row>
    <row r="76" spans="1:9" ht="24" customHeight="1" x14ac:dyDescent="0.2">
      <c r="A76" s="25" t="s">
        <v>313</v>
      </c>
      <c r="B76" s="224" t="s">
        <v>330</v>
      </c>
      <c r="C76" s="224"/>
      <c r="D76" s="133" t="s">
        <v>314</v>
      </c>
      <c r="E76" s="134"/>
      <c r="F76" s="134"/>
      <c r="G76" s="135"/>
      <c r="H76" s="36" t="s">
        <v>319</v>
      </c>
      <c r="I76" s="36" t="s">
        <v>320</v>
      </c>
    </row>
    <row r="77" spans="1:9" ht="29.25" customHeight="1" x14ac:dyDescent="0.2">
      <c r="A77" s="25" t="s">
        <v>51</v>
      </c>
      <c r="B77" s="231" t="s">
        <v>146</v>
      </c>
      <c r="C77" s="232" t="s">
        <v>104</v>
      </c>
      <c r="D77" s="130" t="s">
        <v>268</v>
      </c>
      <c r="E77" s="131"/>
      <c r="F77" s="131"/>
      <c r="G77" s="132"/>
      <c r="H77" s="35">
        <v>100</v>
      </c>
      <c r="I77" s="38" t="s">
        <v>95</v>
      </c>
    </row>
    <row r="78" spans="1:9" ht="27" customHeight="1" x14ac:dyDescent="0.2">
      <c r="A78" s="25" t="s">
        <v>52</v>
      </c>
      <c r="B78" s="271" t="s">
        <v>210</v>
      </c>
      <c r="C78" s="271" t="s">
        <v>105</v>
      </c>
      <c r="D78" s="133" t="s">
        <v>269</v>
      </c>
      <c r="E78" s="134"/>
      <c r="F78" s="134"/>
      <c r="G78" s="135"/>
      <c r="H78" s="36" t="s">
        <v>91</v>
      </c>
      <c r="I78" s="36" t="s">
        <v>92</v>
      </c>
    </row>
    <row r="79" spans="1:9" x14ac:dyDescent="0.2">
      <c r="A79" s="25" t="s">
        <v>106</v>
      </c>
      <c r="B79" s="268" t="s">
        <v>211</v>
      </c>
      <c r="C79" s="268" t="s">
        <v>110</v>
      </c>
      <c r="D79" s="136" t="s">
        <v>270</v>
      </c>
      <c r="E79" s="137"/>
      <c r="F79" s="137"/>
      <c r="G79" s="138"/>
      <c r="H79" s="37" t="s">
        <v>107</v>
      </c>
      <c r="I79" s="37" t="s">
        <v>108</v>
      </c>
    </row>
    <row r="80" spans="1:9" x14ac:dyDescent="0.2">
      <c r="A80" s="25" t="s">
        <v>53</v>
      </c>
      <c r="B80" s="267" t="s">
        <v>233</v>
      </c>
      <c r="C80" s="267" t="s">
        <v>109</v>
      </c>
      <c r="D80" s="139" t="s">
        <v>271</v>
      </c>
      <c r="E80" s="140"/>
      <c r="F80" s="140"/>
      <c r="G80" s="141"/>
      <c r="H80" s="39" t="s">
        <v>93</v>
      </c>
      <c r="I80" s="39" t="s">
        <v>94</v>
      </c>
    </row>
    <row r="81" spans="1:9" ht="13.5" customHeight="1" x14ac:dyDescent="0.2">
      <c r="A81" s="25" t="s">
        <v>151</v>
      </c>
      <c r="B81" s="267" t="s">
        <v>331</v>
      </c>
      <c r="C81" s="267" t="s">
        <v>111</v>
      </c>
      <c r="D81" s="139" t="s">
        <v>272</v>
      </c>
      <c r="E81" s="140"/>
      <c r="F81" s="140"/>
      <c r="G81" s="141"/>
      <c r="H81" s="39" t="s">
        <v>153</v>
      </c>
      <c r="I81" s="39" t="s">
        <v>152</v>
      </c>
    </row>
    <row r="82" spans="1:9" ht="22.5" customHeight="1" x14ac:dyDescent="0.2">
      <c r="A82" s="25" t="s">
        <v>321</v>
      </c>
      <c r="B82" s="268" t="s">
        <v>332</v>
      </c>
      <c r="C82" s="268"/>
      <c r="D82" s="139" t="s">
        <v>322</v>
      </c>
      <c r="E82" s="140"/>
      <c r="F82" s="140"/>
      <c r="G82" s="141"/>
      <c r="H82" s="39" t="s">
        <v>323</v>
      </c>
      <c r="I82" s="39" t="s">
        <v>324</v>
      </c>
    </row>
    <row r="83" spans="1:9" x14ac:dyDescent="0.2">
      <c r="A83"/>
      <c r="B83"/>
      <c r="C83"/>
      <c r="D83"/>
      <c r="E83"/>
      <c r="F83"/>
      <c r="G83"/>
      <c r="H83"/>
      <c r="I83"/>
    </row>
    <row r="84" spans="1:9" x14ac:dyDescent="0.2">
      <c r="A84"/>
      <c r="B84" s="247" t="s">
        <v>42</v>
      </c>
      <c r="C84" s="247"/>
      <c r="D84" s="242" t="s">
        <v>43</v>
      </c>
      <c r="E84" s="242"/>
      <c r="F84" s="242" t="s">
        <v>1</v>
      </c>
      <c r="G84" s="242"/>
    </row>
    <row r="85" spans="1:9" x14ac:dyDescent="0.2">
      <c r="A85"/>
      <c r="B85" s="247"/>
      <c r="C85" s="247"/>
      <c r="D85" s="226" t="s">
        <v>129</v>
      </c>
      <c r="E85" s="226"/>
      <c r="F85" s="226" t="s">
        <v>130</v>
      </c>
      <c r="G85" s="226"/>
    </row>
    <row r="86" spans="1:9" x14ac:dyDescent="0.2">
      <c r="A86"/>
      <c r="B86" s="225">
        <v>1</v>
      </c>
      <c r="C86" s="226"/>
      <c r="D86" s="248">
        <v>2</v>
      </c>
      <c r="E86" s="248"/>
      <c r="F86" s="248">
        <v>3</v>
      </c>
      <c r="G86" s="248"/>
    </row>
    <row r="87" spans="1:9" ht="39.75" customHeight="1" x14ac:dyDescent="0.2">
      <c r="A87" s="40" t="s">
        <v>172</v>
      </c>
      <c r="B87" s="245" t="s">
        <v>327</v>
      </c>
      <c r="C87" s="246"/>
      <c r="D87" s="130" t="s">
        <v>273</v>
      </c>
      <c r="E87" s="131"/>
      <c r="F87" s="131"/>
      <c r="G87" s="132"/>
    </row>
    <row r="88" spans="1:9" ht="35.25" customHeight="1" x14ac:dyDescent="0.2">
      <c r="A88" s="40" t="s">
        <v>173</v>
      </c>
      <c r="B88" s="243" t="s">
        <v>174</v>
      </c>
      <c r="C88" s="244"/>
      <c r="D88" s="133" t="s">
        <v>274</v>
      </c>
      <c r="E88" s="134"/>
      <c r="F88" s="134"/>
      <c r="G88" s="135"/>
    </row>
    <row r="89" spans="1:9" ht="16.5" customHeight="1" x14ac:dyDescent="0.2">
      <c r="A89" s="40" t="s">
        <v>175</v>
      </c>
      <c r="B89" s="228" t="s">
        <v>176</v>
      </c>
      <c r="C89" s="229"/>
      <c r="D89" s="177" t="s">
        <v>275</v>
      </c>
      <c r="E89" s="178"/>
      <c r="F89" s="178"/>
      <c r="G89" s="179"/>
    </row>
    <row r="90" spans="1:9" ht="22.5" customHeight="1" x14ac:dyDescent="0.2">
      <c r="A90" s="40" t="s">
        <v>177</v>
      </c>
      <c r="B90" s="228" t="s">
        <v>178</v>
      </c>
      <c r="C90" s="229"/>
      <c r="D90" s="177" t="s">
        <v>276</v>
      </c>
      <c r="E90" s="178"/>
      <c r="F90" s="178"/>
      <c r="G90" s="179"/>
    </row>
    <row r="91" spans="1:9" ht="45.75" customHeight="1" x14ac:dyDescent="0.2">
      <c r="A91" s="40" t="s">
        <v>229</v>
      </c>
      <c r="B91" s="228" t="s">
        <v>235</v>
      </c>
      <c r="C91" s="229"/>
      <c r="D91" s="177" t="s">
        <v>277</v>
      </c>
      <c r="E91" s="178"/>
      <c r="F91" s="178"/>
      <c r="G91" s="179"/>
    </row>
    <row r="92" spans="1:9" ht="67.5" customHeight="1" x14ac:dyDescent="0.2">
      <c r="A92" s="40" t="s">
        <v>179</v>
      </c>
      <c r="B92" s="228" t="s">
        <v>180</v>
      </c>
      <c r="C92" s="229"/>
      <c r="D92" s="177" t="s">
        <v>278</v>
      </c>
      <c r="E92" s="178"/>
      <c r="F92" s="178"/>
      <c r="G92" s="179"/>
    </row>
    <row r="93" spans="1:9" ht="122.25" customHeight="1" x14ac:dyDescent="0.2">
      <c r="A93" s="40" t="s">
        <v>230</v>
      </c>
      <c r="B93" s="228" t="s">
        <v>236</v>
      </c>
      <c r="C93" s="229"/>
      <c r="D93" s="177" t="s">
        <v>279</v>
      </c>
      <c r="E93" s="178"/>
      <c r="F93" s="178"/>
      <c r="G93" s="179"/>
    </row>
    <row r="94" spans="1:9" ht="24" customHeight="1" x14ac:dyDescent="0.2">
      <c r="A94" s="40" t="s">
        <v>231</v>
      </c>
      <c r="B94" s="228" t="s">
        <v>237</v>
      </c>
      <c r="C94" s="229"/>
      <c r="D94" s="177" t="s">
        <v>280</v>
      </c>
      <c r="E94" s="178"/>
      <c r="F94" s="178"/>
      <c r="G94" s="179"/>
    </row>
    <row r="95" spans="1:9" ht="24" customHeight="1" x14ac:dyDescent="0.2">
      <c r="A95" s="40" t="s">
        <v>325</v>
      </c>
      <c r="B95" s="228" t="s">
        <v>330</v>
      </c>
      <c r="C95" s="229"/>
      <c r="D95" s="177" t="s">
        <v>326</v>
      </c>
      <c r="E95" s="178"/>
      <c r="F95" s="178"/>
      <c r="G95" s="179"/>
    </row>
    <row r="97" spans="2:4" x14ac:dyDescent="0.2">
      <c r="B97" s="28" t="s">
        <v>147</v>
      </c>
      <c r="C97" s="170">
        <f>2</f>
        <v>2</v>
      </c>
      <c r="D97" s="170" t="str">
        <f>IF(C97="1","I Kwartał",IF(C97="2","II Kwartały",IF(C97="3","III Kwartały",IF(C97="4","IV Kwartały","-"))))</f>
        <v>-</v>
      </c>
    </row>
    <row r="98" spans="2:4" x14ac:dyDescent="0.2">
      <c r="B98" s="28" t="s">
        <v>148</v>
      </c>
      <c r="C98" s="171">
        <f>2023</f>
        <v>2023</v>
      </c>
      <c r="D98" s="25"/>
    </row>
    <row r="99" spans="2:4" x14ac:dyDescent="0.2">
      <c r="B99" s="28" t="s">
        <v>149</v>
      </c>
      <c r="C99" s="269" t="str">
        <f>"Aug 14 2023 12:00AM"</f>
        <v>Aug 14 2023 12:00AM</v>
      </c>
      <c r="D99" s="270"/>
    </row>
    <row r="101" spans="2:4" ht="12" customHeight="1" x14ac:dyDescent="0.2"/>
  </sheetData>
  <mergeCells count="107">
    <mergeCell ref="B95:C95"/>
    <mergeCell ref="C99:D99"/>
    <mergeCell ref="B69:C69"/>
    <mergeCell ref="B72:C72"/>
    <mergeCell ref="B81:C81"/>
    <mergeCell ref="B79:C79"/>
    <mergeCell ref="B78:C78"/>
    <mergeCell ref="D86:E86"/>
    <mergeCell ref="B73:C73"/>
    <mergeCell ref="B70:C70"/>
    <mergeCell ref="H64:I64"/>
    <mergeCell ref="D84:E84"/>
    <mergeCell ref="B80:C80"/>
    <mergeCell ref="F64:G64"/>
    <mergeCell ref="B68:C68"/>
    <mergeCell ref="B67:C67"/>
    <mergeCell ref="B74:C74"/>
    <mergeCell ref="B75:C75"/>
    <mergeCell ref="B82:C82"/>
    <mergeCell ref="B66:C66"/>
    <mergeCell ref="C23:E23"/>
    <mergeCell ref="F44:H44"/>
    <mergeCell ref="C39:E39"/>
    <mergeCell ref="C54:J54"/>
    <mergeCell ref="C53:J53"/>
    <mergeCell ref="F63:G63"/>
    <mergeCell ref="D63:E63"/>
    <mergeCell ref="B42:M42"/>
    <mergeCell ref="C49:J49"/>
    <mergeCell ref="C51:J51"/>
    <mergeCell ref="D65:E65"/>
    <mergeCell ref="B63:C64"/>
    <mergeCell ref="F65:G65"/>
    <mergeCell ref="D64:E64"/>
    <mergeCell ref="B65:C65"/>
    <mergeCell ref="C7:E7"/>
    <mergeCell ref="C11:E11"/>
    <mergeCell ref="C14:E14"/>
    <mergeCell ref="C18:E18"/>
    <mergeCell ref="C44:C46"/>
    <mergeCell ref="C16:E16"/>
    <mergeCell ref="C8:E8"/>
    <mergeCell ref="C20:E20"/>
    <mergeCell ref="C21:E21"/>
    <mergeCell ref="C12:E12"/>
    <mergeCell ref="B1:M1"/>
    <mergeCell ref="C9:E9"/>
    <mergeCell ref="C10:E10"/>
    <mergeCell ref="C38:E38"/>
    <mergeCell ref="C24:E24"/>
    <mergeCell ref="C27:E27"/>
    <mergeCell ref="C28:E28"/>
    <mergeCell ref="G45:H45"/>
    <mergeCell ref="C6:E6"/>
    <mergeCell ref="C36:E36"/>
    <mergeCell ref="C35:E35"/>
    <mergeCell ref="C33:E33"/>
    <mergeCell ref="C31:E31"/>
    <mergeCell ref="C58:J58"/>
    <mergeCell ref="K44:K46"/>
    <mergeCell ref="E44:E46"/>
    <mergeCell ref="I48:J48"/>
    <mergeCell ref="I47:J47"/>
    <mergeCell ref="C52:J52"/>
    <mergeCell ref="C56:J56"/>
    <mergeCell ref="C55:J55"/>
    <mergeCell ref="C57:J57"/>
    <mergeCell ref="I44:J46"/>
    <mergeCell ref="B62:M62"/>
    <mergeCell ref="L44:L46"/>
    <mergeCell ref="B3:B4"/>
    <mergeCell ref="K47:L47"/>
    <mergeCell ref="F4:H4"/>
    <mergeCell ref="C34:E34"/>
    <mergeCell ref="C22:E22"/>
    <mergeCell ref="F45:F46"/>
    <mergeCell ref="C50:J50"/>
    <mergeCell ref="C17:E17"/>
    <mergeCell ref="D85:E85"/>
    <mergeCell ref="F85:G85"/>
    <mergeCell ref="B92:C92"/>
    <mergeCell ref="B89:C89"/>
    <mergeCell ref="B90:C90"/>
    <mergeCell ref="B88:C88"/>
    <mergeCell ref="B87:C87"/>
    <mergeCell ref="B84:C85"/>
    <mergeCell ref="F86:G86"/>
    <mergeCell ref="B93:C93"/>
    <mergeCell ref="B94:C94"/>
    <mergeCell ref="B91:C91"/>
    <mergeCell ref="B71:C71"/>
    <mergeCell ref="B77:C77"/>
    <mergeCell ref="C13:E13"/>
    <mergeCell ref="C25:E25"/>
    <mergeCell ref="D44:D46"/>
    <mergeCell ref="C19:E19"/>
    <mergeCell ref="C40:E40"/>
    <mergeCell ref="C30:E30"/>
    <mergeCell ref="C15:E15"/>
    <mergeCell ref="B44:B47"/>
    <mergeCell ref="B76:C76"/>
    <mergeCell ref="B86:C86"/>
    <mergeCell ref="C59:J59"/>
    <mergeCell ref="C32:E32"/>
    <mergeCell ref="C26:E26"/>
    <mergeCell ref="C29:E29"/>
    <mergeCell ref="F84:G84"/>
  </mergeCells>
  <phoneticPr fontId="0" type="noConversion"/>
  <pageMargins left="0.18" right="0.18" top="0.55118110236220474" bottom="0.39370078740157483" header="0.31496062992125984" footer="0.19685039370078741"/>
  <pageSetup paperSize="9" scale="72" orientation="landscape" r:id="rId1"/>
  <headerFooter alignWithMargins="0">
    <oddFooter>&amp;L&amp;"Arial CE,Kursywa"&amp;9&amp;D&amp;R&amp;9strona &amp;P z 5</oddFooter>
  </headerFooter>
  <rowBreaks count="2" manualBreakCount="2">
    <brk id="41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doch_wyd</vt:lpstr>
      <vt:lpstr>definicja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2023-08-14T13:32:02Z</dcterms:modified>
</cp:coreProperties>
</file>