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<sst xmlns="http://schemas.openxmlformats.org/spreadsheetml/2006/main" count="187" uniqueCount="66">
  <si>
    <t xml:space="preserve">Wyszczególnienie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</si>
  <si>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</si>
  <si>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</si>
  <si>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</si>
  <si>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</si>
  <si>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</si>
  <si>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</si>
  <si>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</si>
  <si>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</si>
  <si>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</si>
  <si>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</si>
  <si>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</si>
  <si>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</si>
  <si>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</si>
  <si>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</si>
  <si>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Wskaźnik 
(3:2)</t>
  </si>
  <si>
    <t xml:space="preserve">podatek dochodowy od osób fizycznych </t>
  </si>
  <si>
    <t>dochody z majątku</t>
  </si>
  <si>
    <t xml:space="preserve">pozostałe dochody 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</si>
  <si>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</si>
  <si>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</si>
  <si>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</si>
  <si>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</si>
  <si>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</si>
  <si>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</si>
  <si>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</si>
  <si>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</si>
  <si>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</si>
  <si>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</si>
  <si>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</si>
  <si>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</si>
  <si>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</si>
  <si>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</si>
  <si>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</si>
  <si>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</si>
  <si>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</si>
  <si>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</si>
  <si>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</si>
  <si>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</si>
  <si>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</si>
  <si>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</si>
  <si>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</si>
  <si>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</si>
  <si>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</si>
  <si>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</si>
  <si>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</si>
  <si>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</si>
  <si>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</si>
  <si>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</si>
  <si>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</si>
  <si>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</si>
  <si>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</si>
  <si>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</si>
  <si>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</si>
  <si>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</si>
  <si>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</si>
  <si>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</si>
  <si>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</si>
  <si>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</si>
  <si>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</si>
  <si>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</si>
  <si>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</si>
  <si>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</si>
  <si>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</si>
  <si>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#</t>
  </si>
  <si>
    <t>Informacja z wykonania budżetów województw za GRUDZIEŃ rok   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</si>
</sst>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64" fontId="12" fillId="50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50" borderId="19" xfId="0" applyFont="1" applyFill="1" applyBorder="1" applyAlignment="1">
      <alignment horizontal="left" vertical="center" wrapText="1"/>
    </xf>
    <xf numFmtId="4" fontId="13" fillId="50" borderId="19" xfId="0" applyNumberFormat="1" applyFont="1" applyFill="1" applyBorder="1" applyAlignment="1">
      <alignment horizontal="right" vertical="center"/>
    </xf>
    <xf numFmtId="164" fontId="13" fillId="50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0" borderId="19" xfId="0" applyNumberFormat="1" applyFont="1" applyFill="1" applyBorder="1" applyAlignment="1">
      <alignment horizontal="right" vertical="center"/>
    </xf>
    <xf numFmtId="164" fontId="5" fillId="5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0" borderId="19" xfId="0" applyFont="1" applyFill="1" applyBorder="1" applyAlignment="1">
      <alignment horizontal="left" vertical="center" wrapText="1" indent="1"/>
    </xf>
    <xf numFmtId="4" fontId="12" fillId="5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0" borderId="21" xfId="0" applyFont="1" applyFill="1" applyBorder="1" applyAlignment="1">
      <alignment horizontal="left" vertical="top" wrapText="1"/>
    </xf>
    <xf numFmtId="4" fontId="12" fillId="50" borderId="19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12" fillId="50" borderId="19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62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69" t="s">
        <v>65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8" ht="60" customHeight="1">
      <c r="B2" s="65" t="s">
        <v>0</v>
      </c>
      <c r="C2" s="13" t="s">
        <v>22</v>
      </c>
      <c r="D2" s="13" t="s">
        <v>23</v>
      </c>
      <c r="E2" s="13" t="s">
        <v>24</v>
      </c>
      <c r="F2" s="14" t="s">
        <v>1</v>
      </c>
      <c r="G2" s="13" t="s">
        <v>15</v>
      </c>
      <c r="H2" s="13" t="s">
        <v>2</v>
      </c>
    </row>
    <row r="3" spans="2:8" ht="9.75" customHeight="1">
      <c r="B3" s="65"/>
      <c r="C3" s="62" t="s">
        <v>54</v>
      </c>
      <c r="D3" s="62"/>
      <c r="E3" s="62"/>
      <c r="F3" s="62" t="s">
        <v>3</v>
      </c>
      <c r="G3" s="62"/>
      <c r="H3" s="62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47" t="s">
        <v>4</v>
      </c>
      <c r="C5" s="48">
        <f>17292317895</f>
        <v>17292317895</v>
      </c>
      <c r="D5" s="48">
        <f>16998874047.54</f>
        <v>16998874047.54</v>
      </c>
      <c r="E5" s="48" t="s">
        <v>64</v>
      </c>
      <c r="F5" s="49">
        <f aca="true" t="shared" si="0" ref="F5:F33">IF($D$5=0,"",100*$D5/$D$5)</f>
        <v>100</v>
      </c>
      <c r="G5" s="49">
        <f>IF(C5=0,"",100*D5/C5)</f>
        <v>98.30303924990386</v>
      </c>
      <c r="H5" s="49"/>
      <c r="I5" s="33"/>
      <c r="J5" s="33"/>
      <c r="K5" s="33"/>
      <c r="L5" s="33"/>
      <c r="M5" s="33"/>
    </row>
    <row r="6" spans="2:13" ht="25.5" customHeight="1">
      <c r="B6" s="35" t="s">
        <v>41</v>
      </c>
      <c r="C6" s="22">
        <f>C5-C11-C29</f>
        <v>8520148544.42</v>
      </c>
      <c r="D6" s="22">
        <f>D5-D11-D29</f>
        <v>8981100827.210001</v>
      </c>
      <c r="E6" s="48" t="s">
        <v>64</v>
      </c>
      <c r="F6" s="29">
        <f t="shared" si="0"/>
        <v>52.833504160881205</v>
      </c>
      <c r="G6" s="29">
        <f aca="true" t="shared" si="1" ref="G6:G36">IF(C6=0,"",100*D6/C6)</f>
        <v>105.41014373618975</v>
      </c>
      <c r="H6" s="29">
        <f>IF($D$6=0,"",100*$D6/$D$6)</f>
        <v>100</v>
      </c>
      <c r="I6" s="33"/>
      <c r="J6" s="33"/>
      <c r="K6" s="33"/>
      <c r="L6" s="33"/>
      <c r="M6" s="33"/>
    </row>
    <row r="7" spans="2:13" ht="22.5" customHeight="1">
      <c r="B7" s="17" t="s">
        <v>20</v>
      </c>
      <c r="C7" s="20">
        <f>5912108719</f>
        <v>5912108719</v>
      </c>
      <c r="D7" s="20">
        <f>6213381412.26</f>
        <v>6213381412.26</v>
      </c>
      <c r="E7" s="48" t="s">
        <v>64</v>
      </c>
      <c r="F7" s="30">
        <f t="shared" si="0"/>
        <v>36.551723336988736</v>
      </c>
      <c r="G7" s="30">
        <f t="shared" si="1"/>
        <v>105.0958584758732</v>
      </c>
      <c r="H7" s="30">
        <f>IF($D$6=0,"",100*$D7/$D$6)</f>
        <v>69.1828488712135</v>
      </c>
      <c r="I7" s="33"/>
      <c r="J7" s="33"/>
      <c r="K7" s="33"/>
      <c r="L7" s="33"/>
      <c r="M7" s="33"/>
    </row>
    <row r="8" spans="2:13" ht="22.5" customHeight="1">
      <c r="B8" s="28" t="s">
        <v>16</v>
      </c>
      <c r="C8" s="21">
        <f>1558873103</f>
        <v>1558873103</v>
      </c>
      <c r="D8" s="21">
        <f>1632986787</f>
        <v>1632986787</v>
      </c>
      <c r="E8" s="48" t="s">
        <v>64</v>
      </c>
      <c r="F8" s="30">
        <f t="shared" si="0"/>
        <v>9.606440887985274</v>
      </c>
      <c r="G8" s="30">
        <f t="shared" si="1"/>
        <v>104.75431155091269</v>
      </c>
      <c r="H8" s="30">
        <f>IF($D$6=0,"",100*$D8/$D$6)</f>
        <v>18.182479168394895</v>
      </c>
      <c r="I8" s="33"/>
      <c r="J8" s="33"/>
      <c r="K8" s="33"/>
      <c r="L8" s="33"/>
      <c r="M8" s="33"/>
    </row>
    <row r="9" spans="2:13" ht="12.75">
      <c r="B9" s="28" t="s">
        <v>17</v>
      </c>
      <c r="C9" s="21">
        <f>218432873</f>
        <v>218432873</v>
      </c>
      <c r="D9" s="50">
        <f>211706792.13</f>
        <v>211706792.13</v>
      </c>
      <c r="E9" s="48" t="s">
        <v>64</v>
      </c>
      <c r="F9" s="30">
        <f t="shared" si="0"/>
        <v>1.245416558402215</v>
      </c>
      <c r="G9" s="30">
        <f t="shared" si="1"/>
        <v>96.92075612172167</v>
      </c>
      <c r="H9" s="30">
        <f>IF($D$6=0,"",100*$D9/$D$6)</f>
        <v>2.3572476938305034</v>
      </c>
      <c r="I9" s="33"/>
      <c r="J9" s="33"/>
      <c r="K9" s="33"/>
      <c r="L9" s="33"/>
      <c r="M9" s="33"/>
    </row>
    <row r="10" spans="2:13" ht="12.75">
      <c r="B10" s="28" t="s">
        <v>18</v>
      </c>
      <c r="C10" s="21">
        <f>C6-C7-C8-C9</f>
        <v>830733849.4200001</v>
      </c>
      <c r="D10" s="21">
        <f>D6-D7-D8-D9</f>
        <v>923025835.8200008</v>
      </c>
      <c r="E10" s="48" t="s">
        <v>64</v>
      </c>
      <c r="F10" s="30">
        <f t="shared" si="0"/>
        <v>5.429923377504975</v>
      </c>
      <c r="G10" s="30">
        <f t="shared" si="1"/>
        <v>111.10969373216668</v>
      </c>
      <c r="H10" s="30">
        <f>IF($D$6=0,"",100*$D10/$D$6)</f>
        <v>10.277424266561106</v>
      </c>
      <c r="I10" s="33"/>
      <c r="J10" s="33"/>
      <c r="K10" s="33"/>
      <c r="L10" s="33"/>
      <c r="M10" s="33"/>
    </row>
    <row r="11" spans="2:13" ht="12.75">
      <c r="B11" s="47" t="s">
        <v>62</v>
      </c>
      <c r="C11" s="48">
        <f>C12+C25+C27</f>
        <v>6594523031.58</v>
      </c>
      <c r="D11" s="48">
        <f>D12+D25+D27</f>
        <v>5836502424.33</v>
      </c>
      <c r="E11" s="48" t="s">
        <v>64</v>
      </c>
      <c r="F11" s="49">
        <f t="shared" si="0"/>
        <v>34.33464127098837</v>
      </c>
      <c r="G11" s="49">
        <f t="shared" si="1"/>
        <v>88.50530048011093</v>
      </c>
      <c r="H11" s="51"/>
      <c r="I11" s="33"/>
      <c r="J11" s="33"/>
      <c r="K11" s="33"/>
      <c r="L11" s="33"/>
      <c r="M11" s="33"/>
    </row>
    <row r="12" spans="2:13" ht="12.75">
      <c r="B12" s="47" t="s">
        <v>63</v>
      </c>
      <c r="C12" s="48">
        <f>C13+C15+C17+C19+C21+C23</f>
        <v>1388621734.06</v>
      </c>
      <c r="D12" s="48">
        <f>D13+D15+D17+D19+D21+D23</f>
        <v>1315183788.41</v>
      </c>
      <c r="E12" s="48" t="s">
        <v>64</v>
      </c>
      <c r="F12" s="49">
        <f t="shared" si="0"/>
        <v>7.73688765933487</v>
      </c>
      <c r="G12" s="49">
        <f t="shared" si="1"/>
        <v>94.71145065292298</v>
      </c>
      <c r="H12" s="25"/>
      <c r="I12" s="33"/>
      <c r="J12" s="33"/>
      <c r="K12" s="33"/>
      <c r="L12" s="33"/>
      <c r="M12" s="33"/>
    </row>
    <row r="13" spans="2:13" ht="22.5" customHeight="1">
      <c r="B13" s="28" t="s">
        <v>8</v>
      </c>
      <c r="C13" s="21">
        <f>753524955.43</f>
        <v>753524955.43</v>
      </c>
      <c r="D13" s="21">
        <f>713227677.18</f>
        <v>713227677.18</v>
      </c>
      <c r="E13" s="48" t="s">
        <v>64</v>
      </c>
      <c r="F13" s="30">
        <f t="shared" si="0"/>
        <v>4.195734818584735</v>
      </c>
      <c r="G13" s="30">
        <f t="shared" si="1"/>
        <v>94.65216407769744</v>
      </c>
      <c r="H13" s="25"/>
      <c r="I13" s="33"/>
      <c r="J13" s="33"/>
      <c r="K13" s="33"/>
      <c r="L13" s="33"/>
      <c r="M13" s="33"/>
    </row>
    <row r="14" spans="2:13" ht="11.25" customHeight="1">
      <c r="B14" s="54" t="s">
        <v>5</v>
      </c>
      <c r="C14" s="21">
        <f>4395880</f>
        <v>4395880</v>
      </c>
      <c r="D14" s="21">
        <f>4046616.91</f>
        <v>4046616.91</v>
      </c>
      <c r="E14" s="48" t="s">
        <v>64</v>
      </c>
      <c r="F14" s="30">
        <f t="shared" si="0"/>
        <v>0.02380520556057422</v>
      </c>
      <c r="G14" s="30">
        <f t="shared" si="1"/>
        <v>92.05476286886812</v>
      </c>
      <c r="H14" s="25"/>
      <c r="I14" s="33"/>
      <c r="J14" s="33"/>
      <c r="K14" s="33"/>
      <c r="L14" s="33"/>
      <c r="M14" s="33"/>
    </row>
    <row r="15" spans="2:13" ht="11.25" customHeight="1">
      <c r="B15" s="28" t="s">
        <v>6</v>
      </c>
      <c r="C15" s="21">
        <f>314479288</f>
        <v>314479288</v>
      </c>
      <c r="D15" s="21">
        <f>308657386.63</f>
        <v>308657386.63</v>
      </c>
      <c r="E15" s="48" t="s">
        <v>64</v>
      </c>
      <c r="F15" s="30">
        <f t="shared" si="0"/>
        <v>1.8157519478454367</v>
      </c>
      <c r="G15" s="30">
        <f t="shared" si="1"/>
        <v>98.14871707226709</v>
      </c>
      <c r="H15" s="25"/>
      <c r="I15" s="33"/>
      <c r="J15" s="33"/>
      <c r="K15" s="33"/>
      <c r="L15" s="33"/>
      <c r="M15" s="33"/>
    </row>
    <row r="16" spans="2:13" ht="10.5" customHeight="1">
      <c r="B16" s="54" t="s">
        <v>5</v>
      </c>
      <c r="C16" s="21">
        <f>79218908</f>
        <v>79218908</v>
      </c>
      <c r="D16" s="21">
        <f>73756318.41</f>
        <v>73756318.41</v>
      </c>
      <c r="E16" s="48" t="s">
        <v>64</v>
      </c>
      <c r="F16" s="30">
        <f t="shared" si="0"/>
        <v>0.43388943411033554</v>
      </c>
      <c r="G16" s="30">
        <f t="shared" si="1"/>
        <v>93.10443715028235</v>
      </c>
      <c r="H16" s="25"/>
      <c r="I16" s="33"/>
      <c r="J16" s="33"/>
      <c r="K16" s="33"/>
      <c r="L16" s="33"/>
      <c r="M16" s="33"/>
    </row>
    <row r="17" spans="2:13" ht="35.25" customHeight="1">
      <c r="B17" s="28" t="s">
        <v>9</v>
      </c>
      <c r="C17" s="21">
        <f>642137.73</f>
        <v>642137.73</v>
      </c>
      <c r="D17" s="21">
        <f>611310.83</f>
        <v>611310.83</v>
      </c>
      <c r="E17" s="48" t="s">
        <v>64</v>
      </c>
      <c r="F17" s="30">
        <f t="shared" si="0"/>
        <v>0.0035961842430879474</v>
      </c>
      <c r="G17" s="30">
        <f t="shared" si="1"/>
        <v>95.19933208098517</v>
      </c>
      <c r="H17" s="25"/>
      <c r="I17" s="33"/>
      <c r="J17" s="33"/>
      <c r="K17" s="33"/>
      <c r="L17" s="33"/>
      <c r="M17" s="33"/>
    </row>
    <row r="18" spans="2:13" ht="9.75" customHeight="1">
      <c r="B18" s="54" t="s">
        <v>5</v>
      </c>
      <c r="C18" s="21">
        <f>350534</f>
        <v>350534</v>
      </c>
      <c r="D18" s="21">
        <f>329707.1</f>
        <v>329707.1</v>
      </c>
      <c r="E18" s="48" t="s">
        <v>64</v>
      </c>
      <c r="F18" s="30">
        <f t="shared" si="0"/>
        <v>0.001939581992771537</v>
      </c>
      <c r="G18" s="30">
        <f t="shared" si="1"/>
        <v>94.05852214050562</v>
      </c>
      <c r="H18" s="25"/>
      <c r="I18" s="33"/>
      <c r="J18" s="33"/>
      <c r="K18" s="33"/>
      <c r="L18" s="33"/>
      <c r="M18" s="33"/>
    </row>
    <row r="19" spans="2:13" ht="33.75" customHeight="1">
      <c r="B19" s="28" t="s">
        <v>10</v>
      </c>
      <c r="C19" s="21">
        <f>69850199.62</f>
        <v>69850199.62</v>
      </c>
      <c r="D19" s="21">
        <f>65005671.8</f>
        <v>65005671.8</v>
      </c>
      <c r="E19" s="48" t="s">
        <v>64</v>
      </c>
      <c r="F19" s="30">
        <f t="shared" si="0"/>
        <v>0.38241163278345086</v>
      </c>
      <c r="G19" s="30">
        <f t="shared" si="1"/>
        <v>93.06440375781992</v>
      </c>
      <c r="H19" s="25"/>
      <c r="I19" s="33"/>
      <c r="J19" s="33"/>
      <c r="K19" s="33"/>
      <c r="L19" s="33"/>
      <c r="M19" s="33"/>
    </row>
    <row r="20" spans="2:13" ht="11.25" customHeight="1">
      <c r="B20" s="54" t="s">
        <v>5</v>
      </c>
      <c r="C20" s="21">
        <f>22293044.62</f>
        <v>22293044.62</v>
      </c>
      <c r="D20" s="21">
        <f>18094703.16</f>
        <v>18094703.16</v>
      </c>
      <c r="E20" s="48" t="s">
        <v>64</v>
      </c>
      <c r="F20" s="30">
        <f t="shared" si="0"/>
        <v>0.106446480569215</v>
      </c>
      <c r="G20" s="30">
        <f t="shared" si="1"/>
        <v>81.16748281105804</v>
      </c>
      <c r="H20" s="25"/>
      <c r="I20" s="33"/>
      <c r="J20" s="33"/>
      <c r="K20" s="33"/>
      <c r="L20" s="33"/>
      <c r="M20" s="33"/>
    </row>
    <row r="21" spans="2:13" ht="45" customHeight="1">
      <c r="B21" s="28" t="s">
        <v>56</v>
      </c>
      <c r="C21" s="21">
        <f>148599405.49</f>
        <v>148599405.49</v>
      </c>
      <c r="D21" s="21">
        <f>136020068.68</f>
        <v>136020068.68</v>
      </c>
      <c r="E21" s="48" t="s">
        <v>64</v>
      </c>
      <c r="F21" s="30">
        <f t="shared" si="0"/>
        <v>0.8001710483859029</v>
      </c>
      <c r="G21" s="30">
        <f t="shared" si="1"/>
        <v>91.53473274773866</v>
      </c>
      <c r="H21" s="25"/>
      <c r="I21" s="33"/>
      <c r="J21" s="33"/>
      <c r="K21" s="33"/>
      <c r="L21" s="33"/>
      <c r="M21" s="33"/>
    </row>
    <row r="22" spans="2:13" ht="12.75">
      <c r="B22" s="54" t="s">
        <v>5</v>
      </c>
      <c r="C22" s="21">
        <f>98830998.92</f>
        <v>98830998.92</v>
      </c>
      <c r="D22" s="21">
        <f>88171457.57</f>
        <v>88171457.57</v>
      </c>
      <c r="E22" s="48" t="s">
        <v>64</v>
      </c>
      <c r="F22" s="30">
        <f t="shared" si="0"/>
        <v>0.5186899868980426</v>
      </c>
      <c r="G22" s="30">
        <f t="shared" si="1"/>
        <v>89.21437457226502</v>
      </c>
      <c r="H22" s="25"/>
      <c r="I22" s="33"/>
      <c r="J22" s="33"/>
      <c r="K22" s="33"/>
      <c r="L22" s="33"/>
      <c r="M22" s="33"/>
    </row>
    <row r="23" spans="2:13" ht="21.75" customHeight="1">
      <c r="B23" s="28" t="s">
        <v>7</v>
      </c>
      <c r="C23" s="21">
        <f>101525747.79</f>
        <v>101525747.79</v>
      </c>
      <c r="D23" s="21">
        <f>91661673.29</f>
        <v>91661673.29</v>
      </c>
      <c r="E23" s="48" t="s">
        <v>64</v>
      </c>
      <c r="F23" s="30">
        <f t="shared" si="0"/>
        <v>0.5392220274922553</v>
      </c>
      <c r="G23" s="30">
        <f t="shared" si="1"/>
        <v>90.28416464323585</v>
      </c>
      <c r="H23" s="25"/>
      <c r="I23" s="33"/>
      <c r="J23" s="33"/>
      <c r="K23" s="33"/>
      <c r="L23" s="33"/>
      <c r="M23" s="33"/>
    </row>
    <row r="24" spans="2:13" ht="12.75">
      <c r="B24" s="54" t="s">
        <v>5</v>
      </c>
      <c r="C24" s="21">
        <f>5102003</f>
        <v>5102003</v>
      </c>
      <c r="D24" s="21">
        <f>3411782.14</f>
        <v>3411782.14</v>
      </c>
      <c r="E24" s="48" t="s">
        <v>64</v>
      </c>
      <c r="F24" s="30">
        <f t="shared" si="0"/>
        <v>0.020070636034236266</v>
      </c>
      <c r="G24" s="30">
        <f t="shared" si="1"/>
        <v>66.87142559500651</v>
      </c>
      <c r="H24" s="25"/>
      <c r="I24" s="33"/>
      <c r="J24" s="33"/>
      <c r="K24" s="33"/>
      <c r="L24" s="33"/>
      <c r="M24" s="33"/>
    </row>
    <row r="25" spans="2:13" ht="13.5" customHeight="1">
      <c r="B25" s="47" t="s">
        <v>47</v>
      </c>
      <c r="C25" s="48">
        <f>987465060.76</f>
        <v>987465060.76</v>
      </c>
      <c r="D25" s="48">
        <f>806972517.46</f>
        <v>806972517.46</v>
      </c>
      <c r="E25" s="48" t="s">
        <v>64</v>
      </c>
      <c r="F25" s="49">
        <f t="shared" si="0"/>
        <v>4.747211581209294</v>
      </c>
      <c r="G25" s="49">
        <f t="shared" si="1"/>
        <v>81.72162737979971</v>
      </c>
      <c r="H25" s="25"/>
      <c r="I25" s="33"/>
      <c r="J25" s="33"/>
      <c r="K25" s="33"/>
      <c r="L25" s="33"/>
      <c r="M25" s="33"/>
    </row>
    <row r="26" spans="2:13" ht="14.25" customHeight="1">
      <c r="B26" s="27" t="s">
        <v>48</v>
      </c>
      <c r="C26" s="20">
        <f>271380285.63</f>
        <v>271380285.63</v>
      </c>
      <c r="D26" s="20">
        <f>183494619.71</f>
        <v>183494619.71</v>
      </c>
      <c r="E26" s="48" t="s">
        <v>64</v>
      </c>
      <c r="F26" s="30">
        <f t="shared" si="0"/>
        <v>1.0794516107174434</v>
      </c>
      <c r="G26" s="30">
        <f t="shared" si="1"/>
        <v>67.61530937445347</v>
      </c>
      <c r="H26" s="25"/>
      <c r="I26" s="33"/>
      <c r="J26" s="33"/>
      <c r="K26" s="33"/>
      <c r="L26" s="33"/>
      <c r="M26" s="33"/>
    </row>
    <row r="27" spans="2:13" ht="14.25" customHeight="1">
      <c r="B27" s="47" t="s">
        <v>57</v>
      </c>
      <c r="C27" s="48">
        <f>4218436236.76</f>
        <v>4218436236.76</v>
      </c>
      <c r="D27" s="48">
        <f>3714346118.46</f>
        <v>3714346118.46</v>
      </c>
      <c r="E27" s="48" t="s">
        <v>64</v>
      </c>
      <c r="F27" s="53">
        <f t="shared" si="0"/>
        <v>21.850542030444206</v>
      </c>
      <c r="G27" s="53">
        <f t="shared" si="1"/>
        <v>88.05030845536331</v>
      </c>
      <c r="H27" s="25"/>
      <c r="I27" s="33"/>
      <c r="J27" s="33"/>
      <c r="K27" s="33"/>
      <c r="L27" s="33"/>
      <c r="M27" s="33"/>
    </row>
    <row r="28" spans="2:13" ht="14.25" customHeight="1">
      <c r="B28" s="27" t="s">
        <v>58</v>
      </c>
      <c r="C28" s="20">
        <f>3064604333.9</f>
        <v>3064604333.9</v>
      </c>
      <c r="D28" s="20">
        <f>2660281984.79</f>
        <v>2660281984.79</v>
      </c>
      <c r="E28" s="48" t="s">
        <v>64</v>
      </c>
      <c r="F28" s="30">
        <f t="shared" si="0"/>
        <v>15.649754079888508</v>
      </c>
      <c r="G28" s="30">
        <f>IF(C27=0,"",100*D28/C28)</f>
        <v>86.80670308276105</v>
      </c>
      <c r="H28" s="25"/>
      <c r="I28" s="33"/>
      <c r="J28" s="33"/>
      <c r="K28" s="33"/>
      <c r="L28" s="33"/>
      <c r="M28" s="33"/>
    </row>
    <row r="29" spans="2:13" s="5" customFormat="1" ht="22.5" customHeight="1">
      <c r="B29" s="35" t="s">
        <v>42</v>
      </c>
      <c r="C29" s="22">
        <f>C30+C31+C32+C33</f>
        <v>2177646319</v>
      </c>
      <c r="D29" s="22">
        <f>D30+D31+D32+D33</f>
        <v>2181270796</v>
      </c>
      <c r="E29" s="48" t="s">
        <v>64</v>
      </c>
      <c r="F29" s="29">
        <f t="shared" si="0"/>
        <v>12.831854568130431</v>
      </c>
      <c r="G29" s="29">
        <f t="shared" si="1"/>
        <v>100.16644011327168</v>
      </c>
      <c r="H29" s="26"/>
      <c r="I29" s="36"/>
      <c r="J29" s="36"/>
      <c r="K29" s="36"/>
      <c r="L29" s="36"/>
      <c r="M29" s="36"/>
    </row>
    <row r="30" spans="2:13" ht="12.75">
      <c r="B30" s="28" t="s">
        <v>26</v>
      </c>
      <c r="C30" s="21">
        <f>588793187</f>
        <v>588793187</v>
      </c>
      <c r="D30" s="21">
        <f>586889487</f>
        <v>586889487</v>
      </c>
      <c r="E30" s="48" t="s">
        <v>64</v>
      </c>
      <c r="F30" s="30">
        <f t="shared" si="0"/>
        <v>3.452519769007477</v>
      </c>
      <c r="G30" s="30">
        <f t="shared" si="1"/>
        <v>99.67667764470923</v>
      </c>
      <c r="H30" s="26"/>
      <c r="I30" s="33"/>
      <c r="J30" s="33"/>
      <c r="K30" s="33"/>
      <c r="L30" s="33"/>
      <c r="M30" s="33"/>
    </row>
    <row r="31" spans="2:13" ht="12.75">
      <c r="B31" s="28" t="s">
        <v>40</v>
      </c>
      <c r="C31" s="21">
        <f>370824774</f>
        <v>370824774</v>
      </c>
      <c r="D31" s="21">
        <f>376352951</f>
        <v>376352951</v>
      </c>
      <c r="E31" s="48" t="s">
        <v>64</v>
      </c>
      <c r="F31" s="30">
        <f t="shared" si="0"/>
        <v>2.213987526158911</v>
      </c>
      <c r="G31" s="30">
        <f t="shared" si="1"/>
        <v>101.49077876873459</v>
      </c>
      <c r="H31" s="26"/>
      <c r="I31" s="33"/>
      <c r="J31" s="33"/>
      <c r="K31" s="33"/>
      <c r="L31" s="33"/>
      <c r="M31" s="33"/>
    </row>
    <row r="32" spans="2:13" ht="12.75">
      <c r="B32" s="28" t="s">
        <v>27</v>
      </c>
      <c r="C32" s="21">
        <f>1177801458</f>
        <v>1177801458</v>
      </c>
      <c r="D32" s="21">
        <f>1177801458</f>
        <v>1177801458</v>
      </c>
      <c r="E32" s="48" t="s">
        <v>64</v>
      </c>
      <c r="F32" s="30">
        <f t="shared" si="0"/>
        <v>6.928702775878535</v>
      </c>
      <c r="G32" s="30">
        <f t="shared" si="1"/>
        <v>100</v>
      </c>
      <c r="H32" s="26"/>
      <c r="I32" s="33"/>
      <c r="J32" s="33"/>
      <c r="K32" s="33"/>
      <c r="L32" s="33"/>
      <c r="M32" s="33"/>
    </row>
    <row r="33" spans="2:13" s="5" customFormat="1" ht="14.25" customHeight="1">
      <c r="B33" s="28" t="s">
        <v>25</v>
      </c>
      <c r="C33" s="21">
        <f>40226900</f>
        <v>40226900</v>
      </c>
      <c r="D33" s="21">
        <f>40226900</f>
        <v>40226900</v>
      </c>
      <c r="E33" s="48" t="s">
        <v>64</v>
      </c>
      <c r="F33" s="30">
        <f t="shared" si="0"/>
        <v>0.23664449708550817</v>
      </c>
      <c r="G33" s="30">
        <f t="shared" si="1"/>
        <v>100</v>
      </c>
      <c r="H33" s="26"/>
      <c r="I33" s="36"/>
      <c r="J33" s="36"/>
      <c r="K33" s="36"/>
      <c r="L33" s="36"/>
      <c r="M33" s="36"/>
    </row>
    <row r="34" spans="2:13" s="5" customFormat="1" ht="12.75">
      <c r="B34" s="55" t="s">
        <v>55</v>
      </c>
      <c r="C34" s="52">
        <f>+C5</f>
        <v>17292317895</v>
      </c>
      <c r="D34" s="52">
        <f>+D5</f>
        <v>16998874047.54</v>
      </c>
      <c r="E34" s="48" t="s">
        <v>64</v>
      </c>
      <c r="F34" s="53">
        <f>IF($D$5=0,"",100*$D34/$D$34)</f>
        <v>100</v>
      </c>
      <c r="G34" s="53">
        <f t="shared" si="1"/>
        <v>98.30303924990386</v>
      </c>
      <c r="H34" s="53"/>
      <c r="I34" s="36"/>
      <c r="J34" s="36"/>
      <c r="K34" s="36"/>
      <c r="L34" s="36"/>
      <c r="M34" s="36"/>
    </row>
    <row r="35" spans="2:13" s="5" customFormat="1" ht="12.75">
      <c r="B35" s="28" t="s">
        <v>49</v>
      </c>
      <c r="C35" s="21">
        <f>3779008134.13</f>
        <v>3779008134.13</v>
      </c>
      <c r="D35" s="21">
        <f>3252208155.39</f>
        <v>3252208155.39</v>
      </c>
      <c r="E35" s="48" t="s">
        <v>64</v>
      </c>
      <c r="F35" s="30">
        <f>IF($D$5=0,"",100*$D35/$D$34)</f>
        <v>19.131903361920873</v>
      </c>
      <c r="G35" s="30">
        <f t="shared" si="1"/>
        <v>86.05983474917078</v>
      </c>
      <c r="H35" s="30">
        <f>IF($D$6=0,"",100*$D35/$D$6)</f>
        <v>36.211687386214386</v>
      </c>
      <c r="I35" s="36"/>
      <c r="J35" s="36"/>
      <c r="K35" s="36"/>
      <c r="L35" s="36"/>
      <c r="M35" s="36"/>
    </row>
    <row r="36" spans="1:13" s="5" customFormat="1" ht="12.75">
      <c r="A36" s="2"/>
      <c r="B36" s="28" t="s">
        <v>50</v>
      </c>
      <c r="C36" s="21">
        <f>C34-C35</f>
        <v>13513309760.869999</v>
      </c>
      <c r="D36" s="21">
        <f>D34-D35</f>
        <v>13746665892.150002</v>
      </c>
      <c r="E36" s="48" t="s">
        <v>64</v>
      </c>
      <c r="F36" s="30">
        <f>IF($D$5=0,"",100*$D36/$D$34)</f>
        <v>80.86809663807914</v>
      </c>
      <c r="G36" s="30">
        <f t="shared" si="1"/>
        <v>101.72686140856273</v>
      </c>
      <c r="H36" s="30">
        <f>IF($D$6=0,"",100*$D36/$D$6)</f>
        <v>153.06214857873314</v>
      </c>
      <c r="I36" s="37"/>
      <c r="J36" s="37"/>
      <c r="K36" s="38"/>
      <c r="L36" s="38"/>
      <c r="M36" s="19"/>
    </row>
    <row r="37" spans="2:13" ht="21.75" customHeight="1">
      <c r="B37" s="69" t="s">
        <v>65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65" t="s">
        <v>0</v>
      </c>
      <c r="C39" s="66" t="s">
        <v>36</v>
      </c>
      <c r="D39" s="66" t="s">
        <v>37</v>
      </c>
      <c r="E39" s="66" t="s">
        <v>38</v>
      </c>
      <c r="F39" s="66" t="s">
        <v>11</v>
      </c>
      <c r="G39" s="66"/>
      <c r="H39" s="66"/>
      <c r="I39" s="66" t="s">
        <v>59</v>
      </c>
      <c r="J39" s="66"/>
      <c r="K39" s="66" t="s">
        <v>1</v>
      </c>
      <c r="L39" s="64" t="s">
        <v>21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65"/>
      <c r="C40" s="66"/>
      <c r="D40" s="67"/>
      <c r="E40" s="66"/>
      <c r="F40" s="63" t="s">
        <v>39</v>
      </c>
      <c r="G40" s="70" t="s">
        <v>19</v>
      </c>
      <c r="H40" s="67"/>
      <c r="I40" s="66"/>
      <c r="J40" s="66"/>
      <c r="K40" s="66"/>
      <c r="L40" s="64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65"/>
      <c r="C41" s="66"/>
      <c r="D41" s="67"/>
      <c r="E41" s="66"/>
      <c r="F41" s="67"/>
      <c r="G41" s="15" t="s">
        <v>34</v>
      </c>
      <c r="H41" s="15" t="s">
        <v>35</v>
      </c>
      <c r="I41" s="66"/>
      <c r="J41" s="66"/>
      <c r="K41" s="66"/>
      <c r="L41" s="64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65"/>
      <c r="C42" s="62" t="s">
        <v>54</v>
      </c>
      <c r="D42" s="62"/>
      <c r="E42" s="62"/>
      <c r="F42" s="62"/>
      <c r="G42" s="62"/>
      <c r="H42" s="62"/>
      <c r="I42" s="62"/>
      <c r="J42" s="62"/>
      <c r="K42" s="62" t="s">
        <v>3</v>
      </c>
      <c r="L42" s="6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67">
        <v>8</v>
      </c>
      <c r="J43" s="67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47" t="s">
        <v>43</v>
      </c>
      <c r="C44" s="56">
        <f>18332561541.3</f>
        <v>18332561541.3</v>
      </c>
      <c r="D44" s="56" t="s">
        <v>64</v>
      </c>
      <c r="E44" s="56">
        <f>16579379850.91</f>
        <v>16579379850.91</v>
      </c>
      <c r="F44" s="61" t="s">
        <v>64</v>
      </c>
      <c r="G44" s="61" t="s">
        <v>64</v>
      </c>
      <c r="H44" s="61" t="s">
        <v>64</v>
      </c>
      <c r="I44" s="68" t="s">
        <v>64</v>
      </c>
      <c r="J44" s="68"/>
      <c r="K44" s="34">
        <f aca="true" t="shared" si="2" ref="K44:K55">IF($E$44=0,"",100*$E44/$E$44)</f>
        <v>100</v>
      </c>
      <c r="L44" s="34">
        <f aca="true" t="shared" si="3" ref="L44:L55">IF(C44=0,"",100*E44/C44)</f>
        <v>90.43678819001703</v>
      </c>
      <c r="M44" s="33"/>
    </row>
    <row r="45" spans="2:13" ht="12.75">
      <c r="B45" s="35" t="s">
        <v>13</v>
      </c>
      <c r="C45" s="23">
        <f>6989267559.34</f>
        <v>6989267559.34</v>
      </c>
      <c r="D45" s="61" t="s">
        <v>64</v>
      </c>
      <c r="E45" s="23">
        <f>5938703667.81</f>
        <v>5938703667.81</v>
      </c>
      <c r="F45" s="61" t="s">
        <v>64</v>
      </c>
      <c r="G45" s="61" t="s">
        <v>64</v>
      </c>
      <c r="H45" s="61" t="s">
        <v>64</v>
      </c>
      <c r="I45" s="68" t="s">
        <v>64</v>
      </c>
      <c r="J45" s="68"/>
      <c r="K45" s="31">
        <f t="shared" si="2"/>
        <v>35.819817877470484</v>
      </c>
      <c r="L45" s="31">
        <f t="shared" si="3"/>
        <v>84.96889863479193</v>
      </c>
      <c r="M45" s="33"/>
    </row>
    <row r="46" spans="2:13" ht="22.5" customHeight="1">
      <c r="B46" s="17" t="s">
        <v>12</v>
      </c>
      <c r="C46" s="20">
        <f>6649111860.34</f>
        <v>6649111860.34</v>
      </c>
      <c r="D46" s="61" t="s">
        <v>64</v>
      </c>
      <c r="E46" s="20">
        <f>5603849673.3</f>
        <v>5603849673.3</v>
      </c>
      <c r="F46" s="61" t="s">
        <v>64</v>
      </c>
      <c r="G46" s="61" t="s">
        <v>64</v>
      </c>
      <c r="H46" s="61" t="s">
        <v>64</v>
      </c>
      <c r="I46" s="68" t="s">
        <v>64</v>
      </c>
      <c r="J46" s="68"/>
      <c r="K46" s="32">
        <f t="shared" si="2"/>
        <v>33.80011631130111</v>
      </c>
      <c r="L46" s="32">
        <f t="shared" si="3"/>
        <v>84.27967209764236</v>
      </c>
      <c r="M46" s="33"/>
    </row>
    <row r="47" spans="2:13" ht="25.5" customHeight="1">
      <c r="B47" s="35" t="s">
        <v>44</v>
      </c>
      <c r="C47" s="23">
        <f>C44-C45</f>
        <v>11343293981.96</v>
      </c>
      <c r="D47" s="61" t="s">
        <v>64</v>
      </c>
      <c r="E47" s="23">
        <f>E44-E45</f>
        <v>10640676183.099998</v>
      </c>
      <c r="F47" s="61" t="s">
        <v>64</v>
      </c>
      <c r="G47" s="61" t="s">
        <v>64</v>
      </c>
      <c r="H47" s="61" t="s">
        <v>64</v>
      </c>
      <c r="I47" s="68" t="s">
        <v>64</v>
      </c>
      <c r="J47" s="68"/>
      <c r="K47" s="31">
        <f t="shared" si="2"/>
        <v>64.1801821225295</v>
      </c>
      <c r="L47" s="31">
        <f t="shared" si="3"/>
        <v>93.80587508375062</v>
      </c>
      <c r="M47" s="33"/>
    </row>
    <row r="48" spans="2:13" ht="12.75">
      <c r="B48" s="17" t="s">
        <v>33</v>
      </c>
      <c r="C48" s="20">
        <f>2489344319.73</f>
        <v>2489344319.73</v>
      </c>
      <c r="D48" s="61" t="s">
        <v>64</v>
      </c>
      <c r="E48" s="20">
        <f>2410760268.16</f>
        <v>2410760268.16</v>
      </c>
      <c r="F48" s="61" t="s">
        <v>64</v>
      </c>
      <c r="G48" s="61" t="s">
        <v>64</v>
      </c>
      <c r="H48" s="61" t="s">
        <v>64</v>
      </c>
      <c r="I48" s="68" t="s">
        <v>64</v>
      </c>
      <c r="J48" s="68"/>
      <c r="K48" s="32">
        <f t="shared" si="2"/>
        <v>14.540714368322284</v>
      </c>
      <c r="L48" s="32">
        <f t="shared" si="3"/>
        <v>96.84318272297006</v>
      </c>
      <c r="M48" s="33"/>
    </row>
    <row r="49" spans="2:13" ht="22.5" customHeight="1">
      <c r="B49" s="54" t="s">
        <v>28</v>
      </c>
      <c r="C49" s="57">
        <f>2273365829.64</f>
        <v>2273365829.64</v>
      </c>
      <c r="D49" s="61" t="s">
        <v>64</v>
      </c>
      <c r="E49" s="57">
        <f>2209375580.2</f>
        <v>2209375580.2</v>
      </c>
      <c r="F49" s="61" t="s">
        <v>64</v>
      </c>
      <c r="G49" s="61" t="s">
        <v>64</v>
      </c>
      <c r="H49" s="61" t="s">
        <v>64</v>
      </c>
      <c r="I49" s="68" t="s">
        <v>64</v>
      </c>
      <c r="J49" s="68"/>
      <c r="K49" s="58">
        <f t="shared" si="2"/>
        <v>13.326044762034526</v>
      </c>
      <c r="L49" s="58">
        <f t="shared" si="3"/>
        <v>97.18521987945365</v>
      </c>
      <c r="M49" s="33"/>
    </row>
    <row r="50" spans="2:13" ht="12.75">
      <c r="B50" s="28" t="s">
        <v>32</v>
      </c>
      <c r="C50" s="21">
        <f>459885907.24</f>
        <v>459885907.24</v>
      </c>
      <c r="D50" s="61" t="s">
        <v>64</v>
      </c>
      <c r="E50" s="21">
        <f>433963248.66</f>
        <v>433963248.66</v>
      </c>
      <c r="F50" s="61" t="s">
        <v>64</v>
      </c>
      <c r="G50" s="61" t="s">
        <v>64</v>
      </c>
      <c r="H50" s="61" t="s">
        <v>64</v>
      </c>
      <c r="I50" s="68" t="s">
        <v>64</v>
      </c>
      <c r="J50" s="68"/>
      <c r="K50" s="58">
        <f t="shared" si="2"/>
        <v>2.617487822598991</v>
      </c>
      <c r="L50" s="58">
        <f t="shared" si="3"/>
        <v>94.36324136663058</v>
      </c>
      <c r="M50" s="33"/>
    </row>
    <row r="51" spans="2:13" ht="12.75">
      <c r="B51" s="28" t="s">
        <v>31</v>
      </c>
      <c r="C51" s="57">
        <f>4893831080.34</f>
        <v>4893831080.34</v>
      </c>
      <c r="D51" s="61" t="s">
        <v>64</v>
      </c>
      <c r="E51" s="57">
        <f>4696945868.17</f>
        <v>4696945868.17</v>
      </c>
      <c r="F51" s="61" t="s">
        <v>64</v>
      </c>
      <c r="G51" s="61" t="s">
        <v>64</v>
      </c>
      <c r="H51" s="61" t="s">
        <v>64</v>
      </c>
      <c r="I51" s="68" t="s">
        <v>64</v>
      </c>
      <c r="J51" s="68"/>
      <c r="K51" s="58">
        <f t="shared" si="2"/>
        <v>28.33004557714019</v>
      </c>
      <c r="L51" s="58">
        <f t="shared" si="3"/>
        <v>95.97686947224338</v>
      </c>
      <c r="M51" s="33"/>
    </row>
    <row r="52" spans="2:13" ht="12.75">
      <c r="B52" s="28" t="s">
        <v>30</v>
      </c>
      <c r="C52" s="21">
        <f>165285644.46</f>
        <v>165285644.46</v>
      </c>
      <c r="D52" s="61" t="s">
        <v>64</v>
      </c>
      <c r="E52" s="21">
        <f>150614380.3</f>
        <v>150614380.3</v>
      </c>
      <c r="F52" s="61" t="s">
        <v>64</v>
      </c>
      <c r="G52" s="61" t="s">
        <v>64</v>
      </c>
      <c r="H52" s="61" t="s">
        <v>64</v>
      </c>
      <c r="I52" s="68" t="s">
        <v>64</v>
      </c>
      <c r="J52" s="68"/>
      <c r="K52" s="58">
        <f t="shared" si="2"/>
        <v>0.908443992805516</v>
      </c>
      <c r="L52" s="58">
        <f t="shared" si="3"/>
        <v>91.12369122682611</v>
      </c>
      <c r="M52" s="33"/>
    </row>
    <row r="53" spans="2:13" ht="22.5" customHeight="1">
      <c r="B53" s="28" t="s">
        <v>45</v>
      </c>
      <c r="C53" s="57">
        <f>23906643</f>
        <v>23906643</v>
      </c>
      <c r="D53" s="61" t="s">
        <v>64</v>
      </c>
      <c r="E53" s="57">
        <f>8095875.27</f>
        <v>8095875.27</v>
      </c>
      <c r="F53" s="61" t="s">
        <v>64</v>
      </c>
      <c r="G53" s="61" t="s">
        <v>64</v>
      </c>
      <c r="H53" s="61" t="s">
        <v>64</v>
      </c>
      <c r="I53" s="68" t="s">
        <v>64</v>
      </c>
      <c r="J53" s="68"/>
      <c r="K53" s="58">
        <f t="shared" si="2"/>
        <v>0.048830989716154176</v>
      </c>
      <c r="L53" s="58">
        <f t="shared" si="3"/>
        <v>33.864542462109796</v>
      </c>
      <c r="M53" s="33"/>
    </row>
    <row r="54" spans="2:13" ht="22.5">
      <c r="B54" s="28" t="s">
        <v>46</v>
      </c>
      <c r="C54" s="57">
        <f>103564134.84</f>
        <v>103564134.84</v>
      </c>
      <c r="D54" s="61" t="s">
        <v>64</v>
      </c>
      <c r="E54" s="57">
        <f>83523363.45</f>
        <v>83523363.45</v>
      </c>
      <c r="F54" s="61" t="s">
        <v>64</v>
      </c>
      <c r="G54" s="61" t="s">
        <v>64</v>
      </c>
      <c r="H54" s="61" t="s">
        <v>64</v>
      </c>
      <c r="I54" s="68" t="s">
        <v>64</v>
      </c>
      <c r="J54" s="68"/>
      <c r="K54" s="58">
        <f t="shared" si="2"/>
        <v>0.5037785743561187</v>
      </c>
      <c r="L54" s="58">
        <f t="shared" si="3"/>
        <v>80.64892694660973</v>
      </c>
      <c r="M54" s="33"/>
    </row>
    <row r="55" spans="2:13" ht="12.75">
      <c r="B55" s="28" t="s">
        <v>29</v>
      </c>
      <c r="C55" s="21">
        <f>C47-C48-C50-C51-C52-C53-C54</f>
        <v>3207476252.3499994</v>
      </c>
      <c r="D55" s="61" t="s">
        <v>64</v>
      </c>
      <c r="E55" s="21">
        <f>E47-E48-E50-E51-E52-E53-E54</f>
        <v>2856773179.0899987</v>
      </c>
      <c r="F55" s="61" t="s">
        <v>64</v>
      </c>
      <c r="G55" s="61" t="s">
        <v>64</v>
      </c>
      <c r="H55" s="61" t="s">
        <v>64</v>
      </c>
      <c r="I55" s="68" t="s">
        <v>64</v>
      </c>
      <c r="J55" s="68"/>
      <c r="K55" s="58">
        <f t="shared" si="2"/>
        <v>17.230880797590252</v>
      </c>
      <c r="L55" s="58">
        <f t="shared" si="3"/>
        <v>89.06607420700142</v>
      </c>
      <c r="M55" s="33"/>
    </row>
    <row r="56" spans="2:13" ht="12.75">
      <c r="B56" s="35" t="s">
        <v>14</v>
      </c>
      <c r="C56" s="23">
        <f>C5-C44</f>
        <v>-1040243646.2999992</v>
      </c>
      <c r="D56" s="61" t="s">
        <v>64</v>
      </c>
      <c r="E56" s="23">
        <f>D5-E44</f>
        <v>419494196.63000107</v>
      </c>
      <c r="F56" s="61" t="s">
        <v>64</v>
      </c>
      <c r="G56" s="61" t="s">
        <v>64</v>
      </c>
      <c r="H56" s="61" t="s">
        <v>64</v>
      </c>
      <c r="I56" s="68" t="s">
        <v>64</v>
      </c>
      <c r="J56" s="68"/>
      <c r="K56" s="24"/>
      <c r="L56" s="24"/>
      <c r="M56" s="39"/>
    </row>
    <row r="57" spans="2:13" ht="33.75">
      <c r="B57" s="40" t="s">
        <v>60</v>
      </c>
      <c r="C57" s="23">
        <f>+C36-C47</f>
        <v>2170015778.91</v>
      </c>
      <c r="D57" s="41"/>
      <c r="E57" s="23">
        <f>+D36-E47</f>
        <v>3105989709.050003</v>
      </c>
      <c r="F57" s="42"/>
      <c r="G57" s="42"/>
      <c r="H57" s="42"/>
      <c r="I57" s="71"/>
      <c r="J57" s="72"/>
      <c r="K57" s="33"/>
      <c r="L57" s="43"/>
      <c r="M57" s="43"/>
    </row>
    <row r="58" spans="2:13" ht="6.75" customHeight="1" thickBot="1">
      <c r="B58" s="44"/>
      <c r="C58" s="45"/>
      <c r="D58" s="45"/>
      <c r="E58" s="45"/>
      <c r="F58" s="18"/>
      <c r="G58" s="18"/>
      <c r="H58" s="18"/>
      <c r="I58" s="18"/>
      <c r="J58" s="33"/>
      <c r="K58" s="33"/>
      <c r="L58" s="43"/>
      <c r="M58" s="43"/>
    </row>
    <row r="59" spans="2:13" ht="12" customHeight="1" thickBot="1">
      <c r="B59" s="46" t="s">
        <v>51</v>
      </c>
      <c r="C59" s="45"/>
      <c r="D59" s="45"/>
      <c r="E59" s="45"/>
      <c r="F59" s="18"/>
      <c r="G59" s="18"/>
      <c r="H59" s="18"/>
      <c r="I59" s="18"/>
      <c r="J59" s="33"/>
      <c r="K59" s="33"/>
      <c r="L59" s="43"/>
      <c r="M59" s="43"/>
    </row>
    <row r="60" spans="2:13" ht="23.25" customHeight="1">
      <c r="B60" s="60" t="s">
        <v>61</v>
      </c>
      <c r="C60" s="23">
        <f>6469972256.33</f>
        <v>6469972256.33</v>
      </c>
      <c r="D60" s="61" t="s">
        <v>64</v>
      </c>
      <c r="E60" s="23">
        <f>5407920076.81</f>
        <v>5407920076.81</v>
      </c>
      <c r="F60" s="61" t="s">
        <v>64</v>
      </c>
      <c r="G60" s="61" t="s">
        <v>64</v>
      </c>
      <c r="H60" s="61" t="s">
        <v>64</v>
      </c>
      <c r="I60" s="68" t="s">
        <v>64</v>
      </c>
      <c r="J60" s="68"/>
      <c r="K60" s="32">
        <f>IF($E$44=0,"",100*$E60/$E$60)</f>
        <v>100</v>
      </c>
      <c r="L60" s="32">
        <f>IF(C60=0,"",100*E60/C60)</f>
        <v>83.58490365270232</v>
      </c>
      <c r="M60" s="43"/>
    </row>
    <row r="61" spans="2:13" ht="12.75">
      <c r="B61" s="59" t="s">
        <v>52</v>
      </c>
      <c r="C61" s="57">
        <f>4329593797.24</f>
        <v>4329593797.24</v>
      </c>
      <c r="D61" s="61" t="s">
        <v>64</v>
      </c>
      <c r="E61" s="57">
        <f>3582858525.45</f>
        <v>3582858525.45</v>
      </c>
      <c r="F61" s="61" t="s">
        <v>64</v>
      </c>
      <c r="G61" s="61" t="s">
        <v>64</v>
      </c>
      <c r="H61" s="61" t="s">
        <v>64</v>
      </c>
      <c r="I61" s="68" t="s">
        <v>64</v>
      </c>
      <c r="J61" s="68"/>
      <c r="K61" s="58">
        <f>IF($E$44=0,"",100*$E61/$E$60)</f>
        <v>66.25206132046686</v>
      </c>
      <c r="L61" s="58">
        <f>IF(C61=0,"",100*E61/C61)</f>
        <v>82.75276372887397</v>
      </c>
      <c r="M61" s="33"/>
    </row>
    <row r="62" spans="2:13" ht="12.75" customHeight="1">
      <c r="B62" s="59" t="s">
        <v>53</v>
      </c>
      <c r="C62" s="57">
        <f>C60-C61</f>
        <v>2140378459.0900002</v>
      </c>
      <c r="D62" s="61" t="s">
        <v>64</v>
      </c>
      <c r="E62" s="57">
        <f>E60-E61</f>
        <v>1825061551.3600006</v>
      </c>
      <c r="F62" s="61" t="s">
        <v>64</v>
      </c>
      <c r="G62" s="61" t="s">
        <v>64</v>
      </c>
      <c r="H62" s="61" t="s">
        <v>64</v>
      </c>
      <c r="I62" s="68" t="s">
        <v>64</v>
      </c>
      <c r="J62" s="68"/>
      <c r="K62" s="58">
        <f>IF($E$44=0,"",100*$E62/$E$60)</f>
        <v>33.74793867953314</v>
      </c>
      <c r="L62" s="58">
        <f>IF(C62=0,"",100*E62/C62)</f>
        <v>85.26817038403297</v>
      </c>
      <c r="M62" s="33"/>
    </row>
    <row r="64" ht="12.75"/>
  </sheetData>
  <sheetProtection/>
  <mergeCells count="35">
    <mergeCell ref="I57:J57"/>
    <mergeCell ref="I60:J60"/>
    <mergeCell ref="I61:J61"/>
    <mergeCell ref="I62:J62"/>
    <mergeCell ref="I50:J50"/>
    <mergeCell ref="I51:J51"/>
    <mergeCell ref="I52:J52"/>
    <mergeCell ref="I53:J53"/>
    <mergeCell ref="I55:J55"/>
    <mergeCell ref="I56:J56"/>
    <mergeCell ref="I54:J54"/>
    <mergeCell ref="B1:M1"/>
    <mergeCell ref="I39:J41"/>
    <mergeCell ref="D39:D41"/>
    <mergeCell ref="E39:E41"/>
    <mergeCell ref="F40:F41"/>
    <mergeCell ref="F39:H39"/>
    <mergeCell ref="G40:H40"/>
    <mergeCell ref="F3:H3"/>
    <mergeCell ref="B37:M37"/>
    <mergeCell ref="I43:J43"/>
    <mergeCell ref="I46:J46"/>
    <mergeCell ref="I47:J47"/>
    <mergeCell ref="I49:J49"/>
    <mergeCell ref="I44:J44"/>
    <mergeCell ref="I45:J45"/>
    <mergeCell ref="I48:J48"/>
    <mergeCell ref="C42:J42"/>
    <mergeCell ref="C3:E3"/>
    <mergeCell ref="L39:L41"/>
    <mergeCell ref="B2:B3"/>
    <mergeCell ref="C39:C41"/>
    <mergeCell ref="B39:B42"/>
    <mergeCell ref="K39:K41"/>
    <mergeCell ref="K42:L42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1" manualBreakCount="1">
    <brk id="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2019-03-21T13:30:14Z</dcterms:modified>
  <cp:category/>
  <cp:version/>
  <cp:contentType/>
  <cp:contentStatus/>
</cp:coreProperties>
</file>