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D:\FDS\2024\"/>
    </mc:Choice>
  </mc:AlternateContent>
  <xr:revisionPtr revIDLastSave="0" documentId="8_{FE43571A-4DBA-410B-A393-4B32CBB5E9B6}" xr6:coauthVersionLast="36" xr6:coauthVersionMax="36" xr10:uidLastSave="{00000000-0000-0000-0000-000000000000}"/>
  <bookViews>
    <workbookView xWindow="0" yWindow="0" windowWidth="28800" windowHeight="12000" activeTab="4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podst'!$A$2:$AD$74</definedName>
    <definedName name="_xlnm._FilterDatabase" localSheetId="4" hidden="1">'gm rez'!$A$2:$AD$23</definedName>
    <definedName name="_xlnm._FilterDatabase" localSheetId="1" hidden="1">'pow podst'!$A$1:$AC$19</definedName>
    <definedName name="_xlnm.Print_Area" localSheetId="2">'gm podst'!$A$1:$Z$79</definedName>
    <definedName name="_xlnm.Print_Area" localSheetId="4">'gm rez'!$A$1:$Z$27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1F3D2491_4924_4C10_9067_F49DF60E2449_.wvu.FilterData" localSheetId="2" hidden="1">'gm podst'!$A$2:$AD$74</definedName>
    <definedName name="Z_37823919_1461_4422_B099_0416BBFC1D0B_.wvu.FilterData" localSheetId="2" hidden="1">'gm podst'!$A$2:$AD$74</definedName>
    <definedName name="Z_87C28BDC_EE29_4126_8B97_643AD36CC868_.wvu.FilterData" localSheetId="2" hidden="1">'gm podst'!$A$2:$AD$74</definedName>
    <definedName name="Z_ADFB8C45_F7BA_4EFE_84E0_9C7942DB619F_.wvu.FilterData" localSheetId="2" hidden="1">'gm podst'!$A$2:$AD$74</definedName>
    <definedName name="Z_B3D4E81D_6BD4_4F4D_89DF_426FDC333056_.wvu.FilterData" localSheetId="2" hidden="1">'gm podst'!$A$2:$AD$74</definedName>
    <definedName name="Z_B3D4E81D_6BD4_4F4D_89DF_426FDC333056_.wvu.FilterData" localSheetId="1" hidden="1">'pow podst'!$A$1:$AC$19</definedName>
    <definedName name="Z_B4405FF1_036B_45AD_810F_8C9DF67F9D7F_.wvu.FilterData" localSheetId="2" hidden="1">'gm podst'!$A$2:$AD$74</definedName>
    <definedName name="Z_B4405FF1_036B_45AD_810F_8C9DF67F9D7F_.wvu.FilterData" localSheetId="4" hidden="1">'gm rez'!$A$2:$AD$23</definedName>
    <definedName name="Z_B4405FF1_036B_45AD_810F_8C9DF67F9D7F_.wvu.FilterData" localSheetId="1" hidden="1">'pow podst'!$A$1:$AC$19</definedName>
    <definedName name="Z_B4405FF1_036B_45AD_810F_8C9DF67F9D7F_.wvu.PrintArea" localSheetId="2" hidden="1">'gm podst'!$A$1:$Z$79</definedName>
    <definedName name="Z_B4405FF1_036B_45AD_810F_8C9DF67F9D7F_.wvu.PrintArea" localSheetId="4" hidden="1">'gm rez'!$A$1:$Z$27</definedName>
    <definedName name="Z_B4405FF1_036B_45AD_810F_8C9DF67F9D7F_.wvu.PrintArea" localSheetId="1" hidden="1">'pow podst'!$A$1:$Y$19</definedName>
    <definedName name="Z_B4405FF1_036B_45AD_810F_8C9DF67F9D7F_.wvu.PrintArea" localSheetId="3" hidden="1">'pow rez'!$A$1:$Y$12</definedName>
    <definedName name="Z_B4405FF1_036B_45AD_810F_8C9DF67F9D7F_.wvu.PrintArea" localSheetId="0" hidden="1">'TERC - "nazwa woj"'!$A$1:$Q$36</definedName>
    <definedName name="Z_B4405FF1_036B_45AD_810F_8C9DF67F9D7F_.wvu.PrintTitles" localSheetId="2" hidden="1">'gm podst'!$1:$2</definedName>
    <definedName name="Z_B4405FF1_036B_45AD_810F_8C9DF67F9D7F_.wvu.PrintTitles" localSheetId="4" hidden="1">'gm rez'!$1:$2</definedName>
    <definedName name="Z_B4405FF1_036B_45AD_810F_8C9DF67F9D7F_.wvu.PrintTitles" localSheetId="1" hidden="1">'pow podst'!$1:$2</definedName>
    <definedName name="Z_B4405FF1_036B_45AD_810F_8C9DF67F9D7F_.wvu.PrintTitles" localSheetId="3" hidden="1">'pow rez'!$1:$2</definedName>
    <definedName name="Z_BD3EAA12_36A1_4500_A3A8_8FB519CC9E74_.wvu.FilterData" localSheetId="2" hidden="1">'gm podst'!$A$2:$AD$74</definedName>
    <definedName name="Z_BD3EAA12_36A1_4500_A3A8_8FB519CC9E74_.wvu.FilterData" localSheetId="4" hidden="1">'gm rez'!$A$2:$AD$23</definedName>
    <definedName name="Z_BD3EAA12_36A1_4500_A3A8_8FB519CC9E74_.wvu.FilterData" localSheetId="1" hidden="1">'pow podst'!$A$1:$AC$19</definedName>
    <definedName name="Z_BD3EAA12_36A1_4500_A3A8_8FB519CC9E74_.wvu.PrintArea" localSheetId="2" hidden="1">'gm podst'!$A$1:$Z$79</definedName>
    <definedName name="Z_BD3EAA12_36A1_4500_A3A8_8FB519CC9E74_.wvu.PrintArea" localSheetId="4" hidden="1">'gm rez'!$A$1:$Z$27</definedName>
    <definedName name="Z_BD3EAA12_36A1_4500_A3A8_8FB519CC9E74_.wvu.PrintArea" localSheetId="1" hidden="1">'pow podst'!$A$1:$Y$19</definedName>
    <definedName name="Z_BD3EAA12_36A1_4500_A3A8_8FB519CC9E74_.wvu.PrintArea" localSheetId="3" hidden="1">'pow rez'!$A$1:$Y$12</definedName>
    <definedName name="Z_BD3EAA12_36A1_4500_A3A8_8FB519CC9E74_.wvu.PrintArea" localSheetId="0" hidden="1">'TERC - "nazwa woj"'!$A$1:$Q$36</definedName>
    <definedName name="Z_BD3EAA12_36A1_4500_A3A8_8FB519CC9E74_.wvu.PrintTitles" localSheetId="2" hidden="1">'gm podst'!$1:$2</definedName>
    <definedName name="Z_BD3EAA12_36A1_4500_A3A8_8FB519CC9E74_.wvu.PrintTitles" localSheetId="4" hidden="1">'gm rez'!$1:$2</definedName>
    <definedName name="Z_BD3EAA12_36A1_4500_A3A8_8FB519CC9E74_.wvu.PrintTitles" localSheetId="1" hidden="1">'pow podst'!$1:$2</definedName>
    <definedName name="Z_BD3EAA12_36A1_4500_A3A8_8FB519CC9E74_.wvu.PrintTitles" localSheetId="3" hidden="1">'pow rez'!$1:$2</definedName>
    <definedName name="Z_C76DCD22_0DC9_4799_A058_B64B837BBA0E_.wvu.FilterData" localSheetId="2" hidden="1">'gm podst'!$A$2:$AD$74</definedName>
    <definedName name="Z_C76DCD22_0DC9_4799_A058_B64B837BBA0E_.wvu.FilterData" localSheetId="4" hidden="1">'gm rez'!$A$2:$AD$23</definedName>
    <definedName name="Z_C76DCD22_0DC9_4799_A058_B64B837BBA0E_.wvu.FilterData" localSheetId="1" hidden="1">'pow podst'!$A$1:$AC$19</definedName>
    <definedName name="Z_C76DCD22_0DC9_4799_A058_B64B837BBA0E_.wvu.PrintArea" localSheetId="2" hidden="1">'gm podst'!$A$1:$Z$79</definedName>
    <definedName name="Z_C76DCD22_0DC9_4799_A058_B64B837BBA0E_.wvu.PrintArea" localSheetId="4" hidden="1">'gm rez'!$A$1:$Z$27</definedName>
    <definedName name="Z_C76DCD22_0DC9_4799_A058_B64B837BBA0E_.wvu.PrintArea" localSheetId="1" hidden="1">'pow podst'!$A$1:$Y$19</definedName>
    <definedName name="Z_C76DCD22_0DC9_4799_A058_B64B837BBA0E_.wvu.PrintArea" localSheetId="3" hidden="1">'pow rez'!$A$1:$Y$12</definedName>
    <definedName name="Z_C76DCD22_0DC9_4799_A058_B64B837BBA0E_.wvu.PrintArea" localSheetId="0" hidden="1">'TERC - "nazwa woj"'!$A$1:$Q$36</definedName>
    <definedName name="Z_C76DCD22_0DC9_4799_A058_B64B837BBA0E_.wvu.PrintTitles" localSheetId="2" hidden="1">'gm podst'!$1:$2</definedName>
    <definedName name="Z_C76DCD22_0DC9_4799_A058_B64B837BBA0E_.wvu.PrintTitles" localSheetId="4" hidden="1">'gm rez'!$1:$2</definedName>
    <definedName name="Z_C76DCD22_0DC9_4799_A058_B64B837BBA0E_.wvu.PrintTitles" localSheetId="1" hidden="1">'pow podst'!$1:$2</definedName>
    <definedName name="Z_C76DCD22_0DC9_4799_A058_B64B837BBA0E_.wvu.PrintTitles" localSheetId="3" hidden="1">'pow rez'!$1:$2</definedName>
    <definedName name="Z_C781238C_4222_437A_A3FC_3CB220927BA7_.wvu.FilterData" localSheetId="1" hidden="1">'pow podst'!$A$1:$AC$19</definedName>
    <definedName name="Z_CB410AB3_2DDF_47B7_B021_1F68EEA98257_.wvu.FilterData" localSheetId="2" hidden="1">'gm podst'!$A$2:$AD$74</definedName>
    <definedName name="Z_CB410AB3_2DDF_47B7_B021_1F68EEA98257_.wvu.FilterData" localSheetId="4" hidden="1">'gm rez'!$A$2:$AD$23</definedName>
    <definedName name="Z_CB410AB3_2DDF_47B7_B021_1F68EEA98257_.wvu.FilterData" localSheetId="1" hidden="1">'pow podst'!$A$1:$AC$19</definedName>
    <definedName name="Z_CB410AB3_2DDF_47B7_B021_1F68EEA98257_.wvu.PrintArea" localSheetId="2" hidden="1">'gm podst'!$A$1:$Z$79</definedName>
    <definedName name="Z_CB410AB3_2DDF_47B7_B021_1F68EEA98257_.wvu.PrintArea" localSheetId="4" hidden="1">'gm rez'!$A$1:$Z$27</definedName>
    <definedName name="Z_CB410AB3_2DDF_47B7_B021_1F68EEA98257_.wvu.PrintArea" localSheetId="1" hidden="1">'pow podst'!$A$1:$Y$19</definedName>
    <definedName name="Z_CB410AB3_2DDF_47B7_B021_1F68EEA98257_.wvu.PrintArea" localSheetId="3" hidden="1">'pow rez'!$A$1:$Y$12</definedName>
    <definedName name="Z_CB410AB3_2DDF_47B7_B021_1F68EEA98257_.wvu.PrintArea" localSheetId="0" hidden="1">'TERC - "nazwa woj"'!$A$1:$Q$36</definedName>
    <definedName name="Z_CB410AB3_2DDF_47B7_B021_1F68EEA98257_.wvu.PrintTitles" localSheetId="2" hidden="1">'gm podst'!$1:$2</definedName>
    <definedName name="Z_CB410AB3_2DDF_47B7_B021_1F68EEA98257_.wvu.PrintTitles" localSheetId="4" hidden="1">'gm rez'!$1:$2</definedName>
    <definedName name="Z_CB410AB3_2DDF_47B7_B021_1F68EEA98257_.wvu.PrintTitles" localSheetId="1" hidden="1">'pow podst'!$1:$2</definedName>
    <definedName name="Z_CB410AB3_2DDF_47B7_B021_1F68EEA98257_.wvu.PrintTitles" localSheetId="3" hidden="1">'pow rez'!$1:$2</definedName>
    <definedName name="Z_CF17DA04_EBA2_4EDA_9B20_8BFCBE182783_.wvu.FilterData" localSheetId="2" hidden="1">'gm podst'!$A$2:$AD$74</definedName>
    <definedName name="Z_E7CAF9DC_53CB_464B_97B7_E2DEFBC16359_.wvu.FilterData" localSheetId="2" hidden="1">'gm podst'!$A$2:$AD$74</definedName>
    <definedName name="Z_E7CAF9DC_53CB_464B_97B7_E2DEFBC16359_.wvu.FilterData" localSheetId="4" hidden="1">'gm rez'!$A$2:$AD$23</definedName>
    <definedName name="Z_E7CAF9DC_53CB_464B_97B7_E2DEFBC16359_.wvu.FilterData" localSheetId="1" hidden="1">'pow podst'!$A$1:$AC$19</definedName>
    <definedName name="Z_E7CAF9DC_53CB_464B_97B7_E2DEFBC16359_.wvu.PrintArea" localSheetId="2" hidden="1">'gm podst'!$A$1:$Z$79</definedName>
    <definedName name="Z_E7CAF9DC_53CB_464B_97B7_E2DEFBC16359_.wvu.PrintArea" localSheetId="4" hidden="1">'gm rez'!$A$1:$Z$27</definedName>
    <definedName name="Z_E7CAF9DC_53CB_464B_97B7_E2DEFBC16359_.wvu.PrintArea" localSheetId="1" hidden="1">'pow podst'!$A$1:$Y$19</definedName>
    <definedName name="Z_E7CAF9DC_53CB_464B_97B7_E2DEFBC16359_.wvu.PrintArea" localSheetId="3" hidden="1">'pow rez'!$A$1:$Y$12</definedName>
    <definedName name="Z_E7CAF9DC_53CB_464B_97B7_E2DEFBC16359_.wvu.PrintArea" localSheetId="0" hidden="1">'TERC - "nazwa woj"'!$A$1:$Q$36</definedName>
    <definedName name="Z_E7CAF9DC_53CB_464B_97B7_E2DEFBC16359_.wvu.PrintTitles" localSheetId="2" hidden="1">'gm podst'!$1:$2</definedName>
    <definedName name="Z_E7CAF9DC_53CB_464B_97B7_E2DEFBC16359_.wvu.PrintTitles" localSheetId="4" hidden="1">'gm rez'!$1:$2</definedName>
    <definedName name="Z_E7CAF9DC_53CB_464B_97B7_E2DEFBC16359_.wvu.PrintTitles" localSheetId="1" hidden="1">'pow podst'!$1:$2</definedName>
    <definedName name="Z_E7CAF9DC_53CB_464B_97B7_E2DEFBC16359_.wvu.PrintTitles" localSheetId="3" hidden="1">'pow rez'!$1:$2</definedName>
    <definedName name="Z_EA415797_4476_40E1_ACE5_0AB68E4A71AB_.wvu.FilterData" localSheetId="2" hidden="1">'gm podst'!$A$2:$AD$74</definedName>
  </definedNames>
  <calcPr calcId="191029" iterateDelta="1E-4"/>
  <customWorkbookViews>
    <customWorkbookView name="Justyna Sperczyńska - Widok osobisty" guid="{BD3EAA12-36A1-4500-A3A8-8FB519CC9E74}" mergeInterval="0" personalView="1" maximized="1" xWindow="-8" yWindow="-8" windowWidth="1936" windowHeight="1176" activeSheetId="5"/>
    <customWorkbookView name="Zofia Malik - Widok osobisty" guid="{B4405FF1-036B-45AD-810F-8C9DF67F9D7F}" mergeInterval="0" personalView="1" maximized="1" xWindow="-8" yWindow="-8" windowWidth="1936" windowHeight="1056" activeSheetId="3"/>
    <customWorkbookView name="Katarzyna Juszczak - Widok osobisty" guid="{C76DCD22-0DC9-4799-A058-B64B837BBA0E}" mergeInterval="0" personalView="1" maximized="1" xWindow="-11" yWindow="-11" windowWidth="1942" windowHeight="1042" activeSheetId="3"/>
    <customWorkbookView name="Agnieszka Wagner - Widok osobisty" guid="{E7CAF9DC-53CB-464B-97B7-E2DEFBC16359}" mergeInterval="0" personalView="1" xWindow="-33" windowWidth="1936" windowHeight="1040" activeSheetId="3"/>
    <customWorkbookView name="Kinga Kucharska - Widok osobisty" guid="{CB410AB3-2DDF-47B7-B021-1F68EEA98257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M3" i="3" l="1"/>
  <c r="L63" i="3" l="1"/>
  <c r="L59" i="3" l="1"/>
  <c r="M35" i="3" l="1"/>
  <c r="T37" i="3" l="1"/>
  <c r="L65" i="3"/>
  <c r="M65" i="3" s="1"/>
  <c r="L66" i="3"/>
  <c r="AB66" i="3" s="1"/>
  <c r="AC66" i="3" s="1"/>
  <c r="L67" i="3"/>
  <c r="M67" i="3" s="1"/>
  <c r="L68" i="3"/>
  <c r="M68" i="3" s="1"/>
  <c r="L69" i="3"/>
  <c r="M69" i="3" s="1"/>
  <c r="L70" i="3"/>
  <c r="AB67" i="3" l="1"/>
  <c r="AC67" i="3" s="1"/>
  <c r="AD68" i="3"/>
  <c r="M66" i="3"/>
  <c r="AD66" i="3" s="1"/>
  <c r="AB68" i="3"/>
  <c r="AC68" i="3" s="1"/>
  <c r="AB65" i="3"/>
  <c r="AC65" i="3" s="1"/>
  <c r="AB69" i="3"/>
  <c r="AC69" i="3" s="1"/>
  <c r="T69" i="3"/>
  <c r="AA69" i="3" s="1"/>
  <c r="T68" i="3"/>
  <c r="AA68" i="3" s="1"/>
  <c r="T67" i="3"/>
  <c r="AA67" i="3" s="1"/>
  <c r="T66" i="3"/>
  <c r="AA66" i="3" s="1"/>
  <c r="AD69" i="3"/>
  <c r="AD67" i="3"/>
  <c r="AD65" i="3"/>
  <c r="T65" i="3"/>
  <c r="AA65" i="3" s="1"/>
  <c r="AB64" i="3"/>
  <c r="AC64" i="3" s="1"/>
  <c r="AD64" i="3"/>
  <c r="AA64" i="3"/>
  <c r="M62" i="3" l="1"/>
  <c r="M63" i="3"/>
  <c r="M70" i="3"/>
  <c r="T62" i="3" l="1"/>
  <c r="AA62" i="3" s="1"/>
  <c r="AD61" i="3"/>
  <c r="AD63" i="3"/>
  <c r="AD62" i="3"/>
  <c r="AD70" i="3"/>
  <c r="AA61" i="3"/>
  <c r="T70" i="3"/>
  <c r="AA70" i="3" s="1"/>
  <c r="AB62" i="3"/>
  <c r="AC62" i="3" s="1"/>
  <c r="AB61" i="3"/>
  <c r="AC61" i="3" s="1"/>
  <c r="T63" i="3"/>
  <c r="AA63" i="3" s="1"/>
  <c r="AB70" i="3"/>
  <c r="AC70" i="3" s="1"/>
  <c r="AB63" i="3"/>
  <c r="AC63" i="3" s="1"/>
  <c r="L60" i="3" l="1"/>
  <c r="AB60" i="3" l="1"/>
  <c r="AC60" i="3" s="1"/>
  <c r="T60" i="3"/>
  <c r="AA60" i="3" s="1"/>
  <c r="M60" i="3"/>
  <c r="AD60" i="3" s="1"/>
  <c r="M59" i="3" l="1"/>
  <c r="L57" i="3"/>
  <c r="AB57" i="3" s="1"/>
  <c r="AC57" i="3" s="1"/>
  <c r="AB59" i="3" l="1"/>
  <c r="AC59" i="3" s="1"/>
  <c r="AD59" i="3"/>
  <c r="T59" i="3"/>
  <c r="AA59" i="3" s="1"/>
  <c r="AD58" i="3"/>
  <c r="AB58" i="3"/>
  <c r="AC58" i="3" s="1"/>
  <c r="AA58" i="3"/>
  <c r="M57" i="3"/>
  <c r="AD57" i="3" s="1"/>
  <c r="T57" i="3"/>
  <c r="AA57" i="3" s="1"/>
  <c r="L55" i="3" l="1"/>
  <c r="M55" i="3" s="1"/>
  <c r="AD55" i="3" s="1"/>
  <c r="L56" i="3"/>
  <c r="M56" i="3" s="1"/>
  <c r="AB55" i="3" l="1"/>
  <c r="AC55" i="3" s="1"/>
  <c r="T55" i="3"/>
  <c r="AA55" i="3" s="1"/>
  <c r="AB56" i="3"/>
  <c r="AC56" i="3" s="1"/>
  <c r="T56" i="3"/>
  <c r="AA56" i="3" s="1"/>
  <c r="AD56" i="3"/>
  <c r="T43" i="3" l="1"/>
  <c r="L13" i="3" l="1"/>
  <c r="K10" i="2" l="1"/>
  <c r="L10" i="2" l="1"/>
  <c r="K15" i="2"/>
  <c r="L6" i="3"/>
  <c r="AA6" i="3" s="1"/>
  <c r="L7" i="3"/>
  <c r="M7" i="3" s="1"/>
  <c r="L8" i="3"/>
  <c r="AA8" i="3" s="1"/>
  <c r="L9" i="3"/>
  <c r="L10" i="3"/>
  <c r="M10" i="3" s="1"/>
  <c r="AD10" i="3" s="1"/>
  <c r="AD11" i="3"/>
  <c r="L4" i="3"/>
  <c r="M4" i="3" s="1"/>
  <c r="AD4" i="3" s="1"/>
  <c r="L54" i="3"/>
  <c r="M54" i="3" s="1"/>
  <c r="AD54" i="3" s="1"/>
  <c r="L53" i="3"/>
  <c r="T53" i="3" s="1"/>
  <c r="AA53" i="3" s="1"/>
  <c r="L12" i="3"/>
  <c r="AB12" i="3" s="1"/>
  <c r="AC12" i="3" s="1"/>
  <c r="M13" i="3"/>
  <c r="AD13" i="3" s="1"/>
  <c r="L14" i="3"/>
  <c r="T14" i="3" s="1"/>
  <c r="AA14" i="3" s="1"/>
  <c r="L15" i="3"/>
  <c r="M15" i="3" s="1"/>
  <c r="AD15" i="3" s="1"/>
  <c r="L16" i="3"/>
  <c r="M16" i="3" s="1"/>
  <c r="L17" i="3"/>
  <c r="AB17" i="3" s="1"/>
  <c r="AC17" i="3" s="1"/>
  <c r="T18" i="3"/>
  <c r="AA18" i="3" s="1"/>
  <c r="AD19" i="3"/>
  <c r="L20" i="3"/>
  <c r="T20" i="3" s="1"/>
  <c r="AA20" i="3" s="1"/>
  <c r="L21" i="3"/>
  <c r="T21" i="3" s="1"/>
  <c r="AA21" i="3" s="1"/>
  <c r="L22" i="3"/>
  <c r="T22" i="3" s="1"/>
  <c r="AA22" i="3" s="1"/>
  <c r="L23" i="3"/>
  <c r="M23" i="3" s="1"/>
  <c r="AD23" i="3" s="1"/>
  <c r="L24" i="3"/>
  <c r="M24" i="3" s="1"/>
  <c r="L25" i="3"/>
  <c r="AB25" i="3" s="1"/>
  <c r="AC25" i="3" s="1"/>
  <c r="L26" i="3"/>
  <c r="T26" i="3" s="1"/>
  <c r="AA26" i="3" s="1"/>
  <c r="M27" i="3"/>
  <c r="AD27" i="3" s="1"/>
  <c r="L28" i="3"/>
  <c r="AB28" i="3" s="1"/>
  <c r="AC28" i="3" s="1"/>
  <c r="L29" i="3"/>
  <c r="M29" i="3" s="1"/>
  <c r="L30" i="3"/>
  <c r="T30" i="3" s="1"/>
  <c r="AA30" i="3" s="1"/>
  <c r="L31" i="3"/>
  <c r="M31" i="3" s="1"/>
  <c r="AD31" i="3" s="1"/>
  <c r="L32" i="3"/>
  <c r="M32" i="3" s="1"/>
  <c r="L33" i="3"/>
  <c r="AB33" i="3" s="1"/>
  <c r="AC33" i="3" s="1"/>
  <c r="L34" i="3"/>
  <c r="M34" i="3" s="1"/>
  <c r="AD35" i="3"/>
  <c r="L36" i="3"/>
  <c r="AB36" i="3" s="1"/>
  <c r="AC36" i="3" s="1"/>
  <c r="L37" i="3"/>
  <c r="M37" i="3" s="1"/>
  <c r="AD37" i="3" s="1"/>
  <c r="L38" i="3"/>
  <c r="T38" i="3" s="1"/>
  <c r="AA38" i="3" s="1"/>
  <c r="L39" i="3"/>
  <c r="M39" i="3" s="1"/>
  <c r="AD39" i="3" s="1"/>
  <c r="L40" i="3"/>
  <c r="M40" i="3" s="1"/>
  <c r="AD40" i="3" s="1"/>
  <c r="L41" i="3"/>
  <c r="T41" i="3" s="1"/>
  <c r="L42" i="3"/>
  <c r="M42" i="3" s="1"/>
  <c r="L43" i="3"/>
  <c r="M43" i="3" s="1"/>
  <c r="L44" i="3"/>
  <c r="M44" i="3" s="1"/>
  <c r="L45" i="3"/>
  <c r="T45" i="3" s="1"/>
  <c r="L46" i="3"/>
  <c r="T46" i="3" s="1"/>
  <c r="L47" i="3"/>
  <c r="M47" i="3" s="1"/>
  <c r="L48" i="3"/>
  <c r="M48" i="3" s="1"/>
  <c r="L49" i="3"/>
  <c r="M49" i="3" s="1"/>
  <c r="L50" i="3"/>
  <c r="T50" i="3" s="1"/>
  <c r="L51" i="3"/>
  <c r="M51" i="3" s="1"/>
  <c r="L52" i="3"/>
  <c r="M52" i="3" s="1"/>
  <c r="M5" i="3"/>
  <c r="AD5" i="3" s="1"/>
  <c r="T42" i="3"/>
  <c r="U17" i="3"/>
  <c r="T17" i="3"/>
  <c r="AB5" i="3"/>
  <c r="AC5" i="3" s="1"/>
  <c r="AA5" i="3"/>
  <c r="K5" i="2"/>
  <c r="K6" i="2"/>
  <c r="L6" i="2" s="1"/>
  <c r="S7" i="2"/>
  <c r="K8" i="2"/>
  <c r="S8" i="2" s="1"/>
  <c r="K9" i="2"/>
  <c r="L9" i="2" s="1"/>
  <c r="S10" i="2"/>
  <c r="AB17" i="5" l="1"/>
  <c r="AC17" i="5" s="1"/>
  <c r="AB29" i="3"/>
  <c r="AC29" i="3" s="1"/>
  <c r="T40" i="3"/>
  <c r="AA40" i="3" s="1"/>
  <c r="AB9" i="3"/>
  <c r="AC9" i="3" s="1"/>
  <c r="T9" i="3"/>
  <c r="AB4" i="3"/>
  <c r="AC4" i="3" s="1"/>
  <c r="AB32" i="3"/>
  <c r="AC32" i="3" s="1"/>
  <c r="AB37" i="3"/>
  <c r="AC37" i="3" s="1"/>
  <c r="U13" i="3"/>
  <c r="AA13" i="3" s="1"/>
  <c r="AB13" i="3"/>
  <c r="AC13" i="3" s="1"/>
  <c r="M45" i="3"/>
  <c r="S6" i="2"/>
  <c r="AB21" i="3"/>
  <c r="AC21" i="3" s="1"/>
  <c r="M21" i="3"/>
  <c r="AD21" i="3" s="1"/>
  <c r="T29" i="3"/>
  <c r="AA29" i="3" s="1"/>
  <c r="AD29" i="3"/>
  <c r="U37" i="3"/>
  <c r="AA37" i="3" s="1"/>
  <c r="AB10" i="3"/>
  <c r="AC10" i="3" s="1"/>
  <c r="M20" i="3"/>
  <c r="AD20" i="3" s="1"/>
  <c r="T28" i="3"/>
  <c r="AA28" i="3" s="1"/>
  <c r="M12" i="3"/>
  <c r="AD12" i="3" s="1"/>
  <c r="M28" i="3"/>
  <c r="AD28" i="3" s="1"/>
  <c r="T32" i="3"/>
  <c r="AA32" i="3" s="1"/>
  <c r="M38" i="3"/>
  <c r="AD38" i="3" s="1"/>
  <c r="M14" i="3"/>
  <c r="AD14" i="3" s="1"/>
  <c r="AB27" i="3"/>
  <c r="AC27" i="3" s="1"/>
  <c r="AB22" i="3"/>
  <c r="AC22" i="3" s="1"/>
  <c r="T25" i="3"/>
  <c r="AA25" i="3" s="1"/>
  <c r="U43" i="3"/>
  <c r="M25" i="3"/>
  <c r="AD25" i="3" s="1"/>
  <c r="M22" i="3"/>
  <c r="AD22" i="3" s="1"/>
  <c r="AB31" i="3"/>
  <c r="AC31" i="3" s="1"/>
  <c r="M41" i="3"/>
  <c r="AA5" i="5"/>
  <c r="AB6" i="3"/>
  <c r="AC6" i="3" s="1"/>
  <c r="V17" i="3"/>
  <c r="AA17" i="3" s="1"/>
  <c r="M6" i="3"/>
  <c r="AD6" i="3" s="1"/>
  <c r="AB15" i="5"/>
  <c r="AC15" i="5" s="1"/>
  <c r="T33" i="3"/>
  <c r="AA33" i="3" s="1"/>
  <c r="T48" i="3"/>
  <c r="AB13" i="5"/>
  <c r="AC13" i="5" s="1"/>
  <c r="T49" i="3"/>
  <c r="M33" i="3"/>
  <c r="AD33" i="3" s="1"/>
  <c r="M17" i="3"/>
  <c r="AD17" i="3" s="1"/>
  <c r="AB9" i="5"/>
  <c r="AC9" i="5" s="1"/>
  <c r="T52" i="3"/>
  <c r="AA13" i="5"/>
  <c r="AB7" i="5"/>
  <c r="AC7" i="5" s="1"/>
  <c r="AA10" i="5"/>
  <c r="AB5" i="5"/>
  <c r="AC5" i="5" s="1"/>
  <c r="T47" i="3"/>
  <c r="M18" i="3"/>
  <c r="AD18" i="3" s="1"/>
  <c r="AA4" i="3"/>
  <c r="T51" i="3"/>
  <c r="AA15" i="5"/>
  <c r="AD19" i="5"/>
  <c r="AD17" i="5"/>
  <c r="AD15" i="5"/>
  <c r="AD13" i="5"/>
  <c r="AD11" i="5"/>
  <c r="AD9" i="5"/>
  <c r="AD7" i="5"/>
  <c r="AD5" i="5"/>
  <c r="AD34" i="3"/>
  <c r="AB11" i="5"/>
  <c r="AC11" i="5" s="1"/>
  <c r="AB39" i="3"/>
  <c r="AC39" i="3" s="1"/>
  <c r="T35" i="3"/>
  <c r="AA35" i="3" s="1"/>
  <c r="T44" i="3"/>
  <c r="AA20" i="5"/>
  <c r="AA12" i="5"/>
  <c r="AA7" i="5"/>
  <c r="AB19" i="5"/>
  <c r="AC19" i="5" s="1"/>
  <c r="AB15" i="3"/>
  <c r="AC15" i="3" s="1"/>
  <c r="T15" i="3"/>
  <c r="AA15" i="3" s="1"/>
  <c r="T27" i="3"/>
  <c r="AA27" i="3" s="1"/>
  <c r="T36" i="3"/>
  <c r="AA36" i="3" s="1"/>
  <c r="M46" i="3"/>
  <c r="M30" i="3"/>
  <c r="AD30" i="3" s="1"/>
  <c r="M9" i="3"/>
  <c r="AD9" i="3" s="1"/>
  <c r="AB53" i="3"/>
  <c r="AC53" i="3" s="1"/>
  <c r="AA19" i="5"/>
  <c r="AA11" i="5"/>
  <c r="AD20" i="5"/>
  <c r="AD18" i="5"/>
  <c r="AD16" i="5"/>
  <c r="AD14" i="5"/>
  <c r="AD12" i="5"/>
  <c r="AD10" i="5"/>
  <c r="AD8" i="5"/>
  <c r="AD6" i="5"/>
  <c r="AD4" i="5"/>
  <c r="M50" i="3"/>
  <c r="T39" i="3"/>
  <c r="AA39" i="3" s="1"/>
  <c r="M53" i="3"/>
  <c r="AD53" i="3" s="1"/>
  <c r="AA17" i="5"/>
  <c r="AA9" i="5"/>
  <c r="AB20" i="5"/>
  <c r="AC20" i="5" s="1"/>
  <c r="AB18" i="5"/>
  <c r="AC18" i="5" s="1"/>
  <c r="AB16" i="5"/>
  <c r="AC16" i="5" s="1"/>
  <c r="AB14" i="5"/>
  <c r="AC14" i="5" s="1"/>
  <c r="AB12" i="5"/>
  <c r="AC12" i="5" s="1"/>
  <c r="AB10" i="5"/>
  <c r="AC10" i="5" s="1"/>
  <c r="AB8" i="5"/>
  <c r="AC8" i="5" s="1"/>
  <c r="AB6" i="5"/>
  <c r="AC6" i="5" s="1"/>
  <c r="AB4" i="5"/>
  <c r="AC4" i="5" s="1"/>
  <c r="AB34" i="3"/>
  <c r="AC34" i="3" s="1"/>
  <c r="L8" i="2"/>
  <c r="AA19" i="3"/>
  <c r="T31" i="3"/>
  <c r="AA31" i="3" s="1"/>
  <c r="M26" i="3"/>
  <c r="AD26" i="3" s="1"/>
  <c r="AA16" i="5"/>
  <c r="AA8" i="5"/>
  <c r="AA18" i="5"/>
  <c r="AA14" i="5"/>
  <c r="AA6" i="5"/>
  <c r="AA4" i="5"/>
  <c r="AB7" i="3"/>
  <c r="AC7" i="3" s="1"/>
  <c r="M8" i="3"/>
  <c r="AD8" i="3" s="1"/>
  <c r="AA11" i="3"/>
  <c r="AB19" i="3"/>
  <c r="AC19" i="3" s="1"/>
  <c r="AB38" i="3"/>
  <c r="AC38" i="3" s="1"/>
  <c r="AB35" i="3"/>
  <c r="AC35" i="3" s="1"/>
  <c r="AA10" i="3"/>
  <c r="AB11" i="3"/>
  <c r="AC11" i="3" s="1"/>
  <c r="AB14" i="3"/>
  <c r="AC14" i="3" s="1"/>
  <c r="AB23" i="3"/>
  <c r="AC23" i="3" s="1"/>
  <c r="M36" i="3"/>
  <c r="AD36" i="3" s="1"/>
  <c r="AB54" i="3"/>
  <c r="AC54" i="3" s="1"/>
  <c r="T54" i="3"/>
  <c r="AA54" i="3" s="1"/>
  <c r="AD7" i="3"/>
  <c r="AA24" i="3"/>
  <c r="AB30" i="3"/>
  <c r="AC30" i="3" s="1"/>
  <c r="AB26" i="3"/>
  <c r="AC26" i="3" s="1"/>
  <c r="AA7" i="3"/>
  <c r="AB18" i="3"/>
  <c r="AC18" i="3" s="1"/>
  <c r="U23" i="3"/>
  <c r="AA23" i="3" s="1"/>
  <c r="U34" i="3"/>
  <c r="AA34" i="3" s="1"/>
  <c r="U42" i="3"/>
  <c r="AD32" i="3"/>
  <c r="AD24" i="3"/>
  <c r="AB8" i="3"/>
  <c r="AC8" i="3" s="1"/>
  <c r="AB20" i="3"/>
  <c r="AC20" i="3" s="1"/>
  <c r="AB24" i="3"/>
  <c r="AC24" i="3" s="1"/>
  <c r="AB40" i="3"/>
  <c r="AC40" i="3" s="1"/>
  <c r="AB16" i="3"/>
  <c r="AC16" i="3" s="1"/>
  <c r="U12" i="3"/>
  <c r="AA12" i="3" s="1"/>
  <c r="T16" i="3"/>
  <c r="AA16" i="3" s="1"/>
  <c r="AD16" i="3"/>
  <c r="S9" i="2"/>
  <c r="L7" i="2"/>
  <c r="L5" i="2"/>
  <c r="AA9" i="3" l="1"/>
  <c r="B19" i="1"/>
  <c r="B18" i="1"/>
  <c r="B15" i="1"/>
  <c r="B13" i="1"/>
  <c r="B17" i="1"/>
  <c r="B14" i="1"/>
  <c r="K3" i="2"/>
  <c r="S3" i="2" s="1"/>
  <c r="K12" i="1" s="1"/>
  <c r="B27" i="1" l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AA3" i="5"/>
  <c r="Z4" i="4"/>
  <c r="Z5" i="4"/>
  <c r="Z3" i="4"/>
  <c r="Z23" i="5"/>
  <c r="Y23" i="5"/>
  <c r="Z22" i="5"/>
  <c r="Y22" i="5"/>
  <c r="Z21" i="5"/>
  <c r="Y21" i="5"/>
  <c r="Y8" i="4"/>
  <c r="X8" i="4"/>
  <c r="Y7" i="4"/>
  <c r="X7" i="4"/>
  <c r="Y6" i="4"/>
  <c r="X6" i="4"/>
  <c r="AA41" i="3"/>
  <c r="AA42" i="3"/>
  <c r="AA43" i="3"/>
  <c r="AA44" i="3"/>
  <c r="AA45" i="3"/>
  <c r="AA46" i="3"/>
  <c r="AA47" i="3"/>
  <c r="AA48" i="3"/>
  <c r="AA49" i="3"/>
  <c r="AA50" i="3"/>
  <c r="AA51" i="3"/>
  <c r="AA52" i="3"/>
  <c r="AB3" i="3"/>
  <c r="AA3" i="3"/>
  <c r="Z74" i="3"/>
  <c r="Y74" i="3"/>
  <c r="Z73" i="3"/>
  <c r="Y73" i="3"/>
  <c r="Z72" i="3"/>
  <c r="Y72" i="3"/>
  <c r="Z71" i="3"/>
  <c r="Y71" i="3"/>
  <c r="Z4" i="2"/>
  <c r="Z5" i="2"/>
  <c r="Z6" i="2"/>
  <c r="Z7" i="2"/>
  <c r="Z8" i="2"/>
  <c r="Z9" i="2"/>
  <c r="Z10" i="2"/>
  <c r="Z3" i="2"/>
  <c r="Y11" i="2"/>
  <c r="Y14" i="2"/>
  <c r="Y13" i="2"/>
  <c r="Y12" i="2"/>
  <c r="X14" i="2"/>
  <c r="X13" i="2"/>
  <c r="X12" i="2"/>
  <c r="X11" i="2"/>
  <c r="Q20" i="1" l="1"/>
  <c r="Q37" i="1" s="1"/>
  <c r="P20" i="1"/>
  <c r="P37" i="1" s="1"/>
  <c r="P22" i="1"/>
  <c r="P39" i="1" s="1"/>
  <c r="Q22" i="1"/>
  <c r="Q39" i="1" s="1"/>
  <c r="P31" i="1"/>
  <c r="P42" i="1" s="1"/>
  <c r="Q30" i="1"/>
  <c r="P30" i="1"/>
  <c r="Q31" i="1"/>
  <c r="Q42" i="1" s="1"/>
  <c r="Q21" i="1"/>
  <c r="Q34" i="1" s="1"/>
  <c r="P21" i="1"/>
  <c r="P34" i="1" s="1"/>
  <c r="Q23" i="1"/>
  <c r="Q32" i="1"/>
  <c r="Q43" i="1" s="1"/>
  <c r="P32" i="1"/>
  <c r="P43" i="1" s="1"/>
  <c r="P23" i="1"/>
  <c r="J8" i="4"/>
  <c r="P33" i="1" l="1"/>
  <c r="P44" i="1" s="1"/>
  <c r="Q33" i="1"/>
  <c r="Q44" i="1" s="1"/>
  <c r="P38" i="1"/>
  <c r="Q38" i="1"/>
  <c r="Q41" i="1"/>
  <c r="P41" i="1"/>
  <c r="P36" i="1"/>
  <c r="Q36" i="1"/>
  <c r="P35" i="1"/>
  <c r="Q35" i="1"/>
  <c r="Q40" i="1"/>
  <c r="P40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O13" i="1"/>
  <c r="N13" i="1"/>
  <c r="M13" i="1"/>
  <c r="L13" i="1"/>
  <c r="K13" i="1"/>
  <c r="J13" i="1"/>
  <c r="I13" i="1"/>
  <c r="H13" i="1"/>
  <c r="G13" i="1"/>
  <c r="F13" i="1"/>
  <c r="E13" i="1"/>
  <c r="D13" i="1"/>
  <c r="C29" i="1"/>
  <c r="C26" i="1"/>
  <c r="C19" i="1"/>
  <c r="C18" i="1"/>
  <c r="C17" i="1"/>
  <c r="S15" i="1" l="1"/>
  <c r="S13" i="1"/>
  <c r="S14" i="1"/>
  <c r="R29" i="1"/>
  <c r="R25" i="1"/>
  <c r="S29" i="1"/>
  <c r="S28" i="1"/>
  <c r="R26" i="1"/>
  <c r="S26" i="1"/>
  <c r="S25" i="1"/>
  <c r="R19" i="1"/>
  <c r="S17" i="1"/>
  <c r="S19" i="1"/>
  <c r="C15" i="1"/>
  <c r="C14" i="1"/>
  <c r="C13" i="1"/>
  <c r="R15" i="1" l="1"/>
  <c r="R13" i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D32" i="1"/>
  <c r="D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J22" i="1"/>
  <c r="J39" i="1" s="1"/>
  <c r="I22" i="1"/>
  <c r="I39" i="1" s="1"/>
  <c r="H22" i="1"/>
  <c r="H39" i="1" s="1"/>
  <c r="G22" i="1"/>
  <c r="G39" i="1" s="1"/>
  <c r="F22" i="1"/>
  <c r="F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14" i="2"/>
  <c r="V14" i="2"/>
  <c r="U14" i="2"/>
  <c r="T14" i="2"/>
  <c r="S14" i="2"/>
  <c r="R14" i="2"/>
  <c r="Q14" i="2"/>
  <c r="P14" i="2"/>
  <c r="O14" i="2"/>
  <c r="N14" i="2"/>
  <c r="W13" i="2"/>
  <c r="V13" i="2"/>
  <c r="U13" i="2"/>
  <c r="T13" i="2"/>
  <c r="S13" i="2"/>
  <c r="R13" i="2"/>
  <c r="Q13" i="2"/>
  <c r="P13" i="2"/>
  <c r="O13" i="2"/>
  <c r="N13" i="2"/>
  <c r="W12" i="2"/>
  <c r="V12" i="2"/>
  <c r="U12" i="2"/>
  <c r="T12" i="2"/>
  <c r="S12" i="2"/>
  <c r="R12" i="2"/>
  <c r="Q12" i="2"/>
  <c r="P12" i="2"/>
  <c r="O12" i="2"/>
  <c r="N12" i="2"/>
  <c r="L14" i="2"/>
  <c r="K14" i="2"/>
  <c r="J14" i="2"/>
  <c r="K13" i="2"/>
  <c r="J13" i="2"/>
  <c r="J12" i="2"/>
  <c r="H13" i="2"/>
  <c r="H12" i="2"/>
  <c r="X74" i="3"/>
  <c r="W74" i="3"/>
  <c r="V74" i="3"/>
  <c r="U74" i="3"/>
  <c r="T74" i="3"/>
  <c r="S74" i="3"/>
  <c r="R74" i="3"/>
  <c r="Q74" i="3"/>
  <c r="P74" i="3"/>
  <c r="O74" i="3"/>
  <c r="X73" i="3"/>
  <c r="W73" i="3"/>
  <c r="V73" i="3"/>
  <c r="U73" i="3"/>
  <c r="S73" i="3"/>
  <c r="R73" i="3"/>
  <c r="Q73" i="3"/>
  <c r="P73" i="3"/>
  <c r="O73" i="3"/>
  <c r="X72" i="3"/>
  <c r="W72" i="3"/>
  <c r="V72" i="3"/>
  <c r="U72" i="3"/>
  <c r="T72" i="3"/>
  <c r="S72" i="3"/>
  <c r="R72" i="3"/>
  <c r="Q72" i="3"/>
  <c r="P72" i="3"/>
  <c r="O72" i="3"/>
  <c r="M74" i="3"/>
  <c r="L74" i="3"/>
  <c r="K74" i="3"/>
  <c r="K73" i="3"/>
  <c r="L72" i="3"/>
  <c r="K72" i="3"/>
  <c r="I73" i="3"/>
  <c r="I72" i="3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22" i="5"/>
  <c r="W22" i="5"/>
  <c r="V22" i="5"/>
  <c r="U22" i="5"/>
  <c r="T22" i="5"/>
  <c r="S22" i="5"/>
  <c r="R22" i="5"/>
  <c r="Q22" i="5"/>
  <c r="P22" i="5"/>
  <c r="O22" i="5"/>
  <c r="L22" i="5"/>
  <c r="K22" i="5"/>
  <c r="I22" i="5"/>
  <c r="Z7" i="4" l="1"/>
  <c r="AA22" i="5"/>
  <c r="AA74" i="3"/>
  <c r="AA72" i="3"/>
  <c r="Z14" i="2"/>
  <c r="Z13" i="2"/>
  <c r="G34" i="1"/>
  <c r="G38" i="1"/>
  <c r="K34" i="1"/>
  <c r="K38" i="1"/>
  <c r="O34" i="1"/>
  <c r="O38" i="1"/>
  <c r="H34" i="1"/>
  <c r="H38" i="1"/>
  <c r="L34" i="1"/>
  <c r="L38" i="1"/>
  <c r="S21" i="1"/>
  <c r="E38" i="1"/>
  <c r="I34" i="1"/>
  <c r="I38" i="1"/>
  <c r="M34" i="1"/>
  <c r="M38" i="1"/>
  <c r="B34" i="1"/>
  <c r="B38" i="1"/>
  <c r="F34" i="1"/>
  <c r="F38" i="1"/>
  <c r="J34" i="1"/>
  <c r="J38" i="1"/>
  <c r="N34" i="1"/>
  <c r="N38" i="1"/>
  <c r="R32" i="1"/>
  <c r="AA7" i="4"/>
  <c r="S32" i="1"/>
  <c r="S31" i="1"/>
  <c r="C34" i="1"/>
  <c r="E34" i="1"/>
  <c r="M35" i="1"/>
  <c r="H35" i="1"/>
  <c r="AB72" i="3"/>
  <c r="L35" i="1"/>
  <c r="I35" i="1"/>
  <c r="C35" i="1"/>
  <c r="G35" i="1"/>
  <c r="O35" i="1"/>
  <c r="B35" i="1"/>
  <c r="F35" i="1"/>
  <c r="J35" i="1"/>
  <c r="N35" i="1"/>
  <c r="AB22" i="5"/>
  <c r="AC7" i="4"/>
  <c r="K12" i="2"/>
  <c r="Z12" i="2" s="1"/>
  <c r="AD3" i="3" l="1"/>
  <c r="D17" i="1"/>
  <c r="M72" i="3"/>
  <c r="AD72" i="3" s="1"/>
  <c r="S34" i="1"/>
  <c r="M21" i="5"/>
  <c r="D24" i="1"/>
  <c r="B24" i="1"/>
  <c r="L3" i="2"/>
  <c r="AA12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23" i="5"/>
  <c r="W23" i="5"/>
  <c r="V23" i="5"/>
  <c r="U23" i="5"/>
  <c r="T23" i="5"/>
  <c r="S23" i="5"/>
  <c r="R23" i="5"/>
  <c r="Q23" i="5"/>
  <c r="P23" i="5"/>
  <c r="O23" i="5"/>
  <c r="M23" i="5"/>
  <c r="L23" i="5"/>
  <c r="K23" i="5"/>
  <c r="I23" i="5"/>
  <c r="X21" i="5"/>
  <c r="W21" i="5"/>
  <c r="V21" i="5"/>
  <c r="U21" i="5"/>
  <c r="T21" i="5"/>
  <c r="S21" i="5"/>
  <c r="R21" i="5"/>
  <c r="Q21" i="5"/>
  <c r="P21" i="5"/>
  <c r="O21" i="5"/>
  <c r="L21" i="5"/>
  <c r="K21" i="5"/>
  <c r="I21" i="5"/>
  <c r="W8" i="4"/>
  <c r="V8" i="4"/>
  <c r="U8" i="4"/>
  <c r="T8" i="4"/>
  <c r="S8" i="4"/>
  <c r="R8" i="4"/>
  <c r="Q8" i="4"/>
  <c r="P8" i="4"/>
  <c r="O8" i="4"/>
  <c r="N8" i="4"/>
  <c r="L8" i="4"/>
  <c r="K8" i="4"/>
  <c r="H8" i="4"/>
  <c r="I74" i="3"/>
  <c r="H14" i="2"/>
  <c r="Z8" i="4" l="1"/>
  <c r="D27" i="1"/>
  <c r="R27" i="1" s="1"/>
  <c r="D28" i="1"/>
  <c r="M22" i="5"/>
  <c r="AD22" i="5" s="1"/>
  <c r="R17" i="1"/>
  <c r="D21" i="1"/>
  <c r="D38" i="1" s="1"/>
  <c r="D36" i="1"/>
  <c r="D40" i="1"/>
  <c r="H36" i="1"/>
  <c r="H40" i="1"/>
  <c r="I36" i="1"/>
  <c r="I40" i="1"/>
  <c r="M36" i="1"/>
  <c r="M40" i="1"/>
  <c r="D14" i="1"/>
  <c r="L13" i="2"/>
  <c r="AC13" i="2" s="1"/>
  <c r="B36" i="1"/>
  <c r="B40" i="1"/>
  <c r="F36" i="1"/>
  <c r="F40" i="1"/>
  <c r="J36" i="1"/>
  <c r="J40" i="1"/>
  <c r="N36" i="1"/>
  <c r="N40" i="1"/>
  <c r="L36" i="1"/>
  <c r="L40" i="1"/>
  <c r="G36" i="1"/>
  <c r="G40" i="1"/>
  <c r="K36" i="1"/>
  <c r="K40" i="1"/>
  <c r="O36" i="1"/>
  <c r="O40" i="1"/>
  <c r="AA23" i="5"/>
  <c r="AA21" i="5"/>
  <c r="L12" i="2"/>
  <c r="AC12" i="2" s="1"/>
  <c r="AC3" i="2"/>
  <c r="R24" i="1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D30" i="1"/>
  <c r="D41" i="1" s="1"/>
  <c r="B30" i="1"/>
  <c r="B41" i="1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23" i="5"/>
  <c r="AD23" i="5"/>
  <c r="AB74" i="3"/>
  <c r="AD74" i="3"/>
  <c r="AA13" i="2"/>
  <c r="AA14" i="2"/>
  <c r="AC14" i="2"/>
  <c r="B12" i="1"/>
  <c r="O16" i="1"/>
  <c r="N16" i="1"/>
  <c r="M16" i="1"/>
  <c r="L16" i="1"/>
  <c r="J16" i="1"/>
  <c r="I16" i="1"/>
  <c r="H16" i="1"/>
  <c r="O12" i="1"/>
  <c r="N12" i="1"/>
  <c r="M12" i="1"/>
  <c r="L12" i="1"/>
  <c r="J12" i="1"/>
  <c r="I12" i="1"/>
  <c r="H12" i="1"/>
  <c r="AB21" i="5"/>
  <c r="AD21" i="5"/>
  <c r="AD3" i="5"/>
  <c r="AB3" i="5"/>
  <c r="AA4" i="4"/>
  <c r="AB4" i="4" s="1"/>
  <c r="AC4" i="4"/>
  <c r="AA5" i="4"/>
  <c r="AB5" i="4" s="1"/>
  <c r="AC5" i="4"/>
  <c r="AC3" i="4"/>
  <c r="AA3" i="4"/>
  <c r="AB3" i="4" s="1"/>
  <c r="AB41" i="3"/>
  <c r="AC41" i="3" s="1"/>
  <c r="AD41" i="3"/>
  <c r="AB42" i="3"/>
  <c r="AC42" i="3" s="1"/>
  <c r="AD42" i="3"/>
  <c r="AB43" i="3"/>
  <c r="AC43" i="3" s="1"/>
  <c r="AD43" i="3"/>
  <c r="AB44" i="3"/>
  <c r="AC44" i="3" s="1"/>
  <c r="AD44" i="3"/>
  <c r="AB45" i="3"/>
  <c r="AC45" i="3" s="1"/>
  <c r="AD45" i="3"/>
  <c r="AB46" i="3"/>
  <c r="AC46" i="3" s="1"/>
  <c r="AD46" i="3"/>
  <c r="AB47" i="3"/>
  <c r="AC47" i="3" s="1"/>
  <c r="AD47" i="3"/>
  <c r="AB48" i="3"/>
  <c r="AC48" i="3" s="1"/>
  <c r="AD48" i="3"/>
  <c r="AB49" i="3"/>
  <c r="AC49" i="3" s="1"/>
  <c r="AD49" i="3"/>
  <c r="AB50" i="3"/>
  <c r="AC50" i="3" s="1"/>
  <c r="AD50" i="3"/>
  <c r="AB51" i="3"/>
  <c r="AC51" i="3" s="1"/>
  <c r="AD51" i="3"/>
  <c r="AB52" i="3"/>
  <c r="AC52" i="3" s="1"/>
  <c r="AD52" i="3"/>
  <c r="Z6" i="4" l="1"/>
  <c r="R28" i="1"/>
  <c r="D31" i="1"/>
  <c r="R21" i="1"/>
  <c r="D34" i="1"/>
  <c r="R34" i="1" s="1"/>
  <c r="N20" i="1"/>
  <c r="N37" i="1" s="1"/>
  <c r="O20" i="1"/>
  <c r="O37" i="1" s="1"/>
  <c r="J20" i="1"/>
  <c r="J37" i="1" s="1"/>
  <c r="H20" i="1"/>
  <c r="H33" i="1" s="1"/>
  <c r="S36" i="1"/>
  <c r="R14" i="1"/>
  <c r="AA6" i="4"/>
  <c r="S30" i="1"/>
  <c r="AC3" i="5"/>
  <c r="R30" i="1"/>
  <c r="AC3" i="3"/>
  <c r="M20" i="1"/>
  <c r="M37" i="1" s="1"/>
  <c r="I20" i="1"/>
  <c r="R36" i="1"/>
  <c r="L20" i="1"/>
  <c r="AC6" i="4"/>
  <c r="O11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D42" i="1" l="1"/>
  <c r="R31" i="1"/>
  <c r="O33" i="1"/>
  <c r="O44" i="1" s="1"/>
  <c r="H37" i="1"/>
  <c r="J33" i="1"/>
  <c r="J44" i="1" s="1"/>
  <c r="M33" i="1"/>
  <c r="M44" i="1" s="1"/>
  <c r="N33" i="1"/>
  <c r="N44" i="1" s="1"/>
  <c r="I33" i="1"/>
  <c r="I44" i="1" s="1"/>
  <c r="I37" i="1"/>
  <c r="H44" i="1"/>
  <c r="L33" i="1"/>
  <c r="L44" i="1" s="1"/>
  <c r="L37" i="1"/>
  <c r="S27" i="1"/>
  <c r="AA8" i="2"/>
  <c r="AB8" i="2" s="1"/>
  <c r="AC8" i="2"/>
  <c r="AA3" i="2" l="1"/>
  <c r="E12" i="1" l="1"/>
  <c r="G12" i="1" l="1"/>
  <c r="G16" i="1"/>
  <c r="F16" i="1"/>
  <c r="F12" i="1"/>
  <c r="C16" i="1"/>
  <c r="C12" i="1"/>
  <c r="X71" i="3"/>
  <c r="W71" i="3"/>
  <c r="V71" i="3"/>
  <c r="U71" i="3"/>
  <c r="S71" i="3"/>
  <c r="R71" i="3"/>
  <c r="Q71" i="3"/>
  <c r="P71" i="3"/>
  <c r="O71" i="3"/>
  <c r="K71" i="3"/>
  <c r="I71" i="3"/>
  <c r="W11" i="2"/>
  <c r="V11" i="2"/>
  <c r="U11" i="2"/>
  <c r="T11" i="2"/>
  <c r="S11" i="2"/>
  <c r="R11" i="2"/>
  <c r="Q11" i="2"/>
  <c r="P11" i="2"/>
  <c r="N11" i="2"/>
  <c r="K11" i="2"/>
  <c r="J11" i="2"/>
  <c r="H11" i="2"/>
  <c r="AC10" i="2"/>
  <c r="AC9" i="2"/>
  <c r="AC7" i="2"/>
  <c r="AC6" i="2"/>
  <c r="AC5" i="2"/>
  <c r="AC4" i="2"/>
  <c r="S12" i="1" l="1"/>
  <c r="Z11" i="2"/>
  <c r="C20" i="1"/>
  <c r="C37" i="1" s="1"/>
  <c r="F20" i="1"/>
  <c r="G20" i="1"/>
  <c r="AA8" i="4"/>
  <c r="AA11" i="2"/>
  <c r="AB3" i="2"/>
  <c r="L11" i="2"/>
  <c r="AC11" i="2" s="1"/>
  <c r="D12" i="1"/>
  <c r="AC8" i="4"/>
  <c r="C33" i="1" l="1"/>
  <c r="C44" i="1" s="1"/>
  <c r="G33" i="1"/>
  <c r="G44" i="1" s="1"/>
  <c r="G37" i="1"/>
  <c r="F37" i="1"/>
  <c r="R12" i="1"/>
  <c r="F33" i="1"/>
  <c r="F44" i="1" l="1"/>
  <c r="L73" i="3" l="1"/>
  <c r="AB73" i="3" s="1"/>
  <c r="B16" i="1"/>
  <c r="B20" i="1" s="1"/>
  <c r="B33" i="1" s="1"/>
  <c r="E18" i="1"/>
  <c r="L71" i="3"/>
  <c r="E16" i="1"/>
  <c r="E20" i="1" s="1"/>
  <c r="E33" i="1" s="1"/>
  <c r="T73" i="3"/>
  <c r="D16" i="1"/>
  <c r="K18" i="1" l="1"/>
  <c r="K22" i="1" s="1"/>
  <c r="K35" i="1" s="1"/>
  <c r="E37" i="1"/>
  <c r="B37" i="1"/>
  <c r="R16" i="1"/>
  <c r="D20" i="1"/>
  <c r="D37" i="1" s="1"/>
  <c r="T71" i="3"/>
  <c r="AA71" i="3" s="1"/>
  <c r="E22" i="1"/>
  <c r="E39" i="1" s="1"/>
  <c r="M73" i="3"/>
  <c r="AD73" i="3" s="1"/>
  <c r="B44" i="1"/>
  <c r="M71" i="3"/>
  <c r="AD71" i="3" s="1"/>
  <c r="D18" i="1"/>
  <c r="AB71" i="3"/>
  <c r="E44" i="1"/>
  <c r="AA73" i="3"/>
  <c r="K16" i="1"/>
  <c r="S18" i="1" l="1"/>
  <c r="S16" i="1"/>
  <c r="K20" i="1"/>
  <c r="K37" i="1" s="1"/>
  <c r="K39" i="1"/>
  <c r="D33" i="1"/>
  <c r="R33" i="1" s="1"/>
  <c r="R20" i="1"/>
  <c r="R18" i="1"/>
  <c r="D22" i="1"/>
  <c r="E35" i="1"/>
  <c r="S35" i="1" s="1"/>
  <c r="S22" i="1"/>
  <c r="D44" i="1" l="1"/>
  <c r="D35" i="1"/>
  <c r="R35" i="1" s="1"/>
  <c r="R22" i="1"/>
  <c r="K33" i="1"/>
  <c r="S33" i="1" s="1"/>
  <c r="S20" i="1"/>
  <c r="D39" i="1"/>
  <c r="K44" i="1" l="1"/>
</calcChain>
</file>

<file path=xl/sharedStrings.xml><?xml version="1.0" encoding="utf-8"?>
<sst xmlns="http://schemas.openxmlformats.org/spreadsheetml/2006/main" count="811" uniqueCount="330">
  <si>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</si>
  <si>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</si>
  <si>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</si>
  <si>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</si>
  <si>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</si>
  <si>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</si>
  <si>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</si>
  <si>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</si>
  <si>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</si>
  <si>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</si>
  <si>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</si>
  <si>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</si>
  <si>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</si>
  <si>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</si>
  <si>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</si>
  <si>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</si>
  <si>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</si>
  <si>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</si>
  <si>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</si>
  <si>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</si>
  <si>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</si>
  <si>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</si>
  <si>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</si>
  <si>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</si>
  <si>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</si>
  <si>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</si>
  <si>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</si>
  <si>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</si>
  <si>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</si>
  <si>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</si>
  <si>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</si>
  <si>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</si>
  <si>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</si>
  <si>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</si>
  <si>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</si>
  <si>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</si>
  <si>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</si>
  <si>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</si>
  <si>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</si>
  <si>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</si>
  <si>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</si>
  <si>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</si>
  <si>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</si>
  <si>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</si>
  <si>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</si>
  <si>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</si>
  <si>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</si>
  <si>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</si>
  <si>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</si>
  <si>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RFRD/2023/P/11</t>
  </si>
  <si>
    <t>N</t>
  </si>
  <si>
    <t>Powiat Namysłowski</t>
  </si>
  <si>
    <t xml:space="preserve">Remont drogi powiatowej nr 1117 O w m. Ziemiełowice </t>
  </si>
  <si>
    <t>R</t>
  </si>
  <si>
    <t>RFRD/2023/P/4</t>
  </si>
  <si>
    <t>Powiat Nyski</t>
  </si>
  <si>
    <t>Przebudowa skrzyżowania dróg powiatowych nr 1673 O, 2233 O i 2234 O w Paczkowie</t>
  </si>
  <si>
    <t>P</t>
  </si>
  <si>
    <t>RFRD/2023/P/18</t>
  </si>
  <si>
    <t>W</t>
  </si>
  <si>
    <t>Powiat Kluczborski</t>
  </si>
  <si>
    <t>Remont drogi powiatowej nr 1321 O na odcinku o długości 3470 m (od km 11+990 do km 15+460)</t>
  </si>
  <si>
    <t>RFRD/2023/P/14</t>
  </si>
  <si>
    <t>Powiat Strzelecki</t>
  </si>
  <si>
    <t>Rozbudowa mostu JNI 30004499 w ciągu drogi powiatowej 1822 O Sucha - Rozmierka
 w m. Sucha ul. Kościelna</t>
  </si>
  <si>
    <t>B</t>
  </si>
  <si>
    <t>RFRD/2023/P/17</t>
  </si>
  <si>
    <t>Powiat Krapkowicki</t>
  </si>
  <si>
    <t>Rozbudowa skrzyżowania drogi powiatowej 1832 O ulicy Głównej z ulicami Wiejską i Kamienną w m. Górażdże</t>
  </si>
  <si>
    <t>RFRD/2023/P/15</t>
  </si>
  <si>
    <t>Rozbudowa drogi powiatowej nr 1810 na odcinku Walce- Dobieszowice</t>
  </si>
  <si>
    <t>maj 2024 październik 2024</t>
  </si>
  <si>
    <t>RFRD/2023/P/16</t>
  </si>
  <si>
    <t xml:space="preserve">Remont drogi powiatowej nr 1817 O na odcinku Kamień Śląski - granica powiatu - etap 2 </t>
  </si>
  <si>
    <t>RFRD/2023/P/2</t>
  </si>
  <si>
    <t>Powiat Głubczycki</t>
  </si>
  <si>
    <t>Przebudowa drogi nr 1225 O relacji Baborów - Sucha Psina na odcinku Czerwonków - Baborów</t>
  </si>
  <si>
    <t>RFRD/2022/G/52</t>
  </si>
  <si>
    <t>K</t>
  </si>
  <si>
    <t>Gmina Reńska Wieś</t>
  </si>
  <si>
    <t>Powiat Kędzierzyńsko - Kozielski</t>
  </si>
  <si>
    <t>Przebudowa z rozbudową ul. Pawłowickiej i ul. Kozielskiej w Reńskiej Wsi</t>
  </si>
  <si>
    <t>czerwiec 2023 lipiec 2024</t>
  </si>
  <si>
    <t>RFRD/2022/G/31</t>
  </si>
  <si>
    <t>Gmina Niemodlin</t>
  </si>
  <si>
    <t>Powiat Opolski</t>
  </si>
  <si>
    <t>Przebudowa i rozbudowa ul. Spacerowej i Gazowej w Niemodlinie</t>
  </si>
  <si>
    <t>kwiecień 2023 
sierpień 2024</t>
  </si>
  <si>
    <t>RFRD/2022/G/39</t>
  </si>
  <si>
    <t>Gmina Głuchołazy</t>
  </si>
  <si>
    <t>Rozbudowa drogi gminnej w miejscowości Jarnołtówek</t>
  </si>
  <si>
    <t>RFRD/2022/G/24</t>
  </si>
  <si>
    <t>Gmina Kędzierzyn - Koźle</t>
  </si>
  <si>
    <t>Poprawa atrakcyjności i dostępności terenów inwestycyjnych poprzez przebudowę skrzyżowania ul. Szkolnej z ul. Zwycięstwa w Kędzierzynie - Koźlu</t>
  </si>
  <si>
    <t>RFRD/2022/G/83</t>
  </si>
  <si>
    <t>Gmina Ujazd</t>
  </si>
  <si>
    <t>Budowa dróg na osiedlu Piaski w Ujeździe</t>
  </si>
  <si>
    <t>czerwiec 2023 czerwiec 2024</t>
  </si>
  <si>
    <t>RFRD/2022/G/59</t>
  </si>
  <si>
    <t>Gmina Jemielnica</t>
  </si>
  <si>
    <t>Przebudowa dróg gminnych ul. Tulipanowej i części ul. Leśnej w miejscowości Jemielnica</t>
  </si>
  <si>
    <t>maj 2023 maj 2024</t>
  </si>
  <si>
    <t xml:space="preserve">RFRD/2022/G/92 </t>
  </si>
  <si>
    <t>Gmina Grodków</t>
  </si>
  <si>
    <t>Powiat Brzeski</t>
  </si>
  <si>
    <t>Remont układu komunikacyjnego na zapleczu rynku w Grodkowie</t>
  </si>
  <si>
    <t xml:space="preserve">RFRD/2022/G/34 </t>
  </si>
  <si>
    <t>Budowa drogi dojazdowej ul. Królowej Jadwigi w Głuchołazach</t>
  </si>
  <si>
    <t>wrzesień 2023 
sierpień 2024</t>
  </si>
  <si>
    <t>RFRD/2022/G/7</t>
  </si>
  <si>
    <t>Gmina Rudniki</t>
  </si>
  <si>
    <t>Powiat Oleski</t>
  </si>
  <si>
    <t>Przebudowa drogi gminnej nr 101036 O Nowy Bugaj - granica województwa śląskiego</t>
  </si>
  <si>
    <t>RFRD/2023/G/79</t>
  </si>
  <si>
    <t>Gmina Łubniany</t>
  </si>
  <si>
    <t>Budowa drogi gminnej ul. Osiedlowej w m. Jełowa</t>
  </si>
  <si>
    <t>RFRD/2023/G/20</t>
  </si>
  <si>
    <t>Budowa odcinka łącznika obwodnicy północnej miasta Kędzierzyn-Koźle (od ronda na ul. Szpaków do obwodnicy)</t>
  </si>
  <si>
    <t>RFRD/2023/G/77</t>
  </si>
  <si>
    <t>Gmina Dobrzeń Wielki</t>
  </si>
  <si>
    <t>Rozbudowa drogi gminnej ul. Sienkiewicza w m. Dobrzeń Wielki</t>
  </si>
  <si>
    <t>RFRD/2023/G/38</t>
  </si>
  <si>
    <t>Gmina Ozimek</t>
  </si>
  <si>
    <t>Rozbudowa drogi gminnej ul. Powstańców Śląskich w miejscowości Schodnia - etap II</t>
  </si>
  <si>
    <t>RFRD/2023/G/48</t>
  </si>
  <si>
    <t>Gmina Olesno</t>
  </si>
  <si>
    <t>Remont drogi relacji Łowoszów - Wojciechów</t>
  </si>
  <si>
    <t>RFRD/2023/G/57</t>
  </si>
  <si>
    <t>Gmina Brzeg</t>
  </si>
  <si>
    <t>Przebudowa ulicy Poprzecznej w Brzegu</t>
  </si>
  <si>
    <t>RFRD/2023/G/78</t>
  </si>
  <si>
    <t>Remont drogi powiatowej nr 1921 O Strojec - Żytniów na terenie Gminy Rudniki</t>
  </si>
  <si>
    <t>kwiecień 2024 listopad 2024</t>
  </si>
  <si>
    <t>RFRD/2023/G/21</t>
  </si>
  <si>
    <t>Remont drogi gminnej – ul. Sienkiewicza w Kędzierzynie-Koźlu</t>
  </si>
  <si>
    <t>RFRD/2023/G/31</t>
  </si>
  <si>
    <t xml:space="preserve"> Przebudowa ul. Grabskiego w Kędzierzynie-Koźlu</t>
  </si>
  <si>
    <t>RFRD/2023/G/63</t>
  </si>
  <si>
    <t>Gmina Krapkowice</t>
  </si>
  <si>
    <t xml:space="preserve">Powiat Krapkowicki </t>
  </si>
  <si>
    <t>Przebudowa_x000D_ ul. Mickiewicza w Steblowie</t>
  </si>
  <si>
    <t>RFRD/2023/G/76</t>
  </si>
  <si>
    <t>Rozbudowa drogi gminnej ul. Jańskiego w m. Dobrzeń Wielki - Etap II</t>
  </si>
  <si>
    <t>RFRD/2023/G/23</t>
  </si>
  <si>
    <t>Gmina Prudnik</t>
  </si>
  <si>
    <t>Powiat Prudnicki</t>
  </si>
  <si>
    <t>Przebudowa i rozbudowa ciągu ulic Ogrodowa, Chrobrego i Kochanowskiego w Prudniku</t>
  </si>
  <si>
    <t>RFRD/2023/G/92</t>
  </si>
  <si>
    <t>Budowa dróg na Osiedlu Kościuszki- Racławicka w Grodkowie</t>
  </si>
  <si>
    <t>RFRD/2023/G/52</t>
  </si>
  <si>
    <t>Gmina Dąbrowa</t>
  </si>
  <si>
    <t>Przebudowa ul. Szkolnej w Karczowie</t>
  </si>
  <si>
    <t>RFRD/2023/G/16</t>
  </si>
  <si>
    <t>Przebudowa ul. Miarki i Traugutta w Grodkowie</t>
  </si>
  <si>
    <t>RFRD/2023/G/62</t>
  </si>
  <si>
    <t>Budowa drogi stanowiącej łącznik pomiędzy drogą gminną - ul. Obuwników i drogą wojewódzką nr 415 - ul. Opolską w Krapkowicach</t>
  </si>
  <si>
    <t>RFRD/2023/G/80</t>
  </si>
  <si>
    <t xml:space="preserve"> Gmina Radłów</t>
  </si>
  <si>
    <t>Przebudowa drogi gminnej nr 101106 O Ligota Oleska - Wolęcin od km 1+880 do km 3+192</t>
  </si>
  <si>
    <t>RFRD/2023/G/65</t>
  </si>
  <si>
    <t>Gmina Dobrodzień</t>
  </si>
  <si>
    <t>Przebudowa ul. Opolskiej do skrzyżowania z ul. Powstańców Śląskich wraz z niezbędną infrastrukturą</t>
  </si>
  <si>
    <t>RFRD/2023/G/95</t>
  </si>
  <si>
    <t>Gmina Wołczyn</t>
  </si>
  <si>
    <t>Przebudowa dróg koło świetlicy wiejskiej w Brunach</t>
  </si>
  <si>
    <t>maj 2024 listopad 2024</t>
  </si>
  <si>
    <t>RFRD/2023/G/33</t>
  </si>
  <si>
    <t xml:space="preserve">Gmina Bierawa </t>
  </si>
  <si>
    <t>Przebudowa ulicy Cichej i odcinka ulicy Zbożowej w Bierawie</t>
  </si>
  <si>
    <t>marzec 2024 grudzień 2024</t>
  </si>
  <si>
    <t>RFRD/2023/G/41</t>
  </si>
  <si>
    <t>Gmina Kluczbork</t>
  </si>
  <si>
    <t>RFRD/2023/G/50</t>
  </si>
  <si>
    <t>Gmina Strzelce Opolskie</t>
  </si>
  <si>
    <t>Przebudowa ul. Marka Prawego w Strzelcach Opolskich – etap I</t>
  </si>
  <si>
    <t>RFRD/2023/G/56</t>
  </si>
  <si>
    <t>Budowa ul. Śliwkowej w Brzegu</t>
  </si>
  <si>
    <t>RFRD/2023/G/46</t>
  </si>
  <si>
    <t>Budowa drogi gminnej - ul. Złota w Większycach</t>
  </si>
  <si>
    <t>czerwiec 2024 wrzesień 2024</t>
  </si>
  <si>
    <t>RFRD/2023/G/19</t>
  </si>
  <si>
    <t>Gmina Gogolin</t>
  </si>
  <si>
    <t>Budowa drogi wewnętrznej ulicy Johanna Krolla wraz z odwodnieniem i przebudową słupów energetycznych w miejscowości Gogolin</t>
  </si>
  <si>
    <t>RFRD/2023/G/88</t>
  </si>
  <si>
    <t>Przebudowa dróg gminnych ul. Sosnowej i Brzozowej w miejscowości Jemielnica</t>
  </si>
  <si>
    <t>RFRD/2023/G/32</t>
  </si>
  <si>
    <t>Przebudowa i rozbudowa ul. Nektarowej w Kędzierzynie-Koźlu</t>
  </si>
  <si>
    <t>RFRD/2023/G/12</t>
  </si>
  <si>
    <t>Budowa drogi ul. Lompy w Głuchołazach</t>
  </si>
  <si>
    <t>RFRD/2023/G/17</t>
  </si>
  <si>
    <t>Budowa drogi gminnej w Olszowej położonej na działce nr 116/9</t>
  </si>
  <si>
    <t>RFRD/2023/G/90</t>
  </si>
  <si>
    <t>Budowa drogi gminnej ulicy Madalińskiego - boczna w m. Piotrówka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</si>
  <si>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</si>
  <si>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</si>
  <si>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</si>
  <si>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</si>
  <si>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</si>
  <si>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</si>
  <si>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RFRD/2023/G/86</t>
  </si>
  <si>
    <t>Gmina Prószków</t>
  </si>
  <si>
    <t xml:space="preserve">Powiat Opolski </t>
  </si>
  <si>
    <t xml:space="preserve">Przebudowa ul. Stawowej w miejscowości Prószków </t>
  </si>
  <si>
    <t>styczeń 2024 sierpień 2024</t>
  </si>
  <si>
    <t>RFRD/2023/G/68</t>
  </si>
  <si>
    <t>Przebudowa drogi w Przeczowie</t>
  </si>
  <si>
    <t>styczeń 2024 listopad 2024</t>
  </si>
  <si>
    <t>RFRD/2023/G/55</t>
  </si>
  <si>
    <t>Gmina Kietrz</t>
  </si>
  <si>
    <t>Przebudowa drogi gminnej - ulicy Lubotyńskiej wraz z budową sieci oświetlenia ulicznego, budową sieci wodociągowej, rozbudową sieci kanalizacji deszczowej oraz budową parkingu</t>
  </si>
  <si>
    <t>RFRD/2023/G/54</t>
  </si>
  <si>
    <t>Przebudowa drogi wewnętrznej do parametrów drogi publicznej zlokalizowanej na działkach nr 1135,1164,1136,1142/2,1134/2 w miejscowości Nowa Cerekwia</t>
  </si>
  <si>
    <t>RFRD/2023/G/67</t>
  </si>
  <si>
    <t>Przebudowa ul. Dębowej w m. Gosławice</t>
  </si>
  <si>
    <t>RFRD/2023/G/1</t>
  </si>
  <si>
    <t>Gmina Strzeleczki</t>
  </si>
  <si>
    <t>1605032</t>
  </si>
  <si>
    <t>Remont ulicy Słowackiego wraz z przebudową kanalizacji deszczowej w Strzeleczkach</t>
  </si>
  <si>
    <t>RFRD/2023/G/47</t>
  </si>
  <si>
    <t>Remont drogi gminnej - ul. Żabnik w Długomiłowicach - odcinek 3</t>
  </si>
  <si>
    <t>RFRD/2023/G/30</t>
  </si>
  <si>
    <t>Gmina Skoroszyce</t>
  </si>
  <si>
    <t xml:space="preserve">Przebudowa i rozbudowa dróg w Skoroszycach - ulice: Słoneczna, Ogrodowa, Działkowa - Etap 1. ulica Słoneczna </t>
  </si>
  <si>
    <t>RFRD/2023/G/7</t>
  </si>
  <si>
    <t>Przebudowa i rozbudowa dróg w Skoroszycach - ulice: Słoneczna, Ogrodowa, Działkowa - Etap 2. ulice. Słoneczna i Ogrodowa</t>
  </si>
  <si>
    <t>RFRD/2023/G/37</t>
  </si>
  <si>
    <t xml:space="preserve"> Powiat Opolski</t>
  </si>
  <si>
    <t>Remont_x000D_ nawierzchni jezdni drogi gminnej nr 103380 O - ul. Korczaka w m. Ozimek</t>
  </si>
  <si>
    <t>RFRD/2023/G/40</t>
  </si>
  <si>
    <t>Remont drogi gminnej ul. Szkolnej w m. Chróścina</t>
  </si>
  <si>
    <t>RFRD/2023/G/13</t>
  </si>
  <si>
    <t>Budowa drogi ul. Lutosławskiego, Ornowskiego, Nowowiejskiego w Głuchołazach</t>
  </si>
  <si>
    <t>9*</t>
  </si>
  <si>
    <t>Gmina Zawadzkie</t>
  </si>
  <si>
    <t>Remont nawierzchni jezdni i chodników ulicy Mickiewicza w Zawadzkiem wraz z przebudową kanalizacji deszczowej</t>
  </si>
  <si>
    <t>lipiec 2024 grudzień 2024</t>
  </si>
  <si>
    <t>Przebudowa i rozbudowa ul. Krótkiej i ul. Sportowej w Sidzinie</t>
  </si>
  <si>
    <t>Przebudowa drogi gminnej ul. Dębowej w miejscowości Jemielnica</t>
  </si>
  <si>
    <t>lipiec 2024 listopad 2024</t>
  </si>
  <si>
    <t>Przebudowa ul. Leśnej w Ciepielowicach</t>
  </si>
  <si>
    <t>RFRD/2023/G/9</t>
  </si>
  <si>
    <t>Remont nawierzchni asfaltowej ul. Kopernika</t>
  </si>
  <si>
    <t>luty 2024 listopad 2024</t>
  </si>
  <si>
    <t>Przebudowa drogi gminnej ul. Krótkiej w m. Jemielnica</t>
  </si>
  <si>
    <t>Przebudowa dróg w miejscowości Smarchowice Wielkie</t>
  </si>
  <si>
    <t>Rozbudowa dróg w Chróścinie ETAP 2. - ul. Słoneczna, Leśna, Cicha i części ul. Kasztanowej</t>
  </si>
  <si>
    <t>RFRD/2023/G/8</t>
  </si>
  <si>
    <t>Remont nawierzchni asfaltowej ul. Koszyka w Głuchołazach</t>
  </si>
  <si>
    <t xml:space="preserve">Gmina Walce </t>
  </si>
  <si>
    <t>Remont ulicy Grobla i Krzewiaki w Walcach</t>
  </si>
  <si>
    <t>kwiecień 2024 padździernik 2024</t>
  </si>
  <si>
    <t>Przebudowa drogi w miejscowości Giełczyce</t>
  </si>
  <si>
    <t>Gmina Leśnica</t>
  </si>
  <si>
    <t>Remont drogi gminnej nr 105932 O ul. Słowackiego w Raszowej</t>
  </si>
  <si>
    <t>styczeń 2024 wrzesień 2024</t>
  </si>
  <si>
    <t>Budowa drogi gminnej - ul. Pogodna w Większycach</t>
  </si>
  <si>
    <t>Remont nawierzchni asfaltowej ul. Poprzeczna w Głuchołazach</t>
  </si>
  <si>
    <t>Remont nawierzchni asfaltowej ul. Ogińskiego w Głuchołazach</t>
  </si>
  <si>
    <t>Remont nawierzchni bitumicznej ul. Wyspiańskiego w Głuchołazach</t>
  </si>
  <si>
    <t>Remont nawierzchni asfaltowej ul. Mickiewicza w Głuchołazach</t>
  </si>
  <si>
    <t>Remont nawierzchni asfaltowej ul. Okulickiego w Głuchołazach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</si>
  <si>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</si>
  <si>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2024 r.</t>
    </r>
  </si>
  <si>
    <t>REZYGNACJA</t>
  </si>
  <si>
    <t>wrzesień 2023 sierpień 2025</t>
  </si>
  <si>
    <t xml:space="preserve"> </t>
  </si>
  <si>
    <t>grudzień 2023 wrzesień 2024</t>
  </si>
  <si>
    <t>styczeń 2024 październik 2024</t>
  </si>
  <si>
    <t>styczeń 2024 luty 2025</t>
  </si>
  <si>
    <t>luty 2024 sierpień 2024</t>
  </si>
  <si>
    <t>RFRD/2023/G/58 przeniesiono z listy rezerwowej</t>
  </si>
  <si>
    <t>RFRD/2023/G/89 przeniesiono z listy rezerwowej</t>
  </si>
  <si>
    <t>RFRD/2023/G/58 zadanie przeniesione na listę podstawową</t>
  </si>
  <si>
    <t xml:space="preserve">RFRD/2023/G/5 </t>
  </si>
  <si>
    <t>RFRD/2023/G/89 zadanie przeniesione na listę podstawową</t>
  </si>
  <si>
    <t xml:space="preserve">styczeń 2024 luty 2025 </t>
  </si>
  <si>
    <t>styczeń 2024 kwiecień 2024</t>
  </si>
  <si>
    <t>luty 2024 październik 2024</t>
  </si>
  <si>
    <t>styczeń 2024 lipiec 2024</t>
  </si>
  <si>
    <t>RFRD/2023/G/51 przeniesiono z listy rezerwowej</t>
  </si>
  <si>
    <t>RFRD/2023/G/91 przeniesiono z listy rezerwowej</t>
  </si>
  <si>
    <t>RFRD/2023/G/69 przeniesiono z listy rezerwowej</t>
  </si>
  <si>
    <t>RFRD/2023/G/51 zadanie przeniesione na listę podstawową</t>
  </si>
  <si>
    <t>RFRD/2023/G/91 zadanie przeniesione na listę podstawową</t>
  </si>
  <si>
    <t>RFRD/2023/G/69 zadanie przeniesione na listę podstawową</t>
  </si>
  <si>
    <t>styczeń 2024 maj 2024</t>
  </si>
  <si>
    <t>luty 2024 maj 2024</t>
  </si>
  <si>
    <t>maj 2023 
kwiecień 2024</t>
  </si>
  <si>
    <t>październik 2023 październik 2024</t>
  </si>
  <si>
    <t>kwiecień 2024 sierpień 2025</t>
  </si>
  <si>
    <t>maj 2024 czerwiec 2026</t>
  </si>
  <si>
    <t>kwiwcień 2024 listopad 2025</t>
  </si>
  <si>
    <t>marzec 2024 wrzesień 2024</t>
  </si>
  <si>
    <t>Remont drogi ul. Grunwaldzkiej w Kluczborku</t>
  </si>
  <si>
    <t>luty 2024 lipiec 2024</t>
  </si>
  <si>
    <t>RFRD/2023/G/4 przeniesiono z listy rezerwowej</t>
  </si>
  <si>
    <t>RFRD/2023/G/4 zadanie przeniesione na listę podstawową</t>
  </si>
  <si>
    <t>luty 2024 wrzesień 2024</t>
  </si>
  <si>
    <t>luty 2024 czerwiec 2024</t>
  </si>
  <si>
    <t>luty 2024 maj 2025</t>
  </si>
  <si>
    <t>luty 2024 czerwiec 2025</t>
  </si>
  <si>
    <t>marzec 2024 marzec 2025</t>
  </si>
  <si>
    <t>RFRD/2023/G/87 przeniesiono z listy rezerwowej</t>
  </si>
  <si>
    <t>RFRD/2023/G/3 przeniesiono z listy rezerwowej</t>
  </si>
  <si>
    <t>RFRD/2023/G/64 przeniesiono z listy rezerwowej</t>
  </si>
  <si>
    <t>RFRD/2023/G/87 zadanie przeniesione na listę podstawową</t>
  </si>
  <si>
    <t>RFRD/2023/G/3 zadanie przeniesione na listę podstawową</t>
  </si>
  <si>
    <t>RFRD/2023/G/64 zadanie przeniesione na listę podstawową</t>
  </si>
  <si>
    <t>marzec 2024 sierpień  2025</t>
  </si>
  <si>
    <t>maj 2023                    wrzesień 2024</t>
  </si>
  <si>
    <t>RFRD/2023/G/44 przeniesiono z listy rezerwowej</t>
  </si>
  <si>
    <t>RFRD/2023/G/28 przeniesiono z listy rezerwowej</t>
  </si>
  <si>
    <t>RFRD/2023/G/27 przeniesiono z listy rezerwowej</t>
  </si>
  <si>
    <t>RFRD/2023/G/24 przeniesiono z listy rezerwowej</t>
  </si>
  <si>
    <t>RFRD/2023/G/25 przeniesiono z listy rezerwowej</t>
  </si>
  <si>
    <t>RFRD/2023/G/26 przeniesiono z listy rezerwowej</t>
  </si>
  <si>
    <t>RFRD/2023/G/44 zadanie przeniesione na listę podstawową</t>
  </si>
  <si>
    <t>RFRD/2023/G/28 zadanie przeniesione na listę podstawową</t>
  </si>
  <si>
    <t>RFRD/2023/G/27 zadanie przeniesione na listę podstawową</t>
  </si>
  <si>
    <t>RFRD/2023/G/24 zadanie przeniesione na listę podstawową</t>
  </si>
  <si>
    <t>RFRD/2023/G/25 zadanie przeniesione na listę podstawową</t>
  </si>
  <si>
    <t>RFRD/2023/G/26 zadanie przeniesione na listę podstawową</t>
  </si>
  <si>
    <t>marzec 2024 lipiec 2025</t>
  </si>
  <si>
    <t>kwiecień 2024 lipiec 2024</t>
  </si>
  <si>
    <t>lipiec 2024 marzec 2025</t>
  </si>
  <si>
    <t>lipiec 2024 paźdzernik 2024</t>
  </si>
  <si>
    <t>maj 2024 lipiec 2025</t>
  </si>
  <si>
    <t>czerwiec 2024 styczeń 2025</t>
  </si>
  <si>
    <t>czerwiec 2024 kwiecień 2025</t>
  </si>
  <si>
    <t>Lista zmieniona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</si>
</sst>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9" fillId="5" borderId="23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166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19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19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5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5" fontId="20" fillId="3" borderId="33" xfId="0" applyNumberFormat="1" applyFont="1" applyFill="1" applyBorder="1" applyAlignment="1">
      <alignment vertical="center"/>
    </xf>
    <xf numFmtId="165" fontId="20" fillId="3" borderId="34" xfId="0" applyNumberFormat="1" applyFont="1" applyFill="1" applyBorder="1" applyAlignment="1">
      <alignment vertical="center"/>
    </xf>
    <xf numFmtId="165" fontId="20" fillId="5" borderId="35" xfId="0" applyNumberFormat="1" applyFont="1" applyFill="1" applyBorder="1" applyAlignment="1">
      <alignment vertical="center"/>
    </xf>
    <xf numFmtId="165" fontId="20" fillId="3" borderId="32" xfId="0" applyNumberFormat="1" applyFont="1" applyFill="1" applyBorder="1" applyAlignment="1">
      <alignment vertical="center"/>
    </xf>
    <xf numFmtId="165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5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5" fontId="19" fillId="3" borderId="41" xfId="0" applyNumberFormat="1" applyFont="1" applyFill="1" applyBorder="1" applyAlignment="1">
      <alignment vertical="center"/>
    </xf>
    <xf numFmtId="165" fontId="19" fillId="3" borderId="42" xfId="0" applyNumberFormat="1" applyFont="1" applyFill="1" applyBorder="1" applyAlignment="1">
      <alignment vertical="center"/>
    </xf>
    <xf numFmtId="165" fontId="19" fillId="3" borderId="40" xfId="0" applyNumberFormat="1" applyFont="1" applyFill="1" applyBorder="1" applyAlignment="1">
      <alignment vertical="center"/>
    </xf>
    <xf numFmtId="165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5" fontId="19" fillId="4" borderId="4" xfId="0" applyNumberFormat="1" applyFont="1" applyFill="1" applyBorder="1" applyAlignment="1">
      <alignment vertical="center"/>
    </xf>
    <xf numFmtId="165" fontId="19" fillId="4" borderId="7" xfId="0" applyNumberFormat="1" applyFont="1" applyFill="1" applyBorder="1" applyAlignment="1">
      <alignment vertical="center"/>
    </xf>
    <xf numFmtId="165" fontId="19" fillId="5" borderId="25" xfId="0" applyNumberFormat="1" applyFont="1" applyFill="1" applyBorder="1" applyAlignment="1">
      <alignment vertical="center"/>
    </xf>
    <xf numFmtId="165" fontId="19" fillId="4" borderId="26" xfId="0" applyNumberFormat="1" applyFont="1" applyFill="1" applyBorder="1" applyAlignment="1">
      <alignment vertical="center"/>
    </xf>
    <xf numFmtId="165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5" fontId="19" fillId="6" borderId="41" xfId="0" applyNumberFormat="1" applyFont="1" applyFill="1" applyBorder="1" applyAlignment="1">
      <alignment vertical="center"/>
    </xf>
    <xf numFmtId="165" fontId="19" fillId="6" borderId="42" xfId="0" applyNumberFormat="1" applyFont="1" applyFill="1" applyBorder="1" applyAlignment="1">
      <alignment vertical="center"/>
    </xf>
    <xf numFmtId="165" fontId="19" fillId="6" borderId="40" xfId="0" applyNumberFormat="1" applyFont="1" applyFill="1" applyBorder="1" applyAlignment="1">
      <alignment vertical="center"/>
    </xf>
    <xf numFmtId="165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5" fontId="19" fillId="2" borderId="41" xfId="0" applyNumberFormat="1" applyFont="1" applyFill="1" applyBorder="1" applyAlignment="1">
      <alignment vertical="center"/>
    </xf>
    <xf numFmtId="165" fontId="19" fillId="2" borderId="42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vertical="center"/>
    </xf>
    <xf numFmtId="165" fontId="19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19" fillId="2" borderId="40" xfId="0" applyNumberFormat="1" applyFont="1" applyFill="1" applyBorder="1" applyAlignment="1">
      <alignment vertical="center"/>
    </xf>
    <xf numFmtId="165" fontId="19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5" fontId="19" fillId="6" borderId="1" xfId="0" applyNumberFormat="1" applyFont="1" applyFill="1" applyBorder="1" applyAlignment="1">
      <alignment vertical="center"/>
    </xf>
    <xf numFmtId="165" fontId="19" fillId="6" borderId="2" xfId="0" applyNumberFormat="1" applyFont="1" applyFill="1" applyBorder="1" applyAlignment="1">
      <alignment vertical="center"/>
    </xf>
    <xf numFmtId="165" fontId="19" fillId="6" borderId="3" xfId="0" applyNumberFormat="1" applyFont="1" applyFill="1" applyBorder="1" applyAlignment="1">
      <alignment vertical="center"/>
    </xf>
    <xf numFmtId="165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67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9" fontId="28" fillId="0" borderId="0" xfId="2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8" fontId="29" fillId="0" borderId="1" xfId="5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2" fontId="35" fillId="0" borderId="1" xfId="0" applyNumberFormat="1" applyFont="1" applyFill="1" applyBorder="1" applyAlignment="1">
      <alignment vertical="center"/>
    </xf>
    <xf numFmtId="2" fontId="22" fillId="0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9" fontId="32" fillId="0" borderId="5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vertical="center"/>
    </xf>
    <xf numFmtId="2" fontId="21" fillId="0" borderId="2" xfId="0" applyNumberFormat="1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/>
    </xf>
    <xf numFmtId="4" fontId="21" fillId="7" borderId="1" xfId="0" applyNumberFormat="1" applyFont="1" applyFill="1" applyBorder="1" applyAlignment="1">
      <alignment vertical="center" wrapText="1"/>
    </xf>
    <xf numFmtId="4" fontId="4" fillId="7" borderId="2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2" fontId="21" fillId="7" borderId="2" xfId="0" applyNumberFormat="1" applyFont="1" applyFill="1" applyBorder="1" applyAlignment="1">
      <alignment vertical="center"/>
    </xf>
    <xf numFmtId="2" fontId="22" fillId="7" borderId="1" xfId="0" applyNumberFormat="1" applyFont="1" applyFill="1" applyBorder="1" applyAlignment="1">
      <alignment vertical="center"/>
    </xf>
    <xf numFmtId="0" fontId="18" fillId="7" borderId="0" xfId="0" applyFont="1" applyFill="1" applyAlignment="1">
      <alignment horizontal="center" vertical="center"/>
    </xf>
    <xf numFmtId="9" fontId="18" fillId="7" borderId="0" xfId="2" applyFont="1" applyFill="1" applyAlignment="1">
      <alignment horizontal="center" vertical="center"/>
    </xf>
    <xf numFmtId="4" fontId="18" fillId="7" borderId="0" xfId="0" applyNumberFormat="1" applyFont="1" applyFill="1" applyAlignment="1">
      <alignment horizontal="center" vertical="center"/>
    </xf>
    <xf numFmtId="0" fontId="18" fillId="7" borderId="0" xfId="0" applyFont="1" applyFill="1"/>
    <xf numFmtId="4" fontId="0" fillId="0" borderId="0" xfId="0" applyNumberFormat="1"/>
    <xf numFmtId="0" fontId="4" fillId="0" borderId="2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10" fontId="0" fillId="0" borderId="0" xfId="0" applyNumberFormat="1"/>
    <xf numFmtId="0" fontId="2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4" fontId="7" fillId="7" borderId="2" xfId="0" applyNumberFormat="1" applyFont="1" applyFill="1" applyBorder="1" applyAlignment="1">
      <alignment vertical="center"/>
    </xf>
    <xf numFmtId="9" fontId="4" fillId="7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9" fontId="0" fillId="7" borderId="0" xfId="2" applyFon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0" fillId="7" borderId="0" xfId="0" applyFill="1"/>
    <xf numFmtId="0" fontId="4" fillId="7" borderId="1" xfId="0" applyNumberFormat="1" applyFont="1" applyFill="1" applyBorder="1" applyAlignment="1">
      <alignment horizontal="center" vertical="center" wrapText="1"/>
    </xf>
    <xf numFmtId="9" fontId="32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34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 wrapText="1"/>
    </xf>
    <xf numFmtId="4" fontId="29" fillId="7" borderId="1" xfId="0" applyNumberFormat="1" applyFont="1" applyFill="1" applyBorder="1" applyAlignment="1">
      <alignment horizontal="center" vertical="center"/>
    </xf>
    <xf numFmtId="4" fontId="29" fillId="7" borderId="2" xfId="0" applyNumberFormat="1" applyFont="1" applyFill="1" applyBorder="1" applyAlignment="1">
      <alignment horizontal="center" vertical="center"/>
    </xf>
    <xf numFmtId="4" fontId="31" fillId="7" borderId="1" xfId="0" applyNumberFormat="1" applyFont="1" applyFill="1" applyBorder="1" applyAlignment="1">
      <alignment vertical="center" wrapText="1"/>
    </xf>
    <xf numFmtId="9" fontId="29" fillId="7" borderId="1" xfId="0" applyNumberFormat="1" applyFont="1" applyFill="1" applyBorder="1" applyAlignment="1">
      <alignment horizontal="center" vertical="center"/>
    </xf>
    <xf numFmtId="2" fontId="30" fillId="7" borderId="2" xfId="0" applyNumberFormat="1" applyFont="1" applyFill="1" applyBorder="1" applyAlignment="1">
      <alignment vertical="center"/>
    </xf>
    <xf numFmtId="2" fontId="35" fillId="7" borderId="1" xfId="0" applyNumberFormat="1" applyFont="1" applyFill="1" applyBorder="1" applyAlignment="1">
      <alignment vertical="center"/>
    </xf>
    <xf numFmtId="168" fontId="29" fillId="7" borderId="1" xfId="5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9" fontId="28" fillId="7" borderId="0" xfId="2" applyFont="1" applyFill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0" fontId="28" fillId="7" borderId="0" xfId="0" applyFont="1" applyFill="1"/>
    <xf numFmtId="4" fontId="31" fillId="0" borderId="2" xfId="0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4" fontId="37" fillId="0" borderId="0" xfId="0" applyNumberFormat="1" applyFont="1"/>
    <xf numFmtId="4" fontId="4" fillId="7" borderId="8" xfId="0" applyNumberFormat="1" applyFont="1" applyFill="1" applyBorder="1" applyAlignment="1">
      <alignment horizontal="center" vertical="center"/>
    </xf>
    <xf numFmtId="4" fontId="38" fillId="0" borderId="0" xfId="0" applyNumberFormat="1" applyFont="1" applyAlignment="1">
      <alignment horizontal="right" vertical="center"/>
    </xf>
    <xf numFmtId="4" fontId="38" fillId="0" borderId="0" xfId="0" applyNumberFormat="1" applyFont="1"/>
    <xf numFmtId="0" fontId="4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0" xfId="0" applyFont="1" applyFill="1"/>
    <xf numFmtId="10" fontId="32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 2" xfId="2" xr:uid="{00000000-0005-0000-0000-000005000000}"/>
    <cellStyle name="Walutowy" xfId="5" builtinId="4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92.xml"/><Relationship Id="rId112" Type="http://schemas.openxmlformats.org/officeDocument/2006/relationships/revisionLog" Target="revisionLog95.xml"/><Relationship Id="rId104" Type="http://schemas.openxmlformats.org/officeDocument/2006/relationships/revisionLog" Target="revisionLog87.xml"/><Relationship Id="rId103" Type="http://schemas.openxmlformats.org/officeDocument/2006/relationships/revisionLog" Target="revisionLog86.xml"/><Relationship Id="rId108" Type="http://schemas.openxmlformats.org/officeDocument/2006/relationships/revisionLog" Target="revisionLog91.xml"/><Relationship Id="rId107" Type="http://schemas.openxmlformats.org/officeDocument/2006/relationships/revisionLog" Target="revisionLog90.xml"/><Relationship Id="rId111" Type="http://schemas.openxmlformats.org/officeDocument/2006/relationships/revisionLog" Target="revisionLog94.xml"/><Relationship Id="rId110" Type="http://schemas.openxmlformats.org/officeDocument/2006/relationships/revisionLog" Target="revisionLog93.xml"/><Relationship Id="rId102" Type="http://schemas.openxmlformats.org/officeDocument/2006/relationships/revisionLog" Target="revisionLog85.xml"/><Relationship Id="rId106" Type="http://schemas.openxmlformats.org/officeDocument/2006/relationships/revisionLog" Target="revisionLog89.xml"/><Relationship Id="rId101" Type="http://schemas.openxmlformats.org/officeDocument/2006/relationships/revisionLog" Target="revisionLog84.xml"/><Relationship Id="rId99" Type="http://schemas.openxmlformats.org/officeDocument/2006/relationships/revisionLog" Target="revisionLog82.xml"/><Relationship Id="rId105" Type="http://schemas.openxmlformats.org/officeDocument/2006/relationships/revisionLog" Target="revisionLog88.xml"/><Relationship Id="rId100" Type="http://schemas.openxmlformats.org/officeDocument/2006/relationships/revisionLog" Target="revisionLog8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004B243-484C-450E-B99E-A93052C52C27}" diskRevisions="1" revisionId="1640" version="2">
  <header guid="{EF8732D6-7B07-4A6B-8839-742652A278F1}" dateTime="2024-06-05T15:12:55" maxSheetId="6" userName="Kinga Kucharska" r:id="rId99" minRId="1491">
    <sheetIdMap count="5">
      <sheetId val="1"/>
      <sheetId val="2"/>
      <sheetId val="3"/>
      <sheetId val="4"/>
      <sheetId val="5"/>
    </sheetIdMap>
  </header>
  <header guid="{BF064D31-E0AD-4255-B27E-E930EFF9D5E3}" dateTime="2024-06-06T11:37:26" maxSheetId="6" userName="Kinga Kucharska" r:id="rId100" minRId="1492" maxRId="1493">
    <sheetIdMap count="5">
      <sheetId val="1"/>
      <sheetId val="2"/>
      <sheetId val="3"/>
      <sheetId val="4"/>
      <sheetId val="5"/>
    </sheetIdMap>
  </header>
  <header guid="{DEA981BA-9C20-47EA-9821-C0DA055C64C4}" dateTime="2024-06-06T12:49:48" maxSheetId="6" userName="Kinga Kucharska" r:id="rId101" minRId="1506" maxRId="1507">
    <sheetIdMap count="5">
      <sheetId val="1"/>
      <sheetId val="2"/>
      <sheetId val="3"/>
      <sheetId val="4"/>
      <sheetId val="5"/>
    </sheetIdMap>
  </header>
  <header guid="{AEE70C4D-A62F-4225-A46C-2FDDA82489F3}" dateTime="2024-06-06T13:30:22" maxSheetId="6" userName="Kinga Kucharska" r:id="rId102" minRId="1508" maxRId="1510">
    <sheetIdMap count="5">
      <sheetId val="1"/>
      <sheetId val="2"/>
      <sheetId val="3"/>
      <sheetId val="4"/>
      <sheetId val="5"/>
    </sheetIdMap>
  </header>
  <header guid="{D2A2DF21-A976-4058-AF58-46425EA484C1}" dateTime="2024-06-19T15:29:33" maxSheetId="6" userName="Kinga Kucharska" r:id="rId103" minRId="1511" maxRId="1529">
    <sheetIdMap count="5">
      <sheetId val="1"/>
      <sheetId val="2"/>
      <sheetId val="3"/>
      <sheetId val="4"/>
      <sheetId val="5"/>
    </sheetIdMap>
  </header>
  <header guid="{1EF817A6-FD91-4930-9CDF-EF2BAF21AC60}" dateTime="2024-06-20T11:15:00" maxSheetId="6" userName="Agnieszka Wagner" r:id="rId104" minRId="1530" maxRId="1531">
    <sheetIdMap count="5">
      <sheetId val="1"/>
      <sheetId val="2"/>
      <sheetId val="3"/>
      <sheetId val="4"/>
      <sheetId val="5"/>
    </sheetIdMap>
  </header>
  <header guid="{1F10C580-949C-41C5-884E-8A0CE7A3EF7D}" dateTime="2024-06-21T12:52:10" maxSheetId="6" userName="Kinga Kucharska" r:id="rId105" minRId="1544" maxRId="1562">
    <sheetIdMap count="5">
      <sheetId val="1"/>
      <sheetId val="2"/>
      <sheetId val="3"/>
      <sheetId val="4"/>
      <sheetId val="5"/>
    </sheetIdMap>
  </header>
  <header guid="{4CFEEC40-CFBB-445D-8C9E-D005B7C8DA04}" dateTime="2024-06-24T08:14:53" maxSheetId="6" userName="Kinga Kucharska" r:id="rId106" minRId="1563" maxRId="1564">
    <sheetIdMap count="5">
      <sheetId val="1"/>
      <sheetId val="2"/>
      <sheetId val="3"/>
      <sheetId val="4"/>
      <sheetId val="5"/>
    </sheetIdMap>
  </header>
  <header guid="{13B3E9E6-4537-49E8-8497-297C3AD63A6E}" dateTime="2024-06-24T08:16:16" maxSheetId="6" userName="Kinga Kucharska" r:id="rId107" minRId="1565" maxRId="1582">
    <sheetIdMap count="5">
      <sheetId val="1"/>
      <sheetId val="2"/>
      <sheetId val="3"/>
      <sheetId val="4"/>
      <sheetId val="5"/>
    </sheetIdMap>
  </header>
  <header guid="{3BE66995-F8BE-4FCA-A9DE-47648DC6FA5A}" dateTime="2024-06-24T09:32:21" maxSheetId="6" userName="Kinga Kucharska" r:id="rId108" minRId="1595">
    <sheetIdMap count="5">
      <sheetId val="1"/>
      <sheetId val="2"/>
      <sheetId val="3"/>
      <sheetId val="4"/>
      <sheetId val="5"/>
    </sheetIdMap>
  </header>
  <header guid="{9FA19752-2568-43F2-A99D-1004846DCE84}" dateTime="2024-06-24T12:29:53" maxSheetId="6" userName="Kinga Kucharska" r:id="rId109" minRId="1596" maxRId="1599">
    <sheetIdMap count="5">
      <sheetId val="1"/>
      <sheetId val="2"/>
      <sheetId val="3"/>
      <sheetId val="4"/>
      <sheetId val="5"/>
    </sheetIdMap>
  </header>
  <header guid="{C1DB54F1-11BF-4E6A-ABF9-36C3CC2AC0DA}" dateTime="2024-06-24T12:32:59" maxSheetId="6" userName="Kinga Kucharska" r:id="rId110" minRId="1612">
    <sheetIdMap count="5">
      <sheetId val="1"/>
      <sheetId val="2"/>
      <sheetId val="3"/>
      <sheetId val="4"/>
      <sheetId val="5"/>
    </sheetIdMap>
  </header>
  <header guid="{B1BB0915-4000-4300-AF9E-28F63231ACA2}" dateTime="2024-06-24T12:33:37" maxSheetId="6" userName="Kinga Kucharska" r:id="rId111" minRId="1625" maxRId="1628">
    <sheetIdMap count="5">
      <sheetId val="1"/>
      <sheetId val="2"/>
      <sheetId val="3"/>
      <sheetId val="4"/>
      <sheetId val="5"/>
    </sheetIdMap>
  </header>
  <header guid="{B004B243-484C-450E-B99E-A93052C52C27}" dateTime="2024-07-01T08:07:41" maxSheetId="6" userName="Justyna Sperczyńska" r:id="rId112">
    <sheetIdMap count="5">
      <sheetId val="1"/>
      <sheetId val="2"/>
      <sheetId val="3"/>
      <sheetId val="4"/>
      <sheetId val="5"/>
    </sheetIdMap>
  </header>
</header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1" sId="3" numFmtId="4">
    <oc r="K59">
      <v>366078.65</v>
    </oc>
    <nc r="K59">
      <v>365821.02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2" sId="3">
    <oc r="L59">
      <f>ROUNDDOWN(K59*N59,2)</f>
    </oc>
    <nc r="L59">
      <f>ROUNDDOWN(K59*N59,2)</f>
    </nc>
  </rcc>
  <rfmt sheetId="3" sqref="K59:M59">
    <dxf>
      <fill>
        <patternFill>
          <bgColor rgb="FFFFFF00"/>
        </patternFill>
      </fill>
    </dxf>
  </rfmt>
  <rfmt sheetId="3" sqref="T59">
    <dxf>
      <fill>
        <patternFill>
          <bgColor rgb="FFFFFF00"/>
        </patternFill>
      </fill>
    </dxf>
  </rfmt>
  <rcc rId="1493" sId="3" numFmtId="4">
    <oc r="K57">
      <v>939158.72</v>
    </oc>
    <nc r="K57">
      <v>938781.88</v>
    </nc>
  </rcc>
  <rfmt sheetId="3" sqref="T57">
    <dxf>
      <fill>
        <patternFill>
          <bgColor rgb="FFFFFF00"/>
        </patternFill>
      </fill>
    </dxf>
  </rfmt>
  <rfmt sheetId="3" sqref="J57:M57">
    <dxf>
      <fill>
        <patternFill>
          <bgColor rgb="FFFFFF00"/>
        </patternFill>
      </fill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46:M46">
    <dxf>
      <fill>
        <patternFill patternType="solid">
          <bgColor rgb="FFFFFF00"/>
        </patternFill>
      </fill>
    </dxf>
  </rfmt>
  <rfmt sheetId="3" sqref="T46">
    <dxf>
      <fill>
        <patternFill patternType="solid">
          <bgColor rgb="FFFFFF00"/>
        </patternFill>
      </fill>
    </dxf>
  </rfmt>
  <rcc rId="1506" sId="3">
    <oc r="J46" t="inlineStr">
      <is>
        <t>marzec 2024 grudzień 2024</t>
      </is>
    </oc>
    <nc r="J46" t="inlineStr">
      <is>
        <t>kwiecień 2024 listopad 2024</t>
      </is>
    </nc>
  </rcc>
  <rcc rId="1507" sId="3" numFmtId="4">
    <oc r="K46">
      <v>3096485.63</v>
    </oc>
    <nc r="K46">
      <v>2102714.27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8" sId="3" numFmtId="4">
    <oc r="K46">
      <v>2102714.27</v>
    </oc>
    <nc r="K46">
      <v>2102712.94</v>
    </nc>
  </rcc>
  <rfmt sheetId="3" sqref="J55:M55">
    <dxf>
      <fill>
        <patternFill patternType="solid">
          <bgColor theme="5" tint="0.39997558519241921"/>
        </patternFill>
      </fill>
    </dxf>
  </rfmt>
  <rcc rId="1509" sId="3" numFmtId="4">
    <oc r="K55">
      <v>10085958</v>
    </oc>
    <nc r="K55">
      <v>8637737.7699999996</v>
    </nc>
  </rcc>
  <rfmt sheetId="3" sqref="J39:M39">
    <dxf>
      <fill>
        <patternFill patternType="solid">
          <bgColor theme="5" tint="0.39997558519241921"/>
        </patternFill>
      </fill>
    </dxf>
  </rfmt>
  <rcc rId="1510" sId="3" numFmtId="4">
    <oc r="K39">
      <v>4776701</v>
    </oc>
    <nc r="K39">
      <v>3381566.28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1" sId="3">
    <oc r="L61">
      <f>ROUNDDOWN(K61*N61,2)</f>
    </oc>
    <nc r="L61"/>
  </rcc>
  <rfmt sheetId="3" sqref="A61:XFD61">
    <dxf>
      <fill>
        <patternFill>
          <bgColor theme="0" tint="-0.249977111117893"/>
        </patternFill>
      </fill>
    </dxf>
  </rfmt>
  <rfmt sheetId="3" sqref="A64:XFD64">
    <dxf>
      <fill>
        <patternFill>
          <bgColor theme="0" tint="-0.249977111117893"/>
        </patternFill>
      </fill>
    </dxf>
  </rfmt>
  <rcc rId="1512" sId="3">
    <oc r="J61" t="inlineStr">
      <is>
        <t>lipiec 2024 czerwiec 2025</t>
      </is>
    </oc>
    <nc r="J61" t="inlineStr">
      <is>
        <t>REZYGNACJA</t>
      </is>
    </nc>
  </rcc>
  <rcc rId="1513" sId="3" numFmtId="4">
    <oc r="I61">
      <v>1.101</v>
    </oc>
    <nc r="I61"/>
  </rcc>
  <rcc rId="1514" sId="3" numFmtId="4">
    <oc r="K61">
      <v>9011892.6300000008</v>
    </oc>
    <nc r="K61"/>
  </rcc>
  <rcc rId="1515" sId="3">
    <oc r="M61">
      <f>K61-L61</f>
    </oc>
    <nc r="M61"/>
  </rcc>
  <rcc rId="1516" sId="3" numFmtId="4">
    <oc r="O61">
      <v>0</v>
    </oc>
    <nc r="O61"/>
  </rcc>
  <rcc rId="1517" sId="3" numFmtId="4">
    <oc r="P61">
      <v>0</v>
    </oc>
    <nc r="P61"/>
  </rcc>
  <rcc rId="1518" sId="3" numFmtId="4">
    <oc r="Q61">
      <v>0</v>
    </oc>
    <nc r="Q61"/>
  </rcc>
  <rcc rId="1519" sId="3" numFmtId="4">
    <oc r="R61">
      <v>0</v>
    </oc>
    <nc r="R61"/>
  </rcc>
  <rcc rId="1520" sId="3" numFmtId="4">
    <oc r="S61">
      <v>0</v>
    </oc>
    <nc r="S61"/>
  </rcc>
  <rcc rId="1521" sId="3">
    <oc r="T61">
      <f>L61</f>
    </oc>
    <nc r="T61"/>
  </rcc>
  <rcc rId="1522" sId="3" numFmtId="4">
    <oc r="U61">
      <v>0</v>
    </oc>
    <nc r="U61"/>
  </rcc>
  <rcc rId="1523" sId="3" numFmtId="4">
    <oc r="V61">
      <v>0</v>
    </oc>
    <nc r="V61"/>
  </rcc>
  <rcc rId="1524" sId="3" numFmtId="4">
    <oc r="W61">
      <v>0</v>
    </oc>
    <nc r="W61"/>
  </rcc>
  <rcc rId="1525" sId="3" numFmtId="4">
    <oc r="X61">
      <v>0</v>
    </oc>
    <nc r="X61"/>
  </rcc>
  <rcc rId="1526" sId="3" numFmtId="4">
    <oc r="Y61">
      <v>0</v>
    </oc>
    <nc r="Y61"/>
  </rcc>
  <rcc rId="1527" sId="3" numFmtId="4">
    <oc r="Z61">
      <v>0</v>
    </oc>
    <nc r="Z61"/>
  </rcc>
  <rcc rId="1528" sId="3" numFmtId="4">
    <oc r="K39">
      <v>3381566.28</v>
    </oc>
    <nc r="K39">
      <v>3165080.9</v>
    </nc>
  </rcc>
  <rcc rId="1529" sId="3" numFmtId="4">
    <oc r="K55">
      <v>8637737.7699999996</v>
    </oc>
    <nc r="K55">
      <v>8545977.7799999993</v>
    </nc>
  </rcc>
  <rfmt sheetId="3" sqref="T39">
    <dxf>
      <fill>
        <patternFill patternType="solid">
          <bgColor rgb="FFFFFF00"/>
        </patternFill>
      </fill>
    </dxf>
  </rfmt>
  <rfmt sheetId="3" sqref="T55">
    <dxf>
      <fill>
        <patternFill patternType="solid">
          <bgColor rgb="FFFFFF00"/>
        </patternFill>
      </fill>
    </dxf>
  </rfmt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3" odxf="1" dxf="1">
    <nc r="I83">
      <f>K38-10598.28</f>
    </nc>
    <odxf>
      <numFmt numFmtId="0" formatCode="General"/>
    </odxf>
    <ndxf>
      <numFmt numFmtId="4" formatCode="#,##0.00"/>
    </ndxf>
  </rcc>
  <rcc rId="1531" sId="3" numFmtId="4">
    <oc r="K38">
      <v>1564523.1</v>
    </oc>
    <nc r="K38">
      <v>1553924.82</v>
    </nc>
  </rcc>
  <rfmt sheetId="3" sqref="K38:M38">
    <dxf>
      <fill>
        <patternFill patternType="solid">
          <bgColor rgb="FFFFFF00"/>
        </patternFill>
      </fill>
    </dxf>
  </rfmt>
  <rcv guid="{E7CAF9DC-53CB-464B-97B7-E2DEFBC16359}" action="delete"/>
  <rdn rId="0" localSheetId="1" customView="1" name="Z_E7CAF9DC_53CB_464B_97B7_E2DEFBC16359_.wvu.PrintArea" hidden="1" oldHidden="1">
    <formula>'TERC - "nazwa woj"'!$A$1:$Q$36</formula>
    <oldFormula>'TERC - "nazwa woj"'!$A$1:$Q$36</oldFormula>
  </rdn>
  <rdn rId="0" localSheetId="2" customView="1" name="Z_E7CAF9DC_53CB_464B_97B7_E2DEFBC16359_.wvu.PrintArea" hidden="1" oldHidden="1">
    <formula>'pow podst'!$A$1:$Y$19</formula>
    <oldFormula>'pow podst'!$A$1:$Y$19</oldFormula>
  </rdn>
  <rdn rId="0" localSheetId="2" customView="1" name="Z_E7CAF9DC_53CB_464B_97B7_E2DEFBC16359_.wvu.PrintTitles" hidden="1" oldHidden="1">
    <formula>'pow podst'!$1:$2</formula>
    <oldFormula>'pow podst'!$1:$2</oldFormula>
  </rdn>
  <rdn rId="0" localSheetId="2" customView="1" name="Z_E7CAF9DC_53CB_464B_97B7_E2DEFBC16359_.wvu.FilterData" hidden="1" oldHidden="1">
    <formula>'pow podst'!$A$1:$AC$19</formula>
    <oldFormula>'pow podst'!$A$1:$AC$19</oldFormula>
  </rdn>
  <rdn rId="0" localSheetId="3" customView="1" name="Z_E7CAF9DC_53CB_464B_97B7_E2DEFBC16359_.wvu.PrintArea" hidden="1" oldHidden="1">
    <formula>'gm podst'!$A$1:$Z$79</formula>
    <oldFormula>'gm podst'!$A$1:$Z$79</oldFormula>
  </rdn>
  <rdn rId="0" localSheetId="3" customView="1" name="Z_E7CAF9DC_53CB_464B_97B7_E2DEFBC16359_.wvu.PrintTitles" hidden="1" oldHidden="1">
    <formula>'gm podst'!$1:$2</formula>
    <oldFormula>'gm podst'!$1:$2</oldFormula>
  </rdn>
  <rdn rId="0" localSheetId="3" customView="1" name="Z_E7CAF9DC_53CB_464B_97B7_E2DEFBC16359_.wvu.FilterData" hidden="1" oldHidden="1">
    <formula>'gm podst'!$A$2:$AD$74</formula>
    <oldFormula>'gm podst'!$A$2:$AD$74</oldFormula>
  </rdn>
  <rdn rId="0" localSheetId="4" customView="1" name="Z_E7CAF9DC_53CB_464B_97B7_E2DEFBC16359_.wvu.PrintArea" hidden="1" oldHidden="1">
    <formula>'pow rez'!$A$1:$Y$12</formula>
    <oldFormula>'pow rez'!$A$1:$Y$12</oldFormula>
  </rdn>
  <rdn rId="0" localSheetId="4" customView="1" name="Z_E7CAF9DC_53CB_464B_97B7_E2DEFBC16359_.wvu.PrintTitles" hidden="1" oldHidden="1">
    <formula>'pow rez'!$1:$2</formula>
    <oldFormula>'pow rez'!$1:$2</oldFormula>
  </rdn>
  <rdn rId="0" localSheetId="5" customView="1" name="Z_E7CAF9DC_53CB_464B_97B7_E2DEFBC16359_.wvu.PrintArea" hidden="1" oldHidden="1">
    <formula>'gm rez'!$A$1:$Z$27</formula>
    <oldFormula>'gm rez'!$A$1:$Z$27</oldFormula>
  </rdn>
  <rdn rId="0" localSheetId="5" customView="1" name="Z_E7CAF9DC_53CB_464B_97B7_E2DEFBC16359_.wvu.PrintTitles" hidden="1" oldHidden="1">
    <formula>'gm rez'!$1:$2</formula>
    <oldFormula>'gm rez'!$1:$2</oldFormula>
  </rdn>
  <rdn rId="0" localSheetId="5" customView="1" name="Z_E7CAF9DC_53CB_464B_97B7_E2DEFBC16359_.wvu.FilterData" hidden="1" oldHidden="1">
    <formula>'gm rez'!$A$2:$AD$23</formula>
    <oldFormula>'gm rez'!$A$2:$AD$23</oldFormula>
  </rdn>
  <rcv guid="{E7CAF9DC-53CB-464B-97B7-E2DEFBC16359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61:XFD61">
    <dxf>
      <fill>
        <patternFill patternType="none">
          <bgColor auto="1"/>
        </patternFill>
      </fill>
    </dxf>
  </rfmt>
  <rfmt sheetId="3" sqref="I61" start="0" length="0">
    <dxf>
      <fill>
        <patternFill patternType="solid">
          <bgColor theme="0"/>
        </patternFill>
      </fill>
    </dxf>
  </rfmt>
  <rcc rId="1544" sId="3" numFmtId="4">
    <nc r="I61">
      <v>1.101</v>
    </nc>
  </rcc>
  <rcc rId="1545" sId="3">
    <oc r="J61" t="inlineStr">
      <is>
        <t>REZYGNACJA</t>
      </is>
    </oc>
    <nc r="J61" t="inlineStr">
      <is>
        <t>maj 2024 listopad 2024</t>
      </is>
    </nc>
  </rcc>
  <rcc rId="1546" sId="3" numFmtId="4">
    <nc r="K61">
      <v>9011892.6300000008</v>
    </nc>
  </rcc>
  <rcc rId="1547" sId="3">
    <nc r="L61">
      <f>ROUNDDOWN(K61*N61,2)</f>
    </nc>
  </rcc>
  <rcc rId="1548" sId="3">
    <nc r="M61">
      <f>K61-L61</f>
    </nc>
  </rcc>
  <rcc rId="1549" sId="3" numFmtId="4">
    <nc r="O61">
      <v>0</v>
    </nc>
  </rcc>
  <rcc rId="1550" sId="3" numFmtId="4">
    <nc r="P61">
      <v>0</v>
    </nc>
  </rcc>
  <rcc rId="1551" sId="3" numFmtId="4">
    <nc r="Q61">
      <v>0</v>
    </nc>
  </rcc>
  <rcc rId="1552" sId="3" numFmtId="4">
    <nc r="R61">
      <v>0</v>
    </nc>
  </rcc>
  <rcc rId="1553" sId="3" numFmtId="4">
    <nc r="S61">
      <v>0</v>
    </nc>
  </rcc>
  <rcc rId="1554" sId="3">
    <nc r="T61">
      <f>L61</f>
    </nc>
  </rcc>
  <rcc rId="1555" sId="3" numFmtId="4">
    <nc r="U61">
      <v>0</v>
    </nc>
  </rcc>
  <rcc rId="1556" sId="3" numFmtId="4">
    <nc r="V61">
      <v>0</v>
    </nc>
  </rcc>
  <rcc rId="1557" sId="3" numFmtId="4">
    <nc r="W61">
      <v>0</v>
    </nc>
  </rcc>
  <rcc rId="1558" sId="3" numFmtId="4">
    <nc r="X61">
      <v>0</v>
    </nc>
  </rcc>
  <rcc rId="1559" sId="3" numFmtId="4">
    <nc r="Y61">
      <v>0</v>
    </nc>
  </rcc>
  <rcc rId="1560" sId="3" numFmtId="4">
    <nc r="Z61">
      <v>0</v>
    </nc>
  </rcc>
  <rcc rId="1561" sId="3">
    <oc r="J55" t="inlineStr">
      <is>
        <t>maj 2024 kwiecień 2025</t>
      </is>
    </oc>
    <nc r="J55" t="inlineStr">
      <is>
        <t>czerwiec 2024 ksiecień 2025</t>
      </is>
    </nc>
  </rcc>
  <rfmt sheetId="3" sqref="J55:M55">
    <dxf>
      <fill>
        <patternFill>
          <bgColor rgb="FFFFFF00"/>
        </patternFill>
      </fill>
    </dxf>
  </rfmt>
  <rcc rId="1562" sId="3" numFmtId="4">
    <oc r="K39">
      <v>3165080.9</v>
    </oc>
    <nc r="K39">
      <v>3330766.29</v>
    </nc>
  </rcc>
  <rfmt sheetId="3" sqref="J39:M39">
    <dxf>
      <fill>
        <patternFill>
          <bgColor rgb="FFFFFF00"/>
        </patternFill>
      </fill>
    </dxf>
  </rfmt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3" sId="3">
    <oc r="J39" t="inlineStr">
      <is>
        <t>luty 2024 grudzień 2024</t>
      </is>
    </oc>
    <nc r="J39" t="inlineStr">
      <is>
        <t>czerwiec 2024 styczeń 2025</t>
      </is>
    </nc>
  </rcc>
  <rcc rId="1564" sId="3">
    <oc r="J55" t="inlineStr">
      <is>
        <t>czerwiec 2024 ksiecień 2025</t>
      </is>
    </oc>
    <nc r="J55" t="inlineStr">
      <is>
        <t>czerwiec 2024 kwiecień 2025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5" sId="3">
    <oc r="C61" t="inlineStr">
      <is>
        <t>N</t>
      </is>
    </oc>
    <nc r="C61"/>
  </rcc>
  <rcc rId="1566" sId="3" numFmtId="4">
    <oc r="I61">
      <v>1.101</v>
    </oc>
    <nc r="I61"/>
  </rcc>
  <rcc rId="1567" sId="3" numFmtId="4">
    <oc r="K61">
      <v>9011892.6300000008</v>
    </oc>
    <nc r="K61"/>
  </rcc>
  <rcc rId="1568" sId="3">
    <oc r="L61">
      <f>ROUNDDOWN(K61*N61,2)</f>
    </oc>
    <nc r="L61"/>
  </rcc>
  <rcc rId="1569" sId="3">
    <oc r="M61">
      <f>K61-L61</f>
    </oc>
    <nc r="M61"/>
  </rcc>
  <rcc rId="1570" sId="3" numFmtId="4">
    <oc r="O61">
      <v>0</v>
    </oc>
    <nc r="O61"/>
  </rcc>
  <rcc rId="1571" sId="3" numFmtId="4">
    <oc r="P61">
      <v>0</v>
    </oc>
    <nc r="P61"/>
  </rcc>
  <rcc rId="1572" sId="3" numFmtId="4">
    <oc r="Q61">
      <v>0</v>
    </oc>
    <nc r="Q61"/>
  </rcc>
  <rcc rId="1573" sId="3" numFmtId="4">
    <oc r="R61">
      <v>0</v>
    </oc>
    <nc r="R61"/>
  </rcc>
  <rcc rId="1574" sId="3" numFmtId="4">
    <oc r="S61">
      <v>0</v>
    </oc>
    <nc r="S61"/>
  </rcc>
  <rcc rId="1575" sId="3">
    <oc r="T61">
      <f>L61</f>
    </oc>
    <nc r="T61"/>
  </rcc>
  <rcc rId="1576" sId="3" numFmtId="4">
    <oc r="U61">
      <v>0</v>
    </oc>
    <nc r="U61"/>
  </rcc>
  <rcc rId="1577" sId="3" numFmtId="4">
    <oc r="V61">
      <v>0</v>
    </oc>
    <nc r="V61"/>
  </rcc>
  <rcc rId="1578" sId="3" numFmtId="4">
    <oc r="W61">
      <v>0</v>
    </oc>
    <nc r="W61"/>
  </rcc>
  <rcc rId="1579" sId="3" numFmtId="4">
    <oc r="X61">
      <v>0</v>
    </oc>
    <nc r="X61"/>
  </rcc>
  <rcc rId="1580" sId="3" numFmtId="4">
    <oc r="Y61">
      <v>0</v>
    </oc>
    <nc r="Y61"/>
  </rcc>
  <rcc rId="1581" sId="3" numFmtId="4">
    <oc r="Z61">
      <v>0</v>
    </oc>
    <nc r="Z61"/>
  </rcc>
  <rfmt sheetId="3" sqref="A61:XFD61">
    <dxf>
      <fill>
        <patternFill>
          <bgColor theme="0" tint="-0.249977111117893"/>
        </patternFill>
      </fill>
    </dxf>
  </rfmt>
  <rcc rId="1582" sId="3">
    <oc r="J61" t="inlineStr">
      <is>
        <t>maj 2024 listopad 2024</t>
      </is>
    </oc>
    <nc r="J61" t="inlineStr">
      <is>
        <t>REZYGNACJA</t>
      </is>
    </nc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5" sId="1">
    <oc r="J1" t="inlineStr">
      <is>
        <t>Lista zmieniona nr 2</t>
      </is>
    </oc>
    <nc r="J1" t="inlineStr">
      <is>
        <t>Lista zmieniona nr 3</t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6" sId="3" numFmtId="4">
    <oc r="K26">
      <v>1457077.96</v>
    </oc>
    <nc r="K26">
      <v>1457007.96</v>
    </nc>
  </rcc>
  <rfmt sheetId="3" sqref="K26:M26">
    <dxf>
      <fill>
        <patternFill patternType="solid">
          <bgColor rgb="FFFFFF00"/>
        </patternFill>
      </fill>
    </dxf>
  </rfmt>
  <rfmt sheetId="3" sqref="T26">
    <dxf>
      <fill>
        <patternFill patternType="solid">
          <bgColor rgb="FFFFFF00"/>
        </patternFill>
      </fill>
    </dxf>
  </rfmt>
  <rcc rId="1597" sId="3" numFmtId="4">
    <oc r="K3">
      <v>11824081.23</v>
    </oc>
    <nc r="K3">
      <v>11772051.92</v>
    </nc>
  </rcc>
  <rcc rId="1598" sId="3" numFmtId="4">
    <oc r="M3">
      <v>3814662.16</v>
    </oc>
    <nc r="M3">
      <f>K3-L3</f>
    </nc>
  </rcc>
  <rcc rId="1599" sId="3" numFmtId="14">
    <oc r="N3">
      <v>0.6774</v>
    </oc>
    <nc r="N3">
      <v>0.6804</v>
    </nc>
  </rcc>
  <rfmt sheetId="3" sqref="J3:N3">
    <dxf>
      <fill>
        <patternFill patternType="none">
          <bgColor auto="1"/>
        </patternFill>
      </fill>
    </dxf>
  </rfmt>
  <rfmt sheetId="3" sqref="T23:U23">
    <dxf>
      <fill>
        <patternFill patternType="none">
          <bgColor auto="1"/>
        </patternFill>
      </fill>
    </dxf>
  </rfmt>
  <rfmt sheetId="3" sqref="K26:T26">
    <dxf>
      <fill>
        <patternFill patternType="none">
          <bgColor auto="1"/>
        </patternFill>
      </fill>
    </dxf>
  </rfmt>
  <rfmt sheetId="3" sqref="A34:XFD34">
    <dxf>
      <fill>
        <patternFill patternType="none">
          <bgColor auto="1"/>
        </patternFill>
      </fill>
    </dxf>
  </rfmt>
  <rfmt sheetId="3" sqref="T37:U37">
    <dxf>
      <fill>
        <patternFill patternType="none">
          <bgColor auto="1"/>
        </patternFill>
      </fill>
    </dxf>
  </rfmt>
  <rfmt sheetId="3" sqref="T41">
    <dxf>
      <fill>
        <patternFill patternType="none">
          <bgColor auto="1"/>
        </patternFill>
      </fill>
    </dxf>
  </rfmt>
  <rfmt sheetId="3" sqref="T49">
    <dxf>
      <fill>
        <patternFill patternType="none">
          <bgColor auto="1"/>
        </patternFill>
      </fill>
    </dxf>
  </rfmt>
  <rfmt sheetId="3" sqref="T51:T52">
    <dxf>
      <fill>
        <patternFill patternType="none">
          <bgColor auto="1"/>
        </patternFill>
      </fill>
    </dxf>
  </rfmt>
  <rfmt sheetId="3" sqref="A38:XFD38">
    <dxf>
      <fill>
        <patternFill patternType="none">
          <bgColor auto="1"/>
        </patternFill>
      </fill>
    </dxf>
  </rfmt>
  <rfmt sheetId="3" sqref="A39:XFD39">
    <dxf>
      <fill>
        <patternFill patternType="none">
          <bgColor auto="1"/>
        </patternFill>
      </fill>
    </dxf>
  </rfmt>
  <rfmt sheetId="3" sqref="A46:XFD46">
    <dxf>
      <fill>
        <patternFill patternType="none">
          <bgColor auto="1"/>
        </patternFill>
      </fill>
    </dxf>
  </rfmt>
  <rfmt sheetId="3" sqref="A55:XFD55">
    <dxf>
      <fill>
        <patternFill patternType="none">
          <bgColor auto="1"/>
        </patternFill>
      </fill>
    </dxf>
  </rfmt>
  <rfmt sheetId="3" sqref="A57:XFD57">
    <dxf>
      <fill>
        <patternFill patternType="none">
          <bgColor auto="1"/>
        </patternFill>
      </fill>
    </dxf>
  </rfmt>
  <rfmt sheetId="3" sqref="A59:XFD59">
    <dxf>
      <fill>
        <patternFill patternType="none">
          <bgColor auto="1"/>
        </patternFill>
      </fill>
    </dxf>
  </rfmt>
  <rfmt sheetId="3" sqref="A60:XFD60">
    <dxf>
      <fill>
        <patternFill patternType="none">
          <bgColor auto="1"/>
        </patternFill>
      </fill>
    </dxf>
  </rfmt>
  <rfmt sheetId="3" sqref="A62:XFD62">
    <dxf>
      <fill>
        <patternFill patternType="none">
          <bgColor auto="1"/>
        </patternFill>
      </fill>
    </dxf>
  </rfmt>
  <rfmt sheetId="3" sqref="J63">
    <dxf>
      <fill>
        <patternFill patternType="none">
          <bgColor auto="1"/>
        </patternFill>
      </fill>
    </dxf>
  </rfmt>
  <rfmt sheetId="3" sqref="A65:XFD65">
    <dxf>
      <fill>
        <patternFill patternType="none">
          <bgColor auto="1"/>
        </patternFill>
      </fill>
    </dxf>
  </rfmt>
  <rfmt sheetId="3" sqref="J66:J70">
    <dxf>
      <fill>
        <patternFill patternType="none">
          <bgColor auto="1"/>
        </patternFill>
      </fill>
    </dxf>
  </rfmt>
  <rfmt sheetId="3" sqref="A11" start="0" length="2147483647">
    <dxf>
      <font>
        <color auto="1"/>
      </font>
    </dxf>
  </rfmt>
  <rfmt sheetId="3" sqref="A11" start="0" length="0">
    <dxf>
      <font>
        <sz val="9"/>
        <color rgb="FFFFC000"/>
        <name val="Arial"/>
        <scheme val="none"/>
      </font>
    </dxf>
  </rfmt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2" sId="3">
    <oc r="I83">
      <f>K38-10598.28</f>
    </oc>
    <nc r="I83"/>
  </rcc>
  <rcv guid="{CB410AB3-2DDF-47B7-B021-1F68EEA98257}" action="delete"/>
  <rdn rId="0" localSheetId="1" customView="1" name="Z_CB410AB3_2DDF_47B7_B021_1F68EEA98257_.wvu.PrintArea" hidden="1" oldHidden="1">
    <formula>'TERC - "nazwa woj"'!$A$1:$Q$36</formula>
    <oldFormula>'TERC - "nazwa woj"'!$A$1:$Q$36</oldFormula>
  </rdn>
  <rdn rId="0" localSheetId="2" customView="1" name="Z_CB410AB3_2DDF_47B7_B021_1F68EEA98257_.wvu.PrintArea" hidden="1" oldHidden="1">
    <formula>'pow podst'!$A$1:$Y$19</formula>
    <oldFormula>'pow podst'!$A$1:$Y$19</oldFormula>
  </rdn>
  <rdn rId="0" localSheetId="2" customView="1" name="Z_CB410AB3_2DDF_47B7_B021_1F68EEA98257_.wvu.PrintTitles" hidden="1" oldHidden="1">
    <formula>'pow podst'!$1:$2</formula>
    <oldFormula>'pow podst'!$1:$2</oldFormula>
  </rdn>
  <rdn rId="0" localSheetId="2" customView="1" name="Z_CB410AB3_2DDF_47B7_B021_1F68EEA98257_.wvu.FilterData" hidden="1" oldHidden="1">
    <formula>'pow podst'!$A$1:$AC$19</formula>
    <oldFormula>'pow podst'!$A$1:$AC$19</oldFormula>
  </rdn>
  <rdn rId="0" localSheetId="3" customView="1" name="Z_CB410AB3_2DDF_47B7_B021_1F68EEA98257_.wvu.PrintArea" hidden="1" oldHidden="1">
    <formula>'gm podst'!$A$1:$Z$79</formula>
    <oldFormula>'gm podst'!$A$1:$Z$79</oldFormula>
  </rdn>
  <rdn rId="0" localSheetId="3" customView="1" name="Z_CB410AB3_2DDF_47B7_B021_1F68EEA98257_.wvu.PrintTitles" hidden="1" oldHidden="1">
    <formula>'gm podst'!$1:$2</formula>
    <oldFormula>'gm podst'!$1:$2</oldFormula>
  </rdn>
  <rdn rId="0" localSheetId="3" customView="1" name="Z_CB410AB3_2DDF_47B7_B021_1F68EEA98257_.wvu.FilterData" hidden="1" oldHidden="1">
    <formula>'gm podst'!$A$2:$AD$74</formula>
    <oldFormula>'gm podst'!$A$2:$AD$74</oldFormula>
  </rdn>
  <rdn rId="0" localSheetId="4" customView="1" name="Z_CB410AB3_2DDF_47B7_B021_1F68EEA98257_.wvu.PrintArea" hidden="1" oldHidden="1">
    <formula>'pow rez'!$A$1:$Y$12</formula>
    <oldFormula>'pow rez'!$A$1:$Y$12</oldFormula>
  </rdn>
  <rdn rId="0" localSheetId="4" customView="1" name="Z_CB410AB3_2DDF_47B7_B021_1F68EEA98257_.wvu.PrintTitles" hidden="1" oldHidden="1">
    <formula>'pow rez'!$1:$2</formula>
    <oldFormula>'pow rez'!$1:$2</oldFormula>
  </rdn>
  <rdn rId="0" localSheetId="5" customView="1" name="Z_CB410AB3_2DDF_47B7_B021_1F68EEA98257_.wvu.PrintArea" hidden="1" oldHidden="1">
    <formula>'gm rez'!$A$1:$Z$27</formula>
    <oldFormula>'gm rez'!$A$1:$Z$27</oldFormula>
  </rdn>
  <rdn rId="0" localSheetId="5" customView="1" name="Z_CB410AB3_2DDF_47B7_B021_1F68EEA98257_.wvu.PrintTitles" hidden="1" oldHidden="1">
    <formula>'gm rez'!$1:$2</formula>
    <oldFormula>'gm rez'!$1:$2</oldFormula>
  </rdn>
  <rdn rId="0" localSheetId="5" customView="1" name="Z_CB410AB3_2DDF_47B7_B021_1F68EEA98257_.wvu.FilterData" hidden="1" oldHidden="1">
    <formula>'gm rez'!$A$2:$AD$23</formula>
    <oldFormula>'gm rez'!$A$2:$AD$23</oldFormula>
  </rdn>
  <rcv guid="{CB410AB3-2DDF-47B7-B021-1F68EEA98257}" action="add"/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5" sId="3">
    <oc r="M76">
      <f>'TERC - "nazwa woj"'!K20</f>
    </oc>
    <nc r="M76"/>
  </rcc>
  <rcc rId="1626" sId="3" numFmtId="4">
    <oc r="M77">
      <v>98773234.889999986</v>
    </oc>
    <nc r="M77"/>
  </rcc>
  <rcc rId="1627" sId="3">
    <oc r="L78" t="inlineStr">
      <is>
        <t>oszczędność:</t>
      </is>
    </oc>
    <nc r="L78"/>
  </rcc>
  <rcc rId="1628" sId="3">
    <oc r="M78">
      <f>M77-M76</f>
    </oc>
    <nc r="M78"/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D3EAA12_36A1_4500_A3A8_8FB519CC9E74_.wvu.PrintArea" hidden="1" oldHidden="1">
    <formula>'TERC - "nazwa woj"'!$A$1:$Q$36</formula>
  </rdn>
  <rdn rId="0" localSheetId="2" customView="1" name="Z_BD3EAA12_36A1_4500_A3A8_8FB519CC9E74_.wvu.PrintArea" hidden="1" oldHidden="1">
    <formula>'pow podst'!$A$1:$Y$19</formula>
  </rdn>
  <rdn rId="0" localSheetId="2" customView="1" name="Z_BD3EAA12_36A1_4500_A3A8_8FB519CC9E74_.wvu.PrintTitles" hidden="1" oldHidden="1">
    <formula>'pow podst'!$1:$2</formula>
  </rdn>
  <rdn rId="0" localSheetId="2" customView="1" name="Z_BD3EAA12_36A1_4500_A3A8_8FB519CC9E74_.wvu.FilterData" hidden="1" oldHidden="1">
    <formula>'pow podst'!$A$1:$AC$19</formula>
  </rdn>
  <rdn rId="0" localSheetId="3" customView="1" name="Z_BD3EAA12_36A1_4500_A3A8_8FB519CC9E74_.wvu.PrintArea" hidden="1" oldHidden="1">
    <formula>'gm podst'!$A$1:$Z$79</formula>
  </rdn>
  <rdn rId="0" localSheetId="3" customView="1" name="Z_BD3EAA12_36A1_4500_A3A8_8FB519CC9E74_.wvu.PrintTitles" hidden="1" oldHidden="1">
    <formula>'gm podst'!$1:$2</formula>
  </rdn>
  <rdn rId="0" localSheetId="3" customView="1" name="Z_BD3EAA12_36A1_4500_A3A8_8FB519CC9E74_.wvu.FilterData" hidden="1" oldHidden="1">
    <formula>'gm podst'!$A$2:$AD$74</formula>
  </rdn>
  <rdn rId="0" localSheetId="4" customView="1" name="Z_BD3EAA12_36A1_4500_A3A8_8FB519CC9E74_.wvu.PrintArea" hidden="1" oldHidden="1">
    <formula>'pow rez'!$A$1:$Y$12</formula>
  </rdn>
  <rdn rId="0" localSheetId="4" customView="1" name="Z_BD3EAA12_36A1_4500_A3A8_8FB519CC9E74_.wvu.PrintTitles" hidden="1" oldHidden="1">
    <formula>'pow rez'!$1:$2</formula>
  </rdn>
  <rdn rId="0" localSheetId="5" customView="1" name="Z_BD3EAA12_36A1_4500_A3A8_8FB519CC9E74_.wvu.PrintArea" hidden="1" oldHidden="1">
    <formula>'gm rez'!$A$1:$Z$27</formula>
  </rdn>
  <rdn rId="0" localSheetId="5" customView="1" name="Z_BD3EAA12_36A1_4500_A3A8_8FB519CC9E74_.wvu.PrintTitles" hidden="1" oldHidden="1">
    <formula>'gm rez'!$1:$2</formula>
  </rdn>
  <rdn rId="0" localSheetId="5" customView="1" name="Z_BD3EAA12_36A1_4500_A3A8_8FB519CC9E74_.wvu.FilterData" hidden="1" oldHidden="1">
    <formula>'gm rez'!$A$2:$AD$23</formula>
  </rdn>
  <rcv guid="{BD3EAA12-36A1-4500-A3A8-8FB519CC9E7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view="pageBreakPreview" zoomScaleNormal="100" zoomScaleSheetLayoutView="100" workbookViewId="0"/>
  </sheetViews>
  <sheetFormatPr defaultColWidth="9.28515625" defaultRowHeight="15" x14ac:dyDescent="0.25"/>
  <cols>
    <col min="1" max="1" width="35.28515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28515625" style="14"/>
    <col min="19" max="19" width="11.7109375" style="14" bestFit="1" customWidth="1"/>
    <col min="20" max="16384" width="9.28515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59" t="s">
        <v>329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332" t="s">
        <v>18</v>
      </c>
      <c r="G2" s="333"/>
      <c r="H2" s="333"/>
      <c r="I2" s="333"/>
      <c r="J2" s="333"/>
      <c r="K2" s="333"/>
      <c r="L2" s="333"/>
      <c r="M2" s="333"/>
      <c r="N2" s="334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335"/>
      <c r="G3" s="336"/>
      <c r="H3" s="336"/>
      <c r="I3" s="336"/>
      <c r="J3" s="336"/>
      <c r="K3" s="336"/>
      <c r="L3" s="336"/>
      <c r="M3" s="336"/>
      <c r="N3" s="337"/>
      <c r="Z3" s="12"/>
    </row>
    <row r="4" spans="1:26" x14ac:dyDescent="0.25">
      <c r="A4" s="15" t="s">
        <v>262</v>
      </c>
      <c r="B4" s="16"/>
      <c r="C4" s="16"/>
      <c r="D4" s="16"/>
      <c r="E4" s="16"/>
      <c r="F4" s="335"/>
      <c r="G4" s="336"/>
      <c r="H4" s="336"/>
      <c r="I4" s="336"/>
      <c r="J4" s="336"/>
      <c r="K4" s="336"/>
      <c r="L4" s="336"/>
      <c r="M4" s="336"/>
      <c r="N4" s="337"/>
      <c r="Z4" s="17"/>
    </row>
    <row r="5" spans="1:26" x14ac:dyDescent="0.25">
      <c r="A5" s="16"/>
      <c r="B5" s="16"/>
      <c r="C5" s="16"/>
      <c r="D5" s="16"/>
      <c r="E5" s="16"/>
      <c r="F5" s="335"/>
      <c r="G5" s="336"/>
      <c r="H5" s="336"/>
      <c r="I5" s="336"/>
      <c r="J5" s="336"/>
      <c r="K5" s="336"/>
      <c r="L5" s="336"/>
      <c r="M5" s="336"/>
      <c r="N5" s="337"/>
      <c r="Z5" s="12"/>
    </row>
    <row r="6" spans="1:26" x14ac:dyDescent="0.25">
      <c r="A6" s="15" t="s">
        <v>261</v>
      </c>
      <c r="B6" s="16"/>
      <c r="C6" s="16"/>
      <c r="D6" s="16"/>
      <c r="E6" s="16"/>
      <c r="F6" s="335"/>
      <c r="G6" s="336"/>
      <c r="H6" s="336"/>
      <c r="I6" s="336"/>
      <c r="J6" s="336"/>
      <c r="K6" s="336"/>
      <c r="L6" s="336"/>
      <c r="M6" s="336"/>
      <c r="N6" s="337"/>
      <c r="Z6" s="17"/>
    </row>
    <row r="7" spans="1:26" ht="15.75" thickBot="1" x14ac:dyDescent="0.3">
      <c r="A7" s="16"/>
      <c r="B7" s="16"/>
      <c r="C7" s="16"/>
      <c r="D7" s="16"/>
      <c r="E7" s="16"/>
      <c r="F7" s="338" t="s">
        <v>19</v>
      </c>
      <c r="G7" s="339"/>
      <c r="H7" s="339"/>
      <c r="I7" s="339"/>
      <c r="J7" s="339"/>
      <c r="K7" s="339"/>
      <c r="L7" s="339"/>
      <c r="M7" s="339"/>
      <c r="N7" s="340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341" t="s">
        <v>1</v>
      </c>
      <c r="B10" s="343" t="s">
        <v>35</v>
      </c>
      <c r="C10" s="345" t="s">
        <v>20</v>
      </c>
      <c r="D10" s="347" t="s">
        <v>21</v>
      </c>
      <c r="E10" s="349" t="s">
        <v>22</v>
      </c>
      <c r="F10" s="102"/>
      <c r="G10" s="89"/>
      <c r="H10" s="90"/>
      <c r="I10" s="89"/>
      <c r="J10" s="90" t="s">
        <v>12</v>
      </c>
      <c r="K10" s="89"/>
      <c r="L10" s="89"/>
      <c r="M10" s="89"/>
      <c r="N10" s="90"/>
      <c r="O10" s="90"/>
      <c r="P10" s="90"/>
      <c r="Q10" s="91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342"/>
      <c r="B11" s="344"/>
      <c r="C11" s="346"/>
      <c r="D11" s="348"/>
      <c r="E11" s="350"/>
      <c r="F11" s="108">
        <v>2019</v>
      </c>
      <c r="G11" s="109">
        <v>2020</v>
      </c>
      <c r="H11" s="109">
        <v>2021</v>
      </c>
      <c r="I11" s="109">
        <v>2022</v>
      </c>
      <c r="J11" s="109">
        <v>2023</v>
      </c>
      <c r="K11" s="109">
        <v>2024</v>
      </c>
      <c r="L11" s="109">
        <v>2025</v>
      </c>
      <c r="M11" s="109">
        <v>2026</v>
      </c>
      <c r="N11" s="109">
        <v>2027</v>
      </c>
      <c r="O11" s="109">
        <v>2028</v>
      </c>
      <c r="P11" s="109">
        <v>2029</v>
      </c>
      <c r="Q11" s="110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40.15" customHeight="1" thickTop="1" x14ac:dyDescent="0.25">
      <c r="A12" s="111" t="s">
        <v>37</v>
      </c>
      <c r="B12" s="112">
        <f>COUNTA('pow podst'!K3:K10)</f>
        <v>7</v>
      </c>
      <c r="C12" s="113">
        <f>SUM('pow podst'!J3:J10)</f>
        <v>18825095.66</v>
      </c>
      <c r="D12" s="114">
        <f>SUM('pow podst'!L3:L10)</f>
        <v>7703611.3399999989</v>
      </c>
      <c r="E12" s="115">
        <f>SUM('pow podst'!K3:K10)</f>
        <v>11121484.32</v>
      </c>
      <c r="F12" s="116">
        <f>SUM('pow podst'!N3:N10)</f>
        <v>0</v>
      </c>
      <c r="G12" s="113">
        <f>SUM('pow podst'!O3:O10)</f>
        <v>0</v>
      </c>
      <c r="H12" s="113">
        <f>SUM('pow podst'!P3:P10)</f>
        <v>0</v>
      </c>
      <c r="I12" s="113">
        <f>SUM('pow podst'!Q3:Q10)</f>
        <v>0</v>
      </c>
      <c r="J12" s="113">
        <f>SUM('pow podst'!R3:R10)</f>
        <v>0</v>
      </c>
      <c r="K12" s="113">
        <f>SUM('pow podst'!S3:S10)</f>
        <v>9688010.3399999999</v>
      </c>
      <c r="L12" s="113">
        <f>SUM('pow podst'!T3:T10)</f>
        <v>1433473.98</v>
      </c>
      <c r="M12" s="113">
        <f>SUM('pow podst'!U3:U10)</f>
        <v>0</v>
      </c>
      <c r="N12" s="113">
        <f>SUM('pow podst'!V3:V10)</f>
        <v>0</v>
      </c>
      <c r="O12" s="113">
        <f>SUM('pow podst'!W3:W10)</f>
        <v>0</v>
      </c>
      <c r="P12" s="113">
        <f>SUM('pow podst'!X3:X10)</f>
        <v>0</v>
      </c>
      <c r="Q12" s="117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40.15" customHeight="1" x14ac:dyDescent="0.25">
      <c r="A13" s="118" t="s">
        <v>38</v>
      </c>
      <c r="B13" s="161">
        <f>COUNTIF('pow podst'!C3:C10,"K")</f>
        <v>0</v>
      </c>
      <c r="C13" s="162">
        <f>SUMIF('pow podst'!C3:C10,"K",'pow podst'!J3:J10)</f>
        <v>0</v>
      </c>
      <c r="D13" s="163">
        <f>SUMIF('pow podst'!C3:C10,"K",'pow podst'!L3:L10)</f>
        <v>0</v>
      </c>
      <c r="E13" s="51">
        <f>SUMIF('pow podst'!C3:C10,"K",'pow podst'!K3:K10)</f>
        <v>0</v>
      </c>
      <c r="F13" s="170">
        <f>SUMIF('pow podst'!C3:C10,"K",'pow podst'!N3:N10)</f>
        <v>0</v>
      </c>
      <c r="G13" s="162">
        <f>SUMIF('pow podst'!C3:C10,"K",'pow podst'!O3:O10)</f>
        <v>0</v>
      </c>
      <c r="H13" s="162">
        <f>SUMIF('pow podst'!C3:C10,"K",'pow podst'!P3:P10)</f>
        <v>0</v>
      </c>
      <c r="I13" s="162">
        <f>SUMIF('pow podst'!C3:C10,"K",'pow podst'!Q3:Q10)</f>
        <v>0</v>
      </c>
      <c r="J13" s="162">
        <f>SUMIF('pow podst'!C3:C10,"K",'pow podst'!R3:R10)</f>
        <v>0</v>
      </c>
      <c r="K13" s="162">
        <f>SUMIF('pow podst'!C3:C10,"K",'pow podst'!S3:S10)</f>
        <v>0</v>
      </c>
      <c r="L13" s="162">
        <f>SUMIF('pow podst'!C3:C10,"K",'pow podst'!T3:T10)</f>
        <v>0</v>
      </c>
      <c r="M13" s="162">
        <f>SUMIF('pow podst'!C3:C10,"K",'pow podst'!U3:U10)</f>
        <v>0</v>
      </c>
      <c r="N13" s="162">
        <f>SUMIF('pow podst'!C3:C10,"K",'pow podst'!V3:V10)</f>
        <v>0</v>
      </c>
      <c r="O13" s="162">
        <f>SUMIF('pow podst'!C3:C10,"K",'pow podst'!W3:W10)</f>
        <v>0</v>
      </c>
      <c r="P13" s="162">
        <f>SUMIF('pow podst'!D3:D10,"K",'pow podst'!X3:X10)</f>
        <v>0</v>
      </c>
      <c r="Q13" s="171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40.15" customHeight="1" x14ac:dyDescent="0.25">
      <c r="A14" s="119" t="s">
        <v>39</v>
      </c>
      <c r="B14" s="164">
        <f>COUNTIF('pow podst'!C3:C10,"N")</f>
        <v>6</v>
      </c>
      <c r="C14" s="165">
        <f>SUMIF('pow podst'!C3:C10,"N",'pow podst'!J3:J10)</f>
        <v>15955277.879999999</v>
      </c>
      <c r="D14" s="166">
        <f>SUMIF('pow podst'!C3:C10,"N",'pow podst'!L3:L10)</f>
        <v>7129647.7799999993</v>
      </c>
      <c r="E14" s="50">
        <f>SUMIF('pow podst'!C3:C10,"N",'pow podst'!K3:K10)</f>
        <v>8825630.0999999996</v>
      </c>
      <c r="F14" s="172">
        <f>SUMIF('pow podst'!C3:C10,"N",'pow podst'!N3:N10)</f>
        <v>0</v>
      </c>
      <c r="G14" s="165">
        <f>SUMIF('pow podst'!C3:C10,"N",'pow podst'!O3:O10)</f>
        <v>0</v>
      </c>
      <c r="H14" s="165">
        <f>SUMIF('pow podst'!C3:C10,"N",'pow podst'!P3:P10)</f>
        <v>0</v>
      </c>
      <c r="I14" s="165">
        <f>SUMIF('pow podst'!C3:C10,"N",'pow podst'!Q3:Q10)</f>
        <v>0</v>
      </c>
      <c r="J14" s="165">
        <f>SUMIF('pow podst'!C3:C10,"N",'pow podst'!R3:R10)</f>
        <v>0</v>
      </c>
      <c r="K14" s="165">
        <f>SUMIF('pow podst'!C3:C10,"N",'pow podst'!S3:S10)</f>
        <v>8825630.0999999996</v>
      </c>
      <c r="L14" s="165">
        <f>SUMIF('pow podst'!C3:C10,"N",'pow podst'!T3:T10)</f>
        <v>0</v>
      </c>
      <c r="M14" s="165">
        <f>SUMIF('pow podst'!C3:C10,"N",'pow podst'!U3:U10)</f>
        <v>0</v>
      </c>
      <c r="N14" s="165">
        <f>SUMIF('pow podst'!C3:C10,"N",'pow podst'!V3:V10)</f>
        <v>0</v>
      </c>
      <c r="O14" s="165">
        <f>SUMIF('pow podst'!C3:C10,"N",'pow podst'!W3:W10)</f>
        <v>0</v>
      </c>
      <c r="P14" s="165">
        <f>SUMIF('pow podst'!D3:D10,"N",'pow podst'!X3:X10)</f>
        <v>0</v>
      </c>
      <c r="Q14" s="173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40.15" customHeight="1" thickBot="1" x14ac:dyDescent="0.3">
      <c r="A15" s="120" t="s">
        <v>40</v>
      </c>
      <c r="B15" s="167">
        <f>COUNTIF('pow podst'!C3:C10,"W")</f>
        <v>1</v>
      </c>
      <c r="C15" s="168">
        <f>SUMIF('pow podst'!C3:C10,"W",'pow podst'!J3:J10)</f>
        <v>2869817.78</v>
      </c>
      <c r="D15" s="169">
        <f>SUMIF('pow podst'!C3:C10,"W",'pow podst'!L3:L10)</f>
        <v>573963.55999999959</v>
      </c>
      <c r="E15" s="121">
        <f>SUMIF('pow podst'!C3:C10,"W",'pow podst'!K3:K10)</f>
        <v>2295854.2200000002</v>
      </c>
      <c r="F15" s="174">
        <f>SUMIF('pow podst'!C3:C10,"W",'pow podst'!N3:N10)</f>
        <v>0</v>
      </c>
      <c r="G15" s="168">
        <f>SUMIF('pow podst'!C3:C10,"W",'pow podst'!O3:O10)</f>
        <v>0</v>
      </c>
      <c r="H15" s="168">
        <f>SUMIF('pow podst'!C3:C10,"W",'pow podst'!P3:P10)</f>
        <v>0</v>
      </c>
      <c r="I15" s="168">
        <f>SUMIF('pow podst'!C3:C10,"W",'pow podst'!Q3:Q10)</f>
        <v>0</v>
      </c>
      <c r="J15" s="168">
        <f>SUMIF('pow podst'!C3:C10,"W",'pow podst'!R3:R10)</f>
        <v>0</v>
      </c>
      <c r="K15" s="168">
        <f>SUMIF('pow podst'!C3:C10,"W",'pow podst'!S3:S10)</f>
        <v>862380.24</v>
      </c>
      <c r="L15" s="168">
        <f>SUMIF('pow podst'!C3:C10,"W",'pow podst'!T3:T10)</f>
        <v>1433473.98</v>
      </c>
      <c r="M15" s="168">
        <f>SUMIF('pow podst'!C3:C10,"W",'pow podst'!U3:U10)</f>
        <v>0</v>
      </c>
      <c r="N15" s="168">
        <f>SUMIF('pow podst'!C3:C10,"W",'pow podst'!V3:V10)</f>
        <v>0</v>
      </c>
      <c r="O15" s="168">
        <f>SUMIF('pow podst'!C3:C10,"W",'pow podst'!W3:W10)</f>
        <v>0</v>
      </c>
      <c r="P15" s="168">
        <f>SUMIF('pow podst'!D3:D10,"W",'pow podst'!X3:X10)</f>
        <v>0</v>
      </c>
      <c r="Q15" s="175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40.15" customHeight="1" thickTop="1" x14ac:dyDescent="0.25">
      <c r="A16" s="111" t="s">
        <v>41</v>
      </c>
      <c r="B16" s="112">
        <f>COUNTA('gm podst'!L3:L70)</f>
        <v>63</v>
      </c>
      <c r="C16" s="113">
        <f>SUM('gm podst'!K3:K70)</f>
        <v>140664927.33999997</v>
      </c>
      <c r="D16" s="114">
        <f>SUM('gm podst'!M3:M70)</f>
        <v>42600742.660000004</v>
      </c>
      <c r="E16" s="115">
        <f>SUM('gm podst'!L3:L70)</f>
        <v>98064184.680000037</v>
      </c>
      <c r="F16" s="176">
        <f>SUM('gm podst'!O3:O70)</f>
        <v>0</v>
      </c>
      <c r="G16" s="177">
        <f>SUM('gm podst'!P3:P70)</f>
        <v>0</v>
      </c>
      <c r="H16" s="177">
        <f>SUM('gm podst'!Q3:Q70)</f>
        <v>0</v>
      </c>
      <c r="I16" s="177">
        <f>SUM('gm podst'!R3:R70)</f>
        <v>0</v>
      </c>
      <c r="J16" s="177">
        <f>SUM('gm podst'!S3:S70)</f>
        <v>10835376.120000001</v>
      </c>
      <c r="K16" s="177">
        <f>SUM('gm podst'!T3:T70)</f>
        <v>75548052.970000014</v>
      </c>
      <c r="L16" s="177">
        <f>SUM('gm podst'!U3:U70)</f>
        <v>9693404.8299999982</v>
      </c>
      <c r="M16" s="177">
        <f>SUM('gm podst'!V3:V70)</f>
        <v>1987350.7600000007</v>
      </c>
      <c r="N16" s="177">
        <f>SUM('gm podst'!W3:W70)</f>
        <v>0</v>
      </c>
      <c r="O16" s="177">
        <f>SUM('gm podst'!X3:X70)</f>
        <v>0</v>
      </c>
      <c r="P16" s="177">
        <f>SUM('gm podst'!Y3:Y70)</f>
        <v>0</v>
      </c>
      <c r="Q16" s="178">
        <f>SUM('gm podst'!Z3:Z70)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40.15" customHeight="1" x14ac:dyDescent="0.25">
      <c r="A17" s="118" t="s">
        <v>38</v>
      </c>
      <c r="B17" s="161">
        <f>COUNTIF('gm podst'!C3:C70,"K")</f>
        <v>8</v>
      </c>
      <c r="C17" s="162">
        <f>SUMIF('gm podst'!C3:C70,"K",'gm podst'!K3:K70)</f>
        <v>32087163.750000004</v>
      </c>
      <c r="D17" s="163">
        <f>SUMIF('gm podst'!C3:C70,"K",'gm podst'!M3:M70)</f>
        <v>10621461.620000001</v>
      </c>
      <c r="E17" s="51">
        <f>SUMIF('gm podst'!C3:C70,"K",'gm podst'!L3:L70)</f>
        <v>21465702.130000003</v>
      </c>
      <c r="F17" s="170">
        <f>SUMIF('gm podst'!C3:C70,"K",'gm podst'!O3:O70)</f>
        <v>0</v>
      </c>
      <c r="G17" s="162">
        <f>SUMIF('gm podst'!C3:C70,"K",'gm podst'!P3:P70)</f>
        <v>0</v>
      </c>
      <c r="H17" s="162">
        <f>SUMIF('gm podst'!C3:C70,"K",'gm podst'!Q3:Q70)</f>
        <v>0</v>
      </c>
      <c r="I17" s="162">
        <f>SUMIF('gm podst'!C3:C70,"K",'gm podst'!R3:R70)</f>
        <v>0</v>
      </c>
      <c r="J17" s="162">
        <f>SUMIF('gm podst'!C3:C70,"K",'gm podst'!S3:S70)</f>
        <v>10835376.120000001</v>
      </c>
      <c r="K17" s="162">
        <f>SUMIF('gm podst'!C3:C70,"K",'gm podst'!T3:T70)</f>
        <v>10630326.010000002</v>
      </c>
      <c r="L17" s="162">
        <f>SUMIF('gm podst'!C3:C70,"K",'gm podst'!U3:U70)</f>
        <v>0</v>
      </c>
      <c r="M17" s="162">
        <f>SUMIF('gm podst'!C3:C70,"K",'gm podst'!V3:V70)</f>
        <v>0</v>
      </c>
      <c r="N17" s="162">
        <f>SUMIF('gm podst'!C3:C70,"K",'gm podst'!W3:W70)</f>
        <v>0</v>
      </c>
      <c r="O17" s="162">
        <f>SUMIF('gm podst'!C3:C70,"K",'gm podst'!X3:X70)</f>
        <v>0</v>
      </c>
      <c r="P17" s="162">
        <f>SUMIF('gm podst'!D3:D70,"K",'gm podst'!Y3:Y70)</f>
        <v>0</v>
      </c>
      <c r="Q17" s="171">
        <f>SUMIF('gm podst'!E3:E70,"K",'gm podst'!Z3:Z70)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40.15" customHeight="1" x14ac:dyDescent="0.25">
      <c r="A18" s="119" t="s">
        <v>39</v>
      </c>
      <c r="B18" s="164">
        <f>COUNTIF('gm podst'!C3:C70,"N")</f>
        <v>46</v>
      </c>
      <c r="C18" s="165">
        <f>SUMIF('gm podst'!C3:C70,"N",'gm podst'!K3:K70)</f>
        <v>73847848.089999989</v>
      </c>
      <c r="D18" s="166">
        <f>SUMIF('gm podst'!C3:C70,"N",'gm podst'!M3:M70)</f>
        <v>22964290.589999996</v>
      </c>
      <c r="E18" s="50">
        <f>SUMIF('gm podst'!C3:C70,"N",'gm podst'!L3:L70)</f>
        <v>50883557.500000015</v>
      </c>
      <c r="F18" s="172">
        <f>SUMIF('gm podst'!C3:C70,"N",'gm podst'!O3:O70)</f>
        <v>0</v>
      </c>
      <c r="G18" s="165">
        <f>SUMIF('gm podst'!C3:C70,"N",'gm podst'!P3:P70)</f>
        <v>0</v>
      </c>
      <c r="H18" s="165">
        <f>SUMIF('gm podst'!C3:C70,"N",'gm podst'!Q3:Q70)</f>
        <v>0</v>
      </c>
      <c r="I18" s="165">
        <f>SUMIF('gm podst'!C3:C70,"N",'gm podst'!R3:R70)</f>
        <v>0</v>
      </c>
      <c r="J18" s="165">
        <f>SUMIF('gm podst'!C3:C70,"N",'gm podst'!S3:S70)</f>
        <v>0</v>
      </c>
      <c r="K18" s="165">
        <f>SUMIF('gm podst'!C3:C70,"N",'gm podst'!T3:T70)</f>
        <v>50883557.500000015</v>
      </c>
      <c r="L18" s="165">
        <f>SUMIF('gm podst'!C3:C70,"N",'gm podst'!U3:U70)</f>
        <v>0</v>
      </c>
      <c r="M18" s="165">
        <f>SUMIF('gm podst'!C3:C70,"N",'gm podst'!V3:V70)</f>
        <v>0</v>
      </c>
      <c r="N18" s="165">
        <f>SUMIF('gm podst'!C3:C70,"N",'gm podst'!W3:W70)</f>
        <v>0</v>
      </c>
      <c r="O18" s="165">
        <f>SUMIF('gm podst'!C3:C70,"N",'gm podst'!X3:X70)</f>
        <v>0</v>
      </c>
      <c r="P18" s="165">
        <f>SUMIF('gm podst'!D3:D70,"N",'gm podst'!Y3:Y70)</f>
        <v>0</v>
      </c>
      <c r="Q18" s="173">
        <f>SUMIF('gm podst'!E3:E70,"N",'gm podst'!Z3:Z70)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40.15" customHeight="1" thickBot="1" x14ac:dyDescent="0.3">
      <c r="A19" s="120" t="s">
        <v>40</v>
      </c>
      <c r="B19" s="167">
        <f>COUNTIF('gm podst'!C3:C70,"W")</f>
        <v>9</v>
      </c>
      <c r="C19" s="168">
        <f>SUMIF('gm podst'!C3:C70,"W",'gm podst'!K3:K70)</f>
        <v>34729915.5</v>
      </c>
      <c r="D19" s="169">
        <f>SUMIF('gm podst'!C3:C70,"W",'gm podst'!M3:M70)</f>
        <v>9014990.4499999993</v>
      </c>
      <c r="E19" s="121">
        <f>SUMIF('gm podst'!C3:C70,"W",'gm podst'!L3:L70)</f>
        <v>25714925.049999997</v>
      </c>
      <c r="F19" s="174">
        <f>SUMIF('gm podst'!C3:C70,"W",'gm podst'!O3:O70)</f>
        <v>0</v>
      </c>
      <c r="G19" s="168">
        <f>SUMIF('gm podst'!C3:C70,"W",'gm podst'!P3:P70)</f>
        <v>0</v>
      </c>
      <c r="H19" s="168">
        <f>SUMIF('gm podst'!C3:C70,"W",'gm podst'!Q3:Q70)</f>
        <v>0</v>
      </c>
      <c r="I19" s="168">
        <f>SUMIF('gm podst'!C3:C70,"W",'gm podst'!R3:R70)</f>
        <v>0</v>
      </c>
      <c r="J19" s="168">
        <f>SUMIF('gm podst'!C3:C70,"W",'gm podst'!S3:S70)</f>
        <v>0</v>
      </c>
      <c r="K19" s="168">
        <f>SUMIF('gm podst'!C3:C70,"W",'gm podst'!T3:T70)</f>
        <v>14034169.459999999</v>
      </c>
      <c r="L19" s="168">
        <f>SUMIF('gm podst'!C3:C70,"W",'gm podst'!U3:U70)</f>
        <v>9693404.8299999982</v>
      </c>
      <c r="M19" s="168">
        <f>SUMIF('gm podst'!C3:C70,"W",'gm podst'!V3:V70)</f>
        <v>1987350.7600000007</v>
      </c>
      <c r="N19" s="168">
        <f>SUMIF('gm podst'!C3:C70,"W",'gm podst'!W3:W70)</f>
        <v>0</v>
      </c>
      <c r="O19" s="168">
        <f>SUMIF('gm podst'!C3:C70,"W",'gm podst'!X3:X70)</f>
        <v>0</v>
      </c>
      <c r="P19" s="168">
        <f>SUMIF('gm podst'!D3:D70,"W",'gm podst'!Y3:Y70)</f>
        <v>0</v>
      </c>
      <c r="Q19" s="175">
        <f>SUMIF('gm podst'!E3:E70,"W",'gm podst'!Z3:Z70)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40.15" customHeight="1" thickTop="1" x14ac:dyDescent="0.25">
      <c r="A20" s="122" t="s">
        <v>42</v>
      </c>
      <c r="B20" s="123">
        <f>B12+B16</f>
        <v>70</v>
      </c>
      <c r="C20" s="124">
        <f>C12+C16</f>
        <v>159490022.99999997</v>
      </c>
      <c r="D20" s="125">
        <f t="shared" ref="C20:O22" si="2">D12+D16</f>
        <v>50304354</v>
      </c>
      <c r="E20" s="126">
        <f t="shared" si="2"/>
        <v>109185669.00000003</v>
      </c>
      <c r="F20" s="127">
        <f t="shared" si="2"/>
        <v>0</v>
      </c>
      <c r="G20" s="124">
        <f t="shared" si="2"/>
        <v>0</v>
      </c>
      <c r="H20" s="124">
        <f t="shared" si="2"/>
        <v>0</v>
      </c>
      <c r="I20" s="124">
        <f t="shared" si="2"/>
        <v>0</v>
      </c>
      <c r="J20" s="124">
        <f t="shared" si="2"/>
        <v>10835376.120000001</v>
      </c>
      <c r="K20" s="124">
        <f>K12+K16</f>
        <v>85236063.310000017</v>
      </c>
      <c r="L20" s="124">
        <f t="shared" si="2"/>
        <v>11126878.809999999</v>
      </c>
      <c r="M20" s="124">
        <f t="shared" si="2"/>
        <v>1987350.7600000007</v>
      </c>
      <c r="N20" s="124">
        <f t="shared" si="2"/>
        <v>0</v>
      </c>
      <c r="O20" s="124">
        <f t="shared" si="2"/>
        <v>0</v>
      </c>
      <c r="P20" s="124">
        <f t="shared" ref="P20:Q20" si="3">P12+P16</f>
        <v>0</v>
      </c>
      <c r="Q20" s="128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40.15" customHeight="1" x14ac:dyDescent="0.25">
      <c r="A21" s="129" t="s">
        <v>38</v>
      </c>
      <c r="B21" s="93">
        <f>B13+B17</f>
        <v>8</v>
      </c>
      <c r="C21" s="85">
        <f t="shared" si="2"/>
        <v>32087163.750000004</v>
      </c>
      <c r="D21" s="98">
        <f t="shared" si="2"/>
        <v>10621461.620000001</v>
      </c>
      <c r="E21" s="51">
        <f t="shared" si="2"/>
        <v>21465702.130000003</v>
      </c>
      <c r="F21" s="103">
        <f t="shared" si="2"/>
        <v>0</v>
      </c>
      <c r="G21" s="85">
        <f t="shared" si="2"/>
        <v>0</v>
      </c>
      <c r="H21" s="85">
        <f t="shared" si="2"/>
        <v>0</v>
      </c>
      <c r="I21" s="85">
        <f t="shared" si="2"/>
        <v>0</v>
      </c>
      <c r="J21" s="85">
        <f t="shared" si="2"/>
        <v>10835376.120000001</v>
      </c>
      <c r="K21" s="85">
        <f t="shared" si="2"/>
        <v>10630326.010000002</v>
      </c>
      <c r="L21" s="85">
        <f t="shared" si="2"/>
        <v>0</v>
      </c>
      <c r="M21" s="85">
        <f t="shared" si="2"/>
        <v>0</v>
      </c>
      <c r="N21" s="85">
        <f t="shared" si="2"/>
        <v>0</v>
      </c>
      <c r="O21" s="85">
        <f t="shared" si="2"/>
        <v>0</v>
      </c>
      <c r="P21" s="85">
        <f t="shared" ref="P21:Q21" si="4">P13+P17</f>
        <v>0</v>
      </c>
      <c r="Q21" s="130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40.15" customHeight="1" x14ac:dyDescent="0.25">
      <c r="A22" s="131" t="s">
        <v>39</v>
      </c>
      <c r="B22" s="94">
        <f>B14+B18</f>
        <v>52</v>
      </c>
      <c r="C22" s="88">
        <f t="shared" si="2"/>
        <v>89803125.969999984</v>
      </c>
      <c r="D22" s="99">
        <f t="shared" si="2"/>
        <v>30093938.369999997</v>
      </c>
      <c r="E22" s="50">
        <f t="shared" si="2"/>
        <v>59709187.600000016</v>
      </c>
      <c r="F22" s="104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0</v>
      </c>
      <c r="K22" s="88">
        <f t="shared" si="2"/>
        <v>59709187.600000016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88">
        <f t="shared" si="2"/>
        <v>0</v>
      </c>
      <c r="P22" s="88">
        <f t="shared" ref="P22:Q22" si="5">P14+P18</f>
        <v>0</v>
      </c>
      <c r="Q22" s="132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40.15" customHeight="1" thickBot="1" x14ac:dyDescent="0.3">
      <c r="A23" s="133" t="s">
        <v>40</v>
      </c>
      <c r="B23" s="134">
        <f>B15+B19</f>
        <v>10</v>
      </c>
      <c r="C23" s="135">
        <f t="shared" ref="C23:O23" si="6">C15+C19</f>
        <v>37599733.280000001</v>
      </c>
      <c r="D23" s="136">
        <f t="shared" si="6"/>
        <v>9588954.0099999979</v>
      </c>
      <c r="E23" s="121">
        <f t="shared" si="6"/>
        <v>28010779.269999996</v>
      </c>
      <c r="F23" s="137">
        <f t="shared" si="6"/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14896549.699999999</v>
      </c>
      <c r="L23" s="135">
        <f t="shared" si="6"/>
        <v>11126878.809999999</v>
      </c>
      <c r="M23" s="135">
        <f t="shared" si="6"/>
        <v>1987350.7600000007</v>
      </c>
      <c r="N23" s="135">
        <f t="shared" si="6"/>
        <v>0</v>
      </c>
      <c r="O23" s="135">
        <f t="shared" si="6"/>
        <v>0</v>
      </c>
      <c r="P23" s="135">
        <f t="shared" ref="P23:Q23" si="7">P15+P19</f>
        <v>0</v>
      </c>
      <c r="Q23" s="138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40.15" customHeight="1" thickTop="1" x14ac:dyDescent="0.25">
      <c r="A24" s="111" t="s">
        <v>2</v>
      </c>
      <c r="B24" s="112">
        <f>COUNTA('pow rez'!K3:K5)</f>
        <v>0</v>
      </c>
      <c r="C24" s="113">
        <f>SUM('pow rez'!J3:J5)</f>
        <v>0</v>
      </c>
      <c r="D24" s="114">
        <f>SUM('pow rez'!L3:L5)</f>
        <v>0</v>
      </c>
      <c r="E24" s="115">
        <f>SUM('pow rez'!K3:K5)</f>
        <v>0</v>
      </c>
      <c r="F24" s="116">
        <f>SUM('pow rez'!N3:N5)</f>
        <v>0</v>
      </c>
      <c r="G24" s="113">
        <f>SUM('pow rez'!O3:O5)</f>
        <v>0</v>
      </c>
      <c r="H24" s="113">
        <f>SUM('pow rez'!P3:P5)</f>
        <v>0</v>
      </c>
      <c r="I24" s="113">
        <f>SUM('pow rez'!Q3:Q5)</f>
        <v>0</v>
      </c>
      <c r="J24" s="113">
        <f>SUM('pow rez'!R3:R5)</f>
        <v>0</v>
      </c>
      <c r="K24" s="113">
        <f>SUM('pow rez'!S3:S5)</f>
        <v>0</v>
      </c>
      <c r="L24" s="113">
        <f>SUM('pow rez'!T3:T5)</f>
        <v>0</v>
      </c>
      <c r="M24" s="113">
        <f>SUM('pow rez'!U3:U5)</f>
        <v>0</v>
      </c>
      <c r="N24" s="113">
        <f>SUM('pow rez'!V3:V5)</f>
        <v>0</v>
      </c>
      <c r="O24" s="113">
        <f>SUM('pow rez'!W3:W5)</f>
        <v>0</v>
      </c>
      <c r="P24" s="113">
        <f>SUM('pow rez'!X3:X5)</f>
        <v>0</v>
      </c>
      <c r="Q24" s="117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40.15" customHeight="1" x14ac:dyDescent="0.25">
      <c r="A25" s="119" t="s">
        <v>39</v>
      </c>
      <c r="B25" s="164">
        <f>COUNTIF('pow rez'!C3:C5,"N")</f>
        <v>0</v>
      </c>
      <c r="C25" s="165">
        <f>SUMIF('pow rez'!C3:C5,"N",'pow rez'!J3:J5)</f>
        <v>0</v>
      </c>
      <c r="D25" s="166">
        <f>SUMIF('pow rez'!C3:C5,"N",'pow rez'!L3:L5)</f>
        <v>0</v>
      </c>
      <c r="E25" s="50">
        <f>SUMIF('pow rez'!C3:C5,"N",'pow rez'!K3:K5)</f>
        <v>0</v>
      </c>
      <c r="F25" s="172">
        <f>SUMIF('pow rez'!C3:C5,"N",'pow rez'!N3:N5)</f>
        <v>0</v>
      </c>
      <c r="G25" s="165">
        <f>SUMIF('pow rez'!C3:C5,"N",'pow rez'!O3:O5)</f>
        <v>0</v>
      </c>
      <c r="H25" s="165">
        <f>SUMIF('pow rez'!C3:C5,"N",'pow rez'!P3:P5)</f>
        <v>0</v>
      </c>
      <c r="I25" s="165">
        <f>SUMIF('pow rez'!C3:C5,"N",'pow rez'!Q3:Q5)</f>
        <v>0</v>
      </c>
      <c r="J25" s="165">
        <f>SUMIF('pow rez'!C3:C5,"N",'pow rez'!R3:R5)</f>
        <v>0</v>
      </c>
      <c r="K25" s="165">
        <f>SUMIF('pow rez'!C3:C5,"N",'pow rez'!S3:S5)</f>
        <v>0</v>
      </c>
      <c r="L25" s="165">
        <f>SUMIF('pow rez'!C3:C5,"N",'pow rez'!T3:T5)</f>
        <v>0</v>
      </c>
      <c r="M25" s="165">
        <f>SUMIF('pow rez'!C3:C5,"N",'pow rez'!U3:U5)</f>
        <v>0</v>
      </c>
      <c r="N25" s="165">
        <f>SUMIF('pow rez'!C3:C5,"N",'pow rez'!V3:V5)</f>
        <v>0</v>
      </c>
      <c r="O25" s="165">
        <f>SUMIF('pow rez'!C3:C5,"N",'pow rez'!W3:W5)</f>
        <v>0</v>
      </c>
      <c r="P25" s="165">
        <f>SUMIF('pow rez'!D3:D5,"N",'pow rez'!X3:X5)</f>
        <v>0</v>
      </c>
      <c r="Q25" s="173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40.15" customHeight="1" thickBot="1" x14ac:dyDescent="0.3">
      <c r="A26" s="120" t="s">
        <v>40</v>
      </c>
      <c r="B26" s="167">
        <f>COUNTIF('pow rez'!C3:C5,"W")</f>
        <v>0</v>
      </c>
      <c r="C26" s="168">
        <f>SUMIF('pow rez'!C3:C5,"W",'pow rez'!J3:J5)</f>
        <v>0</v>
      </c>
      <c r="D26" s="169">
        <f>SUMIF('pow rez'!C3:C5,"W",'pow rez'!L3:L5)</f>
        <v>0</v>
      </c>
      <c r="E26" s="121">
        <f>SUMIF('pow rez'!C3:C5,"W",'pow rez'!K3:K5)</f>
        <v>0</v>
      </c>
      <c r="F26" s="174">
        <f>SUMIF('pow rez'!C3:C5,"W",'pow rez'!N3:N5)</f>
        <v>0</v>
      </c>
      <c r="G26" s="168">
        <f>SUMIF('pow rez'!C3:C5,"W",'pow rez'!O3:O5)</f>
        <v>0</v>
      </c>
      <c r="H26" s="168">
        <f>SUMIF('pow rez'!C3:C5,"W",'pow rez'!P3:P5)</f>
        <v>0</v>
      </c>
      <c r="I26" s="168">
        <f>SUMIF('pow rez'!C3:C5,"W",'pow rez'!Q3:Q5)</f>
        <v>0</v>
      </c>
      <c r="J26" s="168">
        <f>SUMIF('pow rez'!C3:C5,"W",'pow rez'!R3:R5)</f>
        <v>0</v>
      </c>
      <c r="K26" s="168">
        <f>SUMIF('pow rez'!C3:C5,"W",'pow rez'!S3:S5)</f>
        <v>0</v>
      </c>
      <c r="L26" s="168">
        <f>SUMIF('pow rez'!C3:C5,"W",'pow rez'!T3:T5)</f>
        <v>0</v>
      </c>
      <c r="M26" s="168">
        <f>SUMIF('pow rez'!C3:C5,"W",'pow rez'!U3:U5)</f>
        <v>0</v>
      </c>
      <c r="N26" s="168">
        <f>SUMIF('pow rez'!C3:C5,"W",'pow rez'!V3:V5)</f>
        <v>0</v>
      </c>
      <c r="O26" s="168">
        <f>SUMIF('pow rez'!C3:C5,"W",'pow rez'!W3:W5)</f>
        <v>0</v>
      </c>
      <c r="P26" s="168">
        <f>SUMIF('pow rez'!D3:D5,"W",'pow rez'!X3:X5)</f>
        <v>0</v>
      </c>
      <c r="Q26" s="175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40.15" customHeight="1" thickTop="1" x14ac:dyDescent="0.25">
      <c r="A27" s="111" t="s">
        <v>3</v>
      </c>
      <c r="B27" s="112">
        <f>COUNTA('gm rez'!L3:L20)</f>
        <v>0</v>
      </c>
      <c r="C27" s="113">
        <f>SUM('gm rez'!K3:K20)</f>
        <v>0</v>
      </c>
      <c r="D27" s="114">
        <f>SUM('gm rez'!M3:M20)</f>
        <v>0</v>
      </c>
      <c r="E27" s="115">
        <f>SUM('gm rez'!L3:L20)</f>
        <v>0</v>
      </c>
      <c r="F27" s="116">
        <f>SUM('gm rez'!O3:O20)</f>
        <v>0</v>
      </c>
      <c r="G27" s="113">
        <f>SUM('gm rez'!P3:P20)</f>
        <v>0</v>
      </c>
      <c r="H27" s="113">
        <f>SUM('gm rez'!Q3:Q20)</f>
        <v>0</v>
      </c>
      <c r="I27" s="113">
        <f>SUM('gm rez'!R3:R20)</f>
        <v>0</v>
      </c>
      <c r="J27" s="113">
        <f>SUM('gm rez'!S3:S20)</f>
        <v>0</v>
      </c>
      <c r="K27" s="113">
        <f>SUM('gm rez'!T3:T20)</f>
        <v>0</v>
      </c>
      <c r="L27" s="113">
        <f>SUM('gm rez'!U3:U20)</f>
        <v>0</v>
      </c>
      <c r="M27" s="113">
        <f>SUM('gm rez'!V3:V20)</f>
        <v>0</v>
      </c>
      <c r="N27" s="113">
        <f>SUM('gm rez'!W3:W20)</f>
        <v>0</v>
      </c>
      <c r="O27" s="113">
        <f>SUM('gm rez'!X3:X20)</f>
        <v>0</v>
      </c>
      <c r="P27" s="113">
        <f>SUM('gm rez'!Y3:Y20)</f>
        <v>0</v>
      </c>
      <c r="Q27" s="117">
        <f>SUM('gm rez'!Z3:Z20)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40.15" customHeight="1" x14ac:dyDescent="0.25">
      <c r="A28" s="119" t="s">
        <v>39</v>
      </c>
      <c r="B28" s="164">
        <f>COUNTIF('gm rez'!C3:C20,"N")</f>
        <v>0</v>
      </c>
      <c r="C28" s="165">
        <f>SUMIF('gm rez'!C3:C20,"N",'gm rez'!K3:K20)</f>
        <v>0</v>
      </c>
      <c r="D28" s="166">
        <f>SUMIF('gm rez'!C3:C20,"N",'gm rez'!M3:M20)</f>
        <v>0</v>
      </c>
      <c r="E28" s="50">
        <f>SUMIF('gm rez'!C3:C20,"N",'gm rez'!L3:L20)</f>
        <v>0</v>
      </c>
      <c r="F28" s="172">
        <f>SUMIF('gm rez'!C3:C20,"N",'gm rez'!O3:O20)</f>
        <v>0</v>
      </c>
      <c r="G28" s="165">
        <f>SUMIF('gm rez'!C3:C20,"N",'gm rez'!P3:P20)</f>
        <v>0</v>
      </c>
      <c r="H28" s="165">
        <f>SUMIF('gm rez'!C3:C20,"N",'gm rez'!Q3:Q20)</f>
        <v>0</v>
      </c>
      <c r="I28" s="165">
        <f>SUMIF('gm rez'!C3:C20,"N",'gm rez'!R3:R20)</f>
        <v>0</v>
      </c>
      <c r="J28" s="165">
        <f>SUMIF('gm rez'!C3:C20,"N",'gm rez'!S3:S20)</f>
        <v>0</v>
      </c>
      <c r="K28" s="165">
        <f>SUMIF('gm rez'!C3:C20,"N",'gm rez'!T3:T20)</f>
        <v>0</v>
      </c>
      <c r="L28" s="165">
        <f>SUMIF('gm rez'!C3:C20,"N",'gm rez'!U3:U20)</f>
        <v>0</v>
      </c>
      <c r="M28" s="165">
        <f>SUMIF('gm rez'!C3:C20,"N",'gm rez'!V3:V20)</f>
        <v>0</v>
      </c>
      <c r="N28" s="165">
        <f>SUMIF('gm rez'!C3:C20,"N",'gm rez'!W3:W20)</f>
        <v>0</v>
      </c>
      <c r="O28" s="165">
        <f>SUMIF('gm rez'!C3:C20,"N",'gm rez'!X3:X20)</f>
        <v>0</v>
      </c>
      <c r="P28" s="165">
        <f>SUMIF('gm rez'!D3:D20,"N",'gm rez'!Y3:Y20)</f>
        <v>0</v>
      </c>
      <c r="Q28" s="173">
        <f>SUMIF('gm rez'!E3:E20,"N",'gm rez'!Z3:Z20)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40.15" customHeight="1" thickBot="1" x14ac:dyDescent="0.3">
      <c r="A29" s="120" t="s">
        <v>40</v>
      </c>
      <c r="B29" s="167">
        <f>COUNTIF('gm rez'!C3:C20,"W")</f>
        <v>0</v>
      </c>
      <c r="C29" s="168">
        <f>SUMIF('gm rez'!C3:C20,"W",'gm rez'!K3:K20)</f>
        <v>0</v>
      </c>
      <c r="D29" s="169">
        <f>SUMIF('gm rez'!C3:C20,"W",'gm rez'!M3:M20)</f>
        <v>0</v>
      </c>
      <c r="E29" s="121">
        <f>SUMIF('gm rez'!C3:C20,"W",'gm rez'!L3:L20)</f>
        <v>0</v>
      </c>
      <c r="F29" s="174">
        <f>SUMIF('gm rez'!C3:C20,"W",'gm rez'!O3:O20)</f>
        <v>0</v>
      </c>
      <c r="G29" s="168">
        <f>SUMIF('gm rez'!C3:C20,"W",'gm rez'!P3:P20)</f>
        <v>0</v>
      </c>
      <c r="H29" s="168">
        <f>SUMIF('gm rez'!C3:C20,"W",'gm rez'!Q3:Q20)</f>
        <v>0</v>
      </c>
      <c r="I29" s="168">
        <f>SUMIF('gm rez'!C3:C20,"W",'gm rez'!R3:R20)</f>
        <v>0</v>
      </c>
      <c r="J29" s="168">
        <f>SUMIF('gm rez'!C3:C20,"W",'gm rez'!S3:S20)</f>
        <v>0</v>
      </c>
      <c r="K29" s="168">
        <f>SUMIF('gm rez'!C3:C20,"W",'gm rez'!T3:T20)</f>
        <v>0</v>
      </c>
      <c r="L29" s="168">
        <f>SUMIF('gm rez'!C3:C20,"W",'gm rez'!U3:U20)</f>
        <v>0</v>
      </c>
      <c r="M29" s="168">
        <f>SUMIF('gm rez'!C3:C20,"W",'gm rez'!V3:V20)</f>
        <v>0</v>
      </c>
      <c r="N29" s="168">
        <f>SUMIF('gm rez'!C3:C20,"W",'gm rez'!W3:W20)</f>
        <v>0</v>
      </c>
      <c r="O29" s="168">
        <f>SUMIF('gm rez'!C3:C20,"W",'gm rez'!X3:X20)</f>
        <v>0</v>
      </c>
      <c r="P29" s="168">
        <f>SUMIF('gm rez'!D3:D20,"W",'gm rez'!Y3:Y20)</f>
        <v>0</v>
      </c>
      <c r="Q29" s="175">
        <f>SUMIF('gm rez'!E3:E20,"W",'gm rez'!Z3:Z20)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40.15" customHeight="1" thickTop="1" x14ac:dyDescent="0.25">
      <c r="A30" s="186" t="s">
        <v>23</v>
      </c>
      <c r="B30" s="187">
        <f>B24+B27</f>
        <v>0</v>
      </c>
      <c r="C30" s="188">
        <f t="shared" ref="C30:O30" si="8">C24+C27</f>
        <v>0</v>
      </c>
      <c r="D30" s="189">
        <f t="shared" si="8"/>
        <v>0</v>
      </c>
      <c r="E30" s="190">
        <f t="shared" si="8"/>
        <v>0</v>
      </c>
      <c r="F30" s="191">
        <f t="shared" si="8"/>
        <v>0</v>
      </c>
      <c r="G30" s="188">
        <f t="shared" si="8"/>
        <v>0</v>
      </c>
      <c r="H30" s="188">
        <f t="shared" si="8"/>
        <v>0</v>
      </c>
      <c r="I30" s="188">
        <f t="shared" si="8"/>
        <v>0</v>
      </c>
      <c r="J30" s="188">
        <f t="shared" si="8"/>
        <v>0</v>
      </c>
      <c r="K30" s="188">
        <f t="shared" si="8"/>
        <v>0</v>
      </c>
      <c r="L30" s="188">
        <f t="shared" si="8"/>
        <v>0</v>
      </c>
      <c r="M30" s="188">
        <f t="shared" si="8"/>
        <v>0</v>
      </c>
      <c r="N30" s="188">
        <f t="shared" si="8"/>
        <v>0</v>
      </c>
      <c r="O30" s="188">
        <f t="shared" si="8"/>
        <v>0</v>
      </c>
      <c r="P30" s="188">
        <f t="shared" ref="P30:Q30" si="9">P24+P27</f>
        <v>0</v>
      </c>
      <c r="Q30" s="192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40.15" customHeight="1" x14ac:dyDescent="0.25">
      <c r="A31" s="97" t="s">
        <v>39</v>
      </c>
      <c r="B31" s="95">
        <f t="shared" ref="B31:O31" si="10">B25+B28</f>
        <v>0</v>
      </c>
      <c r="C31" s="86">
        <f t="shared" si="10"/>
        <v>0</v>
      </c>
      <c r="D31" s="100">
        <f t="shared" si="10"/>
        <v>0</v>
      </c>
      <c r="E31" s="50">
        <f t="shared" si="10"/>
        <v>0</v>
      </c>
      <c r="F31" s="105">
        <f t="shared" si="10"/>
        <v>0</v>
      </c>
      <c r="G31" s="86">
        <f t="shared" si="10"/>
        <v>0</v>
      </c>
      <c r="H31" s="86">
        <f t="shared" si="10"/>
        <v>0</v>
      </c>
      <c r="I31" s="86">
        <f t="shared" si="10"/>
        <v>0</v>
      </c>
      <c r="J31" s="86">
        <f t="shared" si="10"/>
        <v>0</v>
      </c>
      <c r="K31" s="86">
        <f t="shared" si="10"/>
        <v>0</v>
      </c>
      <c r="L31" s="86">
        <f t="shared" si="10"/>
        <v>0</v>
      </c>
      <c r="M31" s="86">
        <f t="shared" si="10"/>
        <v>0</v>
      </c>
      <c r="N31" s="86">
        <f t="shared" si="10"/>
        <v>0</v>
      </c>
      <c r="O31" s="86">
        <f t="shared" si="10"/>
        <v>0</v>
      </c>
      <c r="P31" s="86">
        <f t="shared" ref="P31:Q31" si="11">P25+P28</f>
        <v>0</v>
      </c>
      <c r="Q31" s="92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40.15" customHeight="1" thickBot="1" x14ac:dyDescent="0.3">
      <c r="A32" s="139" t="s">
        <v>40</v>
      </c>
      <c r="B32" s="140">
        <f t="shared" ref="B32:O32" si="12">B26+B29</f>
        <v>0</v>
      </c>
      <c r="C32" s="141">
        <f t="shared" si="12"/>
        <v>0</v>
      </c>
      <c r="D32" s="142">
        <f t="shared" si="12"/>
        <v>0</v>
      </c>
      <c r="E32" s="143">
        <f t="shared" si="12"/>
        <v>0</v>
      </c>
      <c r="F32" s="144">
        <f t="shared" si="12"/>
        <v>0</v>
      </c>
      <c r="G32" s="141">
        <f t="shared" si="12"/>
        <v>0</v>
      </c>
      <c r="H32" s="141">
        <f t="shared" si="12"/>
        <v>0</v>
      </c>
      <c r="I32" s="141">
        <f t="shared" si="12"/>
        <v>0</v>
      </c>
      <c r="J32" s="141">
        <f t="shared" si="12"/>
        <v>0</v>
      </c>
      <c r="K32" s="141">
        <f t="shared" si="12"/>
        <v>0</v>
      </c>
      <c r="L32" s="141">
        <f t="shared" si="12"/>
        <v>0</v>
      </c>
      <c r="M32" s="141">
        <f t="shared" si="12"/>
        <v>0</v>
      </c>
      <c r="N32" s="141">
        <f t="shared" si="12"/>
        <v>0</v>
      </c>
      <c r="O32" s="141">
        <f t="shared" si="12"/>
        <v>0</v>
      </c>
      <c r="P32" s="141">
        <f t="shared" ref="P32:Q32" si="13">P26+P29</f>
        <v>0</v>
      </c>
      <c r="Q32" s="145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40.15" customHeight="1" thickTop="1" x14ac:dyDescent="0.25">
      <c r="A33" s="146" t="s">
        <v>34</v>
      </c>
      <c r="B33" s="147">
        <f>B20+B30</f>
        <v>70</v>
      </c>
      <c r="C33" s="148">
        <f t="shared" ref="C33:O33" si="14">C20+C30</f>
        <v>159490022.99999997</v>
      </c>
      <c r="D33" s="149">
        <f t="shared" si="14"/>
        <v>50304354</v>
      </c>
      <c r="E33" s="150">
        <f t="shared" si="14"/>
        <v>109185669.00000003</v>
      </c>
      <c r="F33" s="151">
        <f t="shared" si="14"/>
        <v>0</v>
      </c>
      <c r="G33" s="148">
        <f t="shared" si="14"/>
        <v>0</v>
      </c>
      <c r="H33" s="148">
        <f t="shared" si="14"/>
        <v>0</v>
      </c>
      <c r="I33" s="148">
        <f t="shared" si="14"/>
        <v>0</v>
      </c>
      <c r="J33" s="148">
        <f t="shared" si="14"/>
        <v>10835376.120000001</v>
      </c>
      <c r="K33" s="148">
        <f t="shared" si="14"/>
        <v>85236063.310000017</v>
      </c>
      <c r="L33" s="148">
        <f t="shared" si="14"/>
        <v>11126878.809999999</v>
      </c>
      <c r="M33" s="148">
        <f t="shared" si="14"/>
        <v>1987350.7600000007</v>
      </c>
      <c r="N33" s="148">
        <f t="shared" si="14"/>
        <v>0</v>
      </c>
      <c r="O33" s="148">
        <f t="shared" si="14"/>
        <v>0</v>
      </c>
      <c r="P33" s="148">
        <f t="shared" ref="P33:Q33" si="15">P20+P30</f>
        <v>0</v>
      </c>
      <c r="Q33" s="152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40.15" customHeight="1" x14ac:dyDescent="0.25">
      <c r="A34" s="179" t="s">
        <v>38</v>
      </c>
      <c r="B34" s="180">
        <f>B21</f>
        <v>8</v>
      </c>
      <c r="C34" s="181">
        <f t="shared" ref="C34:O34" si="16">C21</f>
        <v>32087163.750000004</v>
      </c>
      <c r="D34" s="182">
        <f t="shared" si="16"/>
        <v>10621461.620000001</v>
      </c>
      <c r="E34" s="51">
        <f t="shared" si="16"/>
        <v>21465702.130000003</v>
      </c>
      <c r="F34" s="183">
        <f t="shared" si="16"/>
        <v>0</v>
      </c>
      <c r="G34" s="181">
        <f t="shared" si="16"/>
        <v>0</v>
      </c>
      <c r="H34" s="181">
        <f t="shared" si="16"/>
        <v>0</v>
      </c>
      <c r="I34" s="181">
        <f t="shared" si="16"/>
        <v>0</v>
      </c>
      <c r="J34" s="181">
        <f t="shared" si="16"/>
        <v>10835376.120000001</v>
      </c>
      <c r="K34" s="181">
        <f t="shared" si="16"/>
        <v>10630326.010000002</v>
      </c>
      <c r="L34" s="181">
        <f t="shared" si="16"/>
        <v>0</v>
      </c>
      <c r="M34" s="181">
        <f t="shared" si="16"/>
        <v>0</v>
      </c>
      <c r="N34" s="181">
        <f t="shared" si="16"/>
        <v>0</v>
      </c>
      <c r="O34" s="181">
        <f t="shared" si="16"/>
        <v>0</v>
      </c>
      <c r="P34" s="181">
        <f t="shared" ref="P34:Q34" si="17">P21</f>
        <v>0</v>
      </c>
      <c r="Q34" s="184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40.15" customHeight="1" x14ac:dyDescent="0.25">
      <c r="A35" s="153" t="s">
        <v>39</v>
      </c>
      <c r="B35" s="96">
        <f>B22+B31</f>
        <v>52</v>
      </c>
      <c r="C35" s="87">
        <f t="shared" ref="C35:O35" si="18">C22+C31</f>
        <v>89803125.969999984</v>
      </c>
      <c r="D35" s="101">
        <f t="shared" si="18"/>
        <v>30093938.369999997</v>
      </c>
      <c r="E35" s="107">
        <f t="shared" si="18"/>
        <v>59709187.600000016</v>
      </c>
      <c r="F35" s="106">
        <f t="shared" si="18"/>
        <v>0</v>
      </c>
      <c r="G35" s="87">
        <f t="shared" si="18"/>
        <v>0</v>
      </c>
      <c r="H35" s="87">
        <f t="shared" si="18"/>
        <v>0</v>
      </c>
      <c r="I35" s="87">
        <f t="shared" si="18"/>
        <v>0</v>
      </c>
      <c r="J35" s="87">
        <f t="shared" si="18"/>
        <v>0</v>
      </c>
      <c r="K35" s="87">
        <f t="shared" si="18"/>
        <v>59709187.600000016</v>
      </c>
      <c r="L35" s="87">
        <f t="shared" si="18"/>
        <v>0</v>
      </c>
      <c r="M35" s="87">
        <f t="shared" si="18"/>
        <v>0</v>
      </c>
      <c r="N35" s="87">
        <f t="shared" si="18"/>
        <v>0</v>
      </c>
      <c r="O35" s="87">
        <f t="shared" si="18"/>
        <v>0</v>
      </c>
      <c r="P35" s="87">
        <f t="shared" ref="P35:Q35" si="19">P22+P31</f>
        <v>0</v>
      </c>
      <c r="Q35" s="154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40.15" customHeight="1" thickBot="1" x14ac:dyDescent="0.3">
      <c r="A36" s="155" t="s">
        <v>40</v>
      </c>
      <c r="B36" s="156">
        <f>B23+B32</f>
        <v>10</v>
      </c>
      <c r="C36" s="157">
        <f t="shared" ref="C36:O36" si="20">C23+C32</f>
        <v>37599733.280000001</v>
      </c>
      <c r="D36" s="158">
        <f t="shared" si="20"/>
        <v>9588954.0099999979</v>
      </c>
      <c r="E36" s="121">
        <f t="shared" si="20"/>
        <v>28010779.269999996</v>
      </c>
      <c r="F36" s="159">
        <f t="shared" si="20"/>
        <v>0</v>
      </c>
      <c r="G36" s="157">
        <f t="shared" si="20"/>
        <v>0</v>
      </c>
      <c r="H36" s="157">
        <f t="shared" si="20"/>
        <v>0</v>
      </c>
      <c r="I36" s="157">
        <f t="shared" si="20"/>
        <v>0</v>
      </c>
      <c r="J36" s="157">
        <f t="shared" si="20"/>
        <v>0</v>
      </c>
      <c r="K36" s="157">
        <f t="shared" si="20"/>
        <v>14896549.699999999</v>
      </c>
      <c r="L36" s="157">
        <f t="shared" si="20"/>
        <v>11126878.809999999</v>
      </c>
      <c r="M36" s="157">
        <f t="shared" si="20"/>
        <v>1987350.7600000007</v>
      </c>
      <c r="N36" s="157">
        <f t="shared" si="20"/>
        <v>0</v>
      </c>
      <c r="O36" s="157">
        <f t="shared" si="20"/>
        <v>0</v>
      </c>
      <c r="P36" s="157">
        <f t="shared" ref="P36:Q36" si="21">P23+P32</f>
        <v>0</v>
      </c>
      <c r="Q36" s="160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customSheetViews>
    <customSheetView guid="{BD3EAA12-36A1-4500-A3A8-8FB519CC9E74}" showPageBreaks="1" fitToPage="1" printArea="1" view="pageBreakPreview">
      <pageMargins left="0.70866141732283472" right="0.70866141732283472" top="0.74803149606299213" bottom="0.74803149606299213" header="0.31496062992125984" footer="0.31496062992125984"/>
      <pageSetup paperSize="8" scale="63" orientation="landscape" r:id="rId1"/>
      <headerFooter>
        <oddHeader>&amp;LWojewództ&amp;K000000wo Opolskie</oddHeader>
      </headerFooter>
    </customSheetView>
    <customSheetView guid="{B4405FF1-036B-45AD-810F-8C9DF67F9D7F}" showPageBreaks="1" fitToPage="1" printArea="1" view="pageBreakPreview" topLeftCell="A4">
      <selection activeCell="K18" sqref="K18"/>
      <pageMargins left="0.70866141732283472" right="0.70866141732283472" top="0.74803149606299213" bottom="0.74803149606299213" header="0.31496062992125984" footer="0.31496062992125984"/>
      <pageSetup paperSize="8" scale="63" orientation="landscape" r:id="rId2"/>
      <headerFooter>
        <oddHeader>&amp;LWojewództ&amp;K000000wo Opolskie</oddHeader>
      </headerFooter>
    </customSheetView>
    <customSheetView guid="{C76DCD22-0DC9-4799-A058-B64B837BBA0E}" showPageBreaks="1" fitToPage="1" printArea="1" view="pageBreakPreview">
      <selection activeCell="B34" sqref="B34"/>
      <pageMargins left="0.70866141732283472" right="0.70866141732283472" top="0.74803149606299213" bottom="0.74803149606299213" header="0.31496062992125984" footer="0.31496062992125984"/>
      <pageSetup paperSize="0" orientation="portrait" horizontalDpi="0" verticalDpi="0" copies="0"/>
      <headerFooter>
        <oddHeader>&amp;LWojewództ&amp;K000000wo Opolskie</oddHeader>
      </headerFooter>
    </customSheetView>
    <customSheetView guid="{E7CAF9DC-53CB-464B-97B7-E2DEFBC16359}" showPageBreaks="1" fitToPage="1" printArea="1" view="pageBreakPreview" topLeftCell="A4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&amp;LWojewództ&amp;K000000wo Opolskie</oddHeader>
      </headerFooter>
    </customSheetView>
    <customSheetView guid="{CB410AB3-2DDF-47B7-B021-1F68EEA98257}" showPageBreaks="1" fitToPage="1" printArea="1" view="pageBreakPreview">
      <pageMargins left="0.70866141732283472" right="0.70866141732283472" top="0.74803149606299213" bottom="0.74803149606299213" header="0.31496062992125984" footer="0.31496062992125984"/>
      <pageSetup paperSize="8" scale="63" orientation="landscape" r:id="rId4"/>
      <headerFooter>
        <oddHeader>&amp;LWojewództ&amp;K000000wo 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5"/>
  <headerFooter>
    <oddHeader>&amp;LWojewództ&amp;K000000wo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zoomScale="90" zoomScaleNormal="90" zoomScaleSheetLayoutView="85" workbookViewId="0">
      <selection sqref="A1:A2"/>
    </sheetView>
  </sheetViews>
  <sheetFormatPr defaultColWidth="9.28515625" defaultRowHeight="15" x14ac:dyDescent="0.25"/>
  <cols>
    <col min="1" max="1" width="7.28515625" style="3" customWidth="1"/>
    <col min="2" max="4" width="15.7109375" style="3" customWidth="1"/>
    <col min="5" max="5" width="8.7109375" style="3" customWidth="1"/>
    <col min="6" max="6" width="41" style="3" customWidth="1"/>
    <col min="7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28515625" style="3"/>
  </cols>
  <sheetData>
    <row r="1" spans="1:29" ht="20.100000000000001" customHeight="1" x14ac:dyDescent="0.25">
      <c r="A1" s="355" t="s">
        <v>4</v>
      </c>
      <c r="B1" s="355" t="s">
        <v>5</v>
      </c>
      <c r="C1" s="356" t="s">
        <v>44</v>
      </c>
      <c r="D1" s="351" t="s">
        <v>6</v>
      </c>
      <c r="E1" s="351" t="s">
        <v>33</v>
      </c>
      <c r="F1" s="351" t="s">
        <v>7</v>
      </c>
      <c r="G1" s="355" t="s">
        <v>27</v>
      </c>
      <c r="H1" s="355" t="s">
        <v>8</v>
      </c>
      <c r="I1" s="355" t="s">
        <v>24</v>
      </c>
      <c r="J1" s="355" t="s">
        <v>9</v>
      </c>
      <c r="K1" s="355" t="s">
        <v>16</v>
      </c>
      <c r="L1" s="351" t="s">
        <v>13</v>
      </c>
      <c r="M1" s="355" t="s">
        <v>11</v>
      </c>
      <c r="N1" s="358" t="s">
        <v>12</v>
      </c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1"/>
    </row>
    <row r="2" spans="1:29" ht="30.75" customHeight="1" x14ac:dyDescent="0.25">
      <c r="A2" s="355"/>
      <c r="B2" s="355"/>
      <c r="C2" s="357"/>
      <c r="D2" s="352"/>
      <c r="E2" s="352"/>
      <c r="F2" s="352"/>
      <c r="G2" s="355"/>
      <c r="H2" s="355"/>
      <c r="I2" s="355"/>
      <c r="J2" s="355"/>
      <c r="K2" s="355"/>
      <c r="L2" s="352"/>
      <c r="M2" s="355"/>
      <c r="N2" s="251">
        <v>2019</v>
      </c>
      <c r="O2" s="251">
        <v>2020</v>
      </c>
      <c r="P2" s="251">
        <v>2021</v>
      </c>
      <c r="Q2" s="251">
        <v>2022</v>
      </c>
      <c r="R2" s="251">
        <v>2023</v>
      </c>
      <c r="S2" s="251">
        <v>2024</v>
      </c>
      <c r="T2" s="251">
        <v>2025</v>
      </c>
      <c r="U2" s="251">
        <v>2026</v>
      </c>
      <c r="V2" s="251">
        <v>2027</v>
      </c>
      <c r="W2" s="251">
        <v>2028</v>
      </c>
      <c r="X2" s="251">
        <v>2029</v>
      </c>
      <c r="Y2" s="251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52">
        <v>1</v>
      </c>
      <c r="B3" s="202" t="s">
        <v>49</v>
      </c>
      <c r="C3" s="202" t="s">
        <v>50</v>
      </c>
      <c r="D3" s="253" t="s">
        <v>51</v>
      </c>
      <c r="E3" s="253">
        <v>1606</v>
      </c>
      <c r="F3" s="202" t="s">
        <v>52</v>
      </c>
      <c r="G3" s="202" t="s">
        <v>53</v>
      </c>
      <c r="H3" s="216">
        <v>1.05</v>
      </c>
      <c r="I3" s="193" t="s">
        <v>266</v>
      </c>
      <c r="J3" s="196">
        <v>734327.14</v>
      </c>
      <c r="K3" s="49">
        <f>ROUNDDOWN(J3*M3,2)</f>
        <v>367163.57</v>
      </c>
      <c r="L3" s="52">
        <f>J3-K3</f>
        <v>367163.57</v>
      </c>
      <c r="M3" s="314">
        <v>0.5</v>
      </c>
      <c r="N3" s="248">
        <v>0</v>
      </c>
      <c r="O3" s="248">
        <v>0</v>
      </c>
      <c r="P3" s="249">
        <v>0</v>
      </c>
      <c r="Q3" s="249">
        <v>0</v>
      </c>
      <c r="R3" s="249">
        <v>0</v>
      </c>
      <c r="S3" s="250">
        <f>K3</f>
        <v>367163.57</v>
      </c>
      <c r="T3" s="254">
        <v>0</v>
      </c>
      <c r="U3" s="254">
        <v>0</v>
      </c>
      <c r="V3" s="254">
        <v>0</v>
      </c>
      <c r="W3" s="254">
        <v>0</v>
      </c>
      <c r="X3" s="254">
        <v>0</v>
      </c>
      <c r="Y3" s="254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s="291" customFormat="1" ht="30" customHeight="1" x14ac:dyDescent="0.25">
      <c r="A4" s="283">
        <v>2</v>
      </c>
      <c r="B4" s="263" t="s">
        <v>54</v>
      </c>
      <c r="C4" s="284"/>
      <c r="D4" s="263" t="s">
        <v>55</v>
      </c>
      <c r="E4" s="263">
        <v>1607</v>
      </c>
      <c r="F4" s="263" t="s">
        <v>56</v>
      </c>
      <c r="G4" s="263" t="s">
        <v>57</v>
      </c>
      <c r="H4" s="265"/>
      <c r="I4" s="266" t="s">
        <v>263</v>
      </c>
      <c r="J4" s="267"/>
      <c r="K4" s="285"/>
      <c r="L4" s="268"/>
      <c r="M4" s="286">
        <v>0.5</v>
      </c>
      <c r="N4" s="270"/>
      <c r="O4" s="270"/>
      <c r="P4" s="287"/>
      <c r="Q4" s="287"/>
      <c r="R4" s="287"/>
      <c r="S4" s="260"/>
      <c r="T4" s="287"/>
      <c r="U4" s="287"/>
      <c r="V4" s="287"/>
      <c r="W4" s="287"/>
      <c r="X4" s="287"/>
      <c r="Y4" s="287"/>
      <c r="Z4" s="288" t="b">
        <f t="shared" ref="Z4:Z14" si="2">K4=SUM(N4:Y4)</f>
        <v>1</v>
      </c>
      <c r="AA4" s="289" t="e">
        <f t="shared" ref="AA4:AA13" si="3">ROUND(K4/J4,4)</f>
        <v>#DIV/0!</v>
      </c>
      <c r="AB4" s="290" t="e">
        <f t="shared" ref="AB4:AB10" si="4">AA4=M4</f>
        <v>#DIV/0!</v>
      </c>
      <c r="AC4" s="290" t="b">
        <f t="shared" ref="AC4:AC13" si="5">J4=K4+L4</f>
        <v>1</v>
      </c>
    </row>
    <row r="5" spans="1:29" s="210" customFormat="1" ht="30" customHeight="1" x14ac:dyDescent="0.25">
      <c r="A5" s="255">
        <v>3</v>
      </c>
      <c r="B5" s="213" t="s">
        <v>58</v>
      </c>
      <c r="C5" s="199" t="s">
        <v>59</v>
      </c>
      <c r="D5" s="213" t="s">
        <v>60</v>
      </c>
      <c r="E5" s="213">
        <v>1604</v>
      </c>
      <c r="F5" s="213" t="s">
        <v>61</v>
      </c>
      <c r="G5" s="213" t="s">
        <v>53</v>
      </c>
      <c r="H5" s="214">
        <v>3.47</v>
      </c>
      <c r="I5" s="201" t="s">
        <v>275</v>
      </c>
      <c r="J5" s="201">
        <v>2869817.78</v>
      </c>
      <c r="K5" s="310">
        <f t="shared" ref="K5:K9" si="6">ROUNDDOWN(J5*M5,2)</f>
        <v>2295854.2200000002</v>
      </c>
      <c r="L5" s="206">
        <f t="shared" ref="L5:L9" si="7">J5-K5</f>
        <v>573963.55999999959</v>
      </c>
      <c r="M5" s="204">
        <v>0.8</v>
      </c>
      <c r="N5" s="247">
        <v>0</v>
      </c>
      <c r="O5" s="247">
        <v>0</v>
      </c>
      <c r="P5" s="311">
        <v>0</v>
      </c>
      <c r="Q5" s="311">
        <v>0</v>
      </c>
      <c r="R5" s="311">
        <v>0</v>
      </c>
      <c r="S5" s="312">
        <v>862380.24</v>
      </c>
      <c r="T5" s="313">
        <v>1433473.98</v>
      </c>
      <c r="U5" s="311">
        <v>0</v>
      </c>
      <c r="V5" s="256">
        <v>0</v>
      </c>
      <c r="W5" s="256">
        <v>0</v>
      </c>
      <c r="X5" s="256">
        <v>0</v>
      </c>
      <c r="Y5" s="256">
        <v>0</v>
      </c>
      <c r="Z5" s="207" t="b">
        <f t="shared" si="2"/>
        <v>1</v>
      </c>
      <c r="AA5" s="208">
        <f t="shared" si="3"/>
        <v>0.8</v>
      </c>
      <c r="AB5" s="209" t="b">
        <f t="shared" si="4"/>
        <v>1</v>
      </c>
      <c r="AC5" s="209" t="b">
        <f t="shared" si="5"/>
        <v>1</v>
      </c>
    </row>
    <row r="6" spans="1:29" ht="42" customHeight="1" x14ac:dyDescent="0.25">
      <c r="A6" s="252">
        <v>4</v>
      </c>
      <c r="B6" s="202" t="s">
        <v>62</v>
      </c>
      <c r="C6" s="253" t="s">
        <v>50</v>
      </c>
      <c r="D6" s="202" t="s">
        <v>63</v>
      </c>
      <c r="E6" s="202">
        <v>1611</v>
      </c>
      <c r="F6" s="202" t="s">
        <v>64</v>
      </c>
      <c r="G6" s="202" t="s">
        <v>65</v>
      </c>
      <c r="H6" s="216">
        <v>0.15</v>
      </c>
      <c r="I6" s="197" t="s">
        <v>297</v>
      </c>
      <c r="J6" s="196">
        <v>1922450.64</v>
      </c>
      <c r="K6" s="49">
        <f t="shared" si="6"/>
        <v>961225.32</v>
      </c>
      <c r="L6" s="52">
        <f t="shared" si="7"/>
        <v>961225.32</v>
      </c>
      <c r="M6" s="314">
        <v>0.5</v>
      </c>
      <c r="N6" s="248">
        <v>0</v>
      </c>
      <c r="O6" s="248">
        <v>0</v>
      </c>
      <c r="P6" s="249">
        <v>0</v>
      </c>
      <c r="Q6" s="249">
        <v>0</v>
      </c>
      <c r="R6" s="249">
        <v>0</v>
      </c>
      <c r="S6" s="250">
        <f t="shared" ref="S6:S10" si="8">K6</f>
        <v>961225.32</v>
      </c>
      <c r="T6" s="249">
        <v>0</v>
      </c>
      <c r="U6" s="249">
        <v>0</v>
      </c>
      <c r="V6" s="254">
        <v>0</v>
      </c>
      <c r="W6" s="254">
        <v>0</v>
      </c>
      <c r="X6" s="254">
        <v>0</v>
      </c>
      <c r="Y6" s="254">
        <v>0</v>
      </c>
      <c r="Z6" s="1" t="b">
        <f t="shared" si="2"/>
        <v>1</v>
      </c>
      <c r="AA6" s="45">
        <f t="shared" si="3"/>
        <v>0.5</v>
      </c>
      <c r="AB6" s="46" t="b">
        <f t="shared" si="4"/>
        <v>1</v>
      </c>
      <c r="AC6" s="46" t="b">
        <f t="shared" si="5"/>
        <v>1</v>
      </c>
    </row>
    <row r="7" spans="1:29" ht="30" customHeight="1" x14ac:dyDescent="0.25">
      <c r="A7" s="252">
        <v>5</v>
      </c>
      <c r="B7" s="202" t="s">
        <v>66</v>
      </c>
      <c r="C7" s="253" t="s">
        <v>50</v>
      </c>
      <c r="D7" s="202" t="s">
        <v>67</v>
      </c>
      <c r="E7" s="202">
        <v>1605</v>
      </c>
      <c r="F7" s="202" t="s">
        <v>68</v>
      </c>
      <c r="G7" s="202" t="s">
        <v>65</v>
      </c>
      <c r="H7" s="216">
        <v>0.10299999999999999</v>
      </c>
      <c r="I7" s="197" t="s">
        <v>286</v>
      </c>
      <c r="J7" s="196">
        <v>427210.4</v>
      </c>
      <c r="K7" s="49">
        <v>209901.35</v>
      </c>
      <c r="L7" s="52">
        <f t="shared" si="7"/>
        <v>217309.05000000002</v>
      </c>
      <c r="M7" s="315">
        <v>0.49130000000000001</v>
      </c>
      <c r="N7" s="248">
        <v>0</v>
      </c>
      <c r="O7" s="248">
        <v>0</v>
      </c>
      <c r="P7" s="249">
        <v>0</v>
      </c>
      <c r="Q7" s="249">
        <v>0</v>
      </c>
      <c r="R7" s="249">
        <v>0</v>
      </c>
      <c r="S7" s="250">
        <f t="shared" si="8"/>
        <v>209901.35</v>
      </c>
      <c r="T7" s="249">
        <v>0</v>
      </c>
      <c r="U7" s="249">
        <v>0</v>
      </c>
      <c r="V7" s="254">
        <v>0</v>
      </c>
      <c r="W7" s="254">
        <v>0</v>
      </c>
      <c r="X7" s="254">
        <v>0</v>
      </c>
      <c r="Y7" s="254">
        <v>0</v>
      </c>
      <c r="Z7" s="1" t="b">
        <f t="shared" si="2"/>
        <v>1</v>
      </c>
      <c r="AA7" s="45">
        <f t="shared" si="3"/>
        <v>0.49130000000000001</v>
      </c>
      <c r="AB7" s="46" t="b">
        <f t="shared" si="4"/>
        <v>1</v>
      </c>
      <c r="AC7" s="46" t="b">
        <f t="shared" si="5"/>
        <v>1</v>
      </c>
    </row>
    <row r="8" spans="1:29" ht="30" customHeight="1" x14ac:dyDescent="0.25">
      <c r="A8" s="252">
        <v>6</v>
      </c>
      <c r="B8" s="202" t="s">
        <v>69</v>
      </c>
      <c r="C8" s="253" t="s">
        <v>50</v>
      </c>
      <c r="D8" s="202" t="s">
        <v>67</v>
      </c>
      <c r="E8" s="257">
        <v>1605</v>
      </c>
      <c r="F8" s="258" t="s">
        <v>70</v>
      </c>
      <c r="G8" s="202" t="s">
        <v>65</v>
      </c>
      <c r="H8" s="216">
        <v>0.47699999999999998</v>
      </c>
      <c r="I8" s="197" t="s">
        <v>278</v>
      </c>
      <c r="J8" s="196">
        <v>2838983.41</v>
      </c>
      <c r="K8" s="49">
        <f t="shared" si="6"/>
        <v>2271186.7200000002</v>
      </c>
      <c r="L8" s="52">
        <f t="shared" si="7"/>
        <v>567796.68999999994</v>
      </c>
      <c r="M8" s="314">
        <v>0.8</v>
      </c>
      <c r="N8" s="248">
        <v>0</v>
      </c>
      <c r="O8" s="248">
        <v>0</v>
      </c>
      <c r="P8" s="249">
        <v>0</v>
      </c>
      <c r="Q8" s="249">
        <v>0</v>
      </c>
      <c r="R8" s="249">
        <v>0</v>
      </c>
      <c r="S8" s="250">
        <f t="shared" si="8"/>
        <v>2271186.7200000002</v>
      </c>
      <c r="T8" s="249">
        <v>0</v>
      </c>
      <c r="U8" s="249">
        <v>0</v>
      </c>
      <c r="V8" s="254">
        <v>0</v>
      </c>
      <c r="W8" s="254">
        <v>0</v>
      </c>
      <c r="X8" s="254">
        <v>0</v>
      </c>
      <c r="Y8" s="254">
        <v>0</v>
      </c>
      <c r="Z8" s="1" t="b">
        <f t="shared" si="2"/>
        <v>1</v>
      </c>
      <c r="AA8" s="45">
        <f t="shared" si="3"/>
        <v>0.8</v>
      </c>
      <c r="AB8" s="46" t="b">
        <f t="shared" si="4"/>
        <v>1</v>
      </c>
      <c r="AC8" s="46" t="b">
        <f t="shared" si="5"/>
        <v>1</v>
      </c>
    </row>
    <row r="9" spans="1:29" ht="30" customHeight="1" x14ac:dyDescent="0.25">
      <c r="A9" s="252">
        <v>7</v>
      </c>
      <c r="B9" s="202" t="s">
        <v>72</v>
      </c>
      <c r="C9" s="253" t="s">
        <v>50</v>
      </c>
      <c r="D9" s="202" t="s">
        <v>67</v>
      </c>
      <c r="E9" s="202">
        <v>1605</v>
      </c>
      <c r="F9" s="202" t="s">
        <v>73</v>
      </c>
      <c r="G9" s="202" t="s">
        <v>53</v>
      </c>
      <c r="H9" s="216">
        <v>1.5349999999999999</v>
      </c>
      <c r="I9" s="197" t="s">
        <v>285</v>
      </c>
      <c r="J9" s="196">
        <v>1314827.93</v>
      </c>
      <c r="K9" s="49">
        <f t="shared" si="6"/>
        <v>657413.96</v>
      </c>
      <c r="L9" s="52">
        <f t="shared" si="7"/>
        <v>657413.97</v>
      </c>
      <c r="M9" s="314">
        <v>0.5</v>
      </c>
      <c r="N9" s="248">
        <v>0</v>
      </c>
      <c r="O9" s="248">
        <v>0</v>
      </c>
      <c r="P9" s="249">
        <v>0</v>
      </c>
      <c r="Q9" s="249">
        <v>0</v>
      </c>
      <c r="R9" s="249">
        <v>0</v>
      </c>
      <c r="S9" s="250">
        <f t="shared" si="8"/>
        <v>657413.96</v>
      </c>
      <c r="T9" s="249">
        <v>0</v>
      </c>
      <c r="U9" s="249">
        <v>0</v>
      </c>
      <c r="V9" s="254">
        <v>0</v>
      </c>
      <c r="W9" s="254">
        <v>0</v>
      </c>
      <c r="X9" s="254">
        <v>0</v>
      </c>
      <c r="Y9" s="254">
        <v>0</v>
      </c>
      <c r="Z9" s="1" t="b">
        <f t="shared" si="2"/>
        <v>1</v>
      </c>
      <c r="AA9" s="45">
        <f t="shared" si="3"/>
        <v>0.5</v>
      </c>
      <c r="AB9" s="46" t="b">
        <f t="shared" si="4"/>
        <v>1</v>
      </c>
      <c r="AC9" s="46" t="b">
        <f t="shared" si="5"/>
        <v>1</v>
      </c>
    </row>
    <row r="10" spans="1:29" ht="30" customHeight="1" x14ac:dyDescent="0.25">
      <c r="A10" s="252">
        <v>8</v>
      </c>
      <c r="B10" s="202" t="s">
        <v>74</v>
      </c>
      <c r="C10" s="253" t="s">
        <v>50</v>
      </c>
      <c r="D10" s="202" t="s">
        <v>75</v>
      </c>
      <c r="E10" s="202">
        <v>1602</v>
      </c>
      <c r="F10" s="202" t="s">
        <v>76</v>
      </c>
      <c r="G10" s="202" t="s">
        <v>57</v>
      </c>
      <c r="H10" s="216">
        <v>3.9020000000000001</v>
      </c>
      <c r="I10" s="197" t="s">
        <v>269</v>
      </c>
      <c r="J10" s="196">
        <v>8717478.3599999994</v>
      </c>
      <c r="K10" s="49">
        <f>ROUNDDOWN(J10*M10,2)</f>
        <v>4358739.18</v>
      </c>
      <c r="L10" s="52">
        <f>J10-K10</f>
        <v>4358739.18</v>
      </c>
      <c r="M10" s="314">
        <v>0.5</v>
      </c>
      <c r="N10" s="248">
        <v>0</v>
      </c>
      <c r="O10" s="248">
        <v>0</v>
      </c>
      <c r="P10" s="249">
        <v>0</v>
      </c>
      <c r="Q10" s="249">
        <v>0</v>
      </c>
      <c r="R10" s="249">
        <v>0</v>
      </c>
      <c r="S10" s="250">
        <f t="shared" si="8"/>
        <v>4358739.18</v>
      </c>
      <c r="T10" s="249">
        <v>0</v>
      </c>
      <c r="U10" s="249">
        <v>0</v>
      </c>
      <c r="V10" s="254">
        <v>0</v>
      </c>
      <c r="W10" s="254">
        <v>0</v>
      </c>
      <c r="X10" s="254">
        <v>0</v>
      </c>
      <c r="Y10" s="254">
        <v>0</v>
      </c>
      <c r="Z10" s="1" t="b">
        <f t="shared" si="2"/>
        <v>1</v>
      </c>
      <c r="AA10" s="45">
        <f t="shared" si="3"/>
        <v>0.5</v>
      </c>
      <c r="AB10" s="46" t="b">
        <f t="shared" si="4"/>
        <v>1</v>
      </c>
      <c r="AC10" s="46" t="b">
        <f t="shared" si="5"/>
        <v>1</v>
      </c>
    </row>
    <row r="11" spans="1:29" ht="20.100000000000001" customHeight="1" x14ac:dyDescent="0.25">
      <c r="A11" s="354" t="s">
        <v>45</v>
      </c>
      <c r="B11" s="354"/>
      <c r="C11" s="354"/>
      <c r="D11" s="354"/>
      <c r="E11" s="354"/>
      <c r="F11" s="354"/>
      <c r="G11" s="354"/>
      <c r="H11" s="63">
        <f>SUM(H3:H10)</f>
        <v>10.687000000000001</v>
      </c>
      <c r="I11" s="316" t="s">
        <v>14</v>
      </c>
      <c r="J11" s="65">
        <f>SUM(J3:J10)</f>
        <v>18825095.66</v>
      </c>
      <c r="K11" s="65">
        <f>SUM(K3:K10)</f>
        <v>11121484.32</v>
      </c>
      <c r="L11" s="65">
        <f>SUM(L3:L10)</f>
        <v>7703611.3399999989</v>
      </c>
      <c r="M11" s="317" t="s">
        <v>14</v>
      </c>
      <c r="N11" s="65">
        <f t="shared" ref="N11:Y11" si="9">SUM(N3:N10)</f>
        <v>0</v>
      </c>
      <c r="O11" s="65">
        <f t="shared" si="9"/>
        <v>0</v>
      </c>
      <c r="P11" s="318">
        <f t="shared" si="9"/>
        <v>0</v>
      </c>
      <c r="Q11" s="318">
        <f t="shared" si="9"/>
        <v>0</v>
      </c>
      <c r="R11" s="318">
        <f t="shared" si="9"/>
        <v>0</v>
      </c>
      <c r="S11" s="318">
        <f t="shared" si="9"/>
        <v>9688010.3399999999</v>
      </c>
      <c r="T11" s="318">
        <f t="shared" si="9"/>
        <v>1433473.98</v>
      </c>
      <c r="U11" s="318">
        <f t="shared" si="9"/>
        <v>0</v>
      </c>
      <c r="V11" s="68">
        <f t="shared" si="9"/>
        <v>0</v>
      </c>
      <c r="W11" s="68">
        <f t="shared" si="9"/>
        <v>0</v>
      </c>
      <c r="X11" s="68">
        <f t="shared" si="9"/>
        <v>0</v>
      </c>
      <c r="Y11" s="68">
        <f t="shared" si="9"/>
        <v>0</v>
      </c>
      <c r="Z11" s="1" t="b">
        <f t="shared" si="2"/>
        <v>1</v>
      </c>
      <c r="AA11" s="45">
        <f t="shared" si="3"/>
        <v>0.59079999999999999</v>
      </c>
      <c r="AB11" s="46" t="s">
        <v>14</v>
      </c>
      <c r="AC11" s="46" t="b">
        <f t="shared" si="5"/>
        <v>1</v>
      </c>
    </row>
    <row r="12" spans="1:29" ht="20.100000000000001" customHeight="1" x14ac:dyDescent="0.25">
      <c r="A12" s="353" t="s">
        <v>38</v>
      </c>
      <c r="B12" s="353"/>
      <c r="C12" s="353"/>
      <c r="D12" s="353"/>
      <c r="E12" s="353"/>
      <c r="F12" s="353"/>
      <c r="G12" s="353"/>
      <c r="H12" s="69">
        <f>SUMIF($C$3:$C$10,"K",H3:H10)</f>
        <v>0</v>
      </c>
      <c r="I12" s="70" t="s">
        <v>14</v>
      </c>
      <c r="J12" s="71">
        <f>SUMIF($C$3:$C$10,"K",J3:J10)</f>
        <v>0</v>
      </c>
      <c r="K12" s="71">
        <f>SUMIF($C$3:$C$10,"K",K3:K10)</f>
        <v>0</v>
      </c>
      <c r="L12" s="71">
        <f>SUMIF($C$3:$C$10,"K",L3:L10)</f>
        <v>0</v>
      </c>
      <c r="M12" s="73" t="s">
        <v>14</v>
      </c>
      <c r="N12" s="72">
        <f t="shared" ref="N12:Y12" si="10">SUMIF($C$3:$C$10,"K",N3:N10)</f>
        <v>0</v>
      </c>
      <c r="O12" s="72">
        <f t="shared" si="10"/>
        <v>0</v>
      </c>
      <c r="P12" s="74">
        <f t="shared" si="10"/>
        <v>0</v>
      </c>
      <c r="Q12" s="74">
        <f t="shared" si="10"/>
        <v>0</v>
      </c>
      <c r="R12" s="74">
        <f t="shared" si="10"/>
        <v>0</v>
      </c>
      <c r="S12" s="74">
        <f t="shared" si="10"/>
        <v>0</v>
      </c>
      <c r="T12" s="74">
        <f t="shared" si="10"/>
        <v>0</v>
      </c>
      <c r="U12" s="74">
        <f t="shared" si="10"/>
        <v>0</v>
      </c>
      <c r="V12" s="74">
        <f t="shared" si="10"/>
        <v>0</v>
      </c>
      <c r="W12" s="74">
        <f t="shared" si="10"/>
        <v>0</v>
      </c>
      <c r="X12" s="74">
        <f t="shared" si="10"/>
        <v>0</v>
      </c>
      <c r="Y12" s="74">
        <f t="shared" si="10"/>
        <v>0</v>
      </c>
      <c r="Z12" s="1" t="b">
        <f t="shared" si="2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354" t="s">
        <v>39</v>
      </c>
      <c r="B13" s="354"/>
      <c r="C13" s="354"/>
      <c r="D13" s="354"/>
      <c r="E13" s="354"/>
      <c r="F13" s="354"/>
      <c r="G13" s="354"/>
      <c r="H13" s="63">
        <f>SUMIF($C$3:$C$10,"N",H3:H10)</f>
        <v>7.2169999999999996</v>
      </c>
      <c r="I13" s="64" t="s">
        <v>14</v>
      </c>
      <c r="J13" s="65">
        <f>SUMIF($C$3:$C$10,"N",J3:J10)</f>
        <v>15955277.879999999</v>
      </c>
      <c r="K13" s="65">
        <f>SUMIF($C$3:$C$10,"N",K3:K10)</f>
        <v>8825630.0999999996</v>
      </c>
      <c r="L13" s="65">
        <f>SUMIF($C$3:$C$10,"N",L3:L10)</f>
        <v>7129647.7799999993</v>
      </c>
      <c r="M13" s="67" t="s">
        <v>14</v>
      </c>
      <c r="N13" s="66">
        <f t="shared" ref="N13:Y13" si="13">SUMIF($C$3:$C$10,"N",N3:N10)</f>
        <v>0</v>
      </c>
      <c r="O13" s="66">
        <f t="shared" si="13"/>
        <v>0</v>
      </c>
      <c r="P13" s="68">
        <f t="shared" si="13"/>
        <v>0</v>
      </c>
      <c r="Q13" s="68">
        <f t="shared" si="13"/>
        <v>0</v>
      </c>
      <c r="R13" s="68">
        <f t="shared" si="13"/>
        <v>0</v>
      </c>
      <c r="S13" s="68">
        <f t="shared" si="13"/>
        <v>8825630.0999999996</v>
      </c>
      <c r="T13" s="68">
        <f t="shared" si="13"/>
        <v>0</v>
      </c>
      <c r="U13" s="68">
        <f t="shared" si="13"/>
        <v>0</v>
      </c>
      <c r="V13" s="68">
        <f t="shared" si="13"/>
        <v>0</v>
      </c>
      <c r="W13" s="68">
        <f t="shared" si="13"/>
        <v>0</v>
      </c>
      <c r="X13" s="68">
        <f t="shared" si="13"/>
        <v>0</v>
      </c>
      <c r="Y13" s="68">
        <f t="shared" si="13"/>
        <v>0</v>
      </c>
      <c r="Z13" s="1" t="b">
        <f t="shared" si="2"/>
        <v>1</v>
      </c>
      <c r="AA13" s="45">
        <f t="shared" si="3"/>
        <v>0.55310000000000004</v>
      </c>
      <c r="AB13" s="46" t="s">
        <v>14</v>
      </c>
      <c r="AC13" s="46" t="b">
        <f t="shared" si="5"/>
        <v>1</v>
      </c>
    </row>
    <row r="14" spans="1:29" ht="20.100000000000001" customHeight="1" x14ac:dyDescent="0.25">
      <c r="A14" s="353" t="s">
        <v>40</v>
      </c>
      <c r="B14" s="353"/>
      <c r="C14" s="353"/>
      <c r="D14" s="353"/>
      <c r="E14" s="353"/>
      <c r="F14" s="353"/>
      <c r="G14" s="353"/>
      <c r="H14" s="69">
        <f>SUMIF($C$3:$C$10,"W",H3:H10)</f>
        <v>3.47</v>
      </c>
      <c r="I14" s="70" t="s">
        <v>14</v>
      </c>
      <c r="J14" s="71">
        <f>SUMIF($C$3:$C$10,"W",J3:J10)</f>
        <v>2869817.78</v>
      </c>
      <c r="K14" s="72">
        <f>SUMIF($C$3:$C$10,"W",K3:K10)</f>
        <v>2295854.2200000002</v>
      </c>
      <c r="L14" s="72">
        <f>SUMIF($C$3:$C$10,"W",L3:L10)</f>
        <v>573963.55999999959</v>
      </c>
      <c r="M14" s="73" t="s">
        <v>14</v>
      </c>
      <c r="N14" s="72">
        <f t="shared" ref="N14:Y14" si="14">SUMIF($C$3:$C$10,"W",N3:N10)</f>
        <v>0</v>
      </c>
      <c r="O14" s="72">
        <f t="shared" si="14"/>
        <v>0</v>
      </c>
      <c r="P14" s="74">
        <f t="shared" si="14"/>
        <v>0</v>
      </c>
      <c r="Q14" s="74">
        <f t="shared" si="14"/>
        <v>0</v>
      </c>
      <c r="R14" s="74">
        <f t="shared" si="14"/>
        <v>0</v>
      </c>
      <c r="S14" s="74">
        <f t="shared" si="14"/>
        <v>862380.24</v>
      </c>
      <c r="T14" s="74">
        <f t="shared" si="14"/>
        <v>1433473.98</v>
      </c>
      <c r="U14" s="74">
        <f t="shared" si="14"/>
        <v>0</v>
      </c>
      <c r="V14" s="74">
        <f t="shared" si="14"/>
        <v>0</v>
      </c>
      <c r="W14" s="74">
        <f t="shared" si="14"/>
        <v>0</v>
      </c>
      <c r="X14" s="74">
        <f t="shared" si="14"/>
        <v>0</v>
      </c>
      <c r="Y14" s="74">
        <f t="shared" si="14"/>
        <v>0</v>
      </c>
      <c r="Z14" s="1" t="b">
        <f t="shared" si="2"/>
        <v>1</v>
      </c>
      <c r="AA14" s="45">
        <f t="shared" ref="AA14" si="15">ROUND(K14/J14,4)</f>
        <v>0.8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  <c r="K15" s="276">
        <f>6136556.36-K10</f>
        <v>1777817.1800000006</v>
      </c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autoFilter ref="A1:AC19" xr:uid="{00000000-0009-0000-0000-000001000000}"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customSheetViews>
    <customSheetView guid="{BD3EAA12-36A1-4500-A3A8-8FB519CC9E74}" scale="90" showPageBreaks="1" showGridLines="0" fitToPage="1" printArea="1" showAutoFilter="1">
      <selection sqref="A1:A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1"/>
      <headerFooter>
        <oddHeader>&amp;LWojewództwo&amp;K000000 Opolskie&amp;K01+000 - zadania powiatowe lista podstawowa</oddHeader>
        <oddFooter>Strona &amp;P z &amp;N</oddFooter>
      </headerFooter>
      <autoFilter ref="A1:AC19" xr:uid="{00000000-0009-0000-0000-000001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B4405FF1-036B-45AD-810F-8C9DF67F9D7F}" scale="90" showPageBreaks="1" showGridLines="0" fitToPage="1" printArea="1" showAutoFilter="1" topLeftCell="F1">
      <selection activeCell="F9" sqref="A9:XFD9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76DCD22-0DC9-4799-A058-B64B837BBA0E}" scale="90" showPageBreaks="1" showGridLines="0" fitToPage="1" printArea="1" showAutoFilter="1">
      <selection activeCell="H24" sqref="H24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E7CAF9DC-53CB-464B-97B7-E2DEFBC16359}" scale="90" showPageBreaks="1" showGridLines="0" fitToPage="1" printArea="1" filter="1" showAutoFilter="1">
      <selection activeCell="K10" sqref="K10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3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5">
          <filters>
            <filter val="Przebudowa drogi nr 1225 O relacji Baborów - Sucha Psina na odcinku Czerwonków - Baborów"/>
          </filters>
        </filterColumn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B410AB3-2DDF-47B7-B021-1F68EEA98257}" scale="90" showPageBreaks="1" showGridLines="0" fitToPage="1" printArea="1" showAutoFilter="1">
      <selection sqref="A1:A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4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</customSheetViews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72" priority="15" operator="equal">
      <formula>FALSE</formula>
    </cfRule>
  </conditionalFormatting>
  <conditionalFormatting sqref="Z3:AB3 AA4:AB12 Z4:Z14">
    <cfRule type="containsText" dxfId="71" priority="13" operator="containsText" text="fałsz">
      <formula>NOT(ISERROR(SEARCH("fałsz",Z3)))</formula>
    </cfRule>
  </conditionalFormatting>
  <conditionalFormatting sqref="AC16">
    <cfRule type="cellIs" dxfId="70" priority="12" operator="equal">
      <formula>FALSE</formula>
    </cfRule>
  </conditionalFormatting>
  <conditionalFormatting sqref="AC16">
    <cfRule type="cellIs" dxfId="69" priority="11" operator="equal">
      <formula>FALSE</formula>
    </cfRule>
  </conditionalFormatting>
  <conditionalFormatting sqref="AA14:AB14">
    <cfRule type="cellIs" dxfId="68" priority="10" operator="equal">
      <formula>FALSE</formula>
    </cfRule>
  </conditionalFormatting>
  <conditionalFormatting sqref="AA14:AB14">
    <cfRule type="containsText" dxfId="67" priority="8" operator="containsText" text="fałsz">
      <formula>NOT(ISERROR(SEARCH("fałsz",AA14)))</formula>
    </cfRule>
  </conditionalFormatting>
  <conditionalFormatting sqref="AC14">
    <cfRule type="cellIs" dxfId="66" priority="7" operator="equal">
      <formula>FALSE</formula>
    </cfRule>
  </conditionalFormatting>
  <conditionalFormatting sqref="AC14">
    <cfRule type="cellIs" dxfId="65" priority="6" operator="equal">
      <formula>FALSE</formula>
    </cfRule>
  </conditionalFormatting>
  <conditionalFormatting sqref="AA13:AB13">
    <cfRule type="cellIs" dxfId="64" priority="5" operator="equal">
      <formula>FALSE</formula>
    </cfRule>
  </conditionalFormatting>
  <conditionalFormatting sqref="AA13:AB13">
    <cfRule type="containsText" dxfId="63" priority="3" operator="containsText" text="fałsz">
      <formula>NOT(ISERROR(SEARCH("fałsz",AA13)))</formula>
    </cfRule>
  </conditionalFormatting>
  <conditionalFormatting sqref="AC13">
    <cfRule type="cellIs" dxfId="62" priority="2" operator="equal">
      <formula>FALSE</formula>
    </cfRule>
  </conditionalFormatting>
  <conditionalFormatting sqref="AC13">
    <cfRule type="cellIs" dxfId="61" priority="1" operator="equal">
      <formula>FALSE</formula>
    </cfRule>
  </conditionalFormatting>
  <dataValidations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5"/>
  <headerFooter>
    <oddHeader>&amp;LWojewództwo&amp;K000000 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83"/>
  <sheetViews>
    <sheetView showGridLines="0" view="pageBreakPreview" zoomScale="85" zoomScaleNormal="90" zoomScaleSheetLayoutView="85" workbookViewId="0">
      <selection sqref="A1:A2"/>
    </sheetView>
  </sheetViews>
  <sheetFormatPr defaultColWidth="9.28515625" defaultRowHeight="15" x14ac:dyDescent="0.25"/>
  <cols>
    <col min="1" max="1" width="8" style="3" customWidth="1"/>
    <col min="2" max="4" width="15.7109375" style="3" customWidth="1"/>
    <col min="5" max="5" width="10" style="3" customWidth="1"/>
    <col min="6" max="6" width="15.7109375" style="3" customWidth="1"/>
    <col min="7" max="7" width="47.28515625" style="3" customWidth="1"/>
    <col min="8" max="10" width="15.7109375" style="3" customWidth="1"/>
    <col min="11" max="11" width="15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18" width="9.85546875" style="3" bestFit="1" customWidth="1"/>
    <col min="19" max="26" width="15.7109375" style="3" customWidth="1"/>
    <col min="27" max="29" width="15.7109375" style="14" customWidth="1"/>
    <col min="30" max="30" width="15.7109375" style="3" customWidth="1"/>
    <col min="31" max="16384" width="9.28515625" style="3"/>
  </cols>
  <sheetData>
    <row r="1" spans="1:30" ht="20.100000000000001" customHeight="1" x14ac:dyDescent="0.25">
      <c r="A1" s="368" t="s">
        <v>4</v>
      </c>
      <c r="B1" s="368" t="s">
        <v>5</v>
      </c>
      <c r="C1" s="372" t="s">
        <v>44</v>
      </c>
      <c r="D1" s="369" t="s">
        <v>6</v>
      </c>
      <c r="E1" s="368" t="s">
        <v>33</v>
      </c>
      <c r="F1" s="369" t="s">
        <v>15</v>
      </c>
      <c r="G1" s="368" t="s">
        <v>7</v>
      </c>
      <c r="H1" s="368" t="s">
        <v>27</v>
      </c>
      <c r="I1" s="368" t="s">
        <v>8</v>
      </c>
      <c r="J1" s="368" t="s">
        <v>28</v>
      </c>
      <c r="K1" s="371" t="s">
        <v>9</v>
      </c>
      <c r="L1" s="368" t="s">
        <v>17</v>
      </c>
      <c r="M1" s="369" t="s">
        <v>13</v>
      </c>
      <c r="N1" s="368" t="s">
        <v>11</v>
      </c>
      <c r="O1" s="360" t="s">
        <v>12</v>
      </c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</row>
    <row r="2" spans="1:30" ht="31.5" customHeight="1" x14ac:dyDescent="0.25">
      <c r="A2" s="368"/>
      <c r="B2" s="368"/>
      <c r="C2" s="360"/>
      <c r="D2" s="370"/>
      <c r="E2" s="368"/>
      <c r="F2" s="370"/>
      <c r="G2" s="368"/>
      <c r="H2" s="368"/>
      <c r="I2" s="368"/>
      <c r="J2" s="368"/>
      <c r="K2" s="371"/>
      <c r="L2" s="368"/>
      <c r="M2" s="370"/>
      <c r="N2" s="368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s="210" customFormat="1" ht="34.5" customHeight="1" x14ac:dyDescent="0.25">
      <c r="A3" s="239">
        <v>1</v>
      </c>
      <c r="B3" s="198" t="s">
        <v>77</v>
      </c>
      <c r="C3" s="211" t="s">
        <v>78</v>
      </c>
      <c r="D3" s="198" t="s">
        <v>79</v>
      </c>
      <c r="E3" s="198">
        <v>1603062</v>
      </c>
      <c r="F3" s="198" t="s">
        <v>80</v>
      </c>
      <c r="G3" s="198" t="s">
        <v>81</v>
      </c>
      <c r="H3" s="198" t="s">
        <v>65</v>
      </c>
      <c r="I3" s="200">
        <v>1.581</v>
      </c>
      <c r="J3" s="201" t="s">
        <v>82</v>
      </c>
      <c r="K3" s="205">
        <v>11772051.92</v>
      </c>
      <c r="L3" s="224">
        <v>8009419.0700000003</v>
      </c>
      <c r="M3" s="206">
        <f>K3-L3</f>
        <v>3762632.8499999996</v>
      </c>
      <c r="N3" s="220">
        <v>0.6804</v>
      </c>
      <c r="O3" s="247">
        <v>0</v>
      </c>
      <c r="P3" s="247">
        <v>0</v>
      </c>
      <c r="Q3" s="232">
        <v>0</v>
      </c>
      <c r="R3" s="232">
        <v>0</v>
      </c>
      <c r="S3" s="225">
        <v>3924248.05</v>
      </c>
      <c r="T3" s="224">
        <v>4085171.0200000005</v>
      </c>
      <c r="U3" s="224">
        <v>0</v>
      </c>
      <c r="V3" s="224">
        <v>0</v>
      </c>
      <c r="W3" s="247">
        <v>0</v>
      </c>
      <c r="X3" s="247">
        <v>0</v>
      </c>
      <c r="Y3" s="232">
        <v>0</v>
      </c>
      <c r="Z3" s="232">
        <v>0</v>
      </c>
      <c r="AA3" s="207" t="b">
        <f>L3=SUM(O3:Z3)</f>
        <v>1</v>
      </c>
      <c r="AB3" s="208">
        <f t="shared" ref="AB3:AB73" si="0">ROUND(L3/K3,4)</f>
        <v>0.6804</v>
      </c>
      <c r="AC3" s="209" t="b">
        <f t="shared" ref="AC3:AC52" si="1">AB3=N3</f>
        <v>1</v>
      </c>
      <c r="AD3" s="209" t="b">
        <f t="shared" ref="AD3:AD73" si="2">K3=L3+M3</f>
        <v>1</v>
      </c>
    </row>
    <row r="4" spans="1:30" s="210" customFormat="1" ht="30" customHeight="1" x14ac:dyDescent="0.25">
      <c r="A4" s="239">
        <v>2</v>
      </c>
      <c r="B4" s="198" t="s">
        <v>83</v>
      </c>
      <c r="C4" s="211" t="s">
        <v>78</v>
      </c>
      <c r="D4" s="198" t="s">
        <v>84</v>
      </c>
      <c r="E4" s="198">
        <v>1609073</v>
      </c>
      <c r="F4" s="198" t="s">
        <v>85</v>
      </c>
      <c r="G4" s="198" t="s">
        <v>86</v>
      </c>
      <c r="H4" s="198" t="s">
        <v>65</v>
      </c>
      <c r="I4" s="200">
        <v>0.98199999999999998</v>
      </c>
      <c r="J4" s="201" t="s">
        <v>87</v>
      </c>
      <c r="K4" s="205">
        <v>5593904.75</v>
      </c>
      <c r="L4" s="224">
        <f>ROUND(K4*N4,2)</f>
        <v>3915733.33</v>
      </c>
      <c r="M4" s="206">
        <f t="shared" ref="M4:M52" si="3">K4-L4</f>
        <v>1678171.42</v>
      </c>
      <c r="N4" s="204">
        <v>0.7</v>
      </c>
      <c r="O4" s="247">
        <v>0</v>
      </c>
      <c r="P4" s="247">
        <v>0</v>
      </c>
      <c r="Q4" s="232">
        <v>0</v>
      </c>
      <c r="R4" s="232">
        <v>0</v>
      </c>
      <c r="S4" s="225">
        <v>573631.93999999994</v>
      </c>
      <c r="T4" s="224">
        <v>3342101.39</v>
      </c>
      <c r="U4" s="224">
        <v>0</v>
      </c>
      <c r="V4" s="224">
        <v>0</v>
      </c>
      <c r="W4" s="247">
        <v>0</v>
      </c>
      <c r="X4" s="247">
        <v>0</v>
      </c>
      <c r="Y4" s="232">
        <v>0</v>
      </c>
      <c r="Z4" s="232">
        <v>0</v>
      </c>
      <c r="AA4" s="207" t="b">
        <f t="shared" ref="AA4:AA24" si="4">L4=SUM(O4:Z4)</f>
        <v>1</v>
      </c>
      <c r="AB4" s="208">
        <f t="shared" si="0"/>
        <v>0.7</v>
      </c>
      <c r="AC4" s="209" t="b">
        <f t="shared" si="1"/>
        <v>1</v>
      </c>
      <c r="AD4" s="209" t="b">
        <f t="shared" si="2"/>
        <v>1</v>
      </c>
    </row>
    <row r="5" spans="1:30" s="210" customFormat="1" ht="30" customHeight="1" x14ac:dyDescent="0.25">
      <c r="A5" s="239">
        <v>3</v>
      </c>
      <c r="B5" s="198" t="s">
        <v>88</v>
      </c>
      <c r="C5" s="211" t="s">
        <v>78</v>
      </c>
      <c r="D5" s="198" t="s">
        <v>89</v>
      </c>
      <c r="E5" s="198">
        <v>1607013</v>
      </c>
      <c r="F5" s="198" t="s">
        <v>55</v>
      </c>
      <c r="G5" s="198" t="s">
        <v>90</v>
      </c>
      <c r="H5" s="198" t="s">
        <v>65</v>
      </c>
      <c r="I5" s="200">
        <v>1.3407500000000001</v>
      </c>
      <c r="J5" s="201" t="s">
        <v>309</v>
      </c>
      <c r="K5" s="205">
        <v>6691889.3700000001</v>
      </c>
      <c r="L5" s="224">
        <v>4678354.46</v>
      </c>
      <c r="M5" s="206">
        <f t="shared" si="3"/>
        <v>2013534.9100000001</v>
      </c>
      <c r="N5" s="220">
        <v>0.69910000000000005</v>
      </c>
      <c r="O5" s="247">
        <v>0</v>
      </c>
      <c r="P5" s="247">
        <v>0</v>
      </c>
      <c r="Q5" s="232">
        <v>0</v>
      </c>
      <c r="R5" s="232">
        <v>0</v>
      </c>
      <c r="S5" s="225">
        <v>3266354.46</v>
      </c>
      <c r="T5" s="224">
        <v>1412000</v>
      </c>
      <c r="U5" s="224">
        <v>0</v>
      </c>
      <c r="V5" s="224">
        <v>0</v>
      </c>
      <c r="W5" s="247">
        <v>0</v>
      </c>
      <c r="X5" s="247">
        <v>0</v>
      </c>
      <c r="Y5" s="232">
        <v>0</v>
      </c>
      <c r="Z5" s="232">
        <v>0</v>
      </c>
      <c r="AA5" s="207" t="b">
        <f t="shared" si="4"/>
        <v>1</v>
      </c>
      <c r="AB5" s="208">
        <f t="shared" si="0"/>
        <v>0.69910000000000005</v>
      </c>
      <c r="AC5" s="209" t="b">
        <f t="shared" si="1"/>
        <v>1</v>
      </c>
      <c r="AD5" s="209" t="b">
        <f t="shared" si="2"/>
        <v>1</v>
      </c>
    </row>
    <row r="6" spans="1:30" s="210" customFormat="1" ht="41.25" customHeight="1" x14ac:dyDescent="0.25">
      <c r="A6" s="239">
        <v>4</v>
      </c>
      <c r="B6" s="198" t="s">
        <v>91</v>
      </c>
      <c r="C6" s="211" t="s">
        <v>78</v>
      </c>
      <c r="D6" s="198" t="s">
        <v>92</v>
      </c>
      <c r="E6" s="198">
        <v>1603011</v>
      </c>
      <c r="F6" s="198" t="s">
        <v>80</v>
      </c>
      <c r="G6" s="198" t="s">
        <v>93</v>
      </c>
      <c r="H6" s="198" t="s">
        <v>57</v>
      </c>
      <c r="I6" s="200">
        <v>0.191</v>
      </c>
      <c r="J6" s="201" t="s">
        <v>287</v>
      </c>
      <c r="K6" s="205">
        <v>1568775.01</v>
      </c>
      <c r="L6" s="224">
        <f t="shared" ref="L6:L10" si="5">ROUND(K6*N6,2)</f>
        <v>784387.51</v>
      </c>
      <c r="M6" s="206">
        <f t="shared" si="3"/>
        <v>784387.5</v>
      </c>
      <c r="N6" s="204">
        <v>0.5</v>
      </c>
      <c r="O6" s="247">
        <v>0</v>
      </c>
      <c r="P6" s="247">
        <v>0</v>
      </c>
      <c r="Q6" s="232">
        <v>0</v>
      </c>
      <c r="R6" s="232">
        <v>0</v>
      </c>
      <c r="S6" s="225">
        <v>784387.51</v>
      </c>
      <c r="T6" s="224">
        <v>0</v>
      </c>
      <c r="U6" s="224">
        <v>0</v>
      </c>
      <c r="V6" s="224">
        <v>0</v>
      </c>
      <c r="W6" s="247">
        <v>0</v>
      </c>
      <c r="X6" s="247">
        <v>0</v>
      </c>
      <c r="Y6" s="232">
        <v>0</v>
      </c>
      <c r="Z6" s="232">
        <v>0</v>
      </c>
      <c r="AA6" s="207" t="b">
        <f t="shared" si="4"/>
        <v>1</v>
      </c>
      <c r="AB6" s="208">
        <f t="shared" si="0"/>
        <v>0.5</v>
      </c>
      <c r="AC6" s="209" t="b">
        <f t="shared" si="1"/>
        <v>1</v>
      </c>
      <c r="AD6" s="209" t="b">
        <f t="shared" si="2"/>
        <v>1</v>
      </c>
    </row>
    <row r="7" spans="1:30" s="210" customFormat="1" ht="30" customHeight="1" x14ac:dyDescent="0.25">
      <c r="A7" s="239">
        <v>5</v>
      </c>
      <c r="B7" s="198" t="s">
        <v>94</v>
      </c>
      <c r="C7" s="211" t="s">
        <v>78</v>
      </c>
      <c r="D7" s="198" t="s">
        <v>95</v>
      </c>
      <c r="E7" s="198">
        <v>1611063</v>
      </c>
      <c r="F7" s="198" t="s">
        <v>63</v>
      </c>
      <c r="G7" s="198" t="s">
        <v>96</v>
      </c>
      <c r="H7" s="198" t="s">
        <v>65</v>
      </c>
      <c r="I7" s="200">
        <v>0.64900000000000002</v>
      </c>
      <c r="J7" s="201" t="s">
        <v>97</v>
      </c>
      <c r="K7" s="205">
        <v>2232450</v>
      </c>
      <c r="L7" s="224">
        <f t="shared" si="5"/>
        <v>1116225</v>
      </c>
      <c r="M7" s="206">
        <f t="shared" si="3"/>
        <v>1116225</v>
      </c>
      <c r="N7" s="204">
        <v>0.5</v>
      </c>
      <c r="O7" s="247">
        <v>0</v>
      </c>
      <c r="P7" s="247">
        <v>0</v>
      </c>
      <c r="Q7" s="232">
        <v>0</v>
      </c>
      <c r="R7" s="232">
        <v>0</v>
      </c>
      <c r="S7" s="225">
        <v>630802.61</v>
      </c>
      <c r="T7" s="225">
        <v>485422.39</v>
      </c>
      <c r="U7" s="224">
        <v>0</v>
      </c>
      <c r="V7" s="224">
        <v>0</v>
      </c>
      <c r="W7" s="247">
        <v>0</v>
      </c>
      <c r="X7" s="247">
        <v>0</v>
      </c>
      <c r="Y7" s="232">
        <v>0</v>
      </c>
      <c r="Z7" s="232">
        <v>0</v>
      </c>
      <c r="AA7" s="207" t="b">
        <f t="shared" si="4"/>
        <v>1</v>
      </c>
      <c r="AB7" s="208">
        <f t="shared" si="0"/>
        <v>0.5</v>
      </c>
      <c r="AC7" s="209" t="b">
        <f t="shared" si="1"/>
        <v>1</v>
      </c>
      <c r="AD7" s="209" t="b">
        <f t="shared" si="2"/>
        <v>1</v>
      </c>
    </row>
    <row r="8" spans="1:30" s="210" customFormat="1" ht="30" customHeight="1" x14ac:dyDescent="0.25">
      <c r="A8" s="239">
        <v>6</v>
      </c>
      <c r="B8" s="198" t="s">
        <v>98</v>
      </c>
      <c r="C8" s="211" t="s">
        <v>78</v>
      </c>
      <c r="D8" s="198" t="s">
        <v>99</v>
      </c>
      <c r="E8" s="198">
        <v>1611022</v>
      </c>
      <c r="F8" s="198" t="s">
        <v>63</v>
      </c>
      <c r="G8" s="198" t="s">
        <v>100</v>
      </c>
      <c r="H8" s="198" t="s">
        <v>57</v>
      </c>
      <c r="I8" s="200">
        <v>0.437</v>
      </c>
      <c r="J8" s="201" t="s">
        <v>101</v>
      </c>
      <c r="K8" s="205">
        <v>878260</v>
      </c>
      <c r="L8" s="224">
        <f t="shared" si="5"/>
        <v>614782</v>
      </c>
      <c r="M8" s="206">
        <f t="shared" si="3"/>
        <v>263478</v>
      </c>
      <c r="N8" s="204">
        <v>0.7</v>
      </c>
      <c r="O8" s="247">
        <v>0</v>
      </c>
      <c r="P8" s="247">
        <v>0</v>
      </c>
      <c r="Q8" s="232">
        <v>0</v>
      </c>
      <c r="R8" s="232">
        <v>0</v>
      </c>
      <c r="S8" s="225">
        <v>614782</v>
      </c>
      <c r="T8" s="224">
        <v>0</v>
      </c>
      <c r="U8" s="224">
        <v>0</v>
      </c>
      <c r="V8" s="224">
        <v>0</v>
      </c>
      <c r="W8" s="247">
        <v>0</v>
      </c>
      <c r="X8" s="247">
        <v>0</v>
      </c>
      <c r="Y8" s="232">
        <v>0</v>
      </c>
      <c r="Z8" s="232">
        <v>0</v>
      </c>
      <c r="AA8" s="207" t="b">
        <f t="shared" si="4"/>
        <v>1</v>
      </c>
      <c r="AB8" s="208">
        <f t="shared" si="0"/>
        <v>0.7</v>
      </c>
      <c r="AC8" s="209" t="b">
        <f t="shared" si="1"/>
        <v>1</v>
      </c>
      <c r="AD8" s="209" t="b">
        <f t="shared" si="2"/>
        <v>1</v>
      </c>
    </row>
    <row r="9" spans="1:30" s="210" customFormat="1" ht="30" customHeight="1" x14ac:dyDescent="0.25">
      <c r="A9" s="239">
        <v>7</v>
      </c>
      <c r="B9" s="198" t="s">
        <v>102</v>
      </c>
      <c r="C9" s="198" t="s">
        <v>78</v>
      </c>
      <c r="D9" s="198" t="s">
        <v>103</v>
      </c>
      <c r="E9" s="212">
        <v>1601033</v>
      </c>
      <c r="F9" s="198" t="s">
        <v>104</v>
      </c>
      <c r="G9" s="198" t="s">
        <v>105</v>
      </c>
      <c r="H9" s="198" t="s">
        <v>53</v>
      </c>
      <c r="I9" s="198">
        <v>0.47799999999999998</v>
      </c>
      <c r="J9" s="201" t="s">
        <v>288</v>
      </c>
      <c r="K9" s="205">
        <v>1665326.99</v>
      </c>
      <c r="L9" s="224">
        <f t="shared" si="5"/>
        <v>999196.19</v>
      </c>
      <c r="M9" s="206">
        <f t="shared" si="3"/>
        <v>666130.80000000005</v>
      </c>
      <c r="N9" s="204">
        <v>0.6</v>
      </c>
      <c r="O9" s="247">
        <v>0</v>
      </c>
      <c r="P9" s="247">
        <v>0</v>
      </c>
      <c r="Q9" s="232">
        <v>0</v>
      </c>
      <c r="R9" s="232">
        <v>0</v>
      </c>
      <c r="S9" s="225">
        <v>470723.89</v>
      </c>
      <c r="T9" s="224">
        <f>L9-S9</f>
        <v>528472.29999999993</v>
      </c>
      <c r="U9" s="224">
        <v>0</v>
      </c>
      <c r="V9" s="224">
        <v>0</v>
      </c>
      <c r="W9" s="247">
        <v>0</v>
      </c>
      <c r="X9" s="247">
        <v>0</v>
      </c>
      <c r="Y9" s="232">
        <v>0</v>
      </c>
      <c r="Z9" s="232">
        <v>0</v>
      </c>
      <c r="AA9" s="207" t="b">
        <f t="shared" si="4"/>
        <v>1</v>
      </c>
      <c r="AB9" s="208">
        <f t="shared" si="0"/>
        <v>0.6</v>
      </c>
      <c r="AC9" s="209" t="b">
        <f t="shared" si="1"/>
        <v>1</v>
      </c>
      <c r="AD9" s="209" t="b">
        <f t="shared" si="2"/>
        <v>1</v>
      </c>
    </row>
    <row r="10" spans="1:30" s="210" customFormat="1" ht="30" customHeight="1" x14ac:dyDescent="0.25">
      <c r="A10" s="239">
        <v>8</v>
      </c>
      <c r="B10" s="198" t="s">
        <v>106</v>
      </c>
      <c r="C10" s="198" t="s">
        <v>78</v>
      </c>
      <c r="D10" s="198" t="s">
        <v>89</v>
      </c>
      <c r="E10" s="212">
        <v>1607013</v>
      </c>
      <c r="F10" s="198" t="s">
        <v>55</v>
      </c>
      <c r="G10" s="198" t="s">
        <v>107</v>
      </c>
      <c r="H10" s="198" t="s">
        <v>65</v>
      </c>
      <c r="I10" s="198">
        <v>1.0629999999999999</v>
      </c>
      <c r="J10" s="201" t="s">
        <v>108</v>
      </c>
      <c r="K10" s="205">
        <v>1684505.71</v>
      </c>
      <c r="L10" s="224">
        <f t="shared" si="5"/>
        <v>1347604.57</v>
      </c>
      <c r="M10" s="206">
        <f t="shared" si="3"/>
        <v>336901.1399999999</v>
      </c>
      <c r="N10" s="204">
        <v>0.8</v>
      </c>
      <c r="O10" s="247">
        <v>0</v>
      </c>
      <c r="P10" s="247">
        <v>0</v>
      </c>
      <c r="Q10" s="232">
        <v>0</v>
      </c>
      <c r="R10" s="232">
        <v>0</v>
      </c>
      <c r="S10" s="225">
        <v>570445.66</v>
      </c>
      <c r="T10" s="224">
        <v>777158.91</v>
      </c>
      <c r="U10" s="224">
        <v>0</v>
      </c>
      <c r="V10" s="224">
        <v>0</v>
      </c>
      <c r="W10" s="247">
        <v>0</v>
      </c>
      <c r="X10" s="247">
        <v>0</v>
      </c>
      <c r="Y10" s="232">
        <v>0</v>
      </c>
      <c r="Z10" s="232">
        <v>0</v>
      </c>
      <c r="AA10" s="207" t="b">
        <f t="shared" si="4"/>
        <v>1</v>
      </c>
      <c r="AB10" s="208">
        <f t="shared" si="0"/>
        <v>0.8</v>
      </c>
      <c r="AC10" s="209" t="b">
        <f t="shared" si="1"/>
        <v>1</v>
      </c>
      <c r="AD10" s="209" t="b">
        <f t="shared" si="2"/>
        <v>1</v>
      </c>
    </row>
    <row r="11" spans="1:30" s="309" customFormat="1" ht="30" customHeight="1" x14ac:dyDescent="0.25">
      <c r="A11" s="295" t="s">
        <v>232</v>
      </c>
      <c r="B11" s="296" t="s">
        <v>109</v>
      </c>
      <c r="C11" s="296"/>
      <c r="D11" s="296" t="s">
        <v>110</v>
      </c>
      <c r="E11" s="297">
        <v>1608062</v>
      </c>
      <c r="F11" s="296" t="s">
        <v>111</v>
      </c>
      <c r="G11" s="296" t="s">
        <v>112</v>
      </c>
      <c r="H11" s="296" t="s">
        <v>57</v>
      </c>
      <c r="I11" s="296"/>
      <c r="J11" s="298" t="s">
        <v>263</v>
      </c>
      <c r="K11" s="299"/>
      <c r="L11" s="300"/>
      <c r="M11" s="301"/>
      <c r="N11" s="302">
        <v>0.8</v>
      </c>
      <c r="O11" s="303"/>
      <c r="P11" s="303"/>
      <c r="Q11" s="304"/>
      <c r="R11" s="304"/>
      <c r="S11" s="305"/>
      <c r="T11" s="300"/>
      <c r="U11" s="300"/>
      <c r="V11" s="300"/>
      <c r="W11" s="303"/>
      <c r="X11" s="303"/>
      <c r="Y11" s="304"/>
      <c r="Z11" s="304"/>
      <c r="AA11" s="306" t="b">
        <f t="shared" si="4"/>
        <v>1</v>
      </c>
      <c r="AB11" s="307" t="e">
        <f t="shared" si="0"/>
        <v>#DIV/0!</v>
      </c>
      <c r="AC11" s="308" t="e">
        <f t="shared" si="1"/>
        <v>#DIV/0!</v>
      </c>
      <c r="AD11" s="308" t="b">
        <f t="shared" si="2"/>
        <v>1</v>
      </c>
    </row>
    <row r="12" spans="1:30" s="210" customFormat="1" ht="30" customHeight="1" x14ac:dyDescent="0.25">
      <c r="A12" s="239">
        <v>10</v>
      </c>
      <c r="B12" s="198" t="s">
        <v>113</v>
      </c>
      <c r="C12" s="211" t="s">
        <v>59</v>
      </c>
      <c r="D12" s="198" t="s">
        <v>114</v>
      </c>
      <c r="E12" s="213">
        <v>1609052</v>
      </c>
      <c r="F12" s="213" t="s">
        <v>85</v>
      </c>
      <c r="G12" s="213" t="s">
        <v>115</v>
      </c>
      <c r="H12" s="198" t="s">
        <v>65</v>
      </c>
      <c r="I12" s="214">
        <v>0.38600000000000001</v>
      </c>
      <c r="J12" s="201" t="s">
        <v>289</v>
      </c>
      <c r="K12" s="205">
        <v>1388538.78</v>
      </c>
      <c r="L12" s="224">
        <f t="shared" ref="L12:L52" si="6">ROUNDDOWN(K12*N12,2)</f>
        <v>833123.26</v>
      </c>
      <c r="M12" s="206">
        <f t="shared" si="3"/>
        <v>555415.52</v>
      </c>
      <c r="N12" s="221">
        <v>0.6</v>
      </c>
      <c r="O12" s="247">
        <v>0</v>
      </c>
      <c r="P12" s="247">
        <v>0</v>
      </c>
      <c r="Q12" s="232">
        <v>0</v>
      </c>
      <c r="R12" s="232">
        <v>0</v>
      </c>
      <c r="S12" s="224">
        <v>0</v>
      </c>
      <c r="T12" s="224">
        <v>300297.59999999998</v>
      </c>
      <c r="U12" s="224">
        <f>L12-T12</f>
        <v>532825.66</v>
      </c>
      <c r="V12" s="224">
        <v>0</v>
      </c>
      <c r="W12" s="247">
        <v>0</v>
      </c>
      <c r="X12" s="247">
        <v>0</v>
      </c>
      <c r="Y12" s="232">
        <v>0</v>
      </c>
      <c r="Z12" s="232">
        <v>0</v>
      </c>
      <c r="AA12" s="207" t="b">
        <f t="shared" si="4"/>
        <v>1</v>
      </c>
      <c r="AB12" s="208">
        <f t="shared" si="0"/>
        <v>0.6</v>
      </c>
      <c r="AC12" s="209" t="b">
        <f t="shared" si="1"/>
        <v>1</v>
      </c>
      <c r="AD12" s="209" t="b">
        <f t="shared" si="2"/>
        <v>1</v>
      </c>
    </row>
    <row r="13" spans="1:30" s="210" customFormat="1" ht="39.75" customHeight="1" x14ac:dyDescent="0.25">
      <c r="A13" s="239">
        <v>11</v>
      </c>
      <c r="B13" s="198" t="s">
        <v>116</v>
      </c>
      <c r="C13" s="211" t="s">
        <v>59</v>
      </c>
      <c r="D13" s="198" t="s">
        <v>92</v>
      </c>
      <c r="E13" s="198">
        <v>1603011</v>
      </c>
      <c r="F13" s="198" t="s">
        <v>80</v>
      </c>
      <c r="G13" s="198" t="s">
        <v>117</v>
      </c>
      <c r="H13" s="198" t="s">
        <v>65</v>
      </c>
      <c r="I13" s="214">
        <v>0.62</v>
      </c>
      <c r="J13" s="201" t="s">
        <v>264</v>
      </c>
      <c r="K13" s="205">
        <v>1940710.35</v>
      </c>
      <c r="L13" s="224">
        <f>ROUNDDOWN(K13*N13,2)</f>
        <v>970355.17</v>
      </c>
      <c r="M13" s="206">
        <f t="shared" si="3"/>
        <v>970355.18</v>
      </c>
      <c r="N13" s="221">
        <v>0.5</v>
      </c>
      <c r="O13" s="247">
        <v>0</v>
      </c>
      <c r="P13" s="247">
        <v>0</v>
      </c>
      <c r="Q13" s="232">
        <v>0</v>
      </c>
      <c r="R13" s="232">
        <v>0</v>
      </c>
      <c r="S13" s="224">
        <v>0</v>
      </c>
      <c r="T13" s="224">
        <v>970355.17</v>
      </c>
      <c r="U13" s="224">
        <f>L13-T13</f>
        <v>0</v>
      </c>
      <c r="V13" s="224">
        <v>0</v>
      </c>
      <c r="W13" s="247">
        <v>0</v>
      </c>
      <c r="X13" s="247">
        <v>0</v>
      </c>
      <c r="Y13" s="232">
        <v>0</v>
      </c>
      <c r="Z13" s="232">
        <v>0</v>
      </c>
      <c r="AA13" s="207" t="b">
        <f t="shared" si="4"/>
        <v>1</v>
      </c>
      <c r="AB13" s="208">
        <f t="shared" si="0"/>
        <v>0.5</v>
      </c>
      <c r="AC13" s="209" t="b">
        <f t="shared" si="1"/>
        <v>1</v>
      </c>
      <c r="AD13" s="209" t="b">
        <f t="shared" si="2"/>
        <v>1</v>
      </c>
    </row>
    <row r="14" spans="1:30" s="231" customFormat="1" ht="30" customHeight="1" x14ac:dyDescent="0.25">
      <c r="A14" s="240">
        <v>12</v>
      </c>
      <c r="B14" s="193" t="s">
        <v>118</v>
      </c>
      <c r="C14" s="215" t="s">
        <v>50</v>
      </c>
      <c r="D14" s="193" t="s">
        <v>119</v>
      </c>
      <c r="E14" s="193">
        <v>1609032</v>
      </c>
      <c r="F14" s="193" t="s">
        <v>85</v>
      </c>
      <c r="G14" s="193" t="s">
        <v>120</v>
      </c>
      <c r="H14" s="193" t="s">
        <v>65</v>
      </c>
      <c r="I14" s="195">
        <v>0.96440999999999999</v>
      </c>
      <c r="J14" s="197" t="s">
        <v>277</v>
      </c>
      <c r="K14" s="196">
        <v>2209067.6800000002</v>
      </c>
      <c r="L14" s="226">
        <f t="shared" si="6"/>
        <v>1546347.37</v>
      </c>
      <c r="M14" s="52">
        <f t="shared" si="3"/>
        <v>662720.31000000006</v>
      </c>
      <c r="N14" s="223">
        <v>0.7</v>
      </c>
      <c r="O14" s="248">
        <v>0</v>
      </c>
      <c r="P14" s="248">
        <v>0</v>
      </c>
      <c r="Q14" s="233">
        <v>0</v>
      </c>
      <c r="R14" s="233">
        <v>0</v>
      </c>
      <c r="S14" s="226">
        <v>0</v>
      </c>
      <c r="T14" s="226">
        <f>L14</f>
        <v>1546347.37</v>
      </c>
      <c r="U14" s="226">
        <v>0</v>
      </c>
      <c r="V14" s="226">
        <v>0</v>
      </c>
      <c r="W14" s="248">
        <v>0</v>
      </c>
      <c r="X14" s="248">
        <v>0</v>
      </c>
      <c r="Y14" s="233">
        <v>0</v>
      </c>
      <c r="Z14" s="233">
        <v>0</v>
      </c>
      <c r="AA14" s="228" t="b">
        <f t="shared" si="4"/>
        <v>1</v>
      </c>
      <c r="AB14" s="229">
        <f t="shared" si="0"/>
        <v>0.7</v>
      </c>
      <c r="AC14" s="230" t="b">
        <f t="shared" si="1"/>
        <v>1</v>
      </c>
      <c r="AD14" s="230" t="b">
        <f t="shared" si="2"/>
        <v>1</v>
      </c>
    </row>
    <row r="15" spans="1:30" s="231" customFormat="1" ht="30" customHeight="1" x14ac:dyDescent="0.25">
      <c r="A15" s="240">
        <v>13</v>
      </c>
      <c r="B15" s="193" t="s">
        <v>121</v>
      </c>
      <c r="C15" s="215" t="s">
        <v>50</v>
      </c>
      <c r="D15" s="193" t="s">
        <v>122</v>
      </c>
      <c r="E15" s="193">
        <v>1609083</v>
      </c>
      <c r="F15" s="202" t="s">
        <v>85</v>
      </c>
      <c r="G15" s="193" t="s">
        <v>123</v>
      </c>
      <c r="H15" s="193" t="s">
        <v>65</v>
      </c>
      <c r="I15" s="195">
        <v>0.85899999999999999</v>
      </c>
      <c r="J15" s="197" t="s">
        <v>308</v>
      </c>
      <c r="K15" s="196">
        <v>8496594</v>
      </c>
      <c r="L15" s="226">
        <f t="shared" si="6"/>
        <v>5947615.7999999998</v>
      </c>
      <c r="M15" s="52">
        <f t="shared" si="3"/>
        <v>2548978.2000000002</v>
      </c>
      <c r="N15" s="222">
        <v>0.7</v>
      </c>
      <c r="O15" s="248">
        <v>0</v>
      </c>
      <c r="P15" s="248">
        <v>0</v>
      </c>
      <c r="Q15" s="233">
        <v>0</v>
      </c>
      <c r="R15" s="233">
        <v>0</v>
      </c>
      <c r="S15" s="226">
        <v>0</v>
      </c>
      <c r="T15" s="226">
        <f>L15</f>
        <v>5947615.7999999998</v>
      </c>
      <c r="U15" s="226">
        <v>0</v>
      </c>
      <c r="V15" s="226">
        <v>0</v>
      </c>
      <c r="W15" s="248">
        <v>0</v>
      </c>
      <c r="X15" s="248">
        <v>0</v>
      </c>
      <c r="Y15" s="233">
        <v>0</v>
      </c>
      <c r="Z15" s="233">
        <v>0</v>
      </c>
      <c r="AA15" s="228" t="b">
        <f t="shared" si="4"/>
        <v>1</v>
      </c>
      <c r="AB15" s="229">
        <f t="shared" si="0"/>
        <v>0.7</v>
      </c>
      <c r="AC15" s="230" t="b">
        <f t="shared" si="1"/>
        <v>1</v>
      </c>
      <c r="AD15" s="230" t="b">
        <f t="shared" si="2"/>
        <v>1</v>
      </c>
    </row>
    <row r="16" spans="1:30" s="231" customFormat="1" ht="30" customHeight="1" x14ac:dyDescent="0.25">
      <c r="A16" s="240">
        <v>14</v>
      </c>
      <c r="B16" s="193" t="s">
        <v>124</v>
      </c>
      <c r="C16" s="215" t="s">
        <v>50</v>
      </c>
      <c r="D16" s="193" t="s">
        <v>125</v>
      </c>
      <c r="E16" s="193">
        <v>1608033</v>
      </c>
      <c r="F16" s="193" t="s">
        <v>111</v>
      </c>
      <c r="G16" s="193" t="s">
        <v>126</v>
      </c>
      <c r="H16" s="193" t="s">
        <v>53</v>
      </c>
      <c r="I16" s="195">
        <v>3.786</v>
      </c>
      <c r="J16" s="197" t="s">
        <v>298</v>
      </c>
      <c r="K16" s="196">
        <v>1800478.04</v>
      </c>
      <c r="L16" s="226">
        <f t="shared" si="6"/>
        <v>1260334.6200000001</v>
      </c>
      <c r="M16" s="52">
        <f t="shared" si="3"/>
        <v>540143.41999999993</v>
      </c>
      <c r="N16" s="222">
        <v>0.7</v>
      </c>
      <c r="O16" s="248">
        <v>0</v>
      </c>
      <c r="P16" s="248">
        <v>0</v>
      </c>
      <c r="Q16" s="233">
        <v>0</v>
      </c>
      <c r="R16" s="233">
        <v>0</v>
      </c>
      <c r="S16" s="226">
        <v>0</v>
      </c>
      <c r="T16" s="226">
        <f>L16</f>
        <v>1260334.6200000001</v>
      </c>
      <c r="U16" s="226">
        <v>0</v>
      </c>
      <c r="V16" s="226">
        <v>0</v>
      </c>
      <c r="W16" s="248">
        <v>0</v>
      </c>
      <c r="X16" s="248">
        <v>0</v>
      </c>
      <c r="Y16" s="233">
        <v>0</v>
      </c>
      <c r="Z16" s="233">
        <v>0</v>
      </c>
      <c r="AA16" s="228" t="b">
        <f t="shared" si="4"/>
        <v>1</v>
      </c>
      <c r="AB16" s="229">
        <f t="shared" si="0"/>
        <v>0.7</v>
      </c>
      <c r="AC16" s="230" t="b">
        <f t="shared" si="1"/>
        <v>1</v>
      </c>
      <c r="AD16" s="230" t="b">
        <f t="shared" si="2"/>
        <v>1</v>
      </c>
    </row>
    <row r="17" spans="1:30" s="210" customFormat="1" ht="30" customHeight="1" x14ac:dyDescent="0.25">
      <c r="A17" s="239">
        <v>15</v>
      </c>
      <c r="B17" s="198" t="s">
        <v>127</v>
      </c>
      <c r="C17" s="211" t="s">
        <v>59</v>
      </c>
      <c r="D17" s="198" t="s">
        <v>128</v>
      </c>
      <c r="E17" s="213">
        <v>1601011</v>
      </c>
      <c r="F17" s="213" t="s">
        <v>104</v>
      </c>
      <c r="G17" s="213" t="s">
        <v>129</v>
      </c>
      <c r="H17" s="198" t="s">
        <v>57</v>
      </c>
      <c r="I17" s="200">
        <v>0.55700000000000005</v>
      </c>
      <c r="J17" s="201" t="s">
        <v>290</v>
      </c>
      <c r="K17" s="205">
        <v>14506561.859999999</v>
      </c>
      <c r="L17" s="224">
        <f t="shared" si="6"/>
        <v>11605249.48</v>
      </c>
      <c r="M17" s="206">
        <f t="shared" si="3"/>
        <v>2901312.379999999</v>
      </c>
      <c r="N17" s="221">
        <v>0.8</v>
      </c>
      <c r="O17" s="247">
        <v>0</v>
      </c>
      <c r="P17" s="247">
        <v>0</v>
      </c>
      <c r="Q17" s="232">
        <v>0</v>
      </c>
      <c r="R17" s="232">
        <v>0</v>
      </c>
      <c r="S17" s="224">
        <v>0</v>
      </c>
      <c r="T17" s="224">
        <f>ROUNDDOWN(N17*4944950.56,2)</f>
        <v>3955960.44</v>
      </c>
      <c r="U17" s="224">
        <f>ROUNDDOWN(N17*7077422.86,2)</f>
        <v>5661938.2800000003</v>
      </c>
      <c r="V17" s="224">
        <f>L17-T17-U17</f>
        <v>1987350.7600000007</v>
      </c>
      <c r="W17" s="247">
        <v>0</v>
      </c>
      <c r="X17" s="247">
        <v>0</v>
      </c>
      <c r="Y17" s="232">
        <v>0</v>
      </c>
      <c r="Z17" s="232">
        <v>0</v>
      </c>
      <c r="AA17" s="207" t="b">
        <f t="shared" si="4"/>
        <v>1</v>
      </c>
      <c r="AB17" s="208">
        <f t="shared" si="0"/>
        <v>0.8</v>
      </c>
      <c r="AC17" s="209" t="b">
        <f t="shared" si="1"/>
        <v>1</v>
      </c>
      <c r="AD17" s="209" t="b">
        <f t="shared" si="2"/>
        <v>1</v>
      </c>
    </row>
    <row r="18" spans="1:30" s="231" customFormat="1" ht="30" customHeight="1" x14ac:dyDescent="0.25">
      <c r="A18" s="240">
        <v>16</v>
      </c>
      <c r="B18" s="193" t="s">
        <v>130</v>
      </c>
      <c r="C18" s="194" t="s">
        <v>50</v>
      </c>
      <c r="D18" s="193" t="s">
        <v>110</v>
      </c>
      <c r="E18" s="193">
        <v>1608062</v>
      </c>
      <c r="F18" s="193" t="s">
        <v>111</v>
      </c>
      <c r="G18" s="193" t="s">
        <v>131</v>
      </c>
      <c r="H18" s="193" t="s">
        <v>53</v>
      </c>
      <c r="I18" s="195">
        <v>2.7429999999999999</v>
      </c>
      <c r="J18" s="197" t="s">
        <v>267</v>
      </c>
      <c r="K18" s="196">
        <v>3177229.8</v>
      </c>
      <c r="L18" s="226">
        <v>2398900.0499999998</v>
      </c>
      <c r="M18" s="52">
        <f t="shared" si="3"/>
        <v>778329.75</v>
      </c>
      <c r="N18" s="319">
        <v>0.755</v>
      </c>
      <c r="O18" s="248">
        <v>0</v>
      </c>
      <c r="P18" s="248">
        <v>0</v>
      </c>
      <c r="Q18" s="233">
        <v>0</v>
      </c>
      <c r="R18" s="233">
        <v>0</v>
      </c>
      <c r="S18" s="226">
        <v>0</v>
      </c>
      <c r="T18" s="226">
        <f t="shared" ref="T18:T22" si="7">L18</f>
        <v>2398900.0499999998</v>
      </c>
      <c r="U18" s="226">
        <v>0</v>
      </c>
      <c r="V18" s="226">
        <v>0</v>
      </c>
      <c r="W18" s="248">
        <v>0</v>
      </c>
      <c r="X18" s="248">
        <v>0</v>
      </c>
      <c r="Y18" s="233">
        <v>0</v>
      </c>
      <c r="Z18" s="233">
        <v>0</v>
      </c>
      <c r="AA18" s="228" t="b">
        <f t="shared" si="4"/>
        <v>1</v>
      </c>
      <c r="AB18" s="229">
        <f t="shared" si="0"/>
        <v>0.755</v>
      </c>
      <c r="AC18" s="230" t="b">
        <f t="shared" si="1"/>
        <v>1</v>
      </c>
      <c r="AD18" s="230" t="b">
        <f t="shared" si="2"/>
        <v>1</v>
      </c>
    </row>
    <row r="19" spans="1:30" s="275" customFormat="1" ht="38.25" customHeight="1" x14ac:dyDescent="0.25">
      <c r="A19" s="262">
        <v>17</v>
      </c>
      <c r="B19" s="263" t="s">
        <v>133</v>
      </c>
      <c r="C19" s="264"/>
      <c r="D19" s="263" t="s">
        <v>92</v>
      </c>
      <c r="E19" s="263">
        <v>1603011</v>
      </c>
      <c r="F19" s="263" t="s">
        <v>80</v>
      </c>
      <c r="G19" s="263" t="s">
        <v>134</v>
      </c>
      <c r="H19" s="263" t="s">
        <v>53</v>
      </c>
      <c r="I19" s="265"/>
      <c r="J19" s="266" t="s">
        <v>263</v>
      </c>
      <c r="K19" s="267"/>
      <c r="L19" s="261"/>
      <c r="M19" s="268"/>
      <c r="N19" s="269">
        <v>0.5</v>
      </c>
      <c r="O19" s="270"/>
      <c r="P19" s="270"/>
      <c r="Q19" s="271"/>
      <c r="R19" s="271"/>
      <c r="S19" s="261"/>
      <c r="T19" s="261"/>
      <c r="U19" s="261"/>
      <c r="V19" s="261"/>
      <c r="W19" s="270"/>
      <c r="X19" s="270"/>
      <c r="Y19" s="271"/>
      <c r="Z19" s="271"/>
      <c r="AA19" s="272" t="b">
        <f t="shared" si="4"/>
        <v>1</v>
      </c>
      <c r="AB19" s="273" t="e">
        <f t="shared" si="0"/>
        <v>#DIV/0!</v>
      </c>
      <c r="AC19" s="274" t="e">
        <f t="shared" si="1"/>
        <v>#DIV/0!</v>
      </c>
      <c r="AD19" s="274" t="b">
        <f t="shared" si="2"/>
        <v>1</v>
      </c>
    </row>
    <row r="20" spans="1:30" s="231" customFormat="1" ht="38.25" customHeight="1" x14ac:dyDescent="0.25">
      <c r="A20" s="240">
        <v>18</v>
      </c>
      <c r="B20" s="193" t="s">
        <v>135</v>
      </c>
      <c r="C20" s="215" t="s">
        <v>50</v>
      </c>
      <c r="D20" s="193" t="s">
        <v>92</v>
      </c>
      <c r="E20" s="202">
        <v>1603011</v>
      </c>
      <c r="F20" s="202" t="s">
        <v>80</v>
      </c>
      <c r="G20" s="202" t="s">
        <v>136</v>
      </c>
      <c r="H20" s="193" t="s">
        <v>57</v>
      </c>
      <c r="I20" s="216">
        <v>0.29799999999999999</v>
      </c>
      <c r="J20" s="197" t="s">
        <v>277</v>
      </c>
      <c r="K20" s="196">
        <v>1886130.14</v>
      </c>
      <c r="L20" s="226">
        <f t="shared" si="6"/>
        <v>943065.07</v>
      </c>
      <c r="M20" s="52">
        <f t="shared" si="3"/>
        <v>943065.07</v>
      </c>
      <c r="N20" s="222">
        <v>0.5</v>
      </c>
      <c r="O20" s="248">
        <v>0</v>
      </c>
      <c r="P20" s="248">
        <v>0</v>
      </c>
      <c r="Q20" s="233">
        <v>0</v>
      </c>
      <c r="R20" s="233">
        <v>0</v>
      </c>
      <c r="S20" s="226">
        <v>0</v>
      </c>
      <c r="T20" s="226">
        <f t="shared" si="7"/>
        <v>943065.07</v>
      </c>
      <c r="U20" s="226">
        <v>0</v>
      </c>
      <c r="V20" s="226">
        <v>0</v>
      </c>
      <c r="W20" s="248">
        <v>0</v>
      </c>
      <c r="X20" s="248">
        <v>0</v>
      </c>
      <c r="Y20" s="233">
        <v>0</v>
      </c>
      <c r="Z20" s="233">
        <v>0</v>
      </c>
      <c r="AA20" s="228" t="b">
        <f t="shared" si="4"/>
        <v>1</v>
      </c>
      <c r="AB20" s="229">
        <f t="shared" ref="AB20:AB24" si="8">ROUND(L20/K20,4)</f>
        <v>0.5</v>
      </c>
      <c r="AC20" s="230" t="b">
        <f t="shared" ref="AC20:AC24" si="9">AB20=N20</f>
        <v>1</v>
      </c>
      <c r="AD20" s="230" t="b">
        <f t="shared" ref="AD20:AD24" si="10">K20=L20+M20</f>
        <v>1</v>
      </c>
    </row>
    <row r="21" spans="1:30" s="231" customFormat="1" ht="30" customHeight="1" x14ac:dyDescent="0.25">
      <c r="A21" s="240">
        <v>19</v>
      </c>
      <c r="B21" s="193" t="s">
        <v>137</v>
      </c>
      <c r="C21" s="215" t="s">
        <v>50</v>
      </c>
      <c r="D21" s="193" t="s">
        <v>138</v>
      </c>
      <c r="E21" s="202">
        <v>1605023</v>
      </c>
      <c r="F21" s="202" t="s">
        <v>139</v>
      </c>
      <c r="G21" s="202" t="s">
        <v>140</v>
      </c>
      <c r="H21" s="193" t="s">
        <v>57</v>
      </c>
      <c r="I21" s="202">
        <v>0.27700000000000002</v>
      </c>
      <c r="J21" s="197" t="s">
        <v>277</v>
      </c>
      <c r="K21" s="196">
        <v>919458.07</v>
      </c>
      <c r="L21" s="226">
        <f t="shared" si="6"/>
        <v>643620.64</v>
      </c>
      <c r="M21" s="52">
        <f t="shared" si="3"/>
        <v>275837.42999999993</v>
      </c>
      <c r="N21" s="223">
        <v>0.7</v>
      </c>
      <c r="O21" s="248">
        <v>0</v>
      </c>
      <c r="P21" s="248">
        <v>0</v>
      </c>
      <c r="Q21" s="233">
        <v>0</v>
      </c>
      <c r="R21" s="233">
        <v>0</v>
      </c>
      <c r="S21" s="226">
        <v>0</v>
      </c>
      <c r="T21" s="226">
        <f t="shared" si="7"/>
        <v>643620.64</v>
      </c>
      <c r="U21" s="226">
        <v>0</v>
      </c>
      <c r="V21" s="226">
        <v>0</v>
      </c>
      <c r="W21" s="248">
        <v>0</v>
      </c>
      <c r="X21" s="248">
        <v>0</v>
      </c>
      <c r="Y21" s="233">
        <v>0</v>
      </c>
      <c r="Z21" s="233">
        <v>0</v>
      </c>
      <c r="AA21" s="228" t="b">
        <f t="shared" si="4"/>
        <v>1</v>
      </c>
      <c r="AB21" s="229">
        <f t="shared" si="8"/>
        <v>0.7</v>
      </c>
      <c r="AC21" s="230" t="b">
        <f t="shared" si="9"/>
        <v>1</v>
      </c>
      <c r="AD21" s="230" t="b">
        <f t="shared" si="10"/>
        <v>1</v>
      </c>
    </row>
    <row r="22" spans="1:30" s="231" customFormat="1" ht="30" customHeight="1" x14ac:dyDescent="0.25">
      <c r="A22" s="240">
        <v>20</v>
      </c>
      <c r="B22" s="193" t="s">
        <v>141</v>
      </c>
      <c r="C22" s="215" t="s">
        <v>50</v>
      </c>
      <c r="D22" s="193" t="s">
        <v>119</v>
      </c>
      <c r="E22" s="202">
        <v>1609032</v>
      </c>
      <c r="F22" s="202" t="s">
        <v>85</v>
      </c>
      <c r="G22" s="202" t="s">
        <v>142</v>
      </c>
      <c r="H22" s="193" t="s">
        <v>65</v>
      </c>
      <c r="I22" s="216">
        <v>0.23698</v>
      </c>
      <c r="J22" s="197" t="s">
        <v>298</v>
      </c>
      <c r="K22" s="196">
        <v>347934.69</v>
      </c>
      <c r="L22" s="226">
        <f t="shared" si="6"/>
        <v>243554.28</v>
      </c>
      <c r="M22" s="52">
        <f t="shared" si="3"/>
        <v>104380.41</v>
      </c>
      <c r="N22" s="222">
        <v>0.7</v>
      </c>
      <c r="O22" s="248">
        <v>0</v>
      </c>
      <c r="P22" s="248">
        <v>0</v>
      </c>
      <c r="Q22" s="233">
        <v>0</v>
      </c>
      <c r="R22" s="233">
        <v>0</v>
      </c>
      <c r="S22" s="226">
        <v>0</v>
      </c>
      <c r="T22" s="226">
        <f t="shared" si="7"/>
        <v>243554.28</v>
      </c>
      <c r="U22" s="226">
        <v>0</v>
      </c>
      <c r="V22" s="226">
        <v>0</v>
      </c>
      <c r="W22" s="248">
        <v>0</v>
      </c>
      <c r="X22" s="248">
        <v>0</v>
      </c>
      <c r="Y22" s="233">
        <v>0</v>
      </c>
      <c r="Z22" s="233">
        <v>0</v>
      </c>
      <c r="AA22" s="228" t="b">
        <f t="shared" si="4"/>
        <v>1</v>
      </c>
      <c r="AB22" s="229">
        <f t="shared" si="8"/>
        <v>0.7</v>
      </c>
      <c r="AC22" s="230" t="b">
        <f t="shared" si="9"/>
        <v>1</v>
      </c>
      <c r="AD22" s="230" t="b">
        <f t="shared" si="10"/>
        <v>1</v>
      </c>
    </row>
    <row r="23" spans="1:30" s="210" customFormat="1" ht="30" customHeight="1" x14ac:dyDescent="0.25">
      <c r="A23" s="239">
        <v>21</v>
      </c>
      <c r="B23" s="198" t="s">
        <v>143</v>
      </c>
      <c r="C23" s="211" t="s">
        <v>59</v>
      </c>
      <c r="D23" s="198" t="s">
        <v>144</v>
      </c>
      <c r="E23" s="213">
        <v>1610043</v>
      </c>
      <c r="F23" s="213" t="s">
        <v>145</v>
      </c>
      <c r="G23" s="213" t="s">
        <v>146</v>
      </c>
      <c r="H23" s="198" t="s">
        <v>57</v>
      </c>
      <c r="I23" s="214">
        <v>1.24634</v>
      </c>
      <c r="J23" s="201" t="s">
        <v>322</v>
      </c>
      <c r="K23" s="205">
        <v>5709333.3499999996</v>
      </c>
      <c r="L23" s="224">
        <f t="shared" si="6"/>
        <v>4567466.68</v>
      </c>
      <c r="M23" s="206">
        <f t="shared" si="3"/>
        <v>1141866.67</v>
      </c>
      <c r="N23" s="221">
        <v>0.8</v>
      </c>
      <c r="O23" s="247">
        <v>0</v>
      </c>
      <c r="P23" s="247">
        <v>0</v>
      </c>
      <c r="Q23" s="232">
        <v>0</v>
      </c>
      <c r="R23" s="232">
        <v>0</v>
      </c>
      <c r="S23" s="224">
        <v>0</v>
      </c>
      <c r="T23" s="224">
        <v>3095987.81</v>
      </c>
      <c r="U23" s="224">
        <f>L23-T23</f>
        <v>1471478.8699999996</v>
      </c>
      <c r="V23" s="224">
        <v>0</v>
      </c>
      <c r="W23" s="247">
        <v>0</v>
      </c>
      <c r="X23" s="247">
        <v>0</v>
      </c>
      <c r="Y23" s="232">
        <v>0</v>
      </c>
      <c r="Z23" s="232">
        <v>0</v>
      </c>
      <c r="AA23" s="207" t="b">
        <f t="shared" si="4"/>
        <v>1</v>
      </c>
      <c r="AB23" s="208">
        <f t="shared" si="8"/>
        <v>0.8</v>
      </c>
      <c r="AC23" s="209" t="b">
        <f t="shared" si="9"/>
        <v>1</v>
      </c>
      <c r="AD23" s="209" t="b">
        <f t="shared" si="10"/>
        <v>1</v>
      </c>
    </row>
    <row r="24" spans="1:30" s="210" customFormat="1" ht="30" customHeight="1" x14ac:dyDescent="0.25">
      <c r="A24" s="239">
        <v>22</v>
      </c>
      <c r="B24" s="198" t="s">
        <v>147</v>
      </c>
      <c r="C24" s="211" t="s">
        <v>59</v>
      </c>
      <c r="D24" s="198" t="s">
        <v>103</v>
      </c>
      <c r="E24" s="213">
        <v>1601033</v>
      </c>
      <c r="F24" s="213" t="s">
        <v>104</v>
      </c>
      <c r="G24" s="213" t="s">
        <v>148</v>
      </c>
      <c r="H24" s="198" t="s">
        <v>65</v>
      </c>
      <c r="I24" s="214">
        <v>0.32</v>
      </c>
      <c r="J24" s="201" t="s">
        <v>291</v>
      </c>
      <c r="K24" s="205">
        <v>1975602.31</v>
      </c>
      <c r="L24" s="224">
        <f t="shared" si="6"/>
        <v>1185361.3799999999</v>
      </c>
      <c r="M24" s="206">
        <f t="shared" si="3"/>
        <v>790240.93000000017</v>
      </c>
      <c r="N24" s="221">
        <v>0.6</v>
      </c>
      <c r="O24" s="247">
        <v>0</v>
      </c>
      <c r="P24" s="247">
        <v>0</v>
      </c>
      <c r="Q24" s="232">
        <v>0</v>
      </c>
      <c r="R24" s="232">
        <v>0</v>
      </c>
      <c r="S24" s="224">
        <v>0</v>
      </c>
      <c r="T24" s="224">
        <v>550762.66</v>
      </c>
      <c r="U24" s="224">
        <v>634598.72</v>
      </c>
      <c r="V24" s="224">
        <v>0</v>
      </c>
      <c r="W24" s="247">
        <v>0</v>
      </c>
      <c r="X24" s="247">
        <v>0</v>
      </c>
      <c r="Y24" s="232">
        <v>0</v>
      </c>
      <c r="Z24" s="232">
        <v>0</v>
      </c>
      <c r="AA24" s="207" t="b">
        <f t="shared" si="4"/>
        <v>1</v>
      </c>
      <c r="AB24" s="208">
        <f t="shared" si="8"/>
        <v>0.6</v>
      </c>
      <c r="AC24" s="209" t="b">
        <f t="shared" si="9"/>
        <v>1</v>
      </c>
      <c r="AD24" s="209" t="b">
        <f t="shared" si="10"/>
        <v>1</v>
      </c>
    </row>
    <row r="25" spans="1:30" s="231" customFormat="1" ht="30" customHeight="1" x14ac:dyDescent="0.25">
      <c r="A25" s="240">
        <v>23</v>
      </c>
      <c r="B25" s="193" t="s">
        <v>149</v>
      </c>
      <c r="C25" s="215" t="s">
        <v>50</v>
      </c>
      <c r="D25" s="193" t="s">
        <v>150</v>
      </c>
      <c r="E25" s="202">
        <v>1609022</v>
      </c>
      <c r="F25" s="202" t="s">
        <v>85</v>
      </c>
      <c r="G25" s="202" t="s">
        <v>151</v>
      </c>
      <c r="H25" s="193" t="s">
        <v>57</v>
      </c>
      <c r="I25" s="216">
        <v>0.50900000000000001</v>
      </c>
      <c r="J25" s="197" t="s">
        <v>269</v>
      </c>
      <c r="K25" s="196">
        <v>890287.41</v>
      </c>
      <c r="L25" s="226">
        <f t="shared" si="6"/>
        <v>534172.43999999994</v>
      </c>
      <c r="M25" s="52">
        <f t="shared" si="3"/>
        <v>356114.97000000009</v>
      </c>
      <c r="N25" s="222">
        <v>0.6</v>
      </c>
      <c r="O25" s="248">
        <v>0</v>
      </c>
      <c r="P25" s="248">
        <v>0</v>
      </c>
      <c r="Q25" s="233">
        <v>0</v>
      </c>
      <c r="R25" s="233">
        <v>0</v>
      </c>
      <c r="S25" s="226">
        <v>0</v>
      </c>
      <c r="T25" s="226">
        <f t="shared" ref="T25:T33" si="11">L25</f>
        <v>534172.43999999994</v>
      </c>
      <c r="U25" s="226">
        <v>0</v>
      </c>
      <c r="V25" s="226">
        <v>0</v>
      </c>
      <c r="W25" s="248">
        <v>0</v>
      </c>
      <c r="X25" s="248">
        <v>0</v>
      </c>
      <c r="Y25" s="233">
        <v>0</v>
      </c>
      <c r="Z25" s="233">
        <v>0</v>
      </c>
      <c r="AA25" s="228" t="b">
        <f t="shared" ref="AA25:AA40" si="12">L25=SUM(O25:Z25)</f>
        <v>1</v>
      </c>
      <c r="AB25" s="229">
        <f t="shared" ref="AB25:AB40" si="13">ROUND(L25/K25,4)</f>
        <v>0.6</v>
      </c>
      <c r="AC25" s="230" t="b">
        <f t="shared" ref="AC25:AC40" si="14">AB25=N25</f>
        <v>1</v>
      </c>
      <c r="AD25" s="230" t="b">
        <f t="shared" ref="AD25:AD40" si="15">K25=L25+M25</f>
        <v>1</v>
      </c>
    </row>
    <row r="26" spans="1:30" s="231" customFormat="1" ht="30" customHeight="1" x14ac:dyDescent="0.25">
      <c r="A26" s="240">
        <v>24</v>
      </c>
      <c r="B26" s="193" t="s">
        <v>152</v>
      </c>
      <c r="C26" s="215" t="s">
        <v>50</v>
      </c>
      <c r="D26" s="193" t="s">
        <v>103</v>
      </c>
      <c r="E26" s="202">
        <v>1601033</v>
      </c>
      <c r="F26" s="202" t="s">
        <v>104</v>
      </c>
      <c r="G26" s="202" t="s">
        <v>153</v>
      </c>
      <c r="H26" s="193" t="s">
        <v>57</v>
      </c>
      <c r="I26" s="216">
        <v>0.3054</v>
      </c>
      <c r="J26" s="197" t="s">
        <v>242</v>
      </c>
      <c r="K26" s="196">
        <v>1457007.96</v>
      </c>
      <c r="L26" s="226">
        <f t="shared" si="6"/>
        <v>874204.77</v>
      </c>
      <c r="M26" s="52">
        <f t="shared" si="3"/>
        <v>582803.18999999994</v>
      </c>
      <c r="N26" s="222">
        <v>0.6</v>
      </c>
      <c r="O26" s="248">
        <v>0</v>
      </c>
      <c r="P26" s="248">
        <v>0</v>
      </c>
      <c r="Q26" s="233">
        <v>0</v>
      </c>
      <c r="R26" s="233">
        <v>0</v>
      </c>
      <c r="S26" s="226">
        <v>0</v>
      </c>
      <c r="T26" s="226">
        <f t="shared" si="11"/>
        <v>874204.77</v>
      </c>
      <c r="U26" s="226">
        <v>0</v>
      </c>
      <c r="V26" s="226">
        <v>0</v>
      </c>
      <c r="W26" s="248">
        <v>0</v>
      </c>
      <c r="X26" s="248">
        <v>0</v>
      </c>
      <c r="Y26" s="233">
        <v>0</v>
      </c>
      <c r="Z26" s="233">
        <v>0</v>
      </c>
      <c r="AA26" s="228" t="b">
        <f t="shared" si="12"/>
        <v>1</v>
      </c>
      <c r="AB26" s="229">
        <f t="shared" si="13"/>
        <v>0.6</v>
      </c>
      <c r="AC26" s="230" t="b">
        <f t="shared" si="14"/>
        <v>1</v>
      </c>
      <c r="AD26" s="230" t="b">
        <f t="shared" si="15"/>
        <v>1</v>
      </c>
    </row>
    <row r="27" spans="1:30" s="231" customFormat="1" ht="36.75" customHeight="1" x14ac:dyDescent="0.25">
      <c r="A27" s="240">
        <v>25</v>
      </c>
      <c r="B27" s="193" t="s">
        <v>154</v>
      </c>
      <c r="C27" s="215" t="s">
        <v>50</v>
      </c>
      <c r="D27" s="193" t="s">
        <v>138</v>
      </c>
      <c r="E27" s="193">
        <v>1605023</v>
      </c>
      <c r="F27" s="193" t="s">
        <v>139</v>
      </c>
      <c r="G27" s="193" t="s">
        <v>155</v>
      </c>
      <c r="H27" s="193" t="s">
        <v>65</v>
      </c>
      <c r="I27" s="195">
        <v>0.09</v>
      </c>
      <c r="J27" s="197" t="s">
        <v>267</v>
      </c>
      <c r="K27" s="196">
        <v>756834.06</v>
      </c>
      <c r="L27" s="226">
        <v>529486.74</v>
      </c>
      <c r="M27" s="52">
        <f t="shared" si="3"/>
        <v>227347.32000000007</v>
      </c>
      <c r="N27" s="319">
        <v>0.6996</v>
      </c>
      <c r="O27" s="248">
        <v>0</v>
      </c>
      <c r="P27" s="248">
        <v>0</v>
      </c>
      <c r="Q27" s="233">
        <v>0</v>
      </c>
      <c r="R27" s="233">
        <v>0</v>
      </c>
      <c r="S27" s="226">
        <v>0</v>
      </c>
      <c r="T27" s="226">
        <f t="shared" si="11"/>
        <v>529486.74</v>
      </c>
      <c r="U27" s="226">
        <v>0</v>
      </c>
      <c r="V27" s="226">
        <v>0</v>
      </c>
      <c r="W27" s="248">
        <v>0</v>
      </c>
      <c r="X27" s="248">
        <v>0</v>
      </c>
      <c r="Y27" s="233">
        <v>0</v>
      </c>
      <c r="Z27" s="233">
        <v>0</v>
      </c>
      <c r="AA27" s="228" t="b">
        <f t="shared" si="12"/>
        <v>1</v>
      </c>
      <c r="AB27" s="229">
        <f t="shared" si="13"/>
        <v>0.6996</v>
      </c>
      <c r="AC27" s="230" t="b">
        <f t="shared" si="14"/>
        <v>1</v>
      </c>
      <c r="AD27" s="230" t="b">
        <f t="shared" si="15"/>
        <v>1</v>
      </c>
    </row>
    <row r="28" spans="1:30" s="231" customFormat="1" ht="30" customHeight="1" x14ac:dyDescent="0.25">
      <c r="A28" s="240">
        <v>26</v>
      </c>
      <c r="B28" s="193" t="s">
        <v>156</v>
      </c>
      <c r="C28" s="215" t="s">
        <v>50</v>
      </c>
      <c r="D28" s="193" t="s">
        <v>157</v>
      </c>
      <c r="E28" s="202">
        <v>1608052</v>
      </c>
      <c r="F28" s="202" t="s">
        <v>111</v>
      </c>
      <c r="G28" s="202" t="s">
        <v>158</v>
      </c>
      <c r="H28" s="193" t="s">
        <v>57</v>
      </c>
      <c r="I28" s="216">
        <v>1.3120000000000001</v>
      </c>
      <c r="J28" s="197" t="s">
        <v>269</v>
      </c>
      <c r="K28" s="196">
        <v>1992684.04</v>
      </c>
      <c r="L28" s="226">
        <f t="shared" si="6"/>
        <v>1195610.42</v>
      </c>
      <c r="M28" s="52">
        <f t="shared" si="3"/>
        <v>797073.62000000011</v>
      </c>
      <c r="N28" s="222">
        <v>0.6</v>
      </c>
      <c r="O28" s="248">
        <v>0</v>
      </c>
      <c r="P28" s="248">
        <v>0</v>
      </c>
      <c r="Q28" s="233">
        <v>0</v>
      </c>
      <c r="R28" s="233">
        <v>0</v>
      </c>
      <c r="S28" s="226">
        <v>0</v>
      </c>
      <c r="T28" s="226">
        <f t="shared" si="11"/>
        <v>1195610.42</v>
      </c>
      <c r="U28" s="226">
        <v>0</v>
      </c>
      <c r="V28" s="226">
        <v>0</v>
      </c>
      <c r="W28" s="248">
        <v>0</v>
      </c>
      <c r="X28" s="248">
        <v>0</v>
      </c>
      <c r="Y28" s="233">
        <v>0</v>
      </c>
      <c r="Z28" s="233">
        <v>0</v>
      </c>
      <c r="AA28" s="228" t="b">
        <f t="shared" si="12"/>
        <v>1</v>
      </c>
      <c r="AB28" s="229">
        <f t="shared" si="13"/>
        <v>0.6</v>
      </c>
      <c r="AC28" s="230" t="b">
        <f t="shared" si="14"/>
        <v>1</v>
      </c>
      <c r="AD28" s="230" t="b">
        <f t="shared" si="15"/>
        <v>1</v>
      </c>
    </row>
    <row r="29" spans="1:30" s="231" customFormat="1" ht="30" customHeight="1" x14ac:dyDescent="0.25">
      <c r="A29" s="240">
        <v>27</v>
      </c>
      <c r="B29" s="193" t="s">
        <v>159</v>
      </c>
      <c r="C29" s="215" t="s">
        <v>50</v>
      </c>
      <c r="D29" s="193" t="s">
        <v>160</v>
      </c>
      <c r="E29" s="193">
        <v>1608013</v>
      </c>
      <c r="F29" s="202" t="s">
        <v>111</v>
      </c>
      <c r="G29" s="193" t="s">
        <v>161</v>
      </c>
      <c r="H29" s="193" t="s">
        <v>57</v>
      </c>
      <c r="I29" s="195">
        <v>0.32100000000000001</v>
      </c>
      <c r="J29" s="197" t="s">
        <v>277</v>
      </c>
      <c r="K29" s="196">
        <v>2118569.56</v>
      </c>
      <c r="L29" s="226">
        <f t="shared" si="6"/>
        <v>1482998.69</v>
      </c>
      <c r="M29" s="52">
        <f t="shared" si="3"/>
        <v>635570.87000000011</v>
      </c>
      <c r="N29" s="222">
        <v>0.7</v>
      </c>
      <c r="O29" s="248">
        <v>0</v>
      </c>
      <c r="P29" s="248">
        <v>0</v>
      </c>
      <c r="Q29" s="233">
        <v>0</v>
      </c>
      <c r="R29" s="233">
        <v>0</v>
      </c>
      <c r="S29" s="226">
        <v>0</v>
      </c>
      <c r="T29" s="226">
        <f t="shared" si="11"/>
        <v>1482998.69</v>
      </c>
      <c r="U29" s="226">
        <v>0</v>
      </c>
      <c r="V29" s="226">
        <v>0</v>
      </c>
      <c r="W29" s="248">
        <v>0</v>
      </c>
      <c r="X29" s="248">
        <v>0</v>
      </c>
      <c r="Y29" s="233">
        <v>0</v>
      </c>
      <c r="Z29" s="233">
        <v>0</v>
      </c>
      <c r="AA29" s="228" t="b">
        <f t="shared" si="12"/>
        <v>1</v>
      </c>
      <c r="AB29" s="229">
        <f t="shared" si="13"/>
        <v>0.7</v>
      </c>
      <c r="AC29" s="230" t="b">
        <f t="shared" si="14"/>
        <v>1</v>
      </c>
      <c r="AD29" s="230" t="b">
        <f t="shared" si="15"/>
        <v>1</v>
      </c>
    </row>
    <row r="30" spans="1:30" s="231" customFormat="1" ht="30" customHeight="1" x14ac:dyDescent="0.25">
      <c r="A30" s="240">
        <v>28</v>
      </c>
      <c r="B30" s="193" t="s">
        <v>162</v>
      </c>
      <c r="C30" s="215" t="s">
        <v>50</v>
      </c>
      <c r="D30" s="193" t="s">
        <v>163</v>
      </c>
      <c r="E30" s="193">
        <v>1604043</v>
      </c>
      <c r="F30" s="202" t="s">
        <v>60</v>
      </c>
      <c r="G30" s="193" t="s">
        <v>164</v>
      </c>
      <c r="H30" s="193" t="s">
        <v>57</v>
      </c>
      <c r="I30" s="195">
        <v>0.78042999999999996</v>
      </c>
      <c r="J30" s="197" t="s">
        <v>278</v>
      </c>
      <c r="K30" s="196">
        <v>836059.69</v>
      </c>
      <c r="L30" s="226">
        <f t="shared" si="6"/>
        <v>585241.78</v>
      </c>
      <c r="M30" s="52">
        <f t="shared" si="3"/>
        <v>250817.90999999992</v>
      </c>
      <c r="N30" s="223">
        <v>0.7</v>
      </c>
      <c r="O30" s="248">
        <v>0</v>
      </c>
      <c r="P30" s="248">
        <v>0</v>
      </c>
      <c r="Q30" s="233">
        <v>0</v>
      </c>
      <c r="R30" s="233">
        <v>0</v>
      </c>
      <c r="S30" s="226">
        <v>0</v>
      </c>
      <c r="T30" s="226">
        <f t="shared" si="11"/>
        <v>585241.78</v>
      </c>
      <c r="U30" s="226">
        <v>0</v>
      </c>
      <c r="V30" s="226">
        <v>0</v>
      </c>
      <c r="W30" s="248">
        <v>0</v>
      </c>
      <c r="X30" s="248">
        <v>0</v>
      </c>
      <c r="Y30" s="233">
        <v>0</v>
      </c>
      <c r="Z30" s="233">
        <v>0</v>
      </c>
      <c r="AA30" s="228" t="b">
        <f t="shared" si="12"/>
        <v>1</v>
      </c>
      <c r="AB30" s="229">
        <f t="shared" si="13"/>
        <v>0.7</v>
      </c>
      <c r="AC30" s="230" t="b">
        <f t="shared" si="14"/>
        <v>1</v>
      </c>
      <c r="AD30" s="230" t="b">
        <f t="shared" si="15"/>
        <v>1</v>
      </c>
    </row>
    <row r="31" spans="1:30" s="231" customFormat="1" ht="35.25" customHeight="1" x14ac:dyDescent="0.25">
      <c r="A31" s="240">
        <v>29</v>
      </c>
      <c r="B31" s="193" t="s">
        <v>166</v>
      </c>
      <c r="C31" s="215" t="s">
        <v>50</v>
      </c>
      <c r="D31" s="193" t="s">
        <v>167</v>
      </c>
      <c r="E31" s="193">
        <v>1603022</v>
      </c>
      <c r="F31" s="202" t="s">
        <v>80</v>
      </c>
      <c r="G31" s="193" t="s">
        <v>168</v>
      </c>
      <c r="H31" s="193" t="s">
        <v>57</v>
      </c>
      <c r="I31" s="195">
        <v>0.67569999999999997</v>
      </c>
      <c r="J31" s="197" t="s">
        <v>278</v>
      </c>
      <c r="K31" s="196">
        <v>964000</v>
      </c>
      <c r="L31" s="226">
        <f t="shared" si="6"/>
        <v>578400</v>
      </c>
      <c r="M31" s="52">
        <f t="shared" si="3"/>
        <v>385600</v>
      </c>
      <c r="N31" s="222">
        <v>0.6</v>
      </c>
      <c r="O31" s="248">
        <v>0</v>
      </c>
      <c r="P31" s="248">
        <v>0</v>
      </c>
      <c r="Q31" s="233">
        <v>0</v>
      </c>
      <c r="R31" s="233">
        <v>0</v>
      </c>
      <c r="S31" s="226">
        <v>0</v>
      </c>
      <c r="T31" s="226">
        <f t="shared" si="11"/>
        <v>578400</v>
      </c>
      <c r="U31" s="226">
        <v>0</v>
      </c>
      <c r="V31" s="226">
        <v>0</v>
      </c>
      <c r="W31" s="248">
        <v>0</v>
      </c>
      <c r="X31" s="248">
        <v>0</v>
      </c>
      <c r="Y31" s="233">
        <v>0</v>
      </c>
      <c r="Z31" s="233">
        <v>0</v>
      </c>
      <c r="AA31" s="228" t="b">
        <f t="shared" si="12"/>
        <v>1</v>
      </c>
      <c r="AB31" s="229">
        <f t="shared" si="13"/>
        <v>0.6</v>
      </c>
      <c r="AC31" s="230" t="b">
        <f t="shared" si="14"/>
        <v>1</v>
      </c>
      <c r="AD31" s="230" t="b">
        <f t="shared" si="15"/>
        <v>1</v>
      </c>
    </row>
    <row r="32" spans="1:30" s="231" customFormat="1" ht="30" customHeight="1" x14ac:dyDescent="0.25">
      <c r="A32" s="240">
        <v>30</v>
      </c>
      <c r="B32" s="193" t="s">
        <v>170</v>
      </c>
      <c r="C32" s="215" t="s">
        <v>50</v>
      </c>
      <c r="D32" s="193" t="s">
        <v>171</v>
      </c>
      <c r="E32" s="202">
        <v>1604023</v>
      </c>
      <c r="F32" s="202" t="s">
        <v>60</v>
      </c>
      <c r="G32" s="202" t="s">
        <v>293</v>
      </c>
      <c r="H32" s="193" t="s">
        <v>53</v>
      </c>
      <c r="I32" s="216">
        <v>0.25600000000000001</v>
      </c>
      <c r="J32" s="197" t="s">
        <v>297</v>
      </c>
      <c r="K32" s="196">
        <v>473720.27</v>
      </c>
      <c r="L32" s="226">
        <f t="shared" si="6"/>
        <v>378976.21</v>
      </c>
      <c r="M32" s="52">
        <f t="shared" si="3"/>
        <v>94744.06</v>
      </c>
      <c r="N32" s="222">
        <v>0.8</v>
      </c>
      <c r="O32" s="248">
        <v>0</v>
      </c>
      <c r="P32" s="248">
        <v>0</v>
      </c>
      <c r="Q32" s="233">
        <v>0</v>
      </c>
      <c r="R32" s="233">
        <v>0</v>
      </c>
      <c r="S32" s="226">
        <v>0</v>
      </c>
      <c r="T32" s="226">
        <f t="shared" si="11"/>
        <v>378976.21</v>
      </c>
      <c r="U32" s="226">
        <v>0</v>
      </c>
      <c r="V32" s="226">
        <v>0</v>
      </c>
      <c r="W32" s="248">
        <v>0</v>
      </c>
      <c r="X32" s="248">
        <v>0</v>
      </c>
      <c r="Y32" s="233">
        <v>0</v>
      </c>
      <c r="Z32" s="233">
        <v>0</v>
      </c>
      <c r="AA32" s="228" t="b">
        <f t="shared" si="12"/>
        <v>1</v>
      </c>
      <c r="AB32" s="229">
        <f t="shared" si="13"/>
        <v>0.8</v>
      </c>
      <c r="AC32" s="230" t="b">
        <f t="shared" si="14"/>
        <v>1</v>
      </c>
      <c r="AD32" s="230" t="b">
        <f t="shared" si="15"/>
        <v>1</v>
      </c>
    </row>
    <row r="33" spans="1:30" s="231" customFormat="1" ht="30" customHeight="1" x14ac:dyDescent="0.25">
      <c r="A33" s="240">
        <v>31</v>
      </c>
      <c r="B33" s="193" t="s">
        <v>172</v>
      </c>
      <c r="C33" s="215" t="s">
        <v>50</v>
      </c>
      <c r="D33" s="193" t="s">
        <v>173</v>
      </c>
      <c r="E33" s="193">
        <v>1611053</v>
      </c>
      <c r="F33" s="193" t="s">
        <v>63</v>
      </c>
      <c r="G33" s="193" t="s">
        <v>174</v>
      </c>
      <c r="H33" s="193" t="s">
        <v>57</v>
      </c>
      <c r="I33" s="195">
        <v>0.41399999999999998</v>
      </c>
      <c r="J33" s="197" t="s">
        <v>277</v>
      </c>
      <c r="K33" s="196">
        <v>5291424.5199999996</v>
      </c>
      <c r="L33" s="226">
        <f t="shared" si="6"/>
        <v>3174854.71</v>
      </c>
      <c r="M33" s="52">
        <f t="shared" si="3"/>
        <v>2116569.8099999996</v>
      </c>
      <c r="N33" s="222">
        <v>0.6</v>
      </c>
      <c r="O33" s="248">
        <v>0</v>
      </c>
      <c r="P33" s="248">
        <v>0</v>
      </c>
      <c r="Q33" s="233">
        <v>0</v>
      </c>
      <c r="R33" s="233">
        <v>0</v>
      </c>
      <c r="S33" s="226">
        <v>0</v>
      </c>
      <c r="T33" s="226">
        <f t="shared" si="11"/>
        <v>3174854.71</v>
      </c>
      <c r="U33" s="226">
        <v>0</v>
      </c>
      <c r="V33" s="226">
        <v>0</v>
      </c>
      <c r="W33" s="248">
        <v>0</v>
      </c>
      <c r="X33" s="248">
        <v>0</v>
      </c>
      <c r="Y33" s="233">
        <v>0</v>
      </c>
      <c r="Z33" s="233">
        <v>0</v>
      </c>
      <c r="AA33" s="228" t="b">
        <f t="shared" si="12"/>
        <v>1</v>
      </c>
      <c r="AB33" s="229">
        <f t="shared" si="13"/>
        <v>0.6</v>
      </c>
      <c r="AC33" s="230" t="b">
        <f t="shared" si="14"/>
        <v>1</v>
      </c>
      <c r="AD33" s="230" t="b">
        <f t="shared" si="15"/>
        <v>1</v>
      </c>
    </row>
    <row r="34" spans="1:30" s="330" customFormat="1" ht="30" customHeight="1" x14ac:dyDescent="0.25">
      <c r="A34" s="239">
        <v>32</v>
      </c>
      <c r="B34" s="198" t="s">
        <v>175</v>
      </c>
      <c r="C34" s="198" t="s">
        <v>59</v>
      </c>
      <c r="D34" s="198" t="s">
        <v>128</v>
      </c>
      <c r="E34" s="212">
        <v>1601011</v>
      </c>
      <c r="F34" s="198" t="s">
        <v>104</v>
      </c>
      <c r="G34" s="198" t="s">
        <v>176</v>
      </c>
      <c r="H34" s="198" t="s">
        <v>65</v>
      </c>
      <c r="I34" s="200">
        <v>0.13800000000000001</v>
      </c>
      <c r="J34" s="201" t="s">
        <v>299</v>
      </c>
      <c r="K34" s="205">
        <v>1622839.83</v>
      </c>
      <c r="L34" s="224">
        <f t="shared" si="6"/>
        <v>1298271.8600000001</v>
      </c>
      <c r="M34" s="206">
        <f t="shared" si="3"/>
        <v>324567.96999999997</v>
      </c>
      <c r="N34" s="221">
        <v>0.8</v>
      </c>
      <c r="O34" s="247">
        <v>0</v>
      </c>
      <c r="P34" s="247">
        <v>0</v>
      </c>
      <c r="Q34" s="232">
        <v>0</v>
      </c>
      <c r="R34" s="232">
        <v>0</v>
      </c>
      <c r="S34" s="224">
        <v>0</v>
      </c>
      <c r="T34" s="224">
        <v>1105440.53</v>
      </c>
      <c r="U34" s="224">
        <f>L34-T34</f>
        <v>192831.33000000007</v>
      </c>
      <c r="V34" s="224">
        <v>0</v>
      </c>
      <c r="W34" s="247">
        <v>0</v>
      </c>
      <c r="X34" s="247">
        <v>0</v>
      </c>
      <c r="Y34" s="232">
        <v>0</v>
      </c>
      <c r="Z34" s="232">
        <v>0</v>
      </c>
      <c r="AA34" s="327" t="b">
        <f t="shared" si="12"/>
        <v>1</v>
      </c>
      <c r="AB34" s="328">
        <f t="shared" si="13"/>
        <v>0.8</v>
      </c>
      <c r="AC34" s="329" t="b">
        <f t="shared" si="14"/>
        <v>1</v>
      </c>
      <c r="AD34" s="329" t="b">
        <f t="shared" si="15"/>
        <v>1</v>
      </c>
    </row>
    <row r="35" spans="1:30" s="231" customFormat="1" ht="36.75" customHeight="1" x14ac:dyDescent="0.25">
      <c r="A35" s="240">
        <v>33</v>
      </c>
      <c r="B35" s="193" t="s">
        <v>177</v>
      </c>
      <c r="C35" s="215" t="s">
        <v>50</v>
      </c>
      <c r="D35" s="193" t="s">
        <v>79</v>
      </c>
      <c r="E35" s="202">
        <v>1603062</v>
      </c>
      <c r="F35" s="202" t="s">
        <v>80</v>
      </c>
      <c r="G35" s="202" t="s">
        <v>178</v>
      </c>
      <c r="H35" s="193" t="s">
        <v>65</v>
      </c>
      <c r="I35" s="216">
        <v>0.33100000000000002</v>
      </c>
      <c r="J35" s="197" t="s">
        <v>269</v>
      </c>
      <c r="K35" s="196">
        <v>1274238.73</v>
      </c>
      <c r="L35" s="226">
        <v>837315.96</v>
      </c>
      <c r="M35" s="52">
        <f>SUM(K35-L35)</f>
        <v>436922.77</v>
      </c>
      <c r="N35" s="319">
        <v>0.65710000000000002</v>
      </c>
      <c r="O35" s="248">
        <v>0</v>
      </c>
      <c r="P35" s="248">
        <v>0</v>
      </c>
      <c r="Q35" s="233">
        <v>0</v>
      </c>
      <c r="R35" s="233">
        <v>0</v>
      </c>
      <c r="S35" s="226">
        <v>0</v>
      </c>
      <c r="T35" s="226">
        <f>L35</f>
        <v>837315.96</v>
      </c>
      <c r="U35" s="226">
        <v>0</v>
      </c>
      <c r="V35" s="226">
        <v>0</v>
      </c>
      <c r="W35" s="248">
        <v>0</v>
      </c>
      <c r="X35" s="248">
        <v>0</v>
      </c>
      <c r="Y35" s="233">
        <v>0</v>
      </c>
      <c r="Z35" s="233">
        <v>0</v>
      </c>
      <c r="AA35" s="228" t="b">
        <f t="shared" si="12"/>
        <v>1</v>
      </c>
      <c r="AB35" s="229">
        <f t="shared" si="13"/>
        <v>0.65710000000000002</v>
      </c>
      <c r="AC35" s="230" t="b">
        <f t="shared" si="14"/>
        <v>1</v>
      </c>
      <c r="AD35" s="230" t="b">
        <f t="shared" si="15"/>
        <v>1</v>
      </c>
    </row>
    <row r="36" spans="1:30" s="231" customFormat="1" ht="38.25" customHeight="1" x14ac:dyDescent="0.25">
      <c r="A36" s="240">
        <v>34</v>
      </c>
      <c r="B36" s="193" t="s">
        <v>180</v>
      </c>
      <c r="C36" s="215" t="s">
        <v>50</v>
      </c>
      <c r="D36" s="193" t="s">
        <v>181</v>
      </c>
      <c r="E36" s="219">
        <v>1605013</v>
      </c>
      <c r="F36" s="202" t="s">
        <v>67</v>
      </c>
      <c r="G36" s="202" t="s">
        <v>182</v>
      </c>
      <c r="H36" s="193" t="s">
        <v>65</v>
      </c>
      <c r="I36" s="216">
        <v>0.13500000000000001</v>
      </c>
      <c r="J36" s="197" t="s">
        <v>203</v>
      </c>
      <c r="K36" s="196">
        <v>597460.19999999995</v>
      </c>
      <c r="L36" s="226">
        <f t="shared" si="6"/>
        <v>298730.09999999998</v>
      </c>
      <c r="M36" s="52">
        <f t="shared" si="3"/>
        <v>298730.09999999998</v>
      </c>
      <c r="N36" s="222">
        <v>0.5</v>
      </c>
      <c r="O36" s="248">
        <v>0</v>
      </c>
      <c r="P36" s="248">
        <v>0</v>
      </c>
      <c r="Q36" s="233">
        <v>0</v>
      </c>
      <c r="R36" s="233">
        <v>0</v>
      </c>
      <c r="S36" s="226">
        <v>0</v>
      </c>
      <c r="T36" s="226">
        <f>L36</f>
        <v>298730.09999999998</v>
      </c>
      <c r="U36" s="226">
        <v>0</v>
      </c>
      <c r="V36" s="226">
        <v>0</v>
      </c>
      <c r="W36" s="248">
        <v>0</v>
      </c>
      <c r="X36" s="248">
        <v>0</v>
      </c>
      <c r="Y36" s="233">
        <v>0</v>
      </c>
      <c r="Z36" s="233">
        <v>0</v>
      </c>
      <c r="AA36" s="228" t="b">
        <f t="shared" si="12"/>
        <v>1</v>
      </c>
      <c r="AB36" s="229">
        <f t="shared" si="13"/>
        <v>0.5</v>
      </c>
      <c r="AC36" s="230" t="b">
        <f t="shared" si="14"/>
        <v>1</v>
      </c>
      <c r="AD36" s="230" t="b">
        <f t="shared" si="15"/>
        <v>1</v>
      </c>
    </row>
    <row r="37" spans="1:30" s="210" customFormat="1" ht="30" customHeight="1" x14ac:dyDescent="0.25">
      <c r="A37" s="239">
        <v>35</v>
      </c>
      <c r="B37" s="198" t="s">
        <v>183</v>
      </c>
      <c r="C37" s="211" t="s">
        <v>59</v>
      </c>
      <c r="D37" s="198" t="s">
        <v>99</v>
      </c>
      <c r="E37" s="218">
        <v>1611022</v>
      </c>
      <c r="F37" s="213" t="s">
        <v>63</v>
      </c>
      <c r="G37" s="213" t="s">
        <v>184</v>
      </c>
      <c r="H37" s="198" t="s">
        <v>57</v>
      </c>
      <c r="I37" s="214">
        <v>0.44400000000000001</v>
      </c>
      <c r="J37" s="201" t="s">
        <v>300</v>
      </c>
      <c r="K37" s="205">
        <v>1756589.78</v>
      </c>
      <c r="L37" s="224">
        <f t="shared" si="6"/>
        <v>1229612.8400000001</v>
      </c>
      <c r="M37" s="206">
        <f t="shared" si="3"/>
        <v>526976.93999999994</v>
      </c>
      <c r="N37" s="221">
        <v>0.7</v>
      </c>
      <c r="O37" s="247">
        <v>0</v>
      </c>
      <c r="P37" s="247">
        <v>0</v>
      </c>
      <c r="Q37" s="232">
        <v>0</v>
      </c>
      <c r="R37" s="232">
        <v>0</v>
      </c>
      <c r="S37" s="224">
        <v>0</v>
      </c>
      <c r="T37" s="224">
        <f>ROUNDDOWN(N37*1739360.59,2)</f>
        <v>1217552.4099999999</v>
      </c>
      <c r="U37" s="224">
        <f>L37-T37</f>
        <v>12060.430000000168</v>
      </c>
      <c r="V37" s="224">
        <v>0</v>
      </c>
      <c r="W37" s="247">
        <v>0</v>
      </c>
      <c r="X37" s="247">
        <v>0</v>
      </c>
      <c r="Y37" s="232">
        <v>0</v>
      </c>
      <c r="Z37" s="232">
        <v>0</v>
      </c>
      <c r="AA37" s="207" t="b">
        <f t="shared" si="12"/>
        <v>1</v>
      </c>
      <c r="AB37" s="208">
        <f t="shared" si="13"/>
        <v>0.7</v>
      </c>
      <c r="AC37" s="209" t="b">
        <f t="shared" si="14"/>
        <v>1</v>
      </c>
      <c r="AD37" s="209" t="b">
        <f t="shared" si="15"/>
        <v>1</v>
      </c>
    </row>
    <row r="38" spans="1:30" s="281" customFormat="1" ht="34.5" customHeight="1" x14ac:dyDescent="0.25">
      <c r="A38" s="240">
        <v>36</v>
      </c>
      <c r="B38" s="193" t="s">
        <v>185</v>
      </c>
      <c r="C38" s="215" t="s">
        <v>50</v>
      </c>
      <c r="D38" s="193" t="s">
        <v>92</v>
      </c>
      <c r="E38" s="326">
        <v>1603011</v>
      </c>
      <c r="F38" s="193" t="s">
        <v>80</v>
      </c>
      <c r="G38" s="193" t="s">
        <v>186</v>
      </c>
      <c r="H38" s="193" t="s">
        <v>57</v>
      </c>
      <c r="I38" s="195">
        <v>0.311</v>
      </c>
      <c r="J38" s="197" t="s">
        <v>254</v>
      </c>
      <c r="K38" s="196">
        <v>1553924.82</v>
      </c>
      <c r="L38" s="226">
        <f t="shared" si="6"/>
        <v>776962.41</v>
      </c>
      <c r="M38" s="52">
        <f t="shared" si="3"/>
        <v>776962.41</v>
      </c>
      <c r="N38" s="222">
        <v>0.5</v>
      </c>
      <c r="O38" s="248">
        <v>0</v>
      </c>
      <c r="P38" s="248">
        <v>0</v>
      </c>
      <c r="Q38" s="233">
        <v>0</v>
      </c>
      <c r="R38" s="233">
        <v>0</v>
      </c>
      <c r="S38" s="226">
        <v>0</v>
      </c>
      <c r="T38" s="226">
        <f>L38</f>
        <v>776962.41</v>
      </c>
      <c r="U38" s="226">
        <v>0</v>
      </c>
      <c r="V38" s="226">
        <v>0</v>
      </c>
      <c r="W38" s="248">
        <v>0</v>
      </c>
      <c r="X38" s="248">
        <v>0</v>
      </c>
      <c r="Y38" s="233">
        <v>0</v>
      </c>
      <c r="Z38" s="233">
        <v>0</v>
      </c>
      <c r="AA38" s="278" t="b">
        <f t="shared" si="12"/>
        <v>1</v>
      </c>
      <c r="AB38" s="279">
        <f t="shared" si="13"/>
        <v>0.5</v>
      </c>
      <c r="AC38" s="280" t="b">
        <f t="shared" si="14"/>
        <v>1</v>
      </c>
      <c r="AD38" s="280" t="b">
        <f t="shared" si="15"/>
        <v>1</v>
      </c>
    </row>
    <row r="39" spans="1:30" s="281" customFormat="1" ht="30" customHeight="1" x14ac:dyDescent="0.25">
      <c r="A39" s="240">
        <v>37</v>
      </c>
      <c r="B39" s="193" t="s">
        <v>187</v>
      </c>
      <c r="C39" s="215" t="s">
        <v>50</v>
      </c>
      <c r="D39" s="193" t="s">
        <v>89</v>
      </c>
      <c r="E39" s="326">
        <v>1607013</v>
      </c>
      <c r="F39" s="193" t="s">
        <v>55</v>
      </c>
      <c r="G39" s="193" t="s">
        <v>188</v>
      </c>
      <c r="H39" s="193" t="s">
        <v>65</v>
      </c>
      <c r="I39" s="195">
        <v>0.81799999999999995</v>
      </c>
      <c r="J39" s="197" t="s">
        <v>327</v>
      </c>
      <c r="K39" s="196">
        <v>3330766.29</v>
      </c>
      <c r="L39" s="226">
        <f t="shared" si="6"/>
        <v>2664613.0299999998</v>
      </c>
      <c r="M39" s="52">
        <f t="shared" si="3"/>
        <v>666153.26000000024</v>
      </c>
      <c r="N39" s="222">
        <v>0.8</v>
      </c>
      <c r="O39" s="248">
        <v>0</v>
      </c>
      <c r="P39" s="248">
        <v>0</v>
      </c>
      <c r="Q39" s="233">
        <v>0</v>
      </c>
      <c r="R39" s="233">
        <v>0</v>
      </c>
      <c r="S39" s="226">
        <v>0</v>
      </c>
      <c r="T39" s="226">
        <f>L39</f>
        <v>2664613.0299999998</v>
      </c>
      <c r="U39" s="226">
        <v>0</v>
      </c>
      <c r="V39" s="226">
        <v>0</v>
      </c>
      <c r="W39" s="248">
        <v>0</v>
      </c>
      <c r="X39" s="248">
        <v>0</v>
      </c>
      <c r="Y39" s="233">
        <v>0</v>
      </c>
      <c r="Z39" s="233">
        <v>0</v>
      </c>
      <c r="AA39" s="278" t="b">
        <f t="shared" si="12"/>
        <v>1</v>
      </c>
      <c r="AB39" s="279">
        <f t="shared" si="13"/>
        <v>0.8</v>
      </c>
      <c r="AC39" s="280" t="b">
        <f t="shared" si="14"/>
        <v>1</v>
      </c>
      <c r="AD39" s="280" t="b">
        <f t="shared" si="15"/>
        <v>1</v>
      </c>
    </row>
    <row r="40" spans="1:30" s="231" customFormat="1" ht="30" customHeight="1" x14ac:dyDescent="0.25">
      <c r="A40" s="240">
        <v>38</v>
      </c>
      <c r="B40" s="193" t="s">
        <v>189</v>
      </c>
      <c r="C40" s="215" t="s">
        <v>50</v>
      </c>
      <c r="D40" s="193" t="s">
        <v>95</v>
      </c>
      <c r="E40" s="219">
        <v>1611063</v>
      </c>
      <c r="F40" s="202" t="s">
        <v>63</v>
      </c>
      <c r="G40" s="202" t="s">
        <v>190</v>
      </c>
      <c r="H40" s="193" t="s">
        <v>65</v>
      </c>
      <c r="I40" s="216">
        <v>0.53700000000000003</v>
      </c>
      <c r="J40" s="197" t="s">
        <v>277</v>
      </c>
      <c r="K40" s="196">
        <v>1047920.49</v>
      </c>
      <c r="L40" s="226">
        <f t="shared" si="6"/>
        <v>523960.24</v>
      </c>
      <c r="M40" s="52">
        <f t="shared" si="3"/>
        <v>523960.25</v>
      </c>
      <c r="N40" s="222">
        <v>0.5</v>
      </c>
      <c r="O40" s="248">
        <v>0</v>
      </c>
      <c r="P40" s="248">
        <v>0</v>
      </c>
      <c r="Q40" s="233">
        <v>0</v>
      </c>
      <c r="R40" s="233">
        <v>0</v>
      </c>
      <c r="S40" s="226">
        <v>0</v>
      </c>
      <c r="T40" s="226">
        <f>L40</f>
        <v>523960.24</v>
      </c>
      <c r="U40" s="226">
        <v>0</v>
      </c>
      <c r="V40" s="226">
        <v>0</v>
      </c>
      <c r="W40" s="248">
        <v>0</v>
      </c>
      <c r="X40" s="248">
        <v>0</v>
      </c>
      <c r="Y40" s="233">
        <v>0</v>
      </c>
      <c r="Z40" s="233">
        <v>0</v>
      </c>
      <c r="AA40" s="228" t="b">
        <f t="shared" si="12"/>
        <v>1</v>
      </c>
      <c r="AB40" s="229">
        <f t="shared" si="13"/>
        <v>0.5</v>
      </c>
      <c r="AC40" s="230" t="b">
        <f t="shared" si="14"/>
        <v>1</v>
      </c>
      <c r="AD40" s="230" t="b">
        <f t="shared" si="15"/>
        <v>1</v>
      </c>
    </row>
    <row r="41" spans="1:30" s="231" customFormat="1" ht="30" customHeight="1" x14ac:dyDescent="0.25">
      <c r="A41" s="240">
        <v>39</v>
      </c>
      <c r="B41" s="193" t="s">
        <v>191</v>
      </c>
      <c r="C41" s="215" t="s">
        <v>50</v>
      </c>
      <c r="D41" s="193" t="s">
        <v>99</v>
      </c>
      <c r="E41" s="219">
        <v>1611022</v>
      </c>
      <c r="F41" s="202" t="s">
        <v>63</v>
      </c>
      <c r="G41" s="202" t="s">
        <v>192</v>
      </c>
      <c r="H41" s="193" t="s">
        <v>65</v>
      </c>
      <c r="I41" s="195">
        <v>7.6999999999999999E-2</v>
      </c>
      <c r="J41" s="197" t="s">
        <v>294</v>
      </c>
      <c r="K41" s="196">
        <v>250132.47</v>
      </c>
      <c r="L41" s="226">
        <f t="shared" si="6"/>
        <v>175092.72</v>
      </c>
      <c r="M41" s="52">
        <f t="shared" si="3"/>
        <v>75039.75</v>
      </c>
      <c r="N41" s="222">
        <v>0.7</v>
      </c>
      <c r="O41" s="248">
        <v>0</v>
      </c>
      <c r="P41" s="248">
        <v>0</v>
      </c>
      <c r="Q41" s="233">
        <v>0</v>
      </c>
      <c r="R41" s="233">
        <v>0</v>
      </c>
      <c r="S41" s="226">
        <v>0</v>
      </c>
      <c r="T41" s="226">
        <f>L41</f>
        <v>175092.72</v>
      </c>
      <c r="U41" s="226">
        <v>0</v>
      </c>
      <c r="V41" s="226">
        <v>0</v>
      </c>
      <c r="W41" s="248">
        <v>0</v>
      </c>
      <c r="X41" s="248">
        <v>0</v>
      </c>
      <c r="Y41" s="233">
        <v>0</v>
      </c>
      <c r="Z41" s="233">
        <v>0</v>
      </c>
      <c r="AA41" s="228" t="b">
        <f t="shared" ref="AA41:AA74" si="16">L41=SUM(O41:Z41)</f>
        <v>1</v>
      </c>
      <c r="AB41" s="229">
        <f t="shared" si="0"/>
        <v>0.7</v>
      </c>
      <c r="AC41" s="230" t="b">
        <f t="shared" si="1"/>
        <v>1</v>
      </c>
      <c r="AD41" s="230" t="b">
        <f t="shared" si="2"/>
        <v>1</v>
      </c>
    </row>
    <row r="42" spans="1:30" s="210" customFormat="1" ht="36.75" customHeight="1" x14ac:dyDescent="0.25">
      <c r="A42" s="239">
        <v>40</v>
      </c>
      <c r="B42" s="198" t="s">
        <v>193</v>
      </c>
      <c r="C42" s="211" t="s">
        <v>59</v>
      </c>
      <c r="D42" s="198" t="s">
        <v>194</v>
      </c>
      <c r="E42" s="218">
        <v>1606023</v>
      </c>
      <c r="F42" s="213" t="s">
        <v>51</v>
      </c>
      <c r="G42" s="213" t="s">
        <v>195</v>
      </c>
      <c r="H42" s="198" t="s">
        <v>65</v>
      </c>
      <c r="I42" s="214">
        <v>1.085</v>
      </c>
      <c r="J42" s="201" t="s">
        <v>196</v>
      </c>
      <c r="K42" s="205">
        <v>3191535.04</v>
      </c>
      <c r="L42" s="224">
        <f t="shared" si="6"/>
        <v>1914921.02</v>
      </c>
      <c r="M42" s="206">
        <f t="shared" si="3"/>
        <v>1276614.02</v>
      </c>
      <c r="N42" s="221">
        <v>0.6</v>
      </c>
      <c r="O42" s="247">
        <v>0</v>
      </c>
      <c r="P42" s="247">
        <v>0</v>
      </c>
      <c r="Q42" s="232">
        <v>0</v>
      </c>
      <c r="R42" s="232">
        <v>0</v>
      </c>
      <c r="S42" s="224">
        <v>0</v>
      </c>
      <c r="T42" s="224">
        <f>ROUNDDOWN(N42*2565688.07,2)</f>
        <v>1539412.84</v>
      </c>
      <c r="U42" s="224">
        <f>L42-T42</f>
        <v>375508.17999999993</v>
      </c>
      <c r="V42" s="224">
        <v>0</v>
      </c>
      <c r="W42" s="247">
        <v>0</v>
      </c>
      <c r="X42" s="247">
        <v>0</v>
      </c>
      <c r="Y42" s="232">
        <v>0</v>
      </c>
      <c r="Z42" s="232">
        <v>0</v>
      </c>
      <c r="AA42" s="207" t="b">
        <f t="shared" si="16"/>
        <v>1</v>
      </c>
      <c r="AB42" s="208">
        <f t="shared" si="0"/>
        <v>0.6</v>
      </c>
      <c r="AC42" s="209" t="b">
        <f t="shared" si="1"/>
        <v>1</v>
      </c>
      <c r="AD42" s="209" t="b">
        <f t="shared" si="2"/>
        <v>1</v>
      </c>
    </row>
    <row r="43" spans="1:30" s="210" customFormat="1" ht="30" customHeight="1" x14ac:dyDescent="0.25">
      <c r="A43" s="239">
        <v>41</v>
      </c>
      <c r="B43" s="198" t="s">
        <v>197</v>
      </c>
      <c r="C43" s="211" t="s">
        <v>59</v>
      </c>
      <c r="D43" s="198" t="s">
        <v>89</v>
      </c>
      <c r="E43" s="218">
        <v>1607013</v>
      </c>
      <c r="F43" s="213" t="s">
        <v>55</v>
      </c>
      <c r="G43" s="213" t="s">
        <v>198</v>
      </c>
      <c r="H43" s="198" t="s">
        <v>65</v>
      </c>
      <c r="I43" s="214">
        <v>0.51200000000000001</v>
      </c>
      <c r="J43" s="201" t="s">
        <v>268</v>
      </c>
      <c r="K43" s="205">
        <v>2638204.2000000002</v>
      </c>
      <c r="L43" s="224">
        <f t="shared" si="6"/>
        <v>2110563.36</v>
      </c>
      <c r="M43" s="206">
        <f t="shared" si="3"/>
        <v>527640.84000000032</v>
      </c>
      <c r="N43" s="221">
        <v>0.8</v>
      </c>
      <c r="O43" s="247">
        <v>0</v>
      </c>
      <c r="P43" s="247">
        <v>0</v>
      </c>
      <c r="Q43" s="232">
        <v>0</v>
      </c>
      <c r="R43" s="232">
        <v>0</v>
      </c>
      <c r="S43" s="224">
        <v>0</v>
      </c>
      <c r="T43" s="224">
        <f>ROUNDDOWN(N43*1623000,2)</f>
        <v>1298400</v>
      </c>
      <c r="U43" s="224">
        <f>L43-T43</f>
        <v>812163.35999999987</v>
      </c>
      <c r="V43" s="224">
        <v>0</v>
      </c>
      <c r="W43" s="247">
        <v>0</v>
      </c>
      <c r="X43" s="247">
        <v>0</v>
      </c>
      <c r="Y43" s="232">
        <v>0</v>
      </c>
      <c r="Z43" s="232">
        <v>0</v>
      </c>
      <c r="AA43" s="207" t="b">
        <f t="shared" si="16"/>
        <v>1</v>
      </c>
      <c r="AB43" s="208">
        <f t="shared" si="0"/>
        <v>0.8</v>
      </c>
      <c r="AC43" s="209" t="b">
        <f t="shared" si="1"/>
        <v>1</v>
      </c>
      <c r="AD43" s="209" t="b">
        <f t="shared" si="2"/>
        <v>1</v>
      </c>
    </row>
    <row r="44" spans="1:30" s="231" customFormat="1" ht="30" customHeight="1" x14ac:dyDescent="0.25">
      <c r="A44" s="240">
        <v>42</v>
      </c>
      <c r="B44" s="193" t="s">
        <v>199</v>
      </c>
      <c r="C44" s="215" t="s">
        <v>50</v>
      </c>
      <c r="D44" s="193" t="s">
        <v>200</v>
      </c>
      <c r="E44" s="219">
        <v>1609103</v>
      </c>
      <c r="F44" s="202" t="s">
        <v>201</v>
      </c>
      <c r="G44" s="202" t="s">
        <v>202</v>
      </c>
      <c r="H44" s="193" t="s">
        <v>57</v>
      </c>
      <c r="I44" s="216">
        <v>0.25700000000000001</v>
      </c>
      <c r="J44" s="197" t="s">
        <v>203</v>
      </c>
      <c r="K44" s="196">
        <v>732262.86</v>
      </c>
      <c r="L44" s="226">
        <f t="shared" si="6"/>
        <v>366131.43</v>
      </c>
      <c r="M44" s="52">
        <f t="shared" si="3"/>
        <v>366131.43</v>
      </c>
      <c r="N44" s="222">
        <v>0.5</v>
      </c>
      <c r="O44" s="248">
        <v>0</v>
      </c>
      <c r="P44" s="248">
        <v>0</v>
      </c>
      <c r="Q44" s="233">
        <v>0</v>
      </c>
      <c r="R44" s="233">
        <v>0</v>
      </c>
      <c r="S44" s="226">
        <v>0</v>
      </c>
      <c r="T44" s="226">
        <f t="shared" ref="T44:T52" si="17">L44</f>
        <v>366131.43</v>
      </c>
      <c r="U44" s="226">
        <v>0</v>
      </c>
      <c r="V44" s="226">
        <v>0</v>
      </c>
      <c r="W44" s="248">
        <v>0</v>
      </c>
      <c r="X44" s="248">
        <v>0</v>
      </c>
      <c r="Y44" s="233">
        <v>0</v>
      </c>
      <c r="Z44" s="233">
        <v>0</v>
      </c>
      <c r="AA44" s="228" t="b">
        <f t="shared" si="16"/>
        <v>1</v>
      </c>
      <c r="AB44" s="229">
        <f t="shared" si="0"/>
        <v>0.5</v>
      </c>
      <c r="AC44" s="230" t="b">
        <f t="shared" si="1"/>
        <v>1</v>
      </c>
      <c r="AD44" s="230" t="b">
        <f t="shared" si="2"/>
        <v>1</v>
      </c>
    </row>
    <row r="45" spans="1:30" s="231" customFormat="1" ht="30" customHeight="1" x14ac:dyDescent="0.25">
      <c r="A45" s="240">
        <v>43</v>
      </c>
      <c r="B45" s="193" t="s">
        <v>204</v>
      </c>
      <c r="C45" s="215" t="s">
        <v>50</v>
      </c>
      <c r="D45" s="193" t="s">
        <v>194</v>
      </c>
      <c r="E45" s="219">
        <v>1606023</v>
      </c>
      <c r="F45" s="202" t="s">
        <v>51</v>
      </c>
      <c r="G45" s="202" t="s">
        <v>205</v>
      </c>
      <c r="H45" s="193" t="s">
        <v>57</v>
      </c>
      <c r="I45" s="216">
        <v>0.13900000000000001</v>
      </c>
      <c r="J45" s="197" t="s">
        <v>267</v>
      </c>
      <c r="K45" s="196">
        <v>360179.67</v>
      </c>
      <c r="L45" s="226">
        <f t="shared" si="6"/>
        <v>216107.8</v>
      </c>
      <c r="M45" s="52">
        <f t="shared" si="3"/>
        <v>144071.87</v>
      </c>
      <c r="N45" s="222">
        <v>0.6</v>
      </c>
      <c r="O45" s="248">
        <v>0</v>
      </c>
      <c r="P45" s="248">
        <v>0</v>
      </c>
      <c r="Q45" s="233">
        <v>0</v>
      </c>
      <c r="R45" s="233">
        <v>0</v>
      </c>
      <c r="S45" s="226">
        <v>0</v>
      </c>
      <c r="T45" s="226">
        <f t="shared" si="17"/>
        <v>216107.8</v>
      </c>
      <c r="U45" s="226">
        <v>0</v>
      </c>
      <c r="V45" s="226">
        <v>0</v>
      </c>
      <c r="W45" s="248">
        <v>0</v>
      </c>
      <c r="X45" s="248">
        <v>0</v>
      </c>
      <c r="Y45" s="233">
        <v>0</v>
      </c>
      <c r="Z45" s="233">
        <v>0</v>
      </c>
      <c r="AA45" s="228" t="b">
        <f t="shared" si="16"/>
        <v>1</v>
      </c>
      <c r="AB45" s="229">
        <f t="shared" si="0"/>
        <v>0.6</v>
      </c>
      <c r="AC45" s="230" t="b">
        <f t="shared" si="1"/>
        <v>1</v>
      </c>
      <c r="AD45" s="230" t="b">
        <f t="shared" si="2"/>
        <v>1</v>
      </c>
    </row>
    <row r="46" spans="1:30" s="281" customFormat="1" ht="37.5" customHeight="1" x14ac:dyDescent="0.25">
      <c r="A46" s="240">
        <v>44</v>
      </c>
      <c r="B46" s="193" t="s">
        <v>207</v>
      </c>
      <c r="C46" s="215" t="s">
        <v>50</v>
      </c>
      <c r="D46" s="193" t="s">
        <v>208</v>
      </c>
      <c r="E46" s="326">
        <v>1602043</v>
      </c>
      <c r="F46" s="193" t="s">
        <v>75</v>
      </c>
      <c r="G46" s="193" t="s">
        <v>209</v>
      </c>
      <c r="H46" s="193" t="s">
        <v>57</v>
      </c>
      <c r="I46" s="195">
        <v>0.48757</v>
      </c>
      <c r="J46" s="197" t="s">
        <v>132</v>
      </c>
      <c r="K46" s="196">
        <v>2102712.94</v>
      </c>
      <c r="L46" s="226">
        <f t="shared" si="6"/>
        <v>1471899.05</v>
      </c>
      <c r="M46" s="52">
        <f t="shared" si="3"/>
        <v>630813.8899999999</v>
      </c>
      <c r="N46" s="222">
        <v>0.7</v>
      </c>
      <c r="O46" s="248">
        <v>0</v>
      </c>
      <c r="P46" s="248">
        <v>0</v>
      </c>
      <c r="Q46" s="233">
        <v>0</v>
      </c>
      <c r="R46" s="233">
        <v>0</v>
      </c>
      <c r="S46" s="226">
        <v>0</v>
      </c>
      <c r="T46" s="226">
        <f t="shared" si="17"/>
        <v>1471899.05</v>
      </c>
      <c r="U46" s="226">
        <v>0</v>
      </c>
      <c r="V46" s="226">
        <v>0</v>
      </c>
      <c r="W46" s="248">
        <v>0</v>
      </c>
      <c r="X46" s="248">
        <v>0</v>
      </c>
      <c r="Y46" s="233">
        <v>0</v>
      </c>
      <c r="Z46" s="233">
        <v>0</v>
      </c>
      <c r="AA46" s="278" t="b">
        <f t="shared" si="16"/>
        <v>1</v>
      </c>
      <c r="AB46" s="279">
        <f t="shared" si="0"/>
        <v>0.7</v>
      </c>
      <c r="AC46" s="280" t="b">
        <f t="shared" si="1"/>
        <v>1</v>
      </c>
      <c r="AD46" s="280" t="b">
        <f t="shared" si="2"/>
        <v>1</v>
      </c>
    </row>
    <row r="47" spans="1:30" s="231" customFormat="1" ht="35.25" customHeight="1" x14ac:dyDescent="0.25">
      <c r="A47" s="240">
        <v>45</v>
      </c>
      <c r="B47" s="193" t="s">
        <v>210</v>
      </c>
      <c r="C47" s="215" t="s">
        <v>50</v>
      </c>
      <c r="D47" s="193" t="s">
        <v>208</v>
      </c>
      <c r="E47" s="219">
        <v>1602043</v>
      </c>
      <c r="F47" s="202" t="s">
        <v>75</v>
      </c>
      <c r="G47" s="202" t="s">
        <v>211</v>
      </c>
      <c r="H47" s="193" t="s">
        <v>57</v>
      </c>
      <c r="I47" s="216">
        <v>0.80876000000000003</v>
      </c>
      <c r="J47" s="197" t="s">
        <v>323</v>
      </c>
      <c r="K47" s="196">
        <v>1104692.82</v>
      </c>
      <c r="L47" s="226">
        <f t="shared" si="6"/>
        <v>773284.97</v>
      </c>
      <c r="M47" s="52">
        <f t="shared" si="3"/>
        <v>331407.85000000009</v>
      </c>
      <c r="N47" s="222">
        <v>0.7</v>
      </c>
      <c r="O47" s="248">
        <v>0</v>
      </c>
      <c r="P47" s="248">
        <v>0</v>
      </c>
      <c r="Q47" s="233">
        <v>0</v>
      </c>
      <c r="R47" s="233">
        <v>0</v>
      </c>
      <c r="S47" s="226">
        <v>0</v>
      </c>
      <c r="T47" s="226">
        <f t="shared" si="17"/>
        <v>773284.97</v>
      </c>
      <c r="U47" s="226">
        <v>0</v>
      </c>
      <c r="V47" s="226">
        <v>0</v>
      </c>
      <c r="W47" s="248">
        <v>0</v>
      </c>
      <c r="X47" s="248">
        <v>0</v>
      </c>
      <c r="Y47" s="233">
        <v>0</v>
      </c>
      <c r="Z47" s="233">
        <v>0</v>
      </c>
      <c r="AA47" s="228" t="b">
        <f t="shared" si="16"/>
        <v>1</v>
      </c>
      <c r="AB47" s="229">
        <f t="shared" si="0"/>
        <v>0.7</v>
      </c>
      <c r="AC47" s="230" t="b">
        <f t="shared" si="1"/>
        <v>1</v>
      </c>
      <c r="AD47" s="230" t="b">
        <f t="shared" si="2"/>
        <v>1</v>
      </c>
    </row>
    <row r="48" spans="1:30" s="231" customFormat="1" ht="30" customHeight="1" x14ac:dyDescent="0.25">
      <c r="A48" s="240">
        <v>46</v>
      </c>
      <c r="B48" s="193" t="s">
        <v>212</v>
      </c>
      <c r="C48" s="215" t="s">
        <v>50</v>
      </c>
      <c r="D48" s="193" t="s">
        <v>160</v>
      </c>
      <c r="E48" s="219">
        <v>1608013</v>
      </c>
      <c r="F48" s="202" t="s">
        <v>111</v>
      </c>
      <c r="G48" s="202" t="s">
        <v>213</v>
      </c>
      <c r="H48" s="193" t="s">
        <v>57</v>
      </c>
      <c r="I48" s="216">
        <v>0.28299999999999997</v>
      </c>
      <c r="J48" s="197" t="s">
        <v>292</v>
      </c>
      <c r="K48" s="196">
        <v>229119.9</v>
      </c>
      <c r="L48" s="226">
        <f t="shared" si="6"/>
        <v>160383.93</v>
      </c>
      <c r="M48" s="52">
        <f t="shared" si="3"/>
        <v>68735.97</v>
      </c>
      <c r="N48" s="223">
        <v>0.7</v>
      </c>
      <c r="O48" s="248">
        <v>0</v>
      </c>
      <c r="P48" s="248">
        <v>0</v>
      </c>
      <c r="Q48" s="233">
        <v>0</v>
      </c>
      <c r="R48" s="233">
        <v>0</v>
      </c>
      <c r="S48" s="226">
        <v>0</v>
      </c>
      <c r="T48" s="226">
        <f t="shared" si="17"/>
        <v>160383.93</v>
      </c>
      <c r="U48" s="226">
        <v>0</v>
      </c>
      <c r="V48" s="226">
        <v>0</v>
      </c>
      <c r="W48" s="248">
        <v>0</v>
      </c>
      <c r="X48" s="248">
        <v>0</v>
      </c>
      <c r="Y48" s="233">
        <v>0</v>
      </c>
      <c r="Z48" s="233">
        <v>0</v>
      </c>
      <c r="AA48" s="228" t="b">
        <f t="shared" si="16"/>
        <v>1</v>
      </c>
      <c r="AB48" s="229">
        <f t="shared" si="0"/>
        <v>0.7</v>
      </c>
      <c r="AC48" s="230" t="b">
        <f t="shared" si="1"/>
        <v>1</v>
      </c>
      <c r="AD48" s="230" t="b">
        <f t="shared" si="2"/>
        <v>1</v>
      </c>
    </row>
    <row r="49" spans="1:30" s="231" customFormat="1" ht="30" customHeight="1" x14ac:dyDescent="0.25">
      <c r="A49" s="240">
        <v>47</v>
      </c>
      <c r="B49" s="193" t="s">
        <v>214</v>
      </c>
      <c r="C49" s="215" t="s">
        <v>50</v>
      </c>
      <c r="D49" s="193" t="s">
        <v>215</v>
      </c>
      <c r="E49" s="219" t="s">
        <v>216</v>
      </c>
      <c r="F49" s="202" t="s">
        <v>67</v>
      </c>
      <c r="G49" s="202" t="s">
        <v>217</v>
      </c>
      <c r="H49" s="193" t="s">
        <v>53</v>
      </c>
      <c r="I49" s="216">
        <v>0.53800000000000003</v>
      </c>
      <c r="J49" s="197" t="s">
        <v>169</v>
      </c>
      <c r="K49" s="196">
        <v>688865.6</v>
      </c>
      <c r="L49" s="226">
        <f t="shared" si="6"/>
        <v>482205.92</v>
      </c>
      <c r="M49" s="52">
        <f t="shared" si="3"/>
        <v>206659.68</v>
      </c>
      <c r="N49" s="320">
        <v>0.7</v>
      </c>
      <c r="O49" s="248">
        <v>0</v>
      </c>
      <c r="P49" s="248">
        <v>0</v>
      </c>
      <c r="Q49" s="233">
        <v>0</v>
      </c>
      <c r="R49" s="233">
        <v>0</v>
      </c>
      <c r="S49" s="226">
        <v>0</v>
      </c>
      <c r="T49" s="226">
        <f t="shared" si="17"/>
        <v>482205.92</v>
      </c>
      <c r="U49" s="226">
        <v>0</v>
      </c>
      <c r="V49" s="226">
        <v>0</v>
      </c>
      <c r="W49" s="248">
        <v>0</v>
      </c>
      <c r="X49" s="248">
        <v>0</v>
      </c>
      <c r="Y49" s="233">
        <v>0</v>
      </c>
      <c r="Z49" s="233">
        <v>0</v>
      </c>
      <c r="AA49" s="228" t="b">
        <f t="shared" si="16"/>
        <v>1</v>
      </c>
      <c r="AB49" s="229">
        <f t="shared" si="0"/>
        <v>0.7</v>
      </c>
      <c r="AC49" s="230" t="b">
        <f t="shared" si="1"/>
        <v>1</v>
      </c>
      <c r="AD49" s="230" t="b">
        <f t="shared" si="2"/>
        <v>1</v>
      </c>
    </row>
    <row r="50" spans="1:30" s="231" customFormat="1" ht="35.25" customHeight="1" x14ac:dyDescent="0.25">
      <c r="A50" s="240">
        <v>48</v>
      </c>
      <c r="B50" s="193" t="s">
        <v>218</v>
      </c>
      <c r="C50" s="215" t="s">
        <v>50</v>
      </c>
      <c r="D50" s="193" t="s">
        <v>79</v>
      </c>
      <c r="E50" s="219">
        <v>1603062</v>
      </c>
      <c r="F50" s="202" t="s">
        <v>80</v>
      </c>
      <c r="G50" s="202" t="s">
        <v>219</v>
      </c>
      <c r="H50" s="193" t="s">
        <v>53</v>
      </c>
      <c r="I50" s="216">
        <v>0.41199999999999998</v>
      </c>
      <c r="J50" s="197" t="s">
        <v>276</v>
      </c>
      <c r="K50" s="196">
        <v>188844.94</v>
      </c>
      <c r="L50" s="226">
        <f t="shared" si="6"/>
        <v>132191.45000000001</v>
      </c>
      <c r="M50" s="52">
        <f t="shared" si="3"/>
        <v>56653.489999999991</v>
      </c>
      <c r="N50" s="222">
        <v>0.7</v>
      </c>
      <c r="O50" s="248">
        <v>0</v>
      </c>
      <c r="P50" s="248">
        <v>0</v>
      </c>
      <c r="Q50" s="233">
        <v>0</v>
      </c>
      <c r="R50" s="233">
        <v>0</v>
      </c>
      <c r="S50" s="226">
        <v>0</v>
      </c>
      <c r="T50" s="226">
        <f t="shared" si="17"/>
        <v>132191.45000000001</v>
      </c>
      <c r="U50" s="226">
        <v>0</v>
      </c>
      <c r="V50" s="226">
        <v>0</v>
      </c>
      <c r="W50" s="248">
        <v>0</v>
      </c>
      <c r="X50" s="248">
        <v>0</v>
      </c>
      <c r="Y50" s="233">
        <v>0</v>
      </c>
      <c r="Z50" s="233">
        <v>0</v>
      </c>
      <c r="AA50" s="228" t="b">
        <f t="shared" si="16"/>
        <v>1</v>
      </c>
      <c r="AB50" s="229">
        <f t="shared" si="0"/>
        <v>0.7</v>
      </c>
      <c r="AC50" s="230" t="b">
        <f t="shared" si="1"/>
        <v>1</v>
      </c>
      <c r="AD50" s="230" t="b">
        <f t="shared" si="2"/>
        <v>1</v>
      </c>
    </row>
    <row r="51" spans="1:30" s="231" customFormat="1" ht="30" customHeight="1" x14ac:dyDescent="0.25">
      <c r="A51" s="240">
        <v>49</v>
      </c>
      <c r="B51" s="193" t="s">
        <v>220</v>
      </c>
      <c r="C51" s="215" t="s">
        <v>50</v>
      </c>
      <c r="D51" s="193" t="s">
        <v>221</v>
      </c>
      <c r="E51" s="219">
        <v>1607092</v>
      </c>
      <c r="F51" s="202" t="s">
        <v>55</v>
      </c>
      <c r="G51" s="202" t="s">
        <v>222</v>
      </c>
      <c r="H51" s="193" t="s">
        <v>57</v>
      </c>
      <c r="I51" s="216">
        <v>0.40600000000000003</v>
      </c>
      <c r="J51" s="197" t="s">
        <v>301</v>
      </c>
      <c r="K51" s="196">
        <v>3152806.29</v>
      </c>
      <c r="L51" s="226">
        <f t="shared" si="6"/>
        <v>2206964.4</v>
      </c>
      <c r="M51" s="52">
        <f t="shared" si="3"/>
        <v>945841.89000000013</v>
      </c>
      <c r="N51" s="222">
        <v>0.7</v>
      </c>
      <c r="O51" s="248">
        <v>0</v>
      </c>
      <c r="P51" s="248">
        <v>0</v>
      </c>
      <c r="Q51" s="233">
        <v>0</v>
      </c>
      <c r="R51" s="233">
        <v>0</v>
      </c>
      <c r="S51" s="226">
        <v>0</v>
      </c>
      <c r="T51" s="226">
        <f t="shared" si="17"/>
        <v>2206964.4</v>
      </c>
      <c r="U51" s="226">
        <v>0</v>
      </c>
      <c r="V51" s="226">
        <v>0</v>
      </c>
      <c r="W51" s="248">
        <v>0</v>
      </c>
      <c r="X51" s="248">
        <v>0</v>
      </c>
      <c r="Y51" s="233">
        <v>0</v>
      </c>
      <c r="Z51" s="233">
        <v>0</v>
      </c>
      <c r="AA51" s="228" t="b">
        <f t="shared" si="16"/>
        <v>1</v>
      </c>
      <c r="AB51" s="229">
        <f t="shared" si="0"/>
        <v>0.7</v>
      </c>
      <c r="AC51" s="230" t="b">
        <f t="shared" si="1"/>
        <v>1</v>
      </c>
      <c r="AD51" s="230" t="b">
        <f t="shared" si="2"/>
        <v>1</v>
      </c>
    </row>
    <row r="52" spans="1:30" s="231" customFormat="1" ht="30" customHeight="1" x14ac:dyDescent="0.25">
      <c r="A52" s="240">
        <v>50</v>
      </c>
      <c r="B52" s="193" t="s">
        <v>223</v>
      </c>
      <c r="C52" s="215" t="s">
        <v>50</v>
      </c>
      <c r="D52" s="193" t="s">
        <v>221</v>
      </c>
      <c r="E52" s="219">
        <v>1607092</v>
      </c>
      <c r="F52" s="202" t="s">
        <v>55</v>
      </c>
      <c r="G52" s="202" t="s">
        <v>224</v>
      </c>
      <c r="H52" s="193" t="s">
        <v>65</v>
      </c>
      <c r="I52" s="216">
        <v>0.90300000000000002</v>
      </c>
      <c r="J52" s="197" t="s">
        <v>301</v>
      </c>
      <c r="K52" s="196">
        <v>5601101.8099999996</v>
      </c>
      <c r="L52" s="226">
        <f t="shared" si="6"/>
        <v>3920771.26</v>
      </c>
      <c r="M52" s="52">
        <f t="shared" si="3"/>
        <v>1680330.5499999998</v>
      </c>
      <c r="N52" s="222">
        <v>0.7</v>
      </c>
      <c r="O52" s="248">
        <v>0</v>
      </c>
      <c r="P52" s="248">
        <v>0</v>
      </c>
      <c r="Q52" s="233">
        <v>0</v>
      </c>
      <c r="R52" s="233">
        <v>0</v>
      </c>
      <c r="S52" s="226">
        <v>0</v>
      </c>
      <c r="T52" s="226">
        <f t="shared" si="17"/>
        <v>3920771.26</v>
      </c>
      <c r="U52" s="226">
        <v>0</v>
      </c>
      <c r="V52" s="226">
        <v>0</v>
      </c>
      <c r="W52" s="248">
        <v>0</v>
      </c>
      <c r="X52" s="248">
        <v>0</v>
      </c>
      <c r="Y52" s="233">
        <v>0</v>
      </c>
      <c r="Z52" s="233">
        <v>0</v>
      </c>
      <c r="AA52" s="228" t="b">
        <f t="shared" si="16"/>
        <v>1</v>
      </c>
      <c r="AB52" s="229">
        <f t="shared" si="0"/>
        <v>0.7</v>
      </c>
      <c r="AC52" s="230" t="b">
        <f t="shared" si="1"/>
        <v>1</v>
      </c>
      <c r="AD52" s="230" t="b">
        <f t="shared" si="2"/>
        <v>1</v>
      </c>
    </row>
    <row r="53" spans="1:30" s="231" customFormat="1" ht="30" customHeight="1" x14ac:dyDescent="0.25">
      <c r="A53" s="240">
        <v>51</v>
      </c>
      <c r="B53" s="193" t="s">
        <v>225</v>
      </c>
      <c r="C53" s="215" t="s">
        <v>50</v>
      </c>
      <c r="D53" s="193" t="s">
        <v>122</v>
      </c>
      <c r="E53" s="219">
        <v>1609083</v>
      </c>
      <c r="F53" s="202" t="s">
        <v>226</v>
      </c>
      <c r="G53" s="202" t="s">
        <v>227</v>
      </c>
      <c r="H53" s="193" t="s">
        <v>53</v>
      </c>
      <c r="I53" s="216">
        <v>0.14299999999999999</v>
      </c>
      <c r="J53" s="197" t="s">
        <v>277</v>
      </c>
      <c r="K53" s="196">
        <v>264871.34000000003</v>
      </c>
      <c r="L53" s="226">
        <f t="shared" ref="L53:L55" si="18">ROUNDDOWN(K53*N53,2)</f>
        <v>185409.93</v>
      </c>
      <c r="M53" s="52">
        <f t="shared" ref="M53:M54" si="19">K53-L53</f>
        <v>79461.410000000033</v>
      </c>
      <c r="N53" s="222">
        <v>0.7</v>
      </c>
      <c r="O53" s="248">
        <v>0</v>
      </c>
      <c r="P53" s="248">
        <v>0</v>
      </c>
      <c r="Q53" s="233">
        <v>0</v>
      </c>
      <c r="R53" s="233">
        <v>0</v>
      </c>
      <c r="S53" s="226">
        <v>0</v>
      </c>
      <c r="T53" s="226">
        <f t="shared" ref="T53:T54" si="20">L53</f>
        <v>185409.93</v>
      </c>
      <c r="U53" s="226">
        <v>0</v>
      </c>
      <c r="V53" s="226">
        <v>0</v>
      </c>
      <c r="W53" s="248">
        <v>0</v>
      </c>
      <c r="X53" s="248">
        <v>0</v>
      </c>
      <c r="Y53" s="233">
        <v>0</v>
      </c>
      <c r="Z53" s="233">
        <v>0</v>
      </c>
      <c r="AA53" s="228" t="b">
        <f t="shared" ref="AA53:AA54" si="21">L53=SUM(O53:Z53)</f>
        <v>1</v>
      </c>
      <c r="AB53" s="229">
        <f t="shared" ref="AB53:AB54" si="22">ROUND(L53/K53,4)</f>
        <v>0.7</v>
      </c>
      <c r="AC53" s="230" t="b">
        <f t="shared" ref="AC53:AC54" si="23">AB53=N53</f>
        <v>1</v>
      </c>
      <c r="AD53" s="230" t="b">
        <f t="shared" ref="AD53:AD54" si="24">K53=L53+M53</f>
        <v>1</v>
      </c>
    </row>
    <row r="54" spans="1:30" s="231" customFormat="1" ht="30" customHeight="1" x14ac:dyDescent="0.25">
      <c r="A54" s="240">
        <v>52</v>
      </c>
      <c r="B54" s="234" t="s">
        <v>228</v>
      </c>
      <c r="C54" s="235" t="s">
        <v>50</v>
      </c>
      <c r="D54" s="236" t="s">
        <v>221</v>
      </c>
      <c r="E54" s="234">
        <v>1607092</v>
      </c>
      <c r="F54" s="234" t="s">
        <v>55</v>
      </c>
      <c r="G54" s="234" t="s">
        <v>229</v>
      </c>
      <c r="H54" s="237" t="s">
        <v>53</v>
      </c>
      <c r="I54" s="234">
        <v>0.76500000000000001</v>
      </c>
      <c r="J54" s="236" t="s">
        <v>294</v>
      </c>
      <c r="K54" s="238">
        <v>686075.35</v>
      </c>
      <c r="L54" s="226">
        <f t="shared" si="18"/>
        <v>480252.74</v>
      </c>
      <c r="M54" s="52">
        <f t="shared" si="19"/>
        <v>205822.61</v>
      </c>
      <c r="N54" s="223">
        <v>0.7</v>
      </c>
      <c r="O54" s="248">
        <v>0</v>
      </c>
      <c r="P54" s="248">
        <v>0</v>
      </c>
      <c r="Q54" s="233">
        <v>0</v>
      </c>
      <c r="R54" s="233">
        <v>0</v>
      </c>
      <c r="S54" s="227">
        <v>0</v>
      </c>
      <c r="T54" s="227">
        <f t="shared" si="20"/>
        <v>480252.74</v>
      </c>
      <c r="U54" s="227">
        <v>0</v>
      </c>
      <c r="V54" s="227">
        <v>0</v>
      </c>
      <c r="W54" s="248">
        <v>0</v>
      </c>
      <c r="X54" s="248">
        <v>0</v>
      </c>
      <c r="Y54" s="233">
        <v>0</v>
      </c>
      <c r="Z54" s="233">
        <v>0</v>
      </c>
      <c r="AA54" s="228" t="b">
        <f t="shared" si="21"/>
        <v>1</v>
      </c>
      <c r="AB54" s="229">
        <f t="shared" si="22"/>
        <v>0.7</v>
      </c>
      <c r="AC54" s="230" t="b">
        <f t="shared" si="23"/>
        <v>1</v>
      </c>
      <c r="AD54" s="230" t="b">
        <f t="shared" si="24"/>
        <v>1</v>
      </c>
    </row>
    <row r="55" spans="1:30" s="281" customFormat="1" ht="30" customHeight="1" x14ac:dyDescent="0.25">
      <c r="A55" s="240">
        <v>53</v>
      </c>
      <c r="B55" s="236" t="s">
        <v>230</v>
      </c>
      <c r="C55" s="241" t="s">
        <v>50</v>
      </c>
      <c r="D55" s="236" t="s">
        <v>89</v>
      </c>
      <c r="E55" s="236">
        <v>1607013</v>
      </c>
      <c r="F55" s="236" t="s">
        <v>55</v>
      </c>
      <c r="G55" s="236" t="s">
        <v>231</v>
      </c>
      <c r="H55" s="277" t="s">
        <v>65</v>
      </c>
      <c r="I55" s="236">
        <v>1.206</v>
      </c>
      <c r="J55" s="236" t="s">
        <v>328</v>
      </c>
      <c r="K55" s="238">
        <v>8545977.7799999993</v>
      </c>
      <c r="L55" s="226">
        <f t="shared" si="18"/>
        <v>6836782.2199999997</v>
      </c>
      <c r="M55" s="52">
        <f t="shared" ref="M55" si="25">K55-L55</f>
        <v>1709195.5599999996</v>
      </c>
      <c r="N55" s="223">
        <v>0.8</v>
      </c>
      <c r="O55" s="248">
        <v>0</v>
      </c>
      <c r="P55" s="248">
        <v>0</v>
      </c>
      <c r="Q55" s="233">
        <v>0</v>
      </c>
      <c r="R55" s="233">
        <v>0</v>
      </c>
      <c r="S55" s="227">
        <v>0</v>
      </c>
      <c r="T55" s="227">
        <f>L55</f>
        <v>6836782.2199999997</v>
      </c>
      <c r="U55" s="227">
        <v>0</v>
      </c>
      <c r="V55" s="227">
        <v>0</v>
      </c>
      <c r="W55" s="248">
        <v>0</v>
      </c>
      <c r="X55" s="248">
        <v>0</v>
      </c>
      <c r="Y55" s="233">
        <v>0</v>
      </c>
      <c r="Z55" s="233">
        <v>0</v>
      </c>
      <c r="AA55" s="278" t="b">
        <f t="shared" ref="AA55" si="26">L55=SUM(O55:Z55)</f>
        <v>1</v>
      </c>
      <c r="AB55" s="279">
        <f t="shared" ref="AB55" si="27">ROUND(L55/K55,4)</f>
        <v>0.8</v>
      </c>
      <c r="AC55" s="280" t="b">
        <f t="shared" ref="AC55" si="28">AB55=N55</f>
        <v>1</v>
      </c>
      <c r="AD55" s="280" t="b">
        <f t="shared" ref="AD55" si="29">K55=L55+M55</f>
        <v>1</v>
      </c>
    </row>
    <row r="56" spans="1:30" s="231" customFormat="1" ht="36.75" customHeight="1" x14ac:dyDescent="0.25">
      <c r="A56" s="240">
        <v>54</v>
      </c>
      <c r="B56" s="236" t="s">
        <v>270</v>
      </c>
      <c r="C56" s="241" t="s">
        <v>50</v>
      </c>
      <c r="D56" s="236" t="s">
        <v>233</v>
      </c>
      <c r="E56" s="242">
        <v>1611073</v>
      </c>
      <c r="F56" s="243" t="s">
        <v>63</v>
      </c>
      <c r="G56" s="243" t="s">
        <v>234</v>
      </c>
      <c r="H56" s="236" t="s">
        <v>53</v>
      </c>
      <c r="I56" s="244">
        <v>0.57989999999999997</v>
      </c>
      <c r="J56" s="238" t="s">
        <v>235</v>
      </c>
      <c r="K56" s="321">
        <v>2586592.84</v>
      </c>
      <c r="L56" s="226">
        <f>ROUNDDOWN(K56*N56,2)</f>
        <v>2069274.27</v>
      </c>
      <c r="M56" s="52">
        <f>K56-L56</f>
        <v>517318.56999999983</v>
      </c>
      <c r="N56" s="246">
        <v>0.8</v>
      </c>
      <c r="O56" s="248">
        <v>0</v>
      </c>
      <c r="P56" s="248">
        <v>0</v>
      </c>
      <c r="Q56" s="233">
        <v>0</v>
      </c>
      <c r="R56" s="233">
        <v>0</v>
      </c>
      <c r="S56" s="227">
        <v>0</v>
      </c>
      <c r="T56" s="227">
        <f>L56</f>
        <v>2069274.27</v>
      </c>
      <c r="U56" s="227">
        <v>0</v>
      </c>
      <c r="V56" s="227">
        <v>0</v>
      </c>
      <c r="W56" s="248">
        <v>0</v>
      </c>
      <c r="X56" s="248">
        <v>0</v>
      </c>
      <c r="Y56" s="233">
        <v>0</v>
      </c>
      <c r="Z56" s="233">
        <v>0</v>
      </c>
      <c r="AA56" s="272" t="b">
        <f t="shared" ref="AA56" si="30">L56=SUM(O56:Z56)</f>
        <v>1</v>
      </c>
      <c r="AB56" s="273">
        <f t="shared" ref="AB56:AB58" si="31">ROUND(L56/K56,4)</f>
        <v>0.8</v>
      </c>
      <c r="AC56" s="274" t="b">
        <f t="shared" ref="AC56:AC58" si="32">AB56=N56</f>
        <v>1</v>
      </c>
      <c r="AD56" s="274" t="b">
        <f t="shared" ref="AD56:AD58" si="33">K56=L56+M56</f>
        <v>1</v>
      </c>
    </row>
    <row r="57" spans="1:30" s="281" customFormat="1" ht="37.5" customHeight="1" x14ac:dyDescent="0.25">
      <c r="A57" s="240">
        <v>55</v>
      </c>
      <c r="B57" s="193" t="s">
        <v>271</v>
      </c>
      <c r="C57" s="215" t="s">
        <v>50</v>
      </c>
      <c r="D57" s="193" t="s">
        <v>99</v>
      </c>
      <c r="E57" s="326">
        <v>1611022</v>
      </c>
      <c r="F57" s="193" t="s">
        <v>63</v>
      </c>
      <c r="G57" s="193" t="s">
        <v>237</v>
      </c>
      <c r="H57" s="193" t="s">
        <v>57</v>
      </c>
      <c r="I57" s="195">
        <v>0.27600000000000002</v>
      </c>
      <c r="J57" s="197" t="s">
        <v>71</v>
      </c>
      <c r="K57" s="196">
        <v>938781.88</v>
      </c>
      <c r="L57" s="226">
        <f>ROUNDDOWN(K57*N57,2)</f>
        <v>657147.31000000006</v>
      </c>
      <c r="M57" s="52">
        <f t="shared" ref="M57" si="34">K57-L57</f>
        <v>281634.56999999995</v>
      </c>
      <c r="N57" s="223">
        <v>0.7</v>
      </c>
      <c r="O57" s="248">
        <v>0</v>
      </c>
      <c r="P57" s="248">
        <v>0</v>
      </c>
      <c r="Q57" s="233">
        <v>0</v>
      </c>
      <c r="R57" s="233">
        <v>0</v>
      </c>
      <c r="S57" s="227">
        <v>0</v>
      </c>
      <c r="T57" s="227">
        <f>L57</f>
        <v>657147.31000000006</v>
      </c>
      <c r="U57" s="227">
        <v>0</v>
      </c>
      <c r="V57" s="227">
        <v>0</v>
      </c>
      <c r="W57" s="248">
        <v>0</v>
      </c>
      <c r="X57" s="248">
        <v>0</v>
      </c>
      <c r="Y57" s="233">
        <v>0</v>
      </c>
      <c r="Z57" s="233">
        <v>0</v>
      </c>
      <c r="AA57" s="278" t="b">
        <f t="shared" ref="AA57:AA58" si="35">L57=SUM(O57:Z57)</f>
        <v>1</v>
      </c>
      <c r="AB57" s="279">
        <f t="shared" si="31"/>
        <v>0.7</v>
      </c>
      <c r="AC57" s="280" t="b">
        <f t="shared" si="32"/>
        <v>1</v>
      </c>
      <c r="AD57" s="280" t="b">
        <f t="shared" si="33"/>
        <v>1</v>
      </c>
    </row>
    <row r="58" spans="1:30" s="275" customFormat="1" ht="37.5" customHeight="1" x14ac:dyDescent="0.25">
      <c r="A58" s="262">
        <v>56</v>
      </c>
      <c r="B58" s="263" t="s">
        <v>279</v>
      </c>
      <c r="C58" s="264"/>
      <c r="D58" s="263" t="s">
        <v>150</v>
      </c>
      <c r="E58" s="292">
        <v>1609022</v>
      </c>
      <c r="F58" s="263" t="s">
        <v>85</v>
      </c>
      <c r="G58" s="263" t="s">
        <v>239</v>
      </c>
      <c r="H58" s="263" t="s">
        <v>57</v>
      </c>
      <c r="I58" s="265"/>
      <c r="J58" s="266" t="s">
        <v>263</v>
      </c>
      <c r="K58" s="267"/>
      <c r="L58" s="261"/>
      <c r="M58" s="268"/>
      <c r="N58" s="269">
        <v>0.6</v>
      </c>
      <c r="O58" s="270"/>
      <c r="P58" s="270"/>
      <c r="Q58" s="271"/>
      <c r="R58" s="271"/>
      <c r="S58" s="323"/>
      <c r="T58" s="323"/>
      <c r="U58" s="323"/>
      <c r="V58" s="323"/>
      <c r="W58" s="270"/>
      <c r="X58" s="270"/>
      <c r="Y58" s="271"/>
      <c r="Z58" s="271"/>
      <c r="AA58" s="272" t="b">
        <f t="shared" si="35"/>
        <v>1</v>
      </c>
      <c r="AB58" s="273" t="e">
        <f t="shared" si="31"/>
        <v>#DIV/0!</v>
      </c>
      <c r="AC58" s="274" t="e">
        <f t="shared" si="32"/>
        <v>#DIV/0!</v>
      </c>
      <c r="AD58" s="274" t="b">
        <f t="shared" si="33"/>
        <v>1</v>
      </c>
    </row>
    <row r="59" spans="1:30" s="281" customFormat="1" ht="37.5" customHeight="1" x14ac:dyDescent="0.25">
      <c r="A59" s="240">
        <v>57</v>
      </c>
      <c r="B59" s="193" t="s">
        <v>280</v>
      </c>
      <c r="C59" s="215" t="s">
        <v>50</v>
      </c>
      <c r="D59" s="193" t="s">
        <v>99</v>
      </c>
      <c r="E59" s="326">
        <v>1611022</v>
      </c>
      <c r="F59" s="193" t="s">
        <v>63</v>
      </c>
      <c r="G59" s="193" t="s">
        <v>243</v>
      </c>
      <c r="H59" s="193" t="s">
        <v>57</v>
      </c>
      <c r="I59" s="195">
        <v>0.11899999999999999</v>
      </c>
      <c r="J59" s="197" t="s">
        <v>71</v>
      </c>
      <c r="K59" s="196">
        <v>365821.02</v>
      </c>
      <c r="L59" s="226">
        <f>ROUNDDOWN(K59*N59,2)</f>
        <v>256074.71</v>
      </c>
      <c r="M59" s="52">
        <f t="shared" ref="M59" si="36">K59-L59</f>
        <v>109746.31000000003</v>
      </c>
      <c r="N59" s="223">
        <v>0.7</v>
      </c>
      <c r="O59" s="248">
        <v>0</v>
      </c>
      <c r="P59" s="248">
        <v>0</v>
      </c>
      <c r="Q59" s="233">
        <v>0</v>
      </c>
      <c r="R59" s="233">
        <v>0</v>
      </c>
      <c r="S59" s="227">
        <v>0</v>
      </c>
      <c r="T59" s="227">
        <f t="shared" ref="T59" si="37">L59</f>
        <v>256074.71</v>
      </c>
      <c r="U59" s="227">
        <v>0</v>
      </c>
      <c r="V59" s="227">
        <v>0</v>
      </c>
      <c r="W59" s="248">
        <v>0</v>
      </c>
      <c r="X59" s="248">
        <v>0</v>
      </c>
      <c r="Y59" s="233">
        <v>0</v>
      </c>
      <c r="Z59" s="233">
        <v>0</v>
      </c>
      <c r="AA59" s="278" t="b">
        <f t="shared" ref="AA59" si="38">L59=SUM(O59:Z59)</f>
        <v>1</v>
      </c>
      <c r="AB59" s="279">
        <f t="shared" ref="AB59" si="39">ROUND(L59/K59,4)</f>
        <v>0.7</v>
      </c>
      <c r="AC59" s="280" t="b">
        <f t="shared" ref="AC59" si="40">AB59=N59</f>
        <v>1</v>
      </c>
      <c r="AD59" s="280" t="b">
        <f t="shared" ref="AD59" si="41">K59=L59+M59</f>
        <v>1</v>
      </c>
    </row>
    <row r="60" spans="1:30" s="281" customFormat="1" ht="37.5" customHeight="1" x14ac:dyDescent="0.25">
      <c r="A60" s="240">
        <v>58</v>
      </c>
      <c r="B60" s="193" t="s">
        <v>281</v>
      </c>
      <c r="C60" s="215" t="s">
        <v>50</v>
      </c>
      <c r="D60" s="193" t="s">
        <v>194</v>
      </c>
      <c r="E60" s="326">
        <v>1606023</v>
      </c>
      <c r="F60" s="193" t="s">
        <v>51</v>
      </c>
      <c r="G60" s="193" t="s">
        <v>244</v>
      </c>
      <c r="H60" s="193" t="s">
        <v>57</v>
      </c>
      <c r="I60" s="195">
        <v>0.77800000000000002</v>
      </c>
      <c r="J60" s="197" t="s">
        <v>326</v>
      </c>
      <c r="K60" s="196">
        <v>1450559.74</v>
      </c>
      <c r="L60" s="226">
        <f>ROUNDDOWN(K60*N60,2)</f>
        <v>870335.84</v>
      </c>
      <c r="M60" s="52">
        <f t="shared" ref="M60" si="42">K60-L60</f>
        <v>580223.9</v>
      </c>
      <c r="N60" s="223">
        <v>0.6</v>
      </c>
      <c r="O60" s="248">
        <v>0</v>
      </c>
      <c r="P60" s="248">
        <v>0</v>
      </c>
      <c r="Q60" s="233">
        <v>0</v>
      </c>
      <c r="R60" s="233">
        <v>0</v>
      </c>
      <c r="S60" s="227">
        <v>0</v>
      </c>
      <c r="T60" s="227">
        <f>L60</f>
        <v>870335.84</v>
      </c>
      <c r="U60" s="227">
        <v>0</v>
      </c>
      <c r="V60" s="227">
        <v>0</v>
      </c>
      <c r="W60" s="248">
        <v>0</v>
      </c>
      <c r="X60" s="248">
        <v>0</v>
      </c>
      <c r="Y60" s="233">
        <v>0</v>
      </c>
      <c r="Z60" s="233">
        <v>0</v>
      </c>
      <c r="AA60" s="278" t="b">
        <f t="shared" ref="AA60" si="43">L60=SUM(O60:Z60)</f>
        <v>1</v>
      </c>
      <c r="AB60" s="279">
        <f t="shared" ref="AB60" si="44">ROUND(L60/K60,4)</f>
        <v>0.6</v>
      </c>
      <c r="AC60" s="280" t="b">
        <f t="shared" ref="AC60" si="45">AB60=N60</f>
        <v>1</v>
      </c>
      <c r="AD60" s="280" t="b">
        <f t="shared" ref="AD60" si="46">K60=L60+M60</f>
        <v>1</v>
      </c>
    </row>
    <row r="61" spans="1:30" s="275" customFormat="1" ht="37.5" customHeight="1" x14ac:dyDescent="0.25">
      <c r="A61" s="262">
        <v>59</v>
      </c>
      <c r="B61" s="263" t="s">
        <v>295</v>
      </c>
      <c r="C61" s="264"/>
      <c r="D61" s="263" t="s">
        <v>221</v>
      </c>
      <c r="E61" s="292">
        <v>1607092</v>
      </c>
      <c r="F61" s="263" t="s">
        <v>55</v>
      </c>
      <c r="G61" s="263" t="s">
        <v>245</v>
      </c>
      <c r="H61" s="263" t="s">
        <v>65</v>
      </c>
      <c r="I61" s="265"/>
      <c r="J61" s="266" t="s">
        <v>263</v>
      </c>
      <c r="K61" s="267"/>
      <c r="L61" s="261"/>
      <c r="M61" s="268"/>
      <c r="N61" s="293">
        <v>0.7</v>
      </c>
      <c r="O61" s="270"/>
      <c r="P61" s="270"/>
      <c r="Q61" s="271"/>
      <c r="R61" s="271"/>
      <c r="S61" s="323"/>
      <c r="T61" s="323"/>
      <c r="U61" s="323"/>
      <c r="V61" s="323"/>
      <c r="W61" s="270"/>
      <c r="X61" s="270"/>
      <c r="Y61" s="271"/>
      <c r="Z61" s="271"/>
      <c r="AA61" s="272" t="b">
        <f t="shared" ref="AA61:AA70" si="47">L61=SUM(O61:Z61)</f>
        <v>1</v>
      </c>
      <c r="AB61" s="273" t="e">
        <f t="shared" ref="AB61:AB70" si="48">ROUND(L61/K61,4)</f>
        <v>#DIV/0!</v>
      </c>
      <c r="AC61" s="274" t="e">
        <f t="shared" ref="AC61:AC70" si="49">AB61=N61</f>
        <v>#DIV/0!</v>
      </c>
      <c r="AD61" s="274" t="b">
        <f t="shared" ref="AD61:AD70" si="50">K61=L61+M61</f>
        <v>1</v>
      </c>
    </row>
    <row r="62" spans="1:30" s="281" customFormat="1" ht="37.5" customHeight="1" x14ac:dyDescent="0.25">
      <c r="A62" s="240">
        <v>60</v>
      </c>
      <c r="B62" s="193" t="s">
        <v>302</v>
      </c>
      <c r="C62" s="215" t="s">
        <v>50</v>
      </c>
      <c r="D62" s="193" t="s">
        <v>248</v>
      </c>
      <c r="E62" s="326">
        <v>1605042</v>
      </c>
      <c r="F62" s="193" t="s">
        <v>67</v>
      </c>
      <c r="G62" s="193" t="s">
        <v>249</v>
      </c>
      <c r="H62" s="193" t="s">
        <v>53</v>
      </c>
      <c r="I62" s="195">
        <v>0.45900000000000002</v>
      </c>
      <c r="J62" s="197" t="s">
        <v>235</v>
      </c>
      <c r="K62" s="196">
        <v>400810.2</v>
      </c>
      <c r="L62" s="226">
        <v>180000</v>
      </c>
      <c r="M62" s="52">
        <f t="shared" ref="M62:M70" si="51">K62-L62</f>
        <v>220810.2</v>
      </c>
      <c r="N62" s="331">
        <v>0.4491</v>
      </c>
      <c r="O62" s="248">
        <v>0</v>
      </c>
      <c r="P62" s="248">
        <v>0</v>
      </c>
      <c r="Q62" s="233">
        <v>0</v>
      </c>
      <c r="R62" s="233">
        <v>0</v>
      </c>
      <c r="S62" s="227">
        <v>0</v>
      </c>
      <c r="T62" s="227">
        <f t="shared" ref="T62:T70" si="52">L62</f>
        <v>180000</v>
      </c>
      <c r="U62" s="227">
        <v>0</v>
      </c>
      <c r="V62" s="227">
        <v>0</v>
      </c>
      <c r="W62" s="248">
        <v>0</v>
      </c>
      <c r="X62" s="248">
        <v>0</v>
      </c>
      <c r="Y62" s="233">
        <v>0</v>
      </c>
      <c r="Z62" s="233">
        <v>0</v>
      </c>
      <c r="AA62" s="278" t="b">
        <f t="shared" si="47"/>
        <v>1</v>
      </c>
      <c r="AB62" s="279">
        <f t="shared" si="48"/>
        <v>0.4491</v>
      </c>
      <c r="AC62" s="280" t="b">
        <f t="shared" si="49"/>
        <v>1</v>
      </c>
      <c r="AD62" s="280" t="b">
        <f t="shared" si="50"/>
        <v>1</v>
      </c>
    </row>
    <row r="63" spans="1:30" s="275" customFormat="1" ht="37.5" customHeight="1" x14ac:dyDescent="0.25">
      <c r="A63" s="240">
        <v>61</v>
      </c>
      <c r="B63" s="193" t="s">
        <v>303</v>
      </c>
      <c r="C63" s="215" t="s">
        <v>50</v>
      </c>
      <c r="D63" s="193" t="s">
        <v>221</v>
      </c>
      <c r="E63" s="219">
        <v>1607092</v>
      </c>
      <c r="F63" s="202" t="s">
        <v>55</v>
      </c>
      <c r="G63" s="202" t="s">
        <v>251</v>
      </c>
      <c r="H63" s="193" t="s">
        <v>57</v>
      </c>
      <c r="I63" s="216">
        <v>0.26100000000000001</v>
      </c>
      <c r="J63" s="197" t="s">
        <v>324</v>
      </c>
      <c r="K63" s="217">
        <v>1392866.8</v>
      </c>
      <c r="L63" s="226">
        <f t="shared" ref="L63:L70" si="53">ROUNDDOWN(K63*N63,2)</f>
        <v>975006.76</v>
      </c>
      <c r="M63" s="52">
        <f t="shared" si="51"/>
        <v>417860.04000000004</v>
      </c>
      <c r="N63" s="223">
        <v>0.7</v>
      </c>
      <c r="O63" s="248">
        <v>0</v>
      </c>
      <c r="P63" s="248">
        <v>0</v>
      </c>
      <c r="Q63" s="233">
        <v>0</v>
      </c>
      <c r="R63" s="233">
        <v>0</v>
      </c>
      <c r="S63" s="227">
        <v>0</v>
      </c>
      <c r="T63" s="227">
        <f t="shared" si="52"/>
        <v>975006.76</v>
      </c>
      <c r="U63" s="227">
        <v>0</v>
      </c>
      <c r="V63" s="227">
        <v>0</v>
      </c>
      <c r="W63" s="248">
        <v>0</v>
      </c>
      <c r="X63" s="248">
        <v>0</v>
      </c>
      <c r="Y63" s="233">
        <v>0</v>
      </c>
      <c r="Z63" s="233">
        <v>0</v>
      </c>
      <c r="AA63" s="272" t="b">
        <f t="shared" si="47"/>
        <v>1</v>
      </c>
      <c r="AB63" s="273">
        <f t="shared" si="48"/>
        <v>0.7</v>
      </c>
      <c r="AC63" s="274" t="b">
        <f t="shared" si="49"/>
        <v>1</v>
      </c>
      <c r="AD63" s="274" t="b">
        <f t="shared" si="50"/>
        <v>1</v>
      </c>
    </row>
    <row r="64" spans="1:30" s="275" customFormat="1" ht="37.5" customHeight="1" x14ac:dyDescent="0.25">
      <c r="A64" s="262">
        <v>62</v>
      </c>
      <c r="B64" s="263" t="s">
        <v>304</v>
      </c>
      <c r="C64" s="264"/>
      <c r="D64" s="263" t="s">
        <v>252</v>
      </c>
      <c r="E64" s="292">
        <v>1611043</v>
      </c>
      <c r="F64" s="263" t="s">
        <v>63</v>
      </c>
      <c r="G64" s="263" t="s">
        <v>253</v>
      </c>
      <c r="H64" s="263" t="s">
        <v>53</v>
      </c>
      <c r="I64" s="265"/>
      <c r="J64" s="266" t="s">
        <v>263</v>
      </c>
      <c r="K64" s="267"/>
      <c r="L64" s="261"/>
      <c r="M64" s="268"/>
      <c r="N64" s="293">
        <v>0.6</v>
      </c>
      <c r="O64" s="270"/>
      <c r="P64" s="270"/>
      <c r="Q64" s="271"/>
      <c r="R64" s="271"/>
      <c r="S64" s="323"/>
      <c r="T64" s="323"/>
      <c r="U64" s="323"/>
      <c r="V64" s="323"/>
      <c r="W64" s="270"/>
      <c r="X64" s="270"/>
      <c r="Y64" s="271"/>
      <c r="Z64" s="271"/>
      <c r="AA64" s="272" t="b">
        <f t="shared" ref="AA64" si="54">L64=SUM(O64:Z64)</f>
        <v>1</v>
      </c>
      <c r="AB64" s="273" t="e">
        <f t="shared" ref="AB64" si="55">ROUND(L64/K64,4)</f>
        <v>#DIV/0!</v>
      </c>
      <c r="AC64" s="274" t="e">
        <f t="shared" ref="AC64" si="56">AB64=N64</f>
        <v>#DIV/0!</v>
      </c>
      <c r="AD64" s="274" t="b">
        <f t="shared" ref="AD64" si="57">K64=L64+M64</f>
        <v>1</v>
      </c>
    </row>
    <row r="65" spans="1:30" s="281" customFormat="1" ht="37.5" customHeight="1" x14ac:dyDescent="0.25">
      <c r="A65" s="240">
        <v>63</v>
      </c>
      <c r="B65" s="193" t="s">
        <v>310</v>
      </c>
      <c r="C65" s="215" t="s">
        <v>50</v>
      </c>
      <c r="D65" s="193" t="s">
        <v>79</v>
      </c>
      <c r="E65" s="326">
        <v>1603062</v>
      </c>
      <c r="F65" s="193" t="s">
        <v>80</v>
      </c>
      <c r="G65" s="193" t="s">
        <v>255</v>
      </c>
      <c r="H65" s="193" t="s">
        <v>65</v>
      </c>
      <c r="I65" s="195">
        <v>0.40600000000000003</v>
      </c>
      <c r="J65" s="197" t="s">
        <v>325</v>
      </c>
      <c r="K65" s="196">
        <v>571096.38</v>
      </c>
      <c r="L65" s="226">
        <f t="shared" ref="L65:L69" si="58">ROUNDDOWN(K65*N65,2)</f>
        <v>399767.46</v>
      </c>
      <c r="M65" s="52">
        <f t="shared" ref="M65:M69" si="59">K65-L65</f>
        <v>171328.91999999998</v>
      </c>
      <c r="N65" s="223">
        <v>0.7</v>
      </c>
      <c r="O65" s="248">
        <v>0</v>
      </c>
      <c r="P65" s="248">
        <v>0</v>
      </c>
      <c r="Q65" s="233">
        <v>0</v>
      </c>
      <c r="R65" s="233">
        <v>0</v>
      </c>
      <c r="S65" s="227">
        <v>0</v>
      </c>
      <c r="T65" s="227">
        <f t="shared" ref="T65:T69" si="60">L65</f>
        <v>399767.46</v>
      </c>
      <c r="U65" s="227">
        <v>0</v>
      </c>
      <c r="V65" s="227">
        <v>0</v>
      </c>
      <c r="W65" s="248">
        <v>0</v>
      </c>
      <c r="X65" s="248">
        <v>0</v>
      </c>
      <c r="Y65" s="233">
        <v>0</v>
      </c>
      <c r="Z65" s="233">
        <v>0</v>
      </c>
      <c r="AA65" s="278" t="b">
        <f t="shared" ref="AA65:AA69" si="61">L65=SUM(O65:Z65)</f>
        <v>1</v>
      </c>
      <c r="AB65" s="279">
        <f t="shared" ref="AB65:AB69" si="62">ROUND(L65/K65,4)</f>
        <v>0.7</v>
      </c>
      <c r="AC65" s="280" t="b">
        <f t="shared" ref="AC65:AC69" si="63">AB65=N65</f>
        <v>1</v>
      </c>
      <c r="AD65" s="280" t="b">
        <f t="shared" ref="AD65:AD69" si="64">K65=L65+M65</f>
        <v>1</v>
      </c>
    </row>
    <row r="66" spans="1:30" s="275" customFormat="1" ht="37.5" customHeight="1" x14ac:dyDescent="0.25">
      <c r="A66" s="240">
        <v>64</v>
      </c>
      <c r="B66" s="193" t="s">
        <v>311</v>
      </c>
      <c r="C66" s="215" t="s">
        <v>50</v>
      </c>
      <c r="D66" s="193" t="s">
        <v>89</v>
      </c>
      <c r="E66" s="219">
        <v>1607013</v>
      </c>
      <c r="F66" s="202" t="s">
        <v>55</v>
      </c>
      <c r="G66" s="202" t="s">
        <v>256</v>
      </c>
      <c r="H66" s="193" t="s">
        <v>53</v>
      </c>
      <c r="I66" s="216">
        <v>0.17799999999999999</v>
      </c>
      <c r="J66" s="197" t="s">
        <v>238</v>
      </c>
      <c r="K66" s="217">
        <v>115710</v>
      </c>
      <c r="L66" s="226">
        <f t="shared" si="58"/>
        <v>92568</v>
      </c>
      <c r="M66" s="52">
        <f t="shared" si="59"/>
        <v>23142</v>
      </c>
      <c r="N66" s="223">
        <v>0.8</v>
      </c>
      <c r="O66" s="248">
        <v>0</v>
      </c>
      <c r="P66" s="248">
        <v>0</v>
      </c>
      <c r="Q66" s="233">
        <v>0</v>
      </c>
      <c r="R66" s="233">
        <v>0</v>
      </c>
      <c r="S66" s="227">
        <v>0</v>
      </c>
      <c r="T66" s="227">
        <f t="shared" si="60"/>
        <v>92568</v>
      </c>
      <c r="U66" s="227">
        <v>0</v>
      </c>
      <c r="V66" s="227">
        <v>0</v>
      </c>
      <c r="W66" s="248">
        <v>0</v>
      </c>
      <c r="X66" s="248">
        <v>0</v>
      </c>
      <c r="Y66" s="233">
        <v>0</v>
      </c>
      <c r="Z66" s="233">
        <v>0</v>
      </c>
      <c r="AA66" s="272" t="b">
        <f t="shared" si="61"/>
        <v>1</v>
      </c>
      <c r="AB66" s="273">
        <f t="shared" si="62"/>
        <v>0.8</v>
      </c>
      <c r="AC66" s="274" t="b">
        <f t="shared" si="63"/>
        <v>1</v>
      </c>
      <c r="AD66" s="274" t="b">
        <f t="shared" si="64"/>
        <v>1</v>
      </c>
    </row>
    <row r="67" spans="1:30" s="275" customFormat="1" ht="37.5" customHeight="1" x14ac:dyDescent="0.25">
      <c r="A67" s="240">
        <v>65</v>
      </c>
      <c r="B67" s="193" t="s">
        <v>312</v>
      </c>
      <c r="C67" s="215" t="s">
        <v>50</v>
      </c>
      <c r="D67" s="193" t="s">
        <v>89</v>
      </c>
      <c r="E67" s="202">
        <v>1607013</v>
      </c>
      <c r="F67" s="202" t="s">
        <v>55</v>
      </c>
      <c r="G67" s="202" t="s">
        <v>257</v>
      </c>
      <c r="H67" s="193" t="s">
        <v>53</v>
      </c>
      <c r="I67" s="202">
        <v>0.25729999999999997</v>
      </c>
      <c r="J67" s="197" t="s">
        <v>238</v>
      </c>
      <c r="K67" s="196">
        <v>132194</v>
      </c>
      <c r="L67" s="226">
        <f t="shared" si="58"/>
        <v>105755.2</v>
      </c>
      <c r="M67" s="52">
        <f t="shared" si="59"/>
        <v>26438.800000000003</v>
      </c>
      <c r="N67" s="223">
        <v>0.8</v>
      </c>
      <c r="O67" s="248">
        <v>0</v>
      </c>
      <c r="P67" s="248">
        <v>0</v>
      </c>
      <c r="Q67" s="233">
        <v>0</v>
      </c>
      <c r="R67" s="233">
        <v>0</v>
      </c>
      <c r="S67" s="227">
        <v>0</v>
      </c>
      <c r="T67" s="227">
        <f t="shared" si="60"/>
        <v>105755.2</v>
      </c>
      <c r="U67" s="227">
        <v>0</v>
      </c>
      <c r="V67" s="227">
        <v>0</v>
      </c>
      <c r="W67" s="248">
        <v>0</v>
      </c>
      <c r="X67" s="248">
        <v>0</v>
      </c>
      <c r="Y67" s="233">
        <v>0</v>
      </c>
      <c r="Z67" s="233">
        <v>0</v>
      </c>
      <c r="AA67" s="272" t="b">
        <f t="shared" si="61"/>
        <v>1</v>
      </c>
      <c r="AB67" s="273">
        <f t="shared" si="62"/>
        <v>0.8</v>
      </c>
      <c r="AC67" s="274" t="b">
        <f t="shared" si="63"/>
        <v>1</v>
      </c>
      <c r="AD67" s="274" t="b">
        <f t="shared" si="64"/>
        <v>1</v>
      </c>
    </row>
    <row r="68" spans="1:30" s="275" customFormat="1" ht="37.5" customHeight="1" x14ac:dyDescent="0.25">
      <c r="A68" s="240">
        <v>66</v>
      </c>
      <c r="B68" s="193" t="s">
        <v>313</v>
      </c>
      <c r="C68" s="215" t="s">
        <v>50</v>
      </c>
      <c r="D68" s="193" t="s">
        <v>89</v>
      </c>
      <c r="E68" s="202">
        <v>1607013</v>
      </c>
      <c r="F68" s="202" t="s">
        <v>55</v>
      </c>
      <c r="G68" s="202" t="s">
        <v>258</v>
      </c>
      <c r="H68" s="193" t="s">
        <v>53</v>
      </c>
      <c r="I68" s="202">
        <v>0.47586000000000001</v>
      </c>
      <c r="J68" s="197" t="s">
        <v>238</v>
      </c>
      <c r="K68" s="196">
        <v>291876</v>
      </c>
      <c r="L68" s="226">
        <f t="shared" si="58"/>
        <v>233500.79999999999</v>
      </c>
      <c r="M68" s="52">
        <f t="shared" si="59"/>
        <v>58375.200000000012</v>
      </c>
      <c r="N68" s="223">
        <v>0.8</v>
      </c>
      <c r="O68" s="248">
        <v>0</v>
      </c>
      <c r="P68" s="248">
        <v>0</v>
      </c>
      <c r="Q68" s="233">
        <v>0</v>
      </c>
      <c r="R68" s="233">
        <v>0</v>
      </c>
      <c r="S68" s="227">
        <v>0</v>
      </c>
      <c r="T68" s="227">
        <f t="shared" si="60"/>
        <v>233500.79999999999</v>
      </c>
      <c r="U68" s="227">
        <v>0</v>
      </c>
      <c r="V68" s="227">
        <v>0</v>
      </c>
      <c r="W68" s="248">
        <v>0</v>
      </c>
      <c r="X68" s="248">
        <v>0</v>
      </c>
      <c r="Y68" s="233">
        <v>0</v>
      </c>
      <c r="Z68" s="233">
        <v>0</v>
      </c>
      <c r="AA68" s="272" t="b">
        <f t="shared" si="61"/>
        <v>1</v>
      </c>
      <c r="AB68" s="273">
        <f t="shared" si="62"/>
        <v>0.8</v>
      </c>
      <c r="AC68" s="274" t="b">
        <f t="shared" si="63"/>
        <v>1</v>
      </c>
      <c r="AD68" s="274" t="b">
        <f t="shared" si="64"/>
        <v>1</v>
      </c>
    </row>
    <row r="69" spans="1:30" s="275" customFormat="1" ht="37.5" customHeight="1" x14ac:dyDescent="0.25">
      <c r="A69" s="240">
        <v>67</v>
      </c>
      <c r="B69" s="193" t="s">
        <v>314</v>
      </c>
      <c r="C69" s="215" t="s">
        <v>50</v>
      </c>
      <c r="D69" s="193" t="s">
        <v>89</v>
      </c>
      <c r="E69" s="202">
        <v>1607013</v>
      </c>
      <c r="F69" s="202" t="s">
        <v>55</v>
      </c>
      <c r="G69" s="202" t="s">
        <v>259</v>
      </c>
      <c r="H69" s="193" t="s">
        <v>53</v>
      </c>
      <c r="I69" s="202">
        <v>0.26529999999999998</v>
      </c>
      <c r="J69" s="197" t="s">
        <v>238</v>
      </c>
      <c r="K69" s="196">
        <v>220785</v>
      </c>
      <c r="L69" s="226">
        <f t="shared" si="58"/>
        <v>176628</v>
      </c>
      <c r="M69" s="52">
        <f t="shared" si="59"/>
        <v>44157</v>
      </c>
      <c r="N69" s="223">
        <v>0.8</v>
      </c>
      <c r="O69" s="248">
        <v>0</v>
      </c>
      <c r="P69" s="248">
        <v>0</v>
      </c>
      <c r="Q69" s="233">
        <v>0</v>
      </c>
      <c r="R69" s="233">
        <v>0</v>
      </c>
      <c r="S69" s="227">
        <v>0</v>
      </c>
      <c r="T69" s="227">
        <f t="shared" si="60"/>
        <v>176628</v>
      </c>
      <c r="U69" s="227">
        <v>0</v>
      </c>
      <c r="V69" s="227">
        <v>0</v>
      </c>
      <c r="W69" s="248">
        <v>0</v>
      </c>
      <c r="X69" s="248">
        <v>0</v>
      </c>
      <c r="Y69" s="233">
        <v>0</v>
      </c>
      <c r="Z69" s="233">
        <v>0</v>
      </c>
      <c r="AA69" s="272" t="b">
        <f t="shared" si="61"/>
        <v>1</v>
      </c>
      <c r="AB69" s="273">
        <f t="shared" si="62"/>
        <v>0.8</v>
      </c>
      <c r="AC69" s="274" t="b">
        <f t="shared" si="63"/>
        <v>1</v>
      </c>
      <c r="AD69" s="274" t="b">
        <f t="shared" si="64"/>
        <v>1</v>
      </c>
    </row>
    <row r="70" spans="1:30" s="275" customFormat="1" ht="33.75" x14ac:dyDescent="0.25">
      <c r="A70" s="240">
        <v>68</v>
      </c>
      <c r="B70" s="193" t="s">
        <v>315</v>
      </c>
      <c r="C70" s="215" t="s">
        <v>50</v>
      </c>
      <c r="D70" s="193" t="s">
        <v>89</v>
      </c>
      <c r="E70" s="202">
        <v>1607013</v>
      </c>
      <c r="F70" s="202" t="s">
        <v>55</v>
      </c>
      <c r="G70" s="202" t="s">
        <v>260</v>
      </c>
      <c r="H70" s="193" t="s">
        <v>53</v>
      </c>
      <c r="I70" s="202">
        <v>0.105</v>
      </c>
      <c r="J70" s="197" t="s">
        <v>238</v>
      </c>
      <c r="K70" s="196">
        <v>51320</v>
      </c>
      <c r="L70" s="226">
        <f t="shared" si="53"/>
        <v>41056</v>
      </c>
      <c r="M70" s="52">
        <f t="shared" si="51"/>
        <v>10264</v>
      </c>
      <c r="N70" s="223">
        <v>0.8</v>
      </c>
      <c r="O70" s="248">
        <v>0</v>
      </c>
      <c r="P70" s="248">
        <v>0</v>
      </c>
      <c r="Q70" s="233">
        <v>0</v>
      </c>
      <c r="R70" s="233">
        <v>0</v>
      </c>
      <c r="S70" s="227">
        <v>0</v>
      </c>
      <c r="T70" s="227">
        <f t="shared" si="52"/>
        <v>41056</v>
      </c>
      <c r="U70" s="227">
        <v>0</v>
      </c>
      <c r="V70" s="227">
        <v>0</v>
      </c>
      <c r="W70" s="248">
        <v>0</v>
      </c>
      <c r="X70" s="248">
        <v>0</v>
      </c>
      <c r="Y70" s="233">
        <v>0</v>
      </c>
      <c r="Z70" s="233">
        <v>0</v>
      </c>
      <c r="AA70" s="272" t="b">
        <f t="shared" si="47"/>
        <v>1</v>
      </c>
      <c r="AB70" s="273">
        <f t="shared" si="48"/>
        <v>0.8</v>
      </c>
      <c r="AC70" s="274" t="b">
        <f t="shared" si="49"/>
        <v>1</v>
      </c>
      <c r="AD70" s="274" t="b">
        <f t="shared" si="50"/>
        <v>1</v>
      </c>
    </row>
    <row r="71" spans="1:30" x14ac:dyDescent="0.25">
      <c r="A71" s="365" t="s">
        <v>45</v>
      </c>
      <c r="B71" s="366"/>
      <c r="C71" s="366"/>
      <c r="D71" s="366"/>
      <c r="E71" s="366"/>
      <c r="F71" s="366"/>
      <c r="G71" s="366"/>
      <c r="H71" s="367"/>
      <c r="I71" s="63">
        <f>SUM(I3:I70)</f>
        <v>38.575700000000012</v>
      </c>
      <c r="J71" s="64" t="s">
        <v>14</v>
      </c>
      <c r="K71" s="65">
        <f>SUM(K3:K70)</f>
        <v>140664927.33999997</v>
      </c>
      <c r="L71" s="66">
        <f>SUM(L3:L70)</f>
        <v>98064184.680000037</v>
      </c>
      <c r="M71" s="66">
        <f>SUM(M3:M70)</f>
        <v>42600742.660000004</v>
      </c>
      <c r="N71" s="67" t="s">
        <v>14</v>
      </c>
      <c r="O71" s="66">
        <f t="shared" ref="O71:Z71" si="65">SUM(O3:O70)</f>
        <v>0</v>
      </c>
      <c r="P71" s="66">
        <f t="shared" si="65"/>
        <v>0</v>
      </c>
      <c r="Q71" s="68">
        <f t="shared" si="65"/>
        <v>0</v>
      </c>
      <c r="R71" s="68">
        <f t="shared" si="65"/>
        <v>0</v>
      </c>
      <c r="S71" s="68">
        <f t="shared" si="65"/>
        <v>10835376.120000001</v>
      </c>
      <c r="T71" s="68">
        <f t="shared" si="65"/>
        <v>75548052.970000014</v>
      </c>
      <c r="U71" s="68">
        <f t="shared" si="65"/>
        <v>9693404.8299999982</v>
      </c>
      <c r="V71" s="68">
        <f t="shared" si="65"/>
        <v>1987350.7600000007</v>
      </c>
      <c r="W71" s="68">
        <f t="shared" si="65"/>
        <v>0</v>
      </c>
      <c r="X71" s="68">
        <f t="shared" si="65"/>
        <v>0</v>
      </c>
      <c r="Y71" s="68">
        <f t="shared" si="65"/>
        <v>0</v>
      </c>
      <c r="Z71" s="68">
        <f t="shared" si="65"/>
        <v>0</v>
      </c>
      <c r="AA71" s="1" t="b">
        <f t="shared" si="16"/>
        <v>1</v>
      </c>
      <c r="AB71" s="45">
        <f t="shared" si="0"/>
        <v>0.69710000000000005</v>
      </c>
      <c r="AC71" s="46" t="s">
        <v>14</v>
      </c>
      <c r="AD71" s="46" t="b">
        <f t="shared" si="2"/>
        <v>1</v>
      </c>
    </row>
    <row r="72" spans="1:30" x14ac:dyDescent="0.25">
      <c r="A72" s="365" t="s">
        <v>38</v>
      </c>
      <c r="B72" s="366"/>
      <c r="C72" s="366"/>
      <c r="D72" s="366"/>
      <c r="E72" s="366"/>
      <c r="F72" s="366"/>
      <c r="G72" s="366"/>
      <c r="H72" s="367"/>
      <c r="I72" s="63">
        <f>SUMIF($C$3:$C$70,"K",I3:I70)</f>
        <v>6.7217499999999992</v>
      </c>
      <c r="J72" s="64" t="s">
        <v>14</v>
      </c>
      <c r="K72" s="65">
        <f>SUMIF($C$3:$C$70,"K",K3:K70)</f>
        <v>32087163.750000004</v>
      </c>
      <c r="L72" s="66">
        <f>SUMIF($C$3:$C$70,"K",L3:L70)</f>
        <v>21465702.130000003</v>
      </c>
      <c r="M72" s="66">
        <f>SUMIF($C$3:$C$70,"K",M3:M70)</f>
        <v>10621461.620000001</v>
      </c>
      <c r="N72" s="67" t="s">
        <v>14</v>
      </c>
      <c r="O72" s="66">
        <f t="shared" ref="O72:Z72" si="66">SUMIF($C$3:$C$70,"K",O3:O70)</f>
        <v>0</v>
      </c>
      <c r="P72" s="66">
        <f t="shared" si="66"/>
        <v>0</v>
      </c>
      <c r="Q72" s="68">
        <f t="shared" si="66"/>
        <v>0</v>
      </c>
      <c r="R72" s="68">
        <f t="shared" si="66"/>
        <v>0</v>
      </c>
      <c r="S72" s="68">
        <f t="shared" si="66"/>
        <v>10835376.120000001</v>
      </c>
      <c r="T72" s="68">
        <f t="shared" si="66"/>
        <v>10630326.010000002</v>
      </c>
      <c r="U72" s="68">
        <f t="shared" si="66"/>
        <v>0</v>
      </c>
      <c r="V72" s="68">
        <f t="shared" si="66"/>
        <v>0</v>
      </c>
      <c r="W72" s="68">
        <f t="shared" si="66"/>
        <v>0</v>
      </c>
      <c r="X72" s="68">
        <f t="shared" si="66"/>
        <v>0</v>
      </c>
      <c r="Y72" s="68">
        <f t="shared" si="66"/>
        <v>0</v>
      </c>
      <c r="Z72" s="68">
        <f t="shared" si="66"/>
        <v>0</v>
      </c>
      <c r="AA72" s="1" t="b">
        <f t="shared" si="16"/>
        <v>1</v>
      </c>
      <c r="AB72" s="45">
        <f t="shared" si="0"/>
        <v>0.66900000000000004</v>
      </c>
      <c r="AC72" s="46" t="s">
        <v>14</v>
      </c>
      <c r="AD72" s="46" t="b">
        <f t="shared" si="2"/>
        <v>1</v>
      </c>
    </row>
    <row r="73" spans="1:30" x14ac:dyDescent="0.25">
      <c r="A73" s="365" t="s">
        <v>39</v>
      </c>
      <c r="B73" s="366"/>
      <c r="C73" s="366"/>
      <c r="D73" s="366"/>
      <c r="E73" s="366"/>
      <c r="F73" s="366"/>
      <c r="G73" s="366"/>
      <c r="H73" s="367"/>
      <c r="I73" s="63">
        <f>SUMIF($C$3:$C$70,"N",I3:I70)</f>
        <v>26.54561</v>
      </c>
      <c r="J73" s="64" t="s">
        <v>14</v>
      </c>
      <c r="K73" s="65">
        <f>SUMIF($C$3:$C$70,"N",K3:K70)</f>
        <v>73847848.089999989</v>
      </c>
      <c r="L73" s="66">
        <f>SUMIF($C$3:$C$70,"N",L3:L70)</f>
        <v>50883557.500000015</v>
      </c>
      <c r="M73" s="66">
        <f>SUMIF($C$3:$C$70,"N",M3:M70)</f>
        <v>22964290.589999996</v>
      </c>
      <c r="N73" s="67" t="s">
        <v>14</v>
      </c>
      <c r="O73" s="66">
        <f t="shared" ref="O73:Z73" si="67">SUMIF($C$3:$C$70,"N",O3:O70)</f>
        <v>0</v>
      </c>
      <c r="P73" s="66">
        <f t="shared" si="67"/>
        <v>0</v>
      </c>
      <c r="Q73" s="68">
        <f t="shared" si="67"/>
        <v>0</v>
      </c>
      <c r="R73" s="68">
        <f t="shared" si="67"/>
        <v>0</v>
      </c>
      <c r="S73" s="68">
        <f t="shared" si="67"/>
        <v>0</v>
      </c>
      <c r="T73" s="68">
        <f t="shared" si="67"/>
        <v>50883557.500000015</v>
      </c>
      <c r="U73" s="68">
        <f t="shared" si="67"/>
        <v>0</v>
      </c>
      <c r="V73" s="68">
        <f t="shared" si="67"/>
        <v>0</v>
      </c>
      <c r="W73" s="68">
        <f t="shared" si="67"/>
        <v>0</v>
      </c>
      <c r="X73" s="68">
        <f t="shared" si="67"/>
        <v>0</v>
      </c>
      <c r="Y73" s="68">
        <f t="shared" si="67"/>
        <v>0</v>
      </c>
      <c r="Z73" s="68">
        <f t="shared" si="67"/>
        <v>0</v>
      </c>
      <c r="AA73" s="1" t="b">
        <f t="shared" si="16"/>
        <v>1</v>
      </c>
      <c r="AB73" s="45">
        <f t="shared" si="0"/>
        <v>0.68899999999999995</v>
      </c>
      <c r="AC73" s="46" t="s">
        <v>14</v>
      </c>
      <c r="AD73" s="46" t="b">
        <f t="shared" si="2"/>
        <v>1</v>
      </c>
    </row>
    <row r="74" spans="1:30" x14ac:dyDescent="0.25">
      <c r="A74" s="362" t="s">
        <v>40</v>
      </c>
      <c r="B74" s="363"/>
      <c r="C74" s="363"/>
      <c r="D74" s="363"/>
      <c r="E74" s="363"/>
      <c r="F74" s="363"/>
      <c r="G74" s="363"/>
      <c r="H74" s="364"/>
      <c r="I74" s="69">
        <f>SUMIF($C$3:$C$70,"W",I3:I70)</f>
        <v>5.3083399999999994</v>
      </c>
      <c r="J74" s="70" t="s">
        <v>14</v>
      </c>
      <c r="K74" s="71">
        <f>SUMIF($C$3:$C$70,"W",K3:K70)</f>
        <v>34729915.5</v>
      </c>
      <c r="L74" s="72">
        <f>SUMIF($C$3:$C$70,"W",L3:L70)</f>
        <v>25714925.049999997</v>
      </c>
      <c r="M74" s="72">
        <f>SUMIF($C$3:$C$70,"W",M3:M70)</f>
        <v>9014990.4499999993</v>
      </c>
      <c r="N74" s="73" t="s">
        <v>14</v>
      </c>
      <c r="O74" s="72">
        <f t="shared" ref="O74:Z74" si="68">SUMIF($C$3:$C$70,"W",O3:O70)</f>
        <v>0</v>
      </c>
      <c r="P74" s="72">
        <f t="shared" si="68"/>
        <v>0</v>
      </c>
      <c r="Q74" s="74">
        <f t="shared" si="68"/>
        <v>0</v>
      </c>
      <c r="R74" s="74">
        <f t="shared" si="68"/>
        <v>0</v>
      </c>
      <c r="S74" s="74">
        <f t="shared" si="68"/>
        <v>0</v>
      </c>
      <c r="T74" s="74">
        <f t="shared" si="68"/>
        <v>14034169.459999999</v>
      </c>
      <c r="U74" s="74">
        <f t="shared" si="68"/>
        <v>9693404.8299999982</v>
      </c>
      <c r="V74" s="74">
        <f t="shared" si="68"/>
        <v>1987350.7600000007</v>
      </c>
      <c r="W74" s="74">
        <f t="shared" si="68"/>
        <v>0</v>
      </c>
      <c r="X74" s="74">
        <f t="shared" si="68"/>
        <v>0</v>
      </c>
      <c r="Y74" s="74">
        <f t="shared" si="68"/>
        <v>0</v>
      </c>
      <c r="Z74" s="74">
        <f t="shared" si="68"/>
        <v>0</v>
      </c>
      <c r="AA74" s="1" t="b">
        <f t="shared" si="16"/>
        <v>1</v>
      </c>
      <c r="AB74" s="45">
        <f t="shared" ref="AB74" si="69">ROUND(L74/K74,4)</f>
        <v>0.74039999999999995</v>
      </c>
      <c r="AC74" s="46" t="s">
        <v>14</v>
      </c>
      <c r="AD74" s="46" t="b">
        <f t="shared" ref="AD74" si="70">K74=L74+M74</f>
        <v>1</v>
      </c>
    </row>
    <row r="75" spans="1:30" x14ac:dyDescent="0.25">
      <c r="A75" s="32"/>
      <c r="K75" s="5"/>
    </row>
    <row r="76" spans="1:30" x14ac:dyDescent="0.25">
      <c r="A76" s="33" t="s">
        <v>25</v>
      </c>
      <c r="J76" s="282"/>
      <c r="M76" s="322"/>
      <c r="S76" s="3" t="s">
        <v>265</v>
      </c>
    </row>
    <row r="77" spans="1:30" x14ac:dyDescent="0.25">
      <c r="A77" s="34" t="s">
        <v>26</v>
      </c>
      <c r="M77" s="322"/>
      <c r="N77" s="46"/>
    </row>
    <row r="78" spans="1:30" x14ac:dyDescent="0.25">
      <c r="A78" s="33" t="s">
        <v>43</v>
      </c>
      <c r="L78" s="324"/>
      <c r="M78" s="325"/>
    </row>
    <row r="79" spans="1:30" x14ac:dyDescent="0.25">
      <c r="A79" s="36" t="s">
        <v>47</v>
      </c>
    </row>
    <row r="83" spans="9:9" x14ac:dyDescent="0.25">
      <c r="I83" s="276"/>
    </row>
  </sheetData>
  <autoFilter ref="A2:AD74" xr:uid="{00000000-0009-0000-0000-000002000000}"/>
  <customSheetViews>
    <customSheetView guid="{BD3EAA12-36A1-4500-A3A8-8FB519CC9E74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1"/>
      <headerFooter>
        <oddHeader>&amp;LWojewództwo &amp;K000000Opolskie &amp;K01+000- zadania gminne lista podstawowa</oddHeader>
        <oddFooter>Strona &amp;P z &amp;N</oddFooter>
      </headerFooter>
      <autoFilter ref="A2:AD74" xr:uid="{00000000-0009-0000-0000-000002000000}"/>
    </customSheetView>
    <customSheetView guid="{B4405FF1-036B-45AD-810F-8C9DF67F9D7F}" scale="90" showGridLines="0" fitToPage="1" printArea="1" filter="1" showAutoFilter="1">
      <selection activeCell="J89" sqref="J89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2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3">
          <filters>
            <filter val="Gmina Reńska Wieś"/>
          </filters>
        </filterColumn>
      </autoFilter>
    </customSheetView>
    <customSheetView guid="{C76DCD22-0DC9-4799-A058-B64B837BBA0E}" scale="90" showPageBreaks="1" showGridLines="0" fitToPage="1" printArea="1" filter="1" showAutoFilter="1" topLeftCell="E1">
      <selection activeCell="G35" sqref="G35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3">
          <filters>
            <filter val="Gmina Reńska Wieś"/>
          </filters>
        </filterColumn>
      </autoFilter>
    </customSheetView>
    <customSheetView guid="{E7CAF9DC-53CB-464B-97B7-E2DEFBC16359}" showPageBreaks="1" showGridLines="0" fitToPage="1" printArea="1" filter="1" showAutoFilter="1" view="pageBreakPreview">
      <selection activeCell="K38" sqref="K38:M38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3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>
        <filterColumn colId="6">
          <filters>
            <filter val="Przebudowa i rozbudowa ul. Nektarowej w Kędzierzynie-Koźlu"/>
          </filters>
        </filterColumn>
      </autoFilter>
    </customSheetView>
    <customSheetView guid="{CB410AB3-2DDF-47B7-B021-1F68EEA98257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4"/>
      <headerFooter>
        <oddHeader>&amp;LWojewództwo &amp;K000000Opolskie &amp;K01+000- zadania gminne lista podstawowa</oddHeader>
        <oddFooter>Strona &amp;P z &amp;N</oddFooter>
      </headerFooter>
      <autoFilter ref="A2:AD74" xr:uid="{00000000-0000-0000-0000-000000000000}"/>
    </customSheetView>
  </customSheetViews>
  <mergeCells count="19">
    <mergeCell ref="F1:F2"/>
    <mergeCell ref="G1:G2"/>
    <mergeCell ref="D1:D2"/>
    <mergeCell ref="O1:Z1"/>
    <mergeCell ref="A74:H74"/>
    <mergeCell ref="A73:H73"/>
    <mergeCell ref="E1:E2"/>
    <mergeCell ref="A72:H72"/>
    <mergeCell ref="N1:N2"/>
    <mergeCell ref="L1:L2"/>
    <mergeCell ref="M1:M2"/>
    <mergeCell ref="A71:H71"/>
    <mergeCell ref="H1:H2"/>
    <mergeCell ref="I1:I2"/>
    <mergeCell ref="J1:J2"/>
    <mergeCell ref="K1:K2"/>
    <mergeCell ref="A1:A2"/>
    <mergeCell ref="B1:B2"/>
    <mergeCell ref="C1:C2"/>
  </mergeCells>
  <conditionalFormatting sqref="AB3:AC3 AA41:AD54 AA71:AA74 AB71:AD72">
    <cfRule type="cellIs" dxfId="60" priority="32" operator="equal">
      <formula>FALSE</formula>
    </cfRule>
  </conditionalFormatting>
  <conditionalFormatting sqref="AA3:AC3 AA41:AC54 AA71:AA74 AB71:AC72">
    <cfRule type="containsText" dxfId="59" priority="30" operator="containsText" text="fałsz">
      <formula>NOT(ISERROR(SEARCH("fałsz",AA3)))</formula>
    </cfRule>
  </conditionalFormatting>
  <conditionalFormatting sqref="AB74:AC74">
    <cfRule type="cellIs" dxfId="58" priority="27" operator="equal">
      <formula>FALSE</formula>
    </cfRule>
  </conditionalFormatting>
  <conditionalFormatting sqref="AA3">
    <cfRule type="cellIs" dxfId="57" priority="31" operator="equal">
      <formula>FALSE</formula>
    </cfRule>
  </conditionalFormatting>
  <conditionalFormatting sqref="AB74:AC74">
    <cfRule type="containsText" dxfId="56" priority="25" operator="containsText" text="fałsz">
      <formula>NOT(ISERROR(SEARCH("fałsz",AB74)))</formula>
    </cfRule>
  </conditionalFormatting>
  <conditionalFormatting sqref="AD3">
    <cfRule type="cellIs" dxfId="55" priority="29" operator="equal">
      <formula>FALSE</formula>
    </cfRule>
  </conditionalFormatting>
  <conditionalFormatting sqref="AD3">
    <cfRule type="cellIs" dxfId="54" priority="28" operator="equal">
      <formula>FALSE</formula>
    </cfRule>
  </conditionalFormatting>
  <conditionalFormatting sqref="AD74">
    <cfRule type="cellIs" dxfId="53" priority="24" operator="equal">
      <formula>FALSE</formula>
    </cfRule>
  </conditionalFormatting>
  <conditionalFormatting sqref="AD74">
    <cfRule type="cellIs" dxfId="52" priority="23" operator="equal">
      <formula>FALSE</formula>
    </cfRule>
  </conditionalFormatting>
  <conditionalFormatting sqref="AB73:AC73">
    <cfRule type="cellIs" dxfId="51" priority="22" operator="equal">
      <formula>FALSE</formula>
    </cfRule>
  </conditionalFormatting>
  <conditionalFormatting sqref="AB73:AC73">
    <cfRule type="containsText" dxfId="50" priority="20" operator="containsText" text="fałsz">
      <formula>NOT(ISERROR(SEARCH("fałsz",AB73)))</formula>
    </cfRule>
  </conditionalFormatting>
  <conditionalFormatting sqref="AD73">
    <cfRule type="cellIs" dxfId="49" priority="19" operator="equal">
      <formula>FALSE</formula>
    </cfRule>
  </conditionalFormatting>
  <conditionalFormatting sqref="AD73">
    <cfRule type="cellIs" dxfId="48" priority="18" operator="equal">
      <formula>FALSE</formula>
    </cfRule>
  </conditionalFormatting>
  <conditionalFormatting sqref="AB25:AC40">
    <cfRule type="cellIs" dxfId="47" priority="17" operator="equal">
      <formula>FALSE</formula>
    </cfRule>
  </conditionalFormatting>
  <conditionalFormatting sqref="AA25:AC40">
    <cfRule type="containsText" dxfId="46" priority="15" operator="containsText" text="fałsz">
      <formula>NOT(ISERROR(SEARCH("fałsz",AA25)))</formula>
    </cfRule>
  </conditionalFormatting>
  <conditionalFormatting sqref="AA25:AA40">
    <cfRule type="cellIs" dxfId="45" priority="16" operator="equal">
      <formula>FALSE</formula>
    </cfRule>
  </conditionalFormatting>
  <conditionalFormatting sqref="AD25:AD40">
    <cfRule type="cellIs" dxfId="44" priority="14" operator="equal">
      <formula>FALSE</formula>
    </cfRule>
  </conditionalFormatting>
  <conditionalFormatting sqref="AD25:AD40">
    <cfRule type="cellIs" dxfId="43" priority="13" operator="equal">
      <formula>FALSE</formula>
    </cfRule>
  </conditionalFormatting>
  <conditionalFormatting sqref="AB20:AC24">
    <cfRule type="cellIs" dxfId="42" priority="12" operator="equal">
      <formula>FALSE</formula>
    </cfRule>
  </conditionalFormatting>
  <conditionalFormatting sqref="AA20:AC24">
    <cfRule type="containsText" dxfId="41" priority="10" operator="containsText" text="fałsz">
      <formula>NOT(ISERROR(SEARCH("fałsz",AA20)))</formula>
    </cfRule>
  </conditionalFormatting>
  <conditionalFormatting sqref="AA20:AA24">
    <cfRule type="cellIs" dxfId="40" priority="11" operator="equal">
      <formula>FALSE</formula>
    </cfRule>
  </conditionalFormatting>
  <conditionalFormatting sqref="AD20:AD24">
    <cfRule type="cellIs" dxfId="39" priority="9" operator="equal">
      <formula>FALSE</formula>
    </cfRule>
  </conditionalFormatting>
  <conditionalFormatting sqref="AD20:AD24">
    <cfRule type="cellIs" dxfId="38" priority="8" operator="equal">
      <formula>FALSE</formula>
    </cfRule>
  </conditionalFormatting>
  <conditionalFormatting sqref="AB4:AC19">
    <cfRule type="cellIs" dxfId="37" priority="7" operator="equal">
      <formula>FALSE</formula>
    </cfRule>
  </conditionalFormatting>
  <conditionalFormatting sqref="AA4:AC19">
    <cfRule type="containsText" dxfId="36" priority="5" operator="containsText" text="fałsz">
      <formula>NOT(ISERROR(SEARCH("fałsz",AA4)))</formula>
    </cfRule>
  </conditionalFormatting>
  <conditionalFormatting sqref="AA4:AA19">
    <cfRule type="cellIs" dxfId="35" priority="6" operator="equal">
      <formula>FALSE</formula>
    </cfRule>
  </conditionalFormatting>
  <conditionalFormatting sqref="AD4:AD19">
    <cfRule type="cellIs" dxfId="34" priority="4" operator="equal">
      <formula>FALSE</formula>
    </cfRule>
  </conditionalFormatting>
  <conditionalFormatting sqref="AD4:AD19">
    <cfRule type="cellIs" dxfId="33" priority="3" operator="equal">
      <formula>FALSE</formula>
    </cfRule>
  </conditionalFormatting>
  <conditionalFormatting sqref="AA55:AD70">
    <cfRule type="cellIs" dxfId="32" priority="2" operator="equal">
      <formula>FALSE</formula>
    </cfRule>
  </conditionalFormatting>
  <conditionalFormatting sqref="AA55:AC70">
    <cfRule type="containsText" dxfId="31" priority="1" operator="containsText" text="fałsz">
      <formula>NOT(ISERROR(SEARCH("fałsz",AA55)))</formula>
    </cfRule>
  </conditionalFormatting>
  <dataValidations count="2">
    <dataValidation type="list" allowBlank="1" showInputMessage="1" showErrorMessage="1" sqref="H3:H53 H56:H70" xr:uid="{00000000-0002-0000-0200-000000000000}">
      <formula1>"B,P,R"</formula1>
    </dataValidation>
    <dataValidation type="list" allowBlank="1" showInputMessage="1" showErrorMessage="1" sqref="C3:C53 C56:C70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5"/>
  <headerFooter>
    <oddHeader>&amp;LWojewództwo &amp;K000000Opolskie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28515625" style="14"/>
  </cols>
  <sheetData>
    <row r="1" spans="1:30" ht="20.100000000000001" customHeight="1" x14ac:dyDescent="0.25">
      <c r="A1" s="368" t="s">
        <v>4</v>
      </c>
      <c r="B1" s="368" t="s">
        <v>5</v>
      </c>
      <c r="C1" s="372" t="s">
        <v>46</v>
      </c>
      <c r="D1" s="369" t="s">
        <v>6</v>
      </c>
      <c r="E1" s="372" t="s">
        <v>33</v>
      </c>
      <c r="F1" s="369" t="s">
        <v>7</v>
      </c>
      <c r="G1" s="368" t="s">
        <v>27</v>
      </c>
      <c r="H1" s="368" t="s">
        <v>8</v>
      </c>
      <c r="I1" s="368" t="s">
        <v>24</v>
      </c>
      <c r="J1" s="371" t="s">
        <v>9</v>
      </c>
      <c r="K1" s="368" t="s">
        <v>10</v>
      </c>
      <c r="L1" s="369" t="s">
        <v>13</v>
      </c>
      <c r="M1" s="368" t="s">
        <v>11</v>
      </c>
      <c r="N1" s="360" t="s">
        <v>12</v>
      </c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</row>
    <row r="2" spans="1:30" ht="20.100000000000001" customHeight="1" x14ac:dyDescent="0.25">
      <c r="A2" s="368"/>
      <c r="B2" s="368"/>
      <c r="C2" s="360"/>
      <c r="D2" s="370"/>
      <c r="E2" s="360"/>
      <c r="F2" s="370"/>
      <c r="G2" s="368"/>
      <c r="H2" s="368"/>
      <c r="I2" s="368"/>
      <c r="J2" s="371"/>
      <c r="K2" s="368"/>
      <c r="L2" s="370"/>
      <c r="M2" s="368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5">
        <v>2029</v>
      </c>
      <c r="Y2" s="18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53"/>
      <c r="K3" s="54"/>
      <c r="L3" s="55"/>
      <c r="M3" s="61"/>
      <c r="N3" s="54"/>
      <c r="O3" s="54"/>
      <c r="P3" s="62"/>
      <c r="Q3" s="62"/>
      <c r="R3" s="62"/>
      <c r="S3" s="62"/>
      <c r="T3" s="62"/>
      <c r="U3" s="62"/>
      <c r="V3" s="62"/>
      <c r="W3" s="62"/>
      <c r="X3" s="62"/>
      <c r="Y3" s="62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5"/>
      <c r="B4" s="75"/>
      <c r="C4" s="75"/>
      <c r="D4" s="76"/>
      <c r="E4" s="76"/>
      <c r="F4" s="75"/>
      <c r="G4" s="75"/>
      <c r="H4" s="77"/>
      <c r="I4" s="78"/>
      <c r="J4" s="79"/>
      <c r="K4" s="80"/>
      <c r="L4" s="79"/>
      <c r="M4" s="81"/>
      <c r="N4" s="79"/>
      <c r="O4" s="80"/>
      <c r="P4" s="82"/>
      <c r="Q4" s="82"/>
      <c r="R4" s="82"/>
      <c r="S4" s="82"/>
      <c r="T4" s="82"/>
      <c r="U4" s="82"/>
      <c r="V4" s="82"/>
      <c r="W4" s="82"/>
      <c r="X4" s="82"/>
      <c r="Y4" s="82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5"/>
      <c r="B5" s="75"/>
      <c r="C5" s="75"/>
      <c r="D5" s="76"/>
      <c r="E5" s="76"/>
      <c r="F5" s="75"/>
      <c r="G5" s="75"/>
      <c r="H5" s="77"/>
      <c r="I5" s="78"/>
      <c r="J5" s="79"/>
      <c r="K5" s="79"/>
      <c r="L5" s="79"/>
      <c r="M5" s="81"/>
      <c r="N5" s="79"/>
      <c r="O5" s="79"/>
      <c r="P5" s="82"/>
      <c r="Q5" s="82"/>
      <c r="R5" s="82"/>
      <c r="S5" s="82"/>
      <c r="T5" s="82"/>
      <c r="U5" s="82"/>
      <c r="V5" s="82"/>
      <c r="W5" s="82"/>
      <c r="X5" s="82"/>
      <c r="Y5" s="82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374" t="s">
        <v>45</v>
      </c>
      <c r="B6" s="374"/>
      <c r="C6" s="374"/>
      <c r="D6" s="374"/>
      <c r="E6" s="374"/>
      <c r="F6" s="374"/>
      <c r="G6" s="374"/>
      <c r="H6" s="63">
        <f>SUM(H3:H5)</f>
        <v>0</v>
      </c>
      <c r="I6" s="64" t="s">
        <v>14</v>
      </c>
      <c r="J6" s="65">
        <f t="shared" ref="J6:L6" si="7">SUM(J3:J5)</f>
        <v>0</v>
      </c>
      <c r="K6" s="66">
        <f t="shared" si="7"/>
        <v>0</v>
      </c>
      <c r="L6" s="66">
        <f t="shared" si="7"/>
        <v>0</v>
      </c>
      <c r="M6" s="67" t="s">
        <v>14</v>
      </c>
      <c r="N6" s="83">
        <f>SUM(N3:N5)</f>
        <v>0</v>
      </c>
      <c r="O6" s="83">
        <f t="shared" ref="O6:W6" si="8">SUM(O3:O5)</f>
        <v>0</v>
      </c>
      <c r="P6" s="83">
        <f t="shared" si="8"/>
        <v>0</v>
      </c>
      <c r="Q6" s="83">
        <f t="shared" si="8"/>
        <v>0</v>
      </c>
      <c r="R6" s="83">
        <f t="shared" si="8"/>
        <v>0</v>
      </c>
      <c r="S6" s="83">
        <f t="shared" si="8"/>
        <v>0</v>
      </c>
      <c r="T6" s="83">
        <f t="shared" si="8"/>
        <v>0</v>
      </c>
      <c r="U6" s="83">
        <f t="shared" si="8"/>
        <v>0</v>
      </c>
      <c r="V6" s="83">
        <f t="shared" si="8"/>
        <v>0</v>
      </c>
      <c r="W6" s="83">
        <f t="shared" si="8"/>
        <v>0</v>
      </c>
      <c r="X6" s="83">
        <f t="shared" ref="X6:Y6" si="9">SUM(X3:X5)</f>
        <v>0</v>
      </c>
      <c r="Y6" s="83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374" t="s">
        <v>39</v>
      </c>
      <c r="B7" s="374"/>
      <c r="C7" s="374"/>
      <c r="D7" s="374"/>
      <c r="E7" s="374"/>
      <c r="F7" s="374"/>
      <c r="G7" s="374"/>
      <c r="H7" s="63">
        <f>SUMIF($C$3:$C$5,"N",H3:H5)</f>
        <v>0</v>
      </c>
      <c r="I7" s="64" t="s">
        <v>14</v>
      </c>
      <c r="J7" s="65">
        <f t="shared" ref="J7:L7" si="12">SUMIF($C$3:$C$5,"N",J3:J5)</f>
        <v>0</v>
      </c>
      <c r="K7" s="66">
        <f t="shared" si="12"/>
        <v>0</v>
      </c>
      <c r="L7" s="66">
        <f t="shared" si="12"/>
        <v>0</v>
      </c>
      <c r="M7" s="67" t="s">
        <v>14</v>
      </c>
      <c r="N7" s="83">
        <f t="shared" ref="N7:W7" si="13">SUMIF($C$3:$C$5,"N",N3:N5)</f>
        <v>0</v>
      </c>
      <c r="O7" s="83">
        <f t="shared" si="13"/>
        <v>0</v>
      </c>
      <c r="P7" s="83">
        <f t="shared" si="13"/>
        <v>0</v>
      </c>
      <c r="Q7" s="83">
        <f t="shared" si="13"/>
        <v>0</v>
      </c>
      <c r="R7" s="83">
        <f t="shared" si="13"/>
        <v>0</v>
      </c>
      <c r="S7" s="83">
        <f t="shared" si="13"/>
        <v>0</v>
      </c>
      <c r="T7" s="83">
        <f t="shared" si="13"/>
        <v>0</v>
      </c>
      <c r="U7" s="83">
        <f t="shared" si="13"/>
        <v>0</v>
      </c>
      <c r="V7" s="83">
        <f t="shared" si="13"/>
        <v>0</v>
      </c>
      <c r="W7" s="83">
        <f t="shared" si="13"/>
        <v>0</v>
      </c>
      <c r="X7" s="83">
        <f t="shared" ref="X7:Y7" si="14">SUMIF($C$3:$C$5,"N",X3:X5)</f>
        <v>0</v>
      </c>
      <c r="Y7" s="83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373" t="s">
        <v>40</v>
      </c>
      <c r="B8" s="373"/>
      <c r="C8" s="373"/>
      <c r="D8" s="373"/>
      <c r="E8" s="373"/>
      <c r="F8" s="373"/>
      <c r="G8" s="373"/>
      <c r="H8" s="69">
        <f>SUMIF($C$3:$C$5,"W",H3:H5)</f>
        <v>0</v>
      </c>
      <c r="I8" s="70" t="s">
        <v>14</v>
      </c>
      <c r="J8" s="71">
        <f>SUMIF($C$3:$C$5,"W",J3:J5)</f>
        <v>0</v>
      </c>
      <c r="K8" s="72">
        <f t="shared" ref="K8:L8" si="17">SUMIF($C$3:$C$5,"W",K3:K5)</f>
        <v>0</v>
      </c>
      <c r="L8" s="72">
        <f t="shared" si="17"/>
        <v>0</v>
      </c>
      <c r="M8" s="73" t="s">
        <v>14</v>
      </c>
      <c r="N8" s="84">
        <f t="shared" ref="N8:W8" si="18">SUMIF($C$3:$C$5,"W",N3:N5)</f>
        <v>0</v>
      </c>
      <c r="O8" s="84">
        <f t="shared" si="18"/>
        <v>0</v>
      </c>
      <c r="P8" s="84">
        <f t="shared" si="18"/>
        <v>0</v>
      </c>
      <c r="Q8" s="84">
        <f t="shared" si="18"/>
        <v>0</v>
      </c>
      <c r="R8" s="84">
        <f t="shared" si="18"/>
        <v>0</v>
      </c>
      <c r="S8" s="84">
        <f t="shared" si="18"/>
        <v>0</v>
      </c>
      <c r="T8" s="84">
        <f t="shared" si="18"/>
        <v>0</v>
      </c>
      <c r="U8" s="84">
        <f t="shared" si="18"/>
        <v>0</v>
      </c>
      <c r="V8" s="84">
        <f t="shared" si="18"/>
        <v>0</v>
      </c>
      <c r="W8" s="84">
        <f t="shared" si="18"/>
        <v>0</v>
      </c>
      <c r="X8" s="84">
        <f t="shared" ref="X8:Y8" si="19">SUMIF($C$3:$C$5,"W",X3:X5)</f>
        <v>0</v>
      </c>
      <c r="Y8" s="84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customSheetViews>
    <customSheetView guid="{BD3EAA12-36A1-4500-A3A8-8FB519CC9E74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1"/>
      <headerFooter>
        <oddHeader>&amp;LWojewództwo &amp;K000000Opolskie &amp;K01+000- zadania powiatowe lista rezerwowa</oddHeader>
        <oddFooter>Strona &amp;P z &amp;N</oddFooter>
      </headerFooter>
    </customSheetView>
    <customSheetView guid="{B4405FF1-036B-45AD-810F-8C9DF67F9D7F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&amp;K000000Opolskie &amp;K01+000- zadania powiatowe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&amp;K01+000- zadania powiatowe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&amp;K000000Opolskie &amp;K01+000- zadania powiatowe lista rezerwowa</oddHeader>
        <oddFooter>Strona &amp;P z &amp;N</oddFooter>
      </headerFooter>
    </customSheetView>
    <customSheetView guid="{CB410AB3-2DDF-47B7-B021-1F68EEA98257}" scale="85" showPageBreaks="1" showGridLines="0" fitToPage="1" printArea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&amp;K000000Opolskie &amp;K01+000- zadania powiatowe lista rezerwowa</oddHeader>
        <oddFooter>Strona &amp;P z &amp;N</oddFooter>
      </headerFooter>
    </customSheetView>
  </customSheetViews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0" priority="14" operator="equal">
      <formula>FALSE</formula>
    </cfRule>
  </conditionalFormatting>
  <conditionalFormatting sqref="AD3:AD5 AD8">
    <cfRule type="cellIs" dxfId="29" priority="19" operator="equal">
      <formula>FALSE</formula>
    </cfRule>
  </conditionalFormatting>
  <conditionalFormatting sqref="AD3:AD5 AD8">
    <cfRule type="cellIs" dxfId="28" priority="18" operator="equal">
      <formula>FALSE</formula>
    </cfRule>
  </conditionalFormatting>
  <conditionalFormatting sqref="AA3:AB5 AA8:AB8">
    <cfRule type="cellIs" dxfId="27" priority="17" operator="equal">
      <formula>FALSE</formula>
    </cfRule>
  </conditionalFormatting>
  <conditionalFormatting sqref="Z3:Z8">
    <cfRule type="cellIs" dxfId="26" priority="16" operator="equal">
      <formula>FALSE</formula>
    </cfRule>
  </conditionalFormatting>
  <conditionalFormatting sqref="Z3:AB3 AA8:AB8 AA4:AB5 Z4:Z8">
    <cfRule type="containsText" dxfId="25" priority="15" operator="containsText" text="fałsz">
      <formula>NOT(ISERROR(SEARCH("fałsz",Z3)))</formula>
    </cfRule>
  </conditionalFormatting>
  <conditionalFormatting sqref="AC3:AC5 AC8">
    <cfRule type="cellIs" dxfId="24" priority="13" operator="equal">
      <formula>FALSE</formula>
    </cfRule>
  </conditionalFormatting>
  <conditionalFormatting sqref="AD6:AD7">
    <cfRule type="cellIs" dxfId="23" priority="12" operator="equal">
      <formula>FALSE</formula>
    </cfRule>
  </conditionalFormatting>
  <conditionalFormatting sqref="AD6:AD7">
    <cfRule type="cellIs" dxfId="22" priority="11" operator="equal">
      <formula>FALSE</formula>
    </cfRule>
  </conditionalFormatting>
  <conditionalFormatting sqref="AA6:AB6">
    <cfRule type="cellIs" dxfId="21" priority="10" operator="equal">
      <formula>FALSE</formula>
    </cfRule>
  </conditionalFormatting>
  <conditionalFormatting sqref="AA6:AB6">
    <cfRule type="containsText" dxfId="20" priority="8" operator="containsText" text="fałsz">
      <formula>NOT(ISERROR(SEARCH("fałsz",AA6)))</formula>
    </cfRule>
  </conditionalFormatting>
  <conditionalFormatting sqref="AC6">
    <cfRule type="cellIs" dxfId="19" priority="7" operator="equal">
      <formula>FALSE</formula>
    </cfRule>
  </conditionalFormatting>
  <conditionalFormatting sqref="AC6">
    <cfRule type="cellIs" dxfId="18" priority="6" operator="equal">
      <formula>FALSE</formula>
    </cfRule>
  </conditionalFormatting>
  <conditionalFormatting sqref="AA7:AB7">
    <cfRule type="cellIs" dxfId="17" priority="5" operator="equal">
      <formula>FALSE</formula>
    </cfRule>
  </conditionalFormatting>
  <conditionalFormatting sqref="AA7:AB7">
    <cfRule type="containsText" dxfId="16" priority="3" operator="containsText" text="fałsz">
      <formula>NOT(ISERROR(SEARCH("fałsz",AA7)))</formula>
    </cfRule>
  </conditionalFormatting>
  <conditionalFormatting sqref="AC7">
    <cfRule type="cellIs" dxfId="15" priority="2" operator="equal">
      <formula>FALSE</formula>
    </cfRule>
  </conditionalFormatting>
  <conditionalFormatting sqref="AC7">
    <cfRule type="cellIs" dxfId="14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5"/>
  <headerFooter>
    <oddHeader>&amp;LWojewództwo &amp;K000000Opolskie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showGridLines="0" tabSelected="1" view="pageBreakPreview" zoomScale="85" zoomScaleNormal="78" zoomScaleSheetLayoutView="85" workbookViewId="0">
      <selection sqref="A1:A2"/>
    </sheetView>
  </sheetViews>
  <sheetFormatPr defaultColWidth="9.28515625" defaultRowHeight="15" x14ac:dyDescent="0.25"/>
  <cols>
    <col min="1" max="1" width="6.7109375" style="14" customWidth="1"/>
    <col min="2" max="2" width="13.7109375" style="14" customWidth="1"/>
    <col min="3" max="3" width="12.5703125" style="14" customWidth="1"/>
    <col min="4" max="4" width="15.7109375" style="14" customWidth="1"/>
    <col min="5" max="5" width="10.7109375" style="14" customWidth="1"/>
    <col min="6" max="6" width="15.7109375" style="14" customWidth="1"/>
    <col min="7" max="7" width="47.5703125" style="14" customWidth="1"/>
    <col min="8" max="8" width="11.28515625" style="14" customWidth="1"/>
    <col min="9" max="9" width="13" style="14" customWidth="1"/>
    <col min="10" max="10" width="15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28515625" style="14"/>
  </cols>
  <sheetData>
    <row r="1" spans="1:30" ht="20.100000000000001" customHeight="1" x14ac:dyDescent="0.25">
      <c r="A1" s="368" t="s">
        <v>4</v>
      </c>
      <c r="B1" s="368" t="s">
        <v>5</v>
      </c>
      <c r="C1" s="372" t="s">
        <v>46</v>
      </c>
      <c r="D1" s="369" t="s">
        <v>6</v>
      </c>
      <c r="E1" s="369" t="s">
        <v>33</v>
      </c>
      <c r="F1" s="369" t="s">
        <v>15</v>
      </c>
      <c r="G1" s="368" t="s">
        <v>7</v>
      </c>
      <c r="H1" s="368" t="s">
        <v>27</v>
      </c>
      <c r="I1" s="368" t="s">
        <v>8</v>
      </c>
      <c r="J1" s="368" t="s">
        <v>28</v>
      </c>
      <c r="K1" s="371" t="s">
        <v>9</v>
      </c>
      <c r="L1" s="368" t="s">
        <v>10</v>
      </c>
      <c r="M1" s="369" t="s">
        <v>13</v>
      </c>
      <c r="N1" s="368" t="s">
        <v>11</v>
      </c>
      <c r="O1" s="360" t="s">
        <v>12</v>
      </c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</row>
    <row r="2" spans="1:30" ht="20.100000000000001" customHeight="1" x14ac:dyDescent="0.25">
      <c r="A2" s="368"/>
      <c r="B2" s="368"/>
      <c r="C2" s="360"/>
      <c r="D2" s="370"/>
      <c r="E2" s="370"/>
      <c r="F2" s="370"/>
      <c r="G2" s="368"/>
      <c r="H2" s="368"/>
      <c r="I2" s="368"/>
      <c r="J2" s="368"/>
      <c r="K2" s="371"/>
      <c r="L2" s="368"/>
      <c r="M2" s="370"/>
      <c r="N2" s="368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45" customHeight="1" x14ac:dyDescent="0.25">
      <c r="A3" s="203">
        <v>1</v>
      </c>
      <c r="B3" s="236" t="s">
        <v>272</v>
      </c>
      <c r="C3" s="241"/>
      <c r="D3" s="236" t="s">
        <v>233</v>
      </c>
      <c r="E3" s="242">
        <v>1611073</v>
      </c>
      <c r="F3" s="243" t="s">
        <v>63</v>
      </c>
      <c r="G3" s="243" t="s">
        <v>234</v>
      </c>
      <c r="H3" s="236" t="s">
        <v>53</v>
      </c>
      <c r="I3" s="244"/>
      <c r="J3" s="238" t="s">
        <v>235</v>
      </c>
      <c r="K3" s="245"/>
      <c r="L3" s="49"/>
      <c r="M3" s="52"/>
      <c r="N3" s="246">
        <v>0.8</v>
      </c>
      <c r="O3" s="248"/>
      <c r="P3" s="248"/>
      <c r="Q3" s="249"/>
      <c r="R3" s="249"/>
      <c r="S3" s="249"/>
      <c r="T3" s="250"/>
      <c r="U3" s="248"/>
      <c r="V3" s="248"/>
      <c r="W3" s="249"/>
      <c r="X3" s="249"/>
      <c r="Y3" s="249"/>
      <c r="Z3" s="249"/>
      <c r="AA3" s="1" t="b">
        <f>L3=SUM(O3:Z3)</f>
        <v>1</v>
      </c>
      <c r="AB3" s="45" t="e">
        <f>ROUND(L3/K3,4)</f>
        <v>#DIV/0!</v>
      </c>
      <c r="AC3" s="46" t="e">
        <f>AB3=N3</f>
        <v>#DIV/0!</v>
      </c>
      <c r="AD3" s="46" t="b">
        <f>K3=L3+M3</f>
        <v>1</v>
      </c>
    </row>
    <row r="4" spans="1:30" s="294" customFormat="1" ht="30" customHeight="1" x14ac:dyDescent="0.25">
      <c r="A4" s="283">
        <v>2</v>
      </c>
      <c r="B4" s="263" t="s">
        <v>273</v>
      </c>
      <c r="C4" s="264"/>
      <c r="D4" s="263" t="s">
        <v>221</v>
      </c>
      <c r="E4" s="292">
        <v>1607092</v>
      </c>
      <c r="F4" s="263" t="s">
        <v>55</v>
      </c>
      <c r="G4" s="263" t="s">
        <v>236</v>
      </c>
      <c r="H4" s="263" t="s">
        <v>57</v>
      </c>
      <c r="I4" s="265"/>
      <c r="J4" s="266" t="s">
        <v>263</v>
      </c>
      <c r="K4" s="267"/>
      <c r="L4" s="285"/>
      <c r="M4" s="268"/>
      <c r="N4" s="293">
        <v>0.7</v>
      </c>
      <c r="O4" s="270"/>
      <c r="P4" s="270"/>
      <c r="Q4" s="287"/>
      <c r="R4" s="287"/>
      <c r="S4" s="287"/>
      <c r="T4" s="260"/>
      <c r="U4" s="270"/>
      <c r="V4" s="270"/>
      <c r="W4" s="287"/>
      <c r="X4" s="287"/>
      <c r="Y4" s="287"/>
      <c r="Z4" s="287"/>
      <c r="AA4" s="288" t="b">
        <f t="shared" ref="AA4:AA20" si="0">L4=SUM(O4:Z4)</f>
        <v>1</v>
      </c>
      <c r="AB4" s="289" t="e">
        <f t="shared" ref="AB4:AB20" si="1">ROUND(L4/K4,4)</f>
        <v>#DIV/0!</v>
      </c>
      <c r="AC4" s="290" t="e">
        <f t="shared" ref="AC4:AC20" si="2">AB4=N4</f>
        <v>#DIV/0!</v>
      </c>
      <c r="AD4" s="290" t="b">
        <f t="shared" ref="AD4:AD20" si="3">K4=L4+M4</f>
        <v>1</v>
      </c>
    </row>
    <row r="5" spans="1:30" ht="47.25" customHeight="1" x14ac:dyDescent="0.25">
      <c r="A5" s="203">
        <v>3</v>
      </c>
      <c r="B5" s="193" t="s">
        <v>274</v>
      </c>
      <c r="C5" s="215"/>
      <c r="D5" s="193" t="s">
        <v>99</v>
      </c>
      <c r="E5" s="219">
        <v>1611022</v>
      </c>
      <c r="F5" s="202" t="s">
        <v>63</v>
      </c>
      <c r="G5" s="202" t="s">
        <v>237</v>
      </c>
      <c r="H5" s="193" t="s">
        <v>57</v>
      </c>
      <c r="I5" s="216"/>
      <c r="J5" s="197" t="s">
        <v>238</v>
      </c>
      <c r="K5" s="217"/>
      <c r="L5" s="49"/>
      <c r="M5" s="52"/>
      <c r="N5" s="223">
        <v>0.7</v>
      </c>
      <c r="O5" s="248"/>
      <c r="P5" s="248"/>
      <c r="Q5" s="249"/>
      <c r="R5" s="249"/>
      <c r="S5" s="249"/>
      <c r="T5" s="250"/>
      <c r="U5" s="248"/>
      <c r="V5" s="248"/>
      <c r="W5" s="249"/>
      <c r="X5" s="249"/>
      <c r="Y5" s="249"/>
      <c r="Z5" s="249"/>
      <c r="AA5" s="1" t="b">
        <f t="shared" si="0"/>
        <v>1</v>
      </c>
      <c r="AB5" s="45" t="e">
        <f t="shared" si="1"/>
        <v>#DIV/0!</v>
      </c>
      <c r="AC5" s="46" t="e">
        <f t="shared" si="2"/>
        <v>#DIV/0!</v>
      </c>
      <c r="AD5" s="46" t="b">
        <f t="shared" si="3"/>
        <v>1</v>
      </c>
    </row>
    <row r="6" spans="1:30" ht="47.25" customHeight="1" x14ac:dyDescent="0.25">
      <c r="A6" s="203">
        <v>4</v>
      </c>
      <c r="B6" s="193" t="s">
        <v>282</v>
      </c>
      <c r="C6" s="215"/>
      <c r="D6" s="193" t="s">
        <v>150</v>
      </c>
      <c r="E6" s="219">
        <v>1609022</v>
      </c>
      <c r="F6" s="202" t="s">
        <v>85</v>
      </c>
      <c r="G6" s="202" t="s">
        <v>239</v>
      </c>
      <c r="H6" s="193" t="s">
        <v>57</v>
      </c>
      <c r="I6" s="216"/>
      <c r="J6" s="197" t="s">
        <v>132</v>
      </c>
      <c r="K6" s="217"/>
      <c r="L6" s="49"/>
      <c r="M6" s="52"/>
      <c r="N6" s="223">
        <v>0.6</v>
      </c>
      <c r="O6" s="248"/>
      <c r="P6" s="248"/>
      <c r="Q6" s="249"/>
      <c r="R6" s="249"/>
      <c r="S6" s="249"/>
      <c r="T6" s="250"/>
      <c r="U6" s="248"/>
      <c r="V6" s="248"/>
      <c r="W6" s="249"/>
      <c r="X6" s="249"/>
      <c r="Y6" s="249"/>
      <c r="Z6" s="249"/>
      <c r="AA6" s="1" t="b">
        <f t="shared" si="0"/>
        <v>1</v>
      </c>
      <c r="AB6" s="45" t="e">
        <f t="shared" si="1"/>
        <v>#DIV/0!</v>
      </c>
      <c r="AC6" s="46" t="e">
        <f t="shared" si="2"/>
        <v>#DIV/0!</v>
      </c>
      <c r="AD6" s="46" t="b">
        <f t="shared" si="3"/>
        <v>1</v>
      </c>
    </row>
    <row r="7" spans="1:30" s="294" customFormat="1" ht="30" customHeight="1" x14ac:dyDescent="0.25">
      <c r="A7" s="283">
        <v>5</v>
      </c>
      <c r="B7" s="263" t="s">
        <v>240</v>
      </c>
      <c r="C7" s="264"/>
      <c r="D7" s="263" t="s">
        <v>89</v>
      </c>
      <c r="E7" s="292">
        <v>1607013</v>
      </c>
      <c r="F7" s="263" t="s">
        <v>55</v>
      </c>
      <c r="G7" s="263" t="s">
        <v>241</v>
      </c>
      <c r="H7" s="263" t="s">
        <v>53</v>
      </c>
      <c r="I7" s="265"/>
      <c r="J7" s="266" t="s">
        <v>263</v>
      </c>
      <c r="K7" s="267"/>
      <c r="L7" s="285"/>
      <c r="M7" s="268"/>
      <c r="N7" s="293">
        <v>0.8</v>
      </c>
      <c r="O7" s="270"/>
      <c r="P7" s="270"/>
      <c r="Q7" s="287"/>
      <c r="R7" s="287"/>
      <c r="S7" s="287"/>
      <c r="T7" s="260"/>
      <c r="U7" s="270"/>
      <c r="V7" s="270"/>
      <c r="W7" s="287"/>
      <c r="X7" s="287"/>
      <c r="Y7" s="287"/>
      <c r="Z7" s="287"/>
      <c r="AA7" s="288" t="b">
        <f t="shared" si="0"/>
        <v>1</v>
      </c>
      <c r="AB7" s="289" t="e">
        <f t="shared" si="1"/>
        <v>#DIV/0!</v>
      </c>
      <c r="AC7" s="290" t="e">
        <f t="shared" si="2"/>
        <v>#DIV/0!</v>
      </c>
      <c r="AD7" s="290" t="b">
        <f t="shared" si="3"/>
        <v>1</v>
      </c>
    </row>
    <row r="8" spans="1:30" ht="49.5" customHeight="1" x14ac:dyDescent="0.25">
      <c r="A8" s="203">
        <v>6</v>
      </c>
      <c r="B8" s="193" t="s">
        <v>283</v>
      </c>
      <c r="C8" s="215"/>
      <c r="D8" s="193" t="s">
        <v>99</v>
      </c>
      <c r="E8" s="219">
        <v>1611022</v>
      </c>
      <c r="F8" s="202" t="s">
        <v>63</v>
      </c>
      <c r="G8" s="202" t="s">
        <v>243</v>
      </c>
      <c r="H8" s="193" t="s">
        <v>57</v>
      </c>
      <c r="I8" s="216"/>
      <c r="J8" s="197" t="s">
        <v>71</v>
      </c>
      <c r="K8" s="217"/>
      <c r="L8" s="49"/>
      <c r="M8" s="52"/>
      <c r="N8" s="223">
        <v>0.7</v>
      </c>
      <c r="O8" s="248"/>
      <c r="P8" s="248"/>
      <c r="Q8" s="249"/>
      <c r="R8" s="249"/>
      <c r="S8" s="249"/>
      <c r="T8" s="250"/>
      <c r="U8" s="248"/>
      <c r="V8" s="248"/>
      <c r="W8" s="249"/>
      <c r="X8" s="249"/>
      <c r="Y8" s="249"/>
      <c r="Z8" s="249"/>
      <c r="AA8" s="1" t="b">
        <f t="shared" si="0"/>
        <v>1</v>
      </c>
      <c r="AB8" s="45" t="e">
        <f t="shared" si="1"/>
        <v>#DIV/0!</v>
      </c>
      <c r="AC8" s="46" t="e">
        <f t="shared" si="2"/>
        <v>#DIV/0!</v>
      </c>
      <c r="AD8" s="46" t="b">
        <f t="shared" si="3"/>
        <v>1</v>
      </c>
    </row>
    <row r="9" spans="1:30" ht="45" customHeight="1" x14ac:dyDescent="0.25">
      <c r="A9" s="203">
        <v>7</v>
      </c>
      <c r="B9" s="193" t="s">
        <v>284</v>
      </c>
      <c r="C9" s="215"/>
      <c r="D9" s="193" t="s">
        <v>194</v>
      </c>
      <c r="E9" s="219">
        <v>1606023</v>
      </c>
      <c r="F9" s="202" t="s">
        <v>51</v>
      </c>
      <c r="G9" s="202" t="s">
        <v>244</v>
      </c>
      <c r="H9" s="193" t="s">
        <v>57</v>
      </c>
      <c r="I9" s="216"/>
      <c r="J9" s="197" t="s">
        <v>206</v>
      </c>
      <c r="K9" s="217"/>
      <c r="L9" s="49"/>
      <c r="M9" s="52"/>
      <c r="N9" s="223">
        <v>0.6</v>
      </c>
      <c r="O9" s="248"/>
      <c r="P9" s="248"/>
      <c r="Q9" s="249"/>
      <c r="R9" s="249"/>
      <c r="S9" s="249"/>
      <c r="T9" s="250"/>
      <c r="U9" s="248"/>
      <c r="V9" s="248"/>
      <c r="W9" s="249"/>
      <c r="X9" s="249"/>
      <c r="Y9" s="249"/>
      <c r="Z9" s="249"/>
      <c r="AA9" s="1" t="b">
        <f t="shared" si="0"/>
        <v>1</v>
      </c>
      <c r="AB9" s="45" t="e">
        <f t="shared" si="1"/>
        <v>#DIV/0!</v>
      </c>
      <c r="AC9" s="46" t="e">
        <f t="shared" si="2"/>
        <v>#DIV/0!</v>
      </c>
      <c r="AD9" s="46" t="b">
        <f t="shared" si="3"/>
        <v>1</v>
      </c>
    </row>
    <row r="10" spans="1:30" ht="46.5" customHeight="1" x14ac:dyDescent="0.25">
      <c r="A10" s="203">
        <v>8</v>
      </c>
      <c r="B10" s="193" t="s">
        <v>296</v>
      </c>
      <c r="C10" s="215"/>
      <c r="D10" s="193" t="s">
        <v>221</v>
      </c>
      <c r="E10" s="219">
        <v>1607092</v>
      </c>
      <c r="F10" s="202" t="s">
        <v>55</v>
      </c>
      <c r="G10" s="202" t="s">
        <v>245</v>
      </c>
      <c r="H10" s="193" t="s">
        <v>65</v>
      </c>
      <c r="I10" s="216"/>
      <c r="J10" s="197" t="s">
        <v>165</v>
      </c>
      <c r="K10" s="217"/>
      <c r="L10" s="49"/>
      <c r="M10" s="52"/>
      <c r="N10" s="223">
        <v>0.7</v>
      </c>
      <c r="O10" s="248"/>
      <c r="P10" s="248"/>
      <c r="Q10" s="249"/>
      <c r="R10" s="249"/>
      <c r="S10" s="249"/>
      <c r="T10" s="250"/>
      <c r="U10" s="248"/>
      <c r="V10" s="248"/>
      <c r="W10" s="249"/>
      <c r="X10" s="249"/>
      <c r="Y10" s="249"/>
      <c r="Z10" s="249"/>
      <c r="AA10" s="1" t="b">
        <f t="shared" si="0"/>
        <v>1</v>
      </c>
      <c r="AB10" s="45" t="e">
        <f t="shared" si="1"/>
        <v>#DIV/0!</v>
      </c>
      <c r="AC10" s="46" t="e">
        <f t="shared" si="2"/>
        <v>#DIV/0!</v>
      </c>
      <c r="AD10" s="46" t="b">
        <f t="shared" si="3"/>
        <v>1</v>
      </c>
    </row>
    <row r="11" spans="1:30" s="294" customFormat="1" ht="30" customHeight="1" x14ac:dyDescent="0.25">
      <c r="A11" s="283">
        <v>9</v>
      </c>
      <c r="B11" s="263" t="s">
        <v>246</v>
      </c>
      <c r="C11" s="264"/>
      <c r="D11" s="263" t="s">
        <v>89</v>
      </c>
      <c r="E11" s="292">
        <v>1607013</v>
      </c>
      <c r="F11" s="263" t="s">
        <v>55</v>
      </c>
      <c r="G11" s="263" t="s">
        <v>247</v>
      </c>
      <c r="H11" s="263" t="s">
        <v>53</v>
      </c>
      <c r="I11" s="265"/>
      <c r="J11" s="266" t="s">
        <v>263</v>
      </c>
      <c r="K11" s="267"/>
      <c r="L11" s="285"/>
      <c r="M11" s="268"/>
      <c r="N11" s="293">
        <v>0.8</v>
      </c>
      <c r="O11" s="270"/>
      <c r="P11" s="270"/>
      <c r="Q11" s="287"/>
      <c r="R11" s="287"/>
      <c r="S11" s="287"/>
      <c r="T11" s="260"/>
      <c r="U11" s="270"/>
      <c r="V11" s="270"/>
      <c r="W11" s="287"/>
      <c r="X11" s="287"/>
      <c r="Y11" s="287"/>
      <c r="Z11" s="287"/>
      <c r="AA11" s="288" t="b">
        <f t="shared" si="0"/>
        <v>1</v>
      </c>
      <c r="AB11" s="289" t="e">
        <f t="shared" si="1"/>
        <v>#DIV/0!</v>
      </c>
      <c r="AC11" s="290" t="e">
        <f t="shared" si="2"/>
        <v>#DIV/0!</v>
      </c>
      <c r="AD11" s="290" t="b">
        <f t="shared" si="3"/>
        <v>1</v>
      </c>
    </row>
    <row r="12" spans="1:30" ht="48" customHeight="1" x14ac:dyDescent="0.25">
      <c r="A12" s="203">
        <v>10</v>
      </c>
      <c r="B12" s="193" t="s">
        <v>305</v>
      </c>
      <c r="C12" s="215"/>
      <c r="D12" s="193" t="s">
        <v>248</v>
      </c>
      <c r="E12" s="219">
        <v>1605042</v>
      </c>
      <c r="F12" s="202" t="s">
        <v>67</v>
      </c>
      <c r="G12" s="202" t="s">
        <v>249</v>
      </c>
      <c r="H12" s="193" t="s">
        <v>53</v>
      </c>
      <c r="I12" s="216"/>
      <c r="J12" s="197" t="s">
        <v>250</v>
      </c>
      <c r="K12" s="217"/>
      <c r="L12" s="49"/>
      <c r="M12" s="52"/>
      <c r="N12" s="223">
        <v>0.6</v>
      </c>
      <c r="O12" s="248"/>
      <c r="P12" s="248"/>
      <c r="Q12" s="249"/>
      <c r="R12" s="249"/>
      <c r="S12" s="249"/>
      <c r="T12" s="250"/>
      <c r="U12" s="248"/>
      <c r="V12" s="248"/>
      <c r="W12" s="249"/>
      <c r="X12" s="249"/>
      <c r="Y12" s="249"/>
      <c r="Z12" s="249"/>
      <c r="AA12" s="1" t="b">
        <f t="shared" si="0"/>
        <v>1</v>
      </c>
      <c r="AB12" s="45" t="e">
        <f t="shared" si="1"/>
        <v>#DIV/0!</v>
      </c>
      <c r="AC12" s="46" t="e">
        <f t="shared" si="2"/>
        <v>#DIV/0!</v>
      </c>
      <c r="AD12" s="46" t="b">
        <f t="shared" si="3"/>
        <v>1</v>
      </c>
    </row>
    <row r="13" spans="1:30" ht="48.75" customHeight="1" x14ac:dyDescent="0.25">
      <c r="A13" s="203">
        <v>11</v>
      </c>
      <c r="B13" s="193" t="s">
        <v>306</v>
      </c>
      <c r="C13" s="215"/>
      <c r="D13" s="193" t="s">
        <v>221</v>
      </c>
      <c r="E13" s="219">
        <v>1607092</v>
      </c>
      <c r="F13" s="202" t="s">
        <v>55</v>
      </c>
      <c r="G13" s="202" t="s">
        <v>251</v>
      </c>
      <c r="H13" s="193" t="s">
        <v>57</v>
      </c>
      <c r="I13" s="216"/>
      <c r="J13" s="197" t="s">
        <v>132</v>
      </c>
      <c r="K13" s="217"/>
      <c r="L13" s="49"/>
      <c r="M13" s="52"/>
      <c r="N13" s="223">
        <v>0.7</v>
      </c>
      <c r="O13" s="248"/>
      <c r="P13" s="248"/>
      <c r="Q13" s="249"/>
      <c r="R13" s="249"/>
      <c r="S13" s="249"/>
      <c r="T13" s="250"/>
      <c r="U13" s="248"/>
      <c r="V13" s="248"/>
      <c r="W13" s="249"/>
      <c r="X13" s="249"/>
      <c r="Y13" s="249"/>
      <c r="Z13" s="249"/>
      <c r="AA13" s="1" t="b">
        <f t="shared" si="0"/>
        <v>1</v>
      </c>
      <c r="AB13" s="45" t="e">
        <f t="shared" si="1"/>
        <v>#DIV/0!</v>
      </c>
      <c r="AC13" s="46" t="e">
        <f t="shared" si="2"/>
        <v>#DIV/0!</v>
      </c>
      <c r="AD13" s="46" t="b">
        <f t="shared" si="3"/>
        <v>1</v>
      </c>
    </row>
    <row r="14" spans="1:30" ht="45.75" customHeight="1" x14ac:dyDescent="0.25">
      <c r="A14" s="203">
        <v>12</v>
      </c>
      <c r="B14" s="193" t="s">
        <v>307</v>
      </c>
      <c r="C14" s="215"/>
      <c r="D14" s="193" t="s">
        <v>252</v>
      </c>
      <c r="E14" s="219">
        <v>1611043</v>
      </c>
      <c r="F14" s="202" t="s">
        <v>63</v>
      </c>
      <c r="G14" s="202" t="s">
        <v>253</v>
      </c>
      <c r="H14" s="193" t="s">
        <v>53</v>
      </c>
      <c r="I14" s="216"/>
      <c r="J14" s="197" t="s">
        <v>254</v>
      </c>
      <c r="K14" s="217"/>
      <c r="L14" s="49"/>
      <c r="M14" s="52"/>
      <c r="N14" s="223">
        <v>0.6</v>
      </c>
      <c r="O14" s="248"/>
      <c r="P14" s="248"/>
      <c r="Q14" s="249"/>
      <c r="R14" s="249"/>
      <c r="S14" s="249"/>
      <c r="T14" s="250"/>
      <c r="U14" s="248"/>
      <c r="V14" s="248"/>
      <c r="W14" s="249"/>
      <c r="X14" s="249"/>
      <c r="Y14" s="249"/>
      <c r="Z14" s="249"/>
      <c r="AA14" s="1" t="b">
        <f t="shared" si="0"/>
        <v>1</v>
      </c>
      <c r="AB14" s="45" t="e">
        <f t="shared" si="1"/>
        <v>#DIV/0!</v>
      </c>
      <c r="AC14" s="46" t="e">
        <f t="shared" si="2"/>
        <v>#DIV/0!</v>
      </c>
      <c r="AD14" s="46" t="b">
        <f t="shared" si="3"/>
        <v>1</v>
      </c>
    </row>
    <row r="15" spans="1:30" ht="45.75" customHeight="1" x14ac:dyDescent="0.25">
      <c r="A15" s="203">
        <v>13</v>
      </c>
      <c r="B15" s="193" t="s">
        <v>316</v>
      </c>
      <c r="C15" s="215"/>
      <c r="D15" s="193" t="s">
        <v>79</v>
      </c>
      <c r="E15" s="219">
        <v>1603062</v>
      </c>
      <c r="F15" s="202" t="s">
        <v>80</v>
      </c>
      <c r="G15" s="202" t="s">
        <v>255</v>
      </c>
      <c r="H15" s="193" t="s">
        <v>65</v>
      </c>
      <c r="I15" s="216"/>
      <c r="J15" s="197" t="s">
        <v>179</v>
      </c>
      <c r="K15" s="217"/>
      <c r="L15" s="49"/>
      <c r="M15" s="52"/>
      <c r="N15" s="223">
        <v>0.7</v>
      </c>
      <c r="O15" s="248"/>
      <c r="P15" s="248"/>
      <c r="Q15" s="249"/>
      <c r="R15" s="249"/>
      <c r="S15" s="249"/>
      <c r="T15" s="250"/>
      <c r="U15" s="248"/>
      <c r="V15" s="248"/>
      <c r="W15" s="249"/>
      <c r="X15" s="249"/>
      <c r="Y15" s="249"/>
      <c r="Z15" s="249"/>
      <c r="AA15" s="1" t="b">
        <f t="shared" si="0"/>
        <v>1</v>
      </c>
      <c r="AB15" s="45" t="e">
        <f t="shared" si="1"/>
        <v>#DIV/0!</v>
      </c>
      <c r="AC15" s="46" t="e">
        <f t="shared" si="2"/>
        <v>#DIV/0!</v>
      </c>
      <c r="AD15" s="46" t="b">
        <f t="shared" si="3"/>
        <v>1</v>
      </c>
    </row>
    <row r="16" spans="1:30" ht="50.25" customHeight="1" x14ac:dyDescent="0.25">
      <c r="A16" s="203">
        <v>14</v>
      </c>
      <c r="B16" s="193" t="s">
        <v>317</v>
      </c>
      <c r="C16" s="215"/>
      <c r="D16" s="193" t="s">
        <v>89</v>
      </c>
      <c r="E16" s="219">
        <v>1607013</v>
      </c>
      <c r="F16" s="202" t="s">
        <v>55</v>
      </c>
      <c r="G16" s="202" t="s">
        <v>256</v>
      </c>
      <c r="H16" s="193" t="s">
        <v>53</v>
      </c>
      <c r="I16" s="216"/>
      <c r="J16" s="197" t="s">
        <v>242</v>
      </c>
      <c r="K16" s="217"/>
      <c r="L16" s="49"/>
      <c r="M16" s="52"/>
      <c r="N16" s="223">
        <v>0.8</v>
      </c>
      <c r="O16" s="248"/>
      <c r="P16" s="248"/>
      <c r="Q16" s="249"/>
      <c r="R16" s="249"/>
      <c r="S16" s="249"/>
      <c r="T16" s="250"/>
      <c r="U16" s="248"/>
      <c r="V16" s="248"/>
      <c r="W16" s="249"/>
      <c r="X16" s="249"/>
      <c r="Y16" s="249"/>
      <c r="Z16" s="249"/>
      <c r="AA16" s="1" t="b">
        <f t="shared" si="0"/>
        <v>1</v>
      </c>
      <c r="AB16" s="45" t="e">
        <f t="shared" si="1"/>
        <v>#DIV/0!</v>
      </c>
      <c r="AC16" s="46" t="e">
        <f t="shared" si="2"/>
        <v>#DIV/0!</v>
      </c>
      <c r="AD16" s="46" t="b">
        <f t="shared" si="3"/>
        <v>1</v>
      </c>
    </row>
    <row r="17" spans="1:30" ht="47.25" customHeight="1" x14ac:dyDescent="0.25">
      <c r="A17" s="203">
        <v>15</v>
      </c>
      <c r="B17" s="193" t="s">
        <v>318</v>
      </c>
      <c r="C17" s="215"/>
      <c r="D17" s="193" t="s">
        <v>89</v>
      </c>
      <c r="E17" s="202">
        <v>1607013</v>
      </c>
      <c r="F17" s="202" t="s">
        <v>55</v>
      </c>
      <c r="G17" s="202" t="s">
        <v>257</v>
      </c>
      <c r="H17" s="193" t="s">
        <v>53</v>
      </c>
      <c r="I17" s="202"/>
      <c r="J17" s="197" t="s">
        <v>242</v>
      </c>
      <c r="K17" s="196"/>
      <c r="L17" s="49"/>
      <c r="M17" s="52"/>
      <c r="N17" s="223">
        <v>0.8</v>
      </c>
      <c r="O17" s="248"/>
      <c r="P17" s="248"/>
      <c r="Q17" s="249"/>
      <c r="R17" s="249"/>
      <c r="S17" s="249"/>
      <c r="T17" s="250"/>
      <c r="U17" s="248"/>
      <c r="V17" s="248"/>
      <c r="W17" s="249"/>
      <c r="X17" s="249"/>
      <c r="Y17" s="249"/>
      <c r="Z17" s="249"/>
      <c r="AA17" s="1" t="b">
        <f t="shared" si="0"/>
        <v>1</v>
      </c>
      <c r="AB17" s="45" t="e">
        <f t="shared" si="1"/>
        <v>#DIV/0!</v>
      </c>
      <c r="AC17" s="46" t="e">
        <f t="shared" si="2"/>
        <v>#DIV/0!</v>
      </c>
      <c r="AD17" s="46" t="b">
        <f t="shared" si="3"/>
        <v>1</v>
      </c>
    </row>
    <row r="18" spans="1:30" ht="48" customHeight="1" x14ac:dyDescent="0.25">
      <c r="A18" s="203">
        <v>16</v>
      </c>
      <c r="B18" s="193" t="s">
        <v>319</v>
      </c>
      <c r="C18" s="215"/>
      <c r="D18" s="193" t="s">
        <v>89</v>
      </c>
      <c r="E18" s="202">
        <v>1607013</v>
      </c>
      <c r="F18" s="202" t="s">
        <v>55</v>
      </c>
      <c r="G18" s="202" t="s">
        <v>258</v>
      </c>
      <c r="H18" s="193" t="s">
        <v>53</v>
      </c>
      <c r="I18" s="202"/>
      <c r="J18" s="197" t="s">
        <v>242</v>
      </c>
      <c r="K18" s="196"/>
      <c r="L18" s="49"/>
      <c r="M18" s="52"/>
      <c r="N18" s="223">
        <v>0.8</v>
      </c>
      <c r="O18" s="248"/>
      <c r="P18" s="248"/>
      <c r="Q18" s="249"/>
      <c r="R18" s="249"/>
      <c r="S18" s="249"/>
      <c r="T18" s="250"/>
      <c r="U18" s="248"/>
      <c r="V18" s="248"/>
      <c r="W18" s="249"/>
      <c r="X18" s="249"/>
      <c r="Y18" s="249"/>
      <c r="Z18" s="249"/>
      <c r="AA18" s="1" t="b">
        <f t="shared" si="0"/>
        <v>1</v>
      </c>
      <c r="AB18" s="45" t="e">
        <f t="shared" si="1"/>
        <v>#DIV/0!</v>
      </c>
      <c r="AC18" s="46" t="e">
        <f t="shared" si="2"/>
        <v>#DIV/0!</v>
      </c>
      <c r="AD18" s="46" t="b">
        <f t="shared" si="3"/>
        <v>1</v>
      </c>
    </row>
    <row r="19" spans="1:30" ht="48" customHeight="1" x14ac:dyDescent="0.25">
      <c r="A19" s="203">
        <v>17</v>
      </c>
      <c r="B19" s="193" t="s">
        <v>320</v>
      </c>
      <c r="C19" s="215"/>
      <c r="D19" s="193" t="s">
        <v>89</v>
      </c>
      <c r="E19" s="202">
        <v>1607013</v>
      </c>
      <c r="F19" s="202" t="s">
        <v>55</v>
      </c>
      <c r="G19" s="202" t="s">
        <v>259</v>
      </c>
      <c r="H19" s="193" t="s">
        <v>53</v>
      </c>
      <c r="I19" s="202"/>
      <c r="J19" s="197" t="s">
        <v>242</v>
      </c>
      <c r="K19" s="196"/>
      <c r="L19" s="49"/>
      <c r="M19" s="52"/>
      <c r="N19" s="223">
        <v>0.8</v>
      </c>
      <c r="O19" s="248"/>
      <c r="P19" s="248"/>
      <c r="Q19" s="249"/>
      <c r="R19" s="249"/>
      <c r="S19" s="249"/>
      <c r="T19" s="250"/>
      <c r="U19" s="248"/>
      <c r="V19" s="248"/>
      <c r="W19" s="249"/>
      <c r="X19" s="249"/>
      <c r="Y19" s="249"/>
      <c r="Z19" s="249"/>
      <c r="AA19" s="1" t="b">
        <f t="shared" si="0"/>
        <v>1</v>
      </c>
      <c r="AB19" s="45" t="e">
        <f t="shared" si="1"/>
        <v>#DIV/0!</v>
      </c>
      <c r="AC19" s="46" t="e">
        <f t="shared" si="2"/>
        <v>#DIV/0!</v>
      </c>
      <c r="AD19" s="46" t="b">
        <f t="shared" si="3"/>
        <v>1</v>
      </c>
    </row>
    <row r="20" spans="1:30" ht="49.5" customHeight="1" x14ac:dyDescent="0.25">
      <c r="A20" s="203">
        <v>18</v>
      </c>
      <c r="B20" s="193" t="s">
        <v>321</v>
      </c>
      <c r="C20" s="215"/>
      <c r="D20" s="193" t="s">
        <v>89</v>
      </c>
      <c r="E20" s="202">
        <v>1607013</v>
      </c>
      <c r="F20" s="202" t="s">
        <v>55</v>
      </c>
      <c r="G20" s="202" t="s">
        <v>260</v>
      </c>
      <c r="H20" s="193" t="s">
        <v>53</v>
      </c>
      <c r="I20" s="202"/>
      <c r="J20" s="197" t="s">
        <v>242</v>
      </c>
      <c r="K20" s="196"/>
      <c r="L20" s="49"/>
      <c r="M20" s="52"/>
      <c r="N20" s="223">
        <v>0.8</v>
      </c>
      <c r="O20" s="248"/>
      <c r="P20" s="248"/>
      <c r="Q20" s="249"/>
      <c r="R20" s="249"/>
      <c r="S20" s="249"/>
      <c r="T20" s="250"/>
      <c r="U20" s="248"/>
      <c r="V20" s="248"/>
      <c r="W20" s="249"/>
      <c r="X20" s="249"/>
      <c r="Y20" s="249"/>
      <c r="Z20" s="249"/>
      <c r="AA20" s="1" t="b">
        <f t="shared" si="0"/>
        <v>1</v>
      </c>
      <c r="AB20" s="45" t="e">
        <f t="shared" si="1"/>
        <v>#DIV/0!</v>
      </c>
      <c r="AC20" s="46" t="e">
        <f t="shared" si="2"/>
        <v>#DIV/0!</v>
      </c>
      <c r="AD20" s="46" t="b">
        <f t="shared" si="3"/>
        <v>1</v>
      </c>
    </row>
    <row r="21" spans="1:30" ht="20.100000000000001" customHeight="1" x14ac:dyDescent="0.25">
      <c r="A21" s="374" t="s">
        <v>45</v>
      </c>
      <c r="B21" s="374"/>
      <c r="C21" s="374"/>
      <c r="D21" s="374"/>
      <c r="E21" s="374"/>
      <c r="F21" s="374"/>
      <c r="G21" s="374"/>
      <c r="H21" s="374"/>
      <c r="I21" s="63">
        <f>SUM(I3:I20)</f>
        <v>0</v>
      </c>
      <c r="J21" s="64" t="s">
        <v>14</v>
      </c>
      <c r="K21" s="65">
        <f>SUM(K3:K20)</f>
        <v>0</v>
      </c>
      <c r="L21" s="66">
        <f>SUM(L3:L20)</f>
        <v>0</v>
      </c>
      <c r="M21" s="66">
        <f>SUM(M3:M20)</f>
        <v>0</v>
      </c>
      <c r="N21" s="67" t="s">
        <v>14</v>
      </c>
      <c r="O21" s="83">
        <f t="shared" ref="O21:Z21" si="4">SUM(O3:O20)</f>
        <v>0</v>
      </c>
      <c r="P21" s="83">
        <f t="shared" si="4"/>
        <v>0</v>
      </c>
      <c r="Q21" s="83">
        <f t="shared" si="4"/>
        <v>0</v>
      </c>
      <c r="R21" s="83">
        <f t="shared" si="4"/>
        <v>0</v>
      </c>
      <c r="S21" s="83">
        <f t="shared" si="4"/>
        <v>0</v>
      </c>
      <c r="T21" s="83">
        <f t="shared" si="4"/>
        <v>0</v>
      </c>
      <c r="U21" s="83">
        <f t="shared" si="4"/>
        <v>0</v>
      </c>
      <c r="V21" s="83">
        <f t="shared" si="4"/>
        <v>0</v>
      </c>
      <c r="W21" s="83">
        <f t="shared" si="4"/>
        <v>0</v>
      </c>
      <c r="X21" s="83">
        <f t="shared" si="4"/>
        <v>0</v>
      </c>
      <c r="Y21" s="83">
        <f t="shared" si="4"/>
        <v>0</v>
      </c>
      <c r="Z21" s="83">
        <f t="shared" si="4"/>
        <v>0</v>
      </c>
      <c r="AA21" s="1" t="b">
        <f t="shared" ref="AA21:AA23" si="5">L21=SUM(O21:Z21)</f>
        <v>1</v>
      </c>
      <c r="AB21" s="45" t="e">
        <f>ROUND(L21/K21,4)</f>
        <v>#DIV/0!</v>
      </c>
      <c r="AC21" s="46" t="s">
        <v>14</v>
      </c>
      <c r="AD21" s="46" t="b">
        <f t="shared" ref="AD21" si="6">K21=L21+M21</f>
        <v>1</v>
      </c>
    </row>
    <row r="22" spans="1:30" ht="20.100000000000001" customHeight="1" x14ac:dyDescent="0.25">
      <c r="A22" s="365" t="s">
        <v>39</v>
      </c>
      <c r="B22" s="366"/>
      <c r="C22" s="366"/>
      <c r="D22" s="366"/>
      <c r="E22" s="366"/>
      <c r="F22" s="366"/>
      <c r="G22" s="366"/>
      <c r="H22" s="367"/>
      <c r="I22" s="63">
        <f>SUMIF($C$3:$C$20,"N",I3:I20)</f>
        <v>0</v>
      </c>
      <c r="J22" s="64" t="s">
        <v>14</v>
      </c>
      <c r="K22" s="65">
        <f>SUMIF($C$3:$C$20,"N",K3:K20)</f>
        <v>0</v>
      </c>
      <c r="L22" s="66">
        <f>SUMIF($C$3:$C$20,"N",L3:L20)</f>
        <v>0</v>
      </c>
      <c r="M22" s="66">
        <f>SUMIF($C$3:$C$20,"N",M3:M20)</f>
        <v>0</v>
      </c>
      <c r="N22" s="67" t="s">
        <v>14</v>
      </c>
      <c r="O22" s="83">
        <f t="shared" ref="O22:Z22" si="7">SUMIF($C$3:$C$20,"N",O3:O20)</f>
        <v>0</v>
      </c>
      <c r="P22" s="83">
        <f t="shared" si="7"/>
        <v>0</v>
      </c>
      <c r="Q22" s="83">
        <f t="shared" si="7"/>
        <v>0</v>
      </c>
      <c r="R22" s="83">
        <f t="shared" si="7"/>
        <v>0</v>
      </c>
      <c r="S22" s="83">
        <f t="shared" si="7"/>
        <v>0</v>
      </c>
      <c r="T22" s="83">
        <f t="shared" si="7"/>
        <v>0</v>
      </c>
      <c r="U22" s="83">
        <f t="shared" si="7"/>
        <v>0</v>
      </c>
      <c r="V22" s="83">
        <f t="shared" si="7"/>
        <v>0</v>
      </c>
      <c r="W22" s="83">
        <f t="shared" si="7"/>
        <v>0</v>
      </c>
      <c r="X22" s="83">
        <f t="shared" si="7"/>
        <v>0</v>
      </c>
      <c r="Y22" s="83">
        <f t="shared" si="7"/>
        <v>0</v>
      </c>
      <c r="Z22" s="83">
        <f t="shared" si="7"/>
        <v>0</v>
      </c>
      <c r="AA22" s="1" t="b">
        <f t="shared" si="5"/>
        <v>1</v>
      </c>
      <c r="AB22" s="45" t="e">
        <f t="shared" ref="AB22" si="8">ROUND(L22/K22,4)</f>
        <v>#DIV/0!</v>
      </c>
      <c r="AC22" s="46" t="s">
        <v>14</v>
      </c>
      <c r="AD22" s="46" t="b">
        <f t="shared" ref="AD22" si="9">K22=L22+M22</f>
        <v>1</v>
      </c>
    </row>
    <row r="23" spans="1:30" ht="20.100000000000001" customHeight="1" x14ac:dyDescent="0.25">
      <c r="A23" s="373" t="s">
        <v>40</v>
      </c>
      <c r="B23" s="373"/>
      <c r="C23" s="373"/>
      <c r="D23" s="373"/>
      <c r="E23" s="373"/>
      <c r="F23" s="373"/>
      <c r="G23" s="373"/>
      <c r="H23" s="373"/>
      <c r="I23" s="69">
        <f>SUMIF($C$3:$C$20,"W",I3:I20)</f>
        <v>0</v>
      </c>
      <c r="J23" s="70" t="s">
        <v>14</v>
      </c>
      <c r="K23" s="71">
        <f>SUMIF($C$3:$C$20,"W",K3:K20)</f>
        <v>0</v>
      </c>
      <c r="L23" s="72">
        <f>SUMIF($C$3:$C$20,"W",L3:L20)</f>
        <v>0</v>
      </c>
      <c r="M23" s="72">
        <f>SUMIF($C$3:$C$20,"W",M3:M20)</f>
        <v>0</v>
      </c>
      <c r="N23" s="73" t="s">
        <v>14</v>
      </c>
      <c r="O23" s="84">
        <f t="shared" ref="O23:Z23" si="10">SUMIF($C$3:$C$20,"W",O3:O20)</f>
        <v>0</v>
      </c>
      <c r="P23" s="84">
        <f t="shared" si="10"/>
        <v>0</v>
      </c>
      <c r="Q23" s="84">
        <f t="shared" si="10"/>
        <v>0</v>
      </c>
      <c r="R23" s="84">
        <f t="shared" si="10"/>
        <v>0</v>
      </c>
      <c r="S23" s="84">
        <f t="shared" si="10"/>
        <v>0</v>
      </c>
      <c r="T23" s="84">
        <f t="shared" si="10"/>
        <v>0</v>
      </c>
      <c r="U23" s="84">
        <f t="shared" si="10"/>
        <v>0</v>
      </c>
      <c r="V23" s="84">
        <f t="shared" si="10"/>
        <v>0</v>
      </c>
      <c r="W23" s="84">
        <f t="shared" si="10"/>
        <v>0</v>
      </c>
      <c r="X23" s="84">
        <f t="shared" si="10"/>
        <v>0</v>
      </c>
      <c r="Y23" s="84">
        <f t="shared" si="10"/>
        <v>0</v>
      </c>
      <c r="Z23" s="84">
        <f t="shared" si="10"/>
        <v>0</v>
      </c>
      <c r="AA23" s="1" t="b">
        <f t="shared" si="5"/>
        <v>1</v>
      </c>
      <c r="AB23" s="45" t="e">
        <f t="shared" ref="AB23" si="11">ROUND(L23/K23,4)</f>
        <v>#DIV/0!</v>
      </c>
      <c r="AC23" s="46" t="s">
        <v>14</v>
      </c>
      <c r="AD23" s="46" t="b">
        <f t="shared" ref="AD23" si="12">K23=L23+M23</f>
        <v>1</v>
      </c>
    </row>
    <row r="24" spans="1:30" x14ac:dyDescent="0.25">
      <c r="A24" s="40"/>
      <c r="AD24" s="37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36</v>
      </c>
    </row>
    <row r="28" spans="1:30" x14ac:dyDescent="0.25">
      <c r="A28" s="41"/>
    </row>
  </sheetData>
  <autoFilter ref="A2:AD23" xr:uid="{00000000-0009-0000-0000-000004000000}"/>
  <customSheetViews>
    <customSheetView guid="{BD3EAA12-36A1-4500-A3A8-8FB519CC9E74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1"/>
      <headerFooter>
        <oddHeader>&amp;LWojewództwo &amp;K000000Opolskie - &amp;K01+000zadania gminne lista rezerwowa</oddHeader>
        <oddFooter>Strona &amp;P z &amp;N</oddFooter>
      </headerFooter>
      <autoFilter ref="A2:AD23" xr:uid="{00000000-0009-0000-0000-000004000000}"/>
    </customSheetView>
    <customSheetView guid="{B4405FF1-036B-45AD-810F-8C9DF67F9D7F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2"/>
      <headerFooter>
        <oddHeader>&amp;LWojewództwo &amp;K000000Opolskie - &amp;K01+000zadania gminne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0" fitToHeight="0" orientation="portrait" horizontalDpi="0" verticalDpi="0" copies="0"/>
      <headerFooter>
        <oddHeader>&amp;LWojewództwo &amp;K000000Opolskie - &amp;K01+000zadania gminne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J4" sqref="J4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&amp;K000000Opolskie - &amp;K01+000zadania gminne lista rezerwowa</oddHeader>
        <oddFooter>Strona &amp;P z &amp;N</oddFooter>
      </headerFooter>
    </customSheetView>
    <customSheetView guid="{CB410AB3-2DDF-47B7-B021-1F68EEA98257}" scale="85" showPageBreaks="1" showGridLines="0" fitToPage="1" printArea="1" showAutoFilter="1" view="pageBreakPreview">
      <selection sqref="A1:A2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4"/>
      <headerFooter>
        <oddHeader>&amp;LWojewództwo &amp;K000000Opolskie - &amp;K01+000zadania gminne lista rezerwowa</oddHeader>
        <oddFooter>Strona &amp;P z &amp;N</oddFooter>
      </headerFooter>
      <autoFilter ref="A2:AD23" xr:uid="{00000000-0000-0000-0000-000000000000}"/>
    </customSheetView>
  </customSheetViews>
  <mergeCells count="18">
    <mergeCell ref="G1:G2"/>
    <mergeCell ref="H1:H2"/>
    <mergeCell ref="A22:H22"/>
    <mergeCell ref="D1:D2"/>
    <mergeCell ref="A23:H23"/>
    <mergeCell ref="E1:E2"/>
    <mergeCell ref="O1:Z1"/>
    <mergeCell ref="M1:M2"/>
    <mergeCell ref="N1:N2"/>
    <mergeCell ref="A21:H21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24 AB21:AD21 AA21:AA23">
    <cfRule type="cellIs" dxfId="13" priority="25" operator="equal">
      <formula>FALSE</formula>
    </cfRule>
  </conditionalFormatting>
  <conditionalFormatting sqref="AB21:AC21 AA21:AA23 AA3:AC20">
    <cfRule type="containsText" dxfId="12" priority="18" operator="containsText" text="fałsz">
      <formula>NOT(ISERROR(SEARCH("fałsz",AA3)))</formula>
    </cfRule>
  </conditionalFormatting>
  <conditionalFormatting sqref="AB3:AC20">
    <cfRule type="cellIs" dxfId="11" priority="20" operator="equal">
      <formula>FALSE</formula>
    </cfRule>
  </conditionalFormatting>
  <conditionalFormatting sqref="AA3:AA20">
    <cfRule type="cellIs" dxfId="10" priority="19" operator="equal">
      <formula>FALSE</formula>
    </cfRule>
  </conditionalFormatting>
  <conditionalFormatting sqref="AD3:AD20">
    <cfRule type="cellIs" dxfId="9" priority="17" operator="equal">
      <formula>FALSE</formula>
    </cfRule>
  </conditionalFormatting>
  <conditionalFormatting sqref="AD3:AD20">
    <cfRule type="cellIs" dxfId="8" priority="16" operator="equal">
      <formula>FALSE</formula>
    </cfRule>
  </conditionalFormatting>
  <conditionalFormatting sqref="AB23:AC23">
    <cfRule type="cellIs" dxfId="7" priority="15" operator="equal">
      <formula>FALSE</formula>
    </cfRule>
  </conditionalFormatting>
  <conditionalFormatting sqref="AB23:AC23">
    <cfRule type="containsText" dxfId="6" priority="13" operator="containsText" text="fałsz">
      <formula>NOT(ISERROR(SEARCH("fałsz",AB23)))</formula>
    </cfRule>
  </conditionalFormatting>
  <conditionalFormatting sqref="AD23">
    <cfRule type="cellIs" dxfId="5" priority="12" operator="equal">
      <formula>FALSE</formula>
    </cfRule>
  </conditionalFormatting>
  <conditionalFormatting sqref="AD23">
    <cfRule type="cellIs" dxfId="4" priority="11" operator="equal">
      <formula>FALSE</formula>
    </cfRule>
  </conditionalFormatting>
  <conditionalFormatting sqref="AB22:AC22">
    <cfRule type="containsText" dxfId="3" priority="8" operator="containsText" text="fałsz">
      <formula>NOT(ISERROR(SEARCH("fałsz",AB22)))</formula>
    </cfRule>
  </conditionalFormatting>
  <conditionalFormatting sqref="AB22:AC22">
    <cfRule type="cellIs" dxfId="2" priority="10" operator="equal">
      <formula>FALSE</formula>
    </cfRule>
  </conditionalFormatting>
  <conditionalFormatting sqref="AD22">
    <cfRule type="cellIs" dxfId="1" priority="7" operator="equal">
      <formula>FALSE</formula>
    </cfRule>
  </conditionalFormatting>
  <conditionalFormatting sqref="AD22">
    <cfRule type="cellIs" dxfId="0" priority="6" operator="equal">
      <formula>FALSE</formula>
    </cfRule>
  </conditionalFormatting>
  <dataValidations count="2">
    <dataValidation type="list" allowBlank="1" showInputMessage="1" showErrorMessage="1" sqref="H3:H20" xr:uid="{00000000-0002-0000-0400-000000000000}">
      <formula1>"B,P,R"</formula1>
    </dataValidation>
    <dataValidation type="list" allowBlank="1" showInputMessage="1" showErrorMessage="1" sqref="C3:C20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5"/>
  <headerFooter>
    <oddHeader>&amp;LWojewództwo &amp;K000000Opolskie - &amp;K01+000zadania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Justyna Sperczyńska</cp:lastModifiedBy>
  <cp:lastPrinted>2024-07-01T06:07:23Z</cp:lastPrinted>
  <dcterms:created xsi:type="dcterms:W3CDTF">2019-02-25T10:53:14Z</dcterms:created>
  <dcterms:modified xsi:type="dcterms:W3CDTF">2024-07-01T06:07:41Z</dcterms:modified>
</cp:coreProperties>
</file>