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5435302A-87C7-45C8-91E0-027049EB3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85" i="7" l="1"/>
  <c r="A66" i="7"/>
  <c r="A29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<sst xmlns="http://schemas.openxmlformats.org/spreadsheetml/2006/main" count="97" uniqueCount="81">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</sst>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województw za  ",$C$93," ",$B$94," roku    ",$B$96,"")</f>
        <v xml:space="preserve">Informacja z wykonania budżetów województw za  I Kwartał 2026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">
      <c r="A13" s="19" t="s">
        <v>79</v>
      </c>
      <c r="B13" s="20">
        <f>4264869647.66</f>
        <v>4264869647.6599998</v>
      </c>
      <c r="C13" s="20">
        <f>3012573246.15</f>
        <v>3012573246.1500001</v>
      </c>
      <c r="D13" s="20">
        <f>146057357.11</f>
        <v>146057357.11000001</v>
      </c>
      <c r="E13" s="20">
        <f>146000000</f>
        <v>146000000</v>
      </c>
      <c r="F13" s="20">
        <f>0</f>
        <v>0</v>
      </c>
      <c r="G13" s="20">
        <f>57357.11</f>
        <v>57357.11</v>
      </c>
      <c r="H13" s="20">
        <f>0</f>
        <v>0</v>
      </c>
      <c r="I13" s="20">
        <f>0</f>
        <v>0</v>
      </c>
      <c r="J13" s="20">
        <f>2726914910.02</f>
        <v>2726914910.02</v>
      </c>
      <c r="K13" s="20">
        <f>30000000</f>
        <v>30000000</v>
      </c>
      <c r="L13" s="20">
        <f>109104085.81</f>
        <v>109104085.81</v>
      </c>
      <c r="M13" s="20">
        <f>496593.21</f>
        <v>496593.21</v>
      </c>
      <c r="N13" s="20">
        <f>300</f>
        <v>300</v>
      </c>
      <c r="O13" s="20">
        <f>1252296401.51</f>
        <v>1252296401.51</v>
      </c>
      <c r="P13" s="20">
        <f>1252296401.51</f>
        <v>1252296401.51</v>
      </c>
      <c r="Q13" s="20">
        <f>0</f>
        <v>0</v>
      </c>
    </row>
    <row r="14" spans="1:17" ht="28.5" customHeight="1" x14ac:dyDescent="0.2">
      <c r="A14" s="19" t="s">
        <v>45</v>
      </c>
      <c r="B14" s="20">
        <f>600000000</f>
        <v>600000000</v>
      </c>
      <c r="C14" s="20">
        <f>600000000</f>
        <v>600000000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600000000</f>
        <v>600000000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600000000</f>
        <v>600000000</v>
      </c>
      <c r="C16" s="21">
        <f>600000000</f>
        <v>600000000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600000000</f>
        <v>600000000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3664028161.53</f>
        <v>3664028161.5300002</v>
      </c>
      <c r="C17" s="20">
        <f>2411731760.02</f>
        <v>2411731760.02</v>
      </c>
      <c r="D17" s="20">
        <f>146000000</f>
        <v>146000000</v>
      </c>
      <c r="E17" s="20">
        <f>146000000</f>
        <v>146000000</v>
      </c>
      <c r="F17" s="20">
        <f>0</f>
        <v>0</v>
      </c>
      <c r="G17" s="20">
        <f>0</f>
        <v>0</v>
      </c>
      <c r="H17" s="20">
        <f>0</f>
        <v>0</v>
      </c>
      <c r="I17" s="20">
        <f>0</f>
        <v>0</v>
      </c>
      <c r="J17" s="20">
        <f>2126914910.02</f>
        <v>2126914910.02</v>
      </c>
      <c r="K17" s="20">
        <f>30000000</f>
        <v>30000000</v>
      </c>
      <c r="L17" s="20">
        <f>108816850</f>
        <v>108816850</v>
      </c>
      <c r="M17" s="20">
        <f>0</f>
        <v>0</v>
      </c>
      <c r="N17" s="20">
        <f>0</f>
        <v>0</v>
      </c>
      <c r="O17" s="20">
        <f>1252296401.51</f>
        <v>1252296401.51</v>
      </c>
      <c r="P17" s="20">
        <f>1252296401.51</f>
        <v>1252296401.51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3664028161.53</f>
        <v>3664028161.5300002</v>
      </c>
      <c r="C19" s="21">
        <f>2411731760.02</f>
        <v>2411731760.02</v>
      </c>
      <c r="D19" s="21">
        <f>146000000</f>
        <v>146000000</v>
      </c>
      <c r="E19" s="21">
        <f>146000000</f>
        <v>146000000</v>
      </c>
      <c r="F19" s="21">
        <f>0</f>
        <v>0</v>
      </c>
      <c r="G19" s="21">
        <f>0</f>
        <v>0</v>
      </c>
      <c r="H19" s="21">
        <f>0</f>
        <v>0</v>
      </c>
      <c r="I19" s="21">
        <f>0</f>
        <v>0</v>
      </c>
      <c r="J19" s="21">
        <f>2126914910.02</f>
        <v>2126914910.02</v>
      </c>
      <c r="K19" s="21">
        <f>30000000</f>
        <v>30000000</v>
      </c>
      <c r="L19" s="21">
        <f>108816850</f>
        <v>108816850</v>
      </c>
      <c r="M19" s="21">
        <f>0</f>
        <v>0</v>
      </c>
      <c r="N19" s="21">
        <f>0</f>
        <v>0</v>
      </c>
      <c r="O19" s="21">
        <f>1252296401.51</f>
        <v>1252296401.51</v>
      </c>
      <c r="P19" s="21">
        <f>1252296401.51</f>
        <v>1252296401.51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841486.13</f>
        <v>841486.13</v>
      </c>
      <c r="C21" s="20">
        <f>841486.13</f>
        <v>841486.13</v>
      </c>
      <c r="D21" s="20">
        <f>57357.11</f>
        <v>57357.11</v>
      </c>
      <c r="E21" s="20">
        <f>0</f>
        <v>0</v>
      </c>
      <c r="F21" s="20">
        <f>0</f>
        <v>0</v>
      </c>
      <c r="G21" s="20">
        <f>57357.11</f>
        <v>57357.11</v>
      </c>
      <c r="H21" s="20">
        <f>0</f>
        <v>0</v>
      </c>
      <c r="I21" s="20">
        <f>0</f>
        <v>0</v>
      </c>
      <c r="J21" s="20">
        <f>0</f>
        <v>0</v>
      </c>
      <c r="K21" s="20">
        <f>0</f>
        <v>0</v>
      </c>
      <c r="L21" s="20">
        <f>287235.81</f>
        <v>287235.81</v>
      </c>
      <c r="M21" s="20">
        <f>496593.21</f>
        <v>496593.21</v>
      </c>
      <c r="N21" s="20">
        <f>300</f>
        <v>300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421224.42</f>
        <v>421224.42</v>
      </c>
      <c r="C22" s="21">
        <f>421224.42</f>
        <v>421224.42</v>
      </c>
      <c r="D22" s="21">
        <f>57357.11</f>
        <v>57357.11</v>
      </c>
      <c r="E22" s="21">
        <f>0</f>
        <v>0</v>
      </c>
      <c r="F22" s="21">
        <f>0</f>
        <v>0</v>
      </c>
      <c r="G22" s="21">
        <f>57357.11</f>
        <v>57357.11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287235.81</f>
        <v>287235.81</v>
      </c>
      <c r="M22" s="21">
        <f>76331.5</f>
        <v>76331.5</v>
      </c>
      <c r="N22" s="21">
        <f>300</f>
        <v>300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420261.71</f>
        <v>420261.71</v>
      </c>
      <c r="C23" s="21">
        <f>420261.71</f>
        <v>420261.71</v>
      </c>
      <c r="D23" s="21">
        <f>0</f>
        <v>0</v>
      </c>
      <c r="E23" s="21">
        <f>0</f>
        <v>0</v>
      </c>
      <c r="F23" s="21">
        <f>0</f>
        <v>0</v>
      </c>
      <c r="G23" s="21">
        <f>0</f>
        <v>0</v>
      </c>
      <c r="H23" s="21">
        <f>0</f>
        <v>0</v>
      </c>
      <c r="I23" s="21">
        <f>0</f>
        <v>0</v>
      </c>
      <c r="J23" s="21">
        <f>0</f>
        <v>0</v>
      </c>
      <c r="K23" s="21">
        <f>0</f>
        <v>0</v>
      </c>
      <c r="L23" s="21">
        <f>0</f>
        <v>0</v>
      </c>
      <c r="M23" s="21">
        <f>420261.71</f>
        <v>420261.71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0" t="str">
        <f>CONCATENATE("Informacja z wykonania budżetów województw za  ",$C$93," ",$B$94," roku    ",$B$96,"")</f>
        <v xml:space="preserve">Informacja z wykonania budżetów województw za  I Kwartał 2026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812701124.37</f>
        <v>812701124.37</v>
      </c>
      <c r="C43" s="22">
        <f>812701124.37</f>
        <v>812701124.37</v>
      </c>
      <c r="D43" s="22">
        <f>748989934.76</f>
        <v>748989934.75999999</v>
      </c>
      <c r="E43" s="22">
        <f>56059.82</f>
        <v>56059.82</v>
      </c>
      <c r="F43" s="22">
        <f>5707.76</f>
        <v>5707.76</v>
      </c>
      <c r="G43" s="22">
        <f>748928167.18</f>
        <v>748928167.17999995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57954323.85</f>
        <v>57954323.850000001</v>
      </c>
      <c r="M43" s="22">
        <f>4930289.86</f>
        <v>4930289.8600000003</v>
      </c>
      <c r="N43" s="22">
        <f>826575.9</f>
        <v>826575.9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1424966.47</f>
        <v>1424966.47</v>
      </c>
      <c r="C44" s="23">
        <f>1424966.47</f>
        <v>1424966.47</v>
      </c>
      <c r="D44" s="23">
        <f>1341944.85</f>
        <v>1341944.8500000001</v>
      </c>
      <c r="E44" s="23">
        <f>0</f>
        <v>0</v>
      </c>
      <c r="F44" s="23">
        <f>0</f>
        <v>0</v>
      </c>
      <c r="G44" s="23">
        <f>1341944.85</f>
        <v>1341944.8500000001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811276157.9</f>
        <v>811276157.89999998</v>
      </c>
      <c r="C45" s="23">
        <f>811276157.9</f>
        <v>811276157.89999998</v>
      </c>
      <c r="D45" s="23">
        <f>747647989.91</f>
        <v>747647989.90999997</v>
      </c>
      <c r="E45" s="23">
        <f>56059.82</f>
        <v>56059.82</v>
      </c>
      <c r="F45" s="23">
        <f>5707.76</f>
        <v>5707.76</v>
      </c>
      <c r="G45" s="23">
        <f>747586222.33</f>
        <v>747586222.33000004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57871302.23</f>
        <v>57871302.229999997</v>
      </c>
      <c r="M45" s="23">
        <f>4930289.86</f>
        <v>4930289.8600000003</v>
      </c>
      <c r="N45" s="23">
        <f>826575.9</f>
        <v>826575.9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12273572507.01</f>
        <v>12273572507.01</v>
      </c>
      <c r="C46" s="22">
        <f>12273270979.65</f>
        <v>12273270979.65</v>
      </c>
      <c r="D46" s="22">
        <f>349823.55</f>
        <v>349823.55</v>
      </c>
      <c r="E46" s="22">
        <f>600</f>
        <v>600</v>
      </c>
      <c r="F46" s="22">
        <f>16265.52</f>
        <v>16265.52</v>
      </c>
      <c r="G46" s="22">
        <f>332958.03</f>
        <v>332958.03000000003</v>
      </c>
      <c r="H46" s="22">
        <f>0</f>
        <v>0</v>
      </c>
      <c r="I46" s="22">
        <f>0</f>
        <v>0</v>
      </c>
      <c r="J46" s="22">
        <f>12269545099.89</f>
        <v>12269545099.889999</v>
      </c>
      <c r="K46" s="22">
        <f>0</f>
        <v>0</v>
      </c>
      <c r="L46" s="22">
        <f>3375456.21</f>
        <v>3375456.21</v>
      </c>
      <c r="M46" s="22">
        <f>600</f>
        <v>600</v>
      </c>
      <c r="N46" s="22">
        <f>0</f>
        <v>0</v>
      </c>
      <c r="O46" s="22">
        <f>301527.36</f>
        <v>301527.36</v>
      </c>
      <c r="P46" s="22">
        <f>301527.36</f>
        <v>301527.36</v>
      </c>
      <c r="Q46" s="22">
        <f>0</f>
        <v>0</v>
      </c>
    </row>
    <row r="47" spans="1:17" ht="24" customHeight="1" x14ac:dyDescent="0.2">
      <c r="A47" s="18" t="s">
        <v>33</v>
      </c>
      <c r="B47" s="23">
        <f>330958.03</f>
        <v>330958.03000000003</v>
      </c>
      <c r="C47" s="23">
        <f>330958.03</f>
        <v>330958.03000000003</v>
      </c>
      <c r="D47" s="23">
        <f>330958.03</f>
        <v>330958.03000000003</v>
      </c>
      <c r="E47" s="23">
        <f>0</f>
        <v>0</v>
      </c>
      <c r="F47" s="23">
        <f>0</f>
        <v>0</v>
      </c>
      <c r="G47" s="23">
        <f>330958.03</f>
        <v>330958.03000000003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8599903434.92</f>
        <v>8599903434.9200001</v>
      </c>
      <c r="C48" s="23">
        <f>8599903434.92</f>
        <v>8599903434.9200001</v>
      </c>
      <c r="D48" s="23">
        <f>2600</f>
        <v>2600</v>
      </c>
      <c r="E48" s="23">
        <f>600</f>
        <v>600</v>
      </c>
      <c r="F48" s="23">
        <f>0</f>
        <v>0</v>
      </c>
      <c r="G48" s="23">
        <f>2000</f>
        <v>2000</v>
      </c>
      <c r="H48" s="23">
        <f>0</f>
        <v>0</v>
      </c>
      <c r="I48" s="23">
        <f>0</f>
        <v>0</v>
      </c>
      <c r="J48" s="23">
        <f>8596558346.02</f>
        <v>8596558346.0200005</v>
      </c>
      <c r="K48" s="23">
        <f>0</f>
        <v>0</v>
      </c>
      <c r="L48" s="23">
        <f>3341888.9</f>
        <v>3341888.9</v>
      </c>
      <c r="M48" s="23">
        <f>600</f>
        <v>600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3673338114.06</f>
        <v>3673338114.0599999</v>
      </c>
      <c r="C49" s="23">
        <f>3673036586.7</f>
        <v>3673036586.6999998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3672986753.87</f>
        <v>3672986753.8699999</v>
      </c>
      <c r="K49" s="23">
        <f>0</f>
        <v>0</v>
      </c>
      <c r="L49" s="23">
        <f>33567.31</f>
        <v>33567.31</v>
      </c>
      <c r="M49" s="23">
        <f>0</f>
        <v>0</v>
      </c>
      <c r="N49" s="23">
        <f>0</f>
        <v>0</v>
      </c>
      <c r="O49" s="23">
        <f>301527.36</f>
        <v>301527.36</v>
      </c>
      <c r="P49" s="23">
        <f>301527.36</f>
        <v>301527.36</v>
      </c>
      <c r="Q49" s="23">
        <f>0</f>
        <v>0</v>
      </c>
    </row>
    <row r="50" spans="1:17" ht="30.75" customHeight="1" x14ac:dyDescent="0.2">
      <c r="A50" s="24" t="s">
        <v>43</v>
      </c>
      <c r="B50" s="22">
        <f>3246932354.1</f>
        <v>3246932354.0999999</v>
      </c>
      <c r="C50" s="22">
        <f>3244744644.85</f>
        <v>3244744644.8499999</v>
      </c>
      <c r="D50" s="22">
        <f>6974081.43</f>
        <v>6974081.4299999997</v>
      </c>
      <c r="E50" s="22">
        <f>80344.96</f>
        <v>80344.960000000006</v>
      </c>
      <c r="F50" s="22">
        <f>95418.8</f>
        <v>95418.8</v>
      </c>
      <c r="G50" s="22">
        <f>6798317.17</f>
        <v>6798317.1699999999</v>
      </c>
      <c r="H50" s="22">
        <f>0.5</f>
        <v>0.5</v>
      </c>
      <c r="I50" s="22">
        <f>0</f>
        <v>0</v>
      </c>
      <c r="J50" s="22">
        <f>86173.66</f>
        <v>86173.66</v>
      </c>
      <c r="K50" s="22">
        <f>15938924.43</f>
        <v>15938924.43</v>
      </c>
      <c r="L50" s="22">
        <f>2187747688.41</f>
        <v>2187747688.4099998</v>
      </c>
      <c r="M50" s="22">
        <f>1002451086.4</f>
        <v>1002451086.4</v>
      </c>
      <c r="N50" s="22">
        <f>31546690.52</f>
        <v>31546690.52</v>
      </c>
      <c r="O50" s="22">
        <f>2187709.25</f>
        <v>2187709.25</v>
      </c>
      <c r="P50" s="22">
        <f>1863663.3</f>
        <v>1863663.3</v>
      </c>
      <c r="Q50" s="22">
        <f>324045.95</f>
        <v>324045.95</v>
      </c>
    </row>
    <row r="51" spans="1:17" ht="30" customHeight="1" x14ac:dyDescent="0.2">
      <c r="A51" s="18" t="s">
        <v>36</v>
      </c>
      <c r="B51" s="23">
        <f>83009730.15</f>
        <v>83009730.150000006</v>
      </c>
      <c r="C51" s="23">
        <f>83002422.53</f>
        <v>83002422.530000001</v>
      </c>
      <c r="D51" s="23">
        <f>780152.77</f>
        <v>780152.77</v>
      </c>
      <c r="E51" s="23">
        <f>641.93</f>
        <v>641.92999999999995</v>
      </c>
      <c r="F51" s="23">
        <f>23512.29</f>
        <v>23512.29</v>
      </c>
      <c r="G51" s="23">
        <f>755998.55</f>
        <v>755998.55</v>
      </c>
      <c r="H51" s="23">
        <f>0</f>
        <v>0</v>
      </c>
      <c r="I51" s="23">
        <f>0</f>
        <v>0</v>
      </c>
      <c r="J51" s="23">
        <f>998.91</f>
        <v>998.91</v>
      </c>
      <c r="K51" s="23">
        <f>104274</f>
        <v>104274</v>
      </c>
      <c r="L51" s="23">
        <f>73925897.29</f>
        <v>73925897.290000007</v>
      </c>
      <c r="M51" s="23">
        <f>7485366.7</f>
        <v>7485366.7000000002</v>
      </c>
      <c r="N51" s="23">
        <f>705732.86</f>
        <v>705732.86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3163922623.95</f>
        <v>3163922623.9499998</v>
      </c>
      <c r="C52" s="23">
        <f>3161742222.32</f>
        <v>3161742222.3200002</v>
      </c>
      <c r="D52" s="23">
        <f>6193928.66</f>
        <v>6193928.6600000001</v>
      </c>
      <c r="E52" s="23">
        <f>79703.03</f>
        <v>79703.03</v>
      </c>
      <c r="F52" s="23">
        <f>71906.51</f>
        <v>71906.509999999995</v>
      </c>
      <c r="G52" s="23">
        <f>6042318.62</f>
        <v>6042318.6200000001</v>
      </c>
      <c r="H52" s="23">
        <f>0.5</f>
        <v>0.5</v>
      </c>
      <c r="I52" s="23">
        <f>0</f>
        <v>0</v>
      </c>
      <c r="J52" s="23">
        <f>85174.75</f>
        <v>85174.75</v>
      </c>
      <c r="K52" s="23">
        <f>15834650.43</f>
        <v>15834650.43</v>
      </c>
      <c r="L52" s="23">
        <f>2113821791.12</f>
        <v>2113821791.1199999</v>
      </c>
      <c r="M52" s="23">
        <f>994965719.7</f>
        <v>994965719.70000005</v>
      </c>
      <c r="N52" s="23">
        <f>30840957.66</f>
        <v>30840957.66</v>
      </c>
      <c r="O52" s="23">
        <f>2180401.63</f>
        <v>2180401.63</v>
      </c>
      <c r="P52" s="23">
        <f>1856355.68</f>
        <v>1856355.68</v>
      </c>
      <c r="Q52" s="23">
        <f>324045.95</f>
        <v>324045.95</v>
      </c>
    </row>
    <row r="53" spans="1:17" ht="30.75" customHeight="1" x14ac:dyDescent="0.2">
      <c r="A53" s="24" t="s">
        <v>44</v>
      </c>
      <c r="B53" s="22">
        <f>2178031197.96</f>
        <v>2178031197.96</v>
      </c>
      <c r="C53" s="22">
        <f>2174254710.37</f>
        <v>2174254710.3699999</v>
      </c>
      <c r="D53" s="22">
        <f>277517187.62</f>
        <v>277517187.62</v>
      </c>
      <c r="E53" s="22">
        <f>102043008.58</f>
        <v>102043008.58</v>
      </c>
      <c r="F53" s="22">
        <f>1339007.31</f>
        <v>1339007.31</v>
      </c>
      <c r="G53" s="22">
        <f>173677220.79</f>
        <v>173677220.78999999</v>
      </c>
      <c r="H53" s="22">
        <f>457950.94</f>
        <v>457950.94</v>
      </c>
      <c r="I53" s="22">
        <f>0</f>
        <v>0</v>
      </c>
      <c r="J53" s="22">
        <f>90932624.71</f>
        <v>90932624.709999993</v>
      </c>
      <c r="K53" s="22">
        <f>20883.44</f>
        <v>20883.439999999999</v>
      </c>
      <c r="L53" s="22">
        <f>1523868452.86</f>
        <v>1523868452.8599999</v>
      </c>
      <c r="M53" s="22">
        <f>272434718.93</f>
        <v>272434718.93000001</v>
      </c>
      <c r="N53" s="22">
        <f>9480842.81</f>
        <v>9480842.8100000005</v>
      </c>
      <c r="O53" s="22">
        <f>3776487.59</f>
        <v>3776487.59</v>
      </c>
      <c r="P53" s="22">
        <f>2736353.32</f>
        <v>2736353.32</v>
      </c>
      <c r="Q53" s="22">
        <f>1040134.27</f>
        <v>1040134.27</v>
      </c>
    </row>
    <row r="54" spans="1:17" ht="30" customHeight="1" x14ac:dyDescent="0.2">
      <c r="A54" s="18" t="s">
        <v>38</v>
      </c>
      <c r="B54" s="23">
        <f>150191437.7</f>
        <v>150191437.69999999</v>
      </c>
      <c r="C54" s="23">
        <f>149983272.14</f>
        <v>149983272.13999999</v>
      </c>
      <c r="D54" s="23">
        <f>3697902.28</f>
        <v>3697902.28</v>
      </c>
      <c r="E54" s="23">
        <f>127133.45</f>
        <v>127133.45</v>
      </c>
      <c r="F54" s="23">
        <f>424352.05</f>
        <v>424352.05</v>
      </c>
      <c r="G54" s="23">
        <f>3146415.34</f>
        <v>3146415.34</v>
      </c>
      <c r="H54" s="23">
        <f>1.44</f>
        <v>1.44</v>
      </c>
      <c r="I54" s="23">
        <f>0</f>
        <v>0</v>
      </c>
      <c r="J54" s="23">
        <f>0</f>
        <v>0</v>
      </c>
      <c r="K54" s="23">
        <f>20218.05</f>
        <v>20218.05</v>
      </c>
      <c r="L54" s="23">
        <f>142308657.96</f>
        <v>142308657.96000001</v>
      </c>
      <c r="M54" s="23">
        <f>3281764.76</f>
        <v>3281764.76</v>
      </c>
      <c r="N54" s="23">
        <f>674729.09</f>
        <v>674729.09</v>
      </c>
      <c r="O54" s="23">
        <f>208165.56</f>
        <v>208165.56</v>
      </c>
      <c r="P54" s="23">
        <f>189166.29</f>
        <v>189166.29</v>
      </c>
      <c r="Q54" s="23">
        <f>18999.27</f>
        <v>18999.27</v>
      </c>
    </row>
    <row r="55" spans="1:17" ht="33" customHeight="1" x14ac:dyDescent="0.2">
      <c r="A55" s="18" t="s">
        <v>80</v>
      </c>
      <c r="B55" s="23">
        <f>8471.15</f>
        <v>8471.15</v>
      </c>
      <c r="C55" s="23">
        <f>8471.15</f>
        <v>8471.15</v>
      </c>
      <c r="D55" s="23">
        <f>8471.15</f>
        <v>8471.15</v>
      </c>
      <c r="E55" s="23">
        <f>2488</f>
        <v>2488</v>
      </c>
      <c r="F55" s="23">
        <f>0</f>
        <v>0</v>
      </c>
      <c r="G55" s="23">
        <f>0</f>
        <v>0</v>
      </c>
      <c r="H55" s="23">
        <f>5983.15</f>
        <v>5983.15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2027831289.11</f>
        <v>2027831289.1099999</v>
      </c>
      <c r="C56" s="23">
        <f>2024262967.08</f>
        <v>2024262967.0799999</v>
      </c>
      <c r="D56" s="23">
        <f>273810814.19</f>
        <v>273810814.19</v>
      </c>
      <c r="E56" s="23">
        <f>101913387.13</f>
        <v>101913387.13</v>
      </c>
      <c r="F56" s="23">
        <f>914655.26</f>
        <v>914655.26</v>
      </c>
      <c r="G56" s="23">
        <f>170530805.45</f>
        <v>170530805.44999999</v>
      </c>
      <c r="H56" s="23">
        <f>451966.35</f>
        <v>451966.35</v>
      </c>
      <c r="I56" s="23">
        <f>0</f>
        <v>0</v>
      </c>
      <c r="J56" s="23">
        <f>90932624.71</f>
        <v>90932624.709999993</v>
      </c>
      <c r="K56" s="23">
        <f>665.39</f>
        <v>665.39</v>
      </c>
      <c r="L56" s="23">
        <f>1381559794.9</f>
        <v>1381559794.9000001</v>
      </c>
      <c r="M56" s="23">
        <f>269152954.17</f>
        <v>269152954.17000002</v>
      </c>
      <c r="N56" s="23">
        <f>8806113.72</f>
        <v>8806113.7200000007</v>
      </c>
      <c r="O56" s="23">
        <f>3568322.03</f>
        <v>3568322.03</v>
      </c>
      <c r="P56" s="23">
        <f>2547187.03</f>
        <v>2547187.0299999998</v>
      </c>
      <c r="Q56" s="23">
        <f>1021135</f>
        <v>1021135</v>
      </c>
    </row>
    <row r="66" spans="1:13" ht="67.5" customHeight="1" x14ac:dyDescent="0.2">
      <c r="A66" s="30" t="str">
        <f>CONCATENATE("Informacja z wykonania budżetów województw za  ",$C$93," ",$B$94," roku    ",$B$96,"")</f>
        <v xml:space="preserve">Informacja z wykonania budżetów województw za  I Kwartał 2026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">
      <c r="B76" s="35" t="s">
        <v>55</v>
      </c>
      <c r="C76" s="36"/>
      <c r="D76" s="36"/>
      <c r="E76" s="37"/>
      <c r="F76" s="25">
        <f>1109077945.3</f>
        <v>1109077945.3</v>
      </c>
      <c r="G76" s="25">
        <f>207187856.61</f>
        <v>207187856.61000001</v>
      </c>
      <c r="H76" s="25">
        <f>0</f>
        <v>0</v>
      </c>
      <c r="I76" s="25">
        <f>0</f>
        <v>0</v>
      </c>
      <c r="J76" s="25">
        <f>207187856.61</f>
        <v>207187856.61000001</v>
      </c>
      <c r="K76" s="25">
        <f>0</f>
        <v>0</v>
      </c>
      <c r="L76" s="25">
        <f>901890088.69</f>
        <v>901890088.69000006</v>
      </c>
    </row>
    <row r="77" spans="1:13" ht="33.75" customHeight="1" x14ac:dyDescent="0.2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35" t="s">
        <v>57</v>
      </c>
      <c r="C78" s="36"/>
      <c r="D78" s="36"/>
      <c r="E78" s="37"/>
      <c r="F78" s="25">
        <f>20000000</f>
        <v>20000000</v>
      </c>
      <c r="G78" s="25">
        <f>0</f>
        <v>0</v>
      </c>
      <c r="H78" s="25">
        <f>0</f>
        <v>0</v>
      </c>
      <c r="I78" s="25">
        <f>0</f>
        <v>0</v>
      </c>
      <c r="J78" s="25">
        <f>0</f>
        <v>0</v>
      </c>
      <c r="K78" s="25">
        <f>0</f>
        <v>0</v>
      </c>
      <c r="L78" s="25">
        <f>20000000</f>
        <v>20000000</v>
      </c>
    </row>
    <row r="79" spans="1:13" ht="22.5" customHeight="1" x14ac:dyDescent="0.2">
      <c r="B79" s="35" t="s">
        <v>58</v>
      </c>
      <c r="C79" s="36"/>
      <c r="D79" s="36"/>
      <c r="E79" s="37"/>
      <c r="F79" s="25">
        <f>6286112.48</f>
        <v>6286112.4800000004</v>
      </c>
      <c r="G79" s="25">
        <f>3786112.58</f>
        <v>3786112.58</v>
      </c>
      <c r="H79" s="25">
        <f>0</f>
        <v>0</v>
      </c>
      <c r="I79" s="25">
        <f>0</f>
        <v>0</v>
      </c>
      <c r="J79" s="25">
        <f>3786112.58</f>
        <v>3786112.58</v>
      </c>
      <c r="K79" s="25">
        <f>0</f>
        <v>0</v>
      </c>
      <c r="L79" s="25">
        <f>2499999.9</f>
        <v>2499999.9</v>
      </c>
    </row>
    <row r="80" spans="1:13" ht="33.75" customHeight="1" x14ac:dyDescent="0.2">
      <c r="B80" s="35" t="s">
        <v>59</v>
      </c>
      <c r="C80" s="36"/>
      <c r="D80" s="36"/>
      <c r="E80" s="37"/>
      <c r="F80" s="25">
        <f>197560.06</f>
        <v>197560.06</v>
      </c>
      <c r="G80" s="25">
        <f>22034.99</f>
        <v>22034.99</v>
      </c>
      <c r="H80" s="25">
        <f>0</f>
        <v>0</v>
      </c>
      <c r="I80" s="25">
        <f>0</f>
        <v>0</v>
      </c>
      <c r="J80" s="25">
        <f>22034.99</f>
        <v>22034.99</v>
      </c>
      <c r="K80" s="25">
        <f>0</f>
        <v>0</v>
      </c>
      <c r="L80" s="25">
        <f>175525.07</f>
        <v>175525.07</v>
      </c>
    </row>
    <row r="81" spans="1:13" ht="33.75" customHeight="1" x14ac:dyDescent="0.2">
      <c r="B81" s="35" t="s">
        <v>60</v>
      </c>
      <c r="C81" s="36"/>
      <c r="D81" s="36"/>
      <c r="E81" s="37"/>
      <c r="F81" s="25">
        <f>4274720.78</f>
        <v>4274720.78</v>
      </c>
      <c r="G81" s="25">
        <f>3774720.8</f>
        <v>3774720.8</v>
      </c>
      <c r="H81" s="25">
        <f>0</f>
        <v>0</v>
      </c>
      <c r="I81" s="25">
        <f>0</f>
        <v>0</v>
      </c>
      <c r="J81" s="25">
        <f>3774720.8</f>
        <v>3774720.8</v>
      </c>
      <c r="K81" s="25">
        <f>0</f>
        <v>0</v>
      </c>
      <c r="L81" s="25">
        <f>499999.98</f>
        <v>499999.98</v>
      </c>
    </row>
    <row r="82" spans="1:13" ht="33" customHeight="1" x14ac:dyDescent="0.2">
      <c r="B82" s="35" t="s">
        <v>61</v>
      </c>
      <c r="C82" s="36"/>
      <c r="D82" s="36"/>
      <c r="E82" s="37"/>
      <c r="F82" s="25">
        <f>0</f>
        <v>0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0</f>
        <v>0</v>
      </c>
    </row>
    <row r="85" spans="1:13" ht="60" customHeight="1" x14ac:dyDescent="0.2">
      <c r="A85" s="30" t="str">
        <f>CONCATENATE("Informacja z wykonania budżetów województw za  ",$C$93," ",$B$94," roku    ",$B$96,"")</f>
        <v xml:space="preserve">Informacja z wykonania budżetów województw za  I Kwartał 2026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">
      <c r="B88" s="6"/>
      <c r="C88" s="35" t="s">
        <v>5</v>
      </c>
      <c r="D88" s="36"/>
      <c r="E88" s="36"/>
      <c r="F88" s="37"/>
      <c r="G88" s="53">
        <f>16</f>
        <v>16</v>
      </c>
      <c r="H88" s="54"/>
      <c r="I88" s="38">
        <f>3225827714.48</f>
        <v>3225827714.48</v>
      </c>
      <c r="J88" s="39"/>
      <c r="K88" s="7"/>
    </row>
    <row r="89" spans="1:13" ht="22.5" customHeight="1" x14ac:dyDescent="0.2">
      <c r="B89" s="6"/>
      <c r="C89" s="35" t="s">
        <v>6</v>
      </c>
      <c r="D89" s="36"/>
      <c r="E89" s="36"/>
      <c r="F89" s="37"/>
      <c r="G89" s="53">
        <f>0</f>
        <v>0</v>
      </c>
      <c r="H89" s="54"/>
      <c r="I89" s="38">
        <f>0</f>
        <v>0</v>
      </c>
      <c r="J89" s="39"/>
      <c r="K89" s="7"/>
    </row>
    <row r="90" spans="1:13" ht="21" customHeight="1" x14ac:dyDescent="0.2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">
      <c r="A93" s="8" t="s">
        <v>8</v>
      </c>
      <c r="B93" s="8">
        <f>1</f>
        <v>1</v>
      </c>
      <c r="C93" s="8" t="str">
        <f>IF(B93=1,"I Kwartał",IF(B93=2,"II Kwartały",IF(B93=3,"III Kwartały",IF(B93=4,"IV Kwartały","-"))))</f>
        <v>I Kwartał</v>
      </c>
    </row>
    <row r="94" spans="1:13" ht="13.5" customHeight="1" x14ac:dyDescent="0.2">
      <c r="A94" s="8" t="s">
        <v>9</v>
      </c>
      <c r="B94" s="8">
        <f>2026</f>
        <v>2026</v>
      </c>
      <c r="C94" s="9"/>
    </row>
    <row r="95" spans="1:13" ht="13.5" customHeight="1" x14ac:dyDescent="0.2">
      <c r="A95" s="8" t="s">
        <v>10</v>
      </c>
      <c r="B95" s="10" t="str">
        <f>"May 18 2026 12:00AM"</f>
        <v>May 18 2026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2026-05-29T11:55:41Z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2026-05-29T13:55:32.8902948+02:00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GRN-4c50dc06-3503-4797-b499-83187705a57b</vt:lpwstr>
  </property>
  <property fmtid="{D5CDD505-2E9C-101B-9397-08002B2CF9AE}" pid="7" name="MFHash">
    <vt:lpwstr>A/rPpzLLgkOblxOXhS0j2mcVHQTSL78WRReNBtmHmu8=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