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Z:\```ST7\Besti@\2022\I kw 2022\Zbiorówki\Zatwierdzone\WWW\Nowy format\www bez definicji\"/>
    </mc:Choice>
  </mc:AlternateContent>
  <bookViews>
    <workbookView xWindow="240" yWindow="120" windowWidth="14220" windowHeight="8835"/>
  </bookViews>
  <sheets>
    <sheet name="doch_wyd" sheetId="4" r:id="rId1"/>
  </sheets>
  <definedNames>
    <definedName name="_xlnm.Print_Area" localSheetId="0">doch_wyd!$B$1:$L$99</definedName>
  </definedNames>
  <calcPr calcId="152511"/>
</workbook>
</file>

<file path=xl/calcChain.xml><?xml version="1.0" encoding="utf-8"?>
<calcChain xmlns="http://schemas.openxmlformats.org/spreadsheetml/2006/main">
  <c r="C99" i="4" l="1"/>
  <c r="C98" i="4"/>
  <c r="C97" i="4"/>
  <c r="C96" i="4"/>
  <c r="D94" i="4"/>
  <c r="C94" i="4"/>
  <c r="D93" i="4"/>
  <c r="C93" i="4"/>
  <c r="D92" i="4"/>
  <c r="C92" i="4"/>
  <c r="D91" i="4"/>
  <c r="C91" i="4"/>
  <c r="D90" i="4"/>
  <c r="C90" i="4"/>
  <c r="D89" i="4"/>
  <c r="C89" i="4"/>
  <c r="D88" i="4"/>
  <c r="C88" i="4"/>
  <c r="D87" i="4"/>
  <c r="C87" i="4"/>
  <c r="D82" i="4"/>
  <c r="C82" i="4"/>
  <c r="D81" i="4"/>
  <c r="C81" i="4"/>
  <c r="D80" i="4"/>
  <c r="C80" i="4"/>
  <c r="D79" i="4"/>
  <c r="C79" i="4"/>
  <c r="D78" i="4"/>
  <c r="C78" i="4"/>
  <c r="D77" i="4"/>
  <c r="C77" i="4"/>
  <c r="D76" i="4"/>
  <c r="C76" i="4"/>
  <c r="D75" i="4"/>
  <c r="C75" i="4"/>
  <c r="D74" i="4"/>
  <c r="C74" i="4"/>
  <c r="D73" i="4"/>
  <c r="C73" i="4"/>
  <c r="D72" i="4"/>
  <c r="C72" i="4"/>
  <c r="D71" i="4"/>
  <c r="C71" i="4"/>
  <c r="D70" i="4"/>
  <c r="C70" i="4"/>
  <c r="D69" i="4"/>
  <c r="J70" i="4" s="1"/>
  <c r="C69" i="4"/>
  <c r="I63" i="4"/>
  <c r="H63" i="4"/>
  <c r="G63" i="4"/>
  <c r="F63" i="4"/>
  <c r="E63" i="4"/>
  <c r="D63" i="4"/>
  <c r="C63" i="4"/>
  <c r="I62" i="4"/>
  <c r="H62" i="4"/>
  <c r="G62" i="4"/>
  <c r="F62" i="4"/>
  <c r="E62" i="4"/>
  <c r="D62" i="4"/>
  <c r="D64" i="4" s="1"/>
  <c r="J64" i="4" s="1"/>
  <c r="C62" i="4"/>
  <c r="I56" i="4"/>
  <c r="H56" i="4"/>
  <c r="G56" i="4"/>
  <c r="F56" i="4"/>
  <c r="E56" i="4"/>
  <c r="D56" i="4"/>
  <c r="J56" i="4" s="1"/>
  <c r="C56" i="4"/>
  <c r="I55" i="4"/>
  <c r="H55" i="4"/>
  <c r="G55" i="4"/>
  <c r="F55" i="4"/>
  <c r="E55" i="4"/>
  <c r="D55" i="4"/>
  <c r="C55" i="4"/>
  <c r="I54" i="4"/>
  <c r="H54" i="4"/>
  <c r="G54" i="4"/>
  <c r="F54" i="4"/>
  <c r="E54" i="4"/>
  <c r="D54" i="4"/>
  <c r="C54" i="4"/>
  <c r="I53" i="4"/>
  <c r="H53" i="4"/>
  <c r="G53" i="4"/>
  <c r="F53" i="4"/>
  <c r="E53" i="4"/>
  <c r="D53" i="4"/>
  <c r="C53" i="4"/>
  <c r="I52" i="4"/>
  <c r="H52" i="4"/>
  <c r="G52" i="4"/>
  <c r="F52" i="4"/>
  <c r="E52" i="4"/>
  <c r="D52" i="4"/>
  <c r="J52" i="4" s="1"/>
  <c r="C52" i="4"/>
  <c r="I50" i="4"/>
  <c r="H50" i="4"/>
  <c r="G50" i="4"/>
  <c r="F50" i="4"/>
  <c r="E50" i="4"/>
  <c r="D50" i="4"/>
  <c r="C50" i="4"/>
  <c r="I49" i="4"/>
  <c r="H49" i="4"/>
  <c r="G49" i="4"/>
  <c r="F49" i="4"/>
  <c r="E49" i="4"/>
  <c r="D49" i="4"/>
  <c r="C49" i="4"/>
  <c r="I48" i="4"/>
  <c r="H48" i="4"/>
  <c r="G48" i="4"/>
  <c r="F48" i="4"/>
  <c r="E48" i="4"/>
  <c r="D48" i="4"/>
  <c r="D58" i="4" s="1"/>
  <c r="C48" i="4"/>
  <c r="D39" i="4"/>
  <c r="C39" i="4"/>
  <c r="D37" i="4"/>
  <c r="C37" i="4"/>
  <c r="D36" i="4"/>
  <c r="C36" i="4"/>
  <c r="D35" i="4"/>
  <c r="C35" i="4"/>
  <c r="K35" i="4" s="1"/>
  <c r="D34" i="4"/>
  <c r="C34" i="4"/>
  <c r="D32" i="4"/>
  <c r="C32" i="4"/>
  <c r="D31" i="4"/>
  <c r="K31" i="4" s="1"/>
  <c r="C31" i="4"/>
  <c r="D30" i="4"/>
  <c r="C30" i="4"/>
  <c r="D29" i="4"/>
  <c r="C29" i="4"/>
  <c r="K29" i="4" s="1"/>
  <c r="D28" i="4"/>
  <c r="C28" i="4"/>
  <c r="D27" i="4"/>
  <c r="C27" i="4"/>
  <c r="K27" i="4" s="1"/>
  <c r="D26" i="4"/>
  <c r="C26" i="4"/>
  <c r="D25" i="4"/>
  <c r="J25" i="4" s="1"/>
  <c r="C25" i="4"/>
  <c r="D24" i="4"/>
  <c r="C24" i="4"/>
  <c r="D23" i="4"/>
  <c r="J23" i="4" s="1"/>
  <c r="C23" i="4"/>
  <c r="K23" i="4" s="1"/>
  <c r="D22" i="4"/>
  <c r="C22" i="4"/>
  <c r="D21" i="4"/>
  <c r="C21" i="4"/>
  <c r="K21" i="4" s="1"/>
  <c r="D20" i="4"/>
  <c r="C20" i="4"/>
  <c r="D19" i="4"/>
  <c r="J19" i="4" s="1"/>
  <c r="C19" i="4"/>
  <c r="D18" i="4"/>
  <c r="C18" i="4"/>
  <c r="D17" i="4"/>
  <c r="C17" i="4"/>
  <c r="D16" i="4"/>
  <c r="C16" i="4"/>
  <c r="D15" i="4"/>
  <c r="C15" i="4"/>
  <c r="D14" i="4"/>
  <c r="J14" i="4" s="1"/>
  <c r="C14" i="4"/>
  <c r="D13" i="4"/>
  <c r="K13" i="4" s="1"/>
  <c r="C13" i="4"/>
  <c r="D9" i="4"/>
  <c r="C9" i="4"/>
  <c r="D8" i="4"/>
  <c r="C8" i="4"/>
  <c r="D7" i="4"/>
  <c r="C7" i="4"/>
  <c r="D5" i="4"/>
  <c r="C5" i="4"/>
  <c r="D96" i="4"/>
  <c r="B1" i="4" s="1"/>
  <c r="K17" i="4"/>
  <c r="K19" i="4"/>
  <c r="K34" i="4"/>
  <c r="C33" i="4"/>
  <c r="K39" i="4"/>
  <c r="E51" i="4"/>
  <c r="E57" i="4" s="1"/>
  <c r="I51" i="4"/>
  <c r="K50" i="4"/>
  <c r="K55" i="4"/>
  <c r="E64" i="4"/>
  <c r="K71" i="4"/>
  <c r="K73" i="4"/>
  <c r="K75" i="4"/>
  <c r="K77" i="4"/>
  <c r="K79" i="4"/>
  <c r="K81" i="4"/>
  <c r="J27" i="4"/>
  <c r="J30" i="4"/>
  <c r="J31" i="4"/>
  <c r="J34" i="4"/>
  <c r="J29" i="4"/>
  <c r="J20" i="4"/>
  <c r="D38" i="4"/>
  <c r="D40" i="4" s="1"/>
  <c r="J40" i="4" s="1"/>
  <c r="J28" i="4"/>
  <c r="J13" i="4"/>
  <c r="J24" i="4"/>
  <c r="J22" i="4"/>
  <c r="J16" i="4"/>
  <c r="J26" i="4"/>
  <c r="J5" i="4"/>
  <c r="J21" i="4"/>
  <c r="J32" i="4"/>
  <c r="J18" i="4"/>
  <c r="J15" i="4"/>
  <c r="J17" i="4"/>
  <c r="J9" i="4"/>
  <c r="J37" i="4"/>
  <c r="J7" i="4"/>
  <c r="J35" i="4"/>
  <c r="J36" i="4"/>
  <c r="J39" i="4"/>
  <c r="J8" i="4"/>
  <c r="D33" i="4"/>
  <c r="F51" i="4"/>
  <c r="F57" i="4"/>
  <c r="K49" i="4"/>
  <c r="K54" i="4"/>
  <c r="F64" i="4"/>
  <c r="K63" i="4"/>
  <c r="J74" i="4"/>
  <c r="J75" i="4"/>
  <c r="J73" i="4"/>
  <c r="J71" i="4"/>
  <c r="J77" i="4"/>
  <c r="K7" i="4"/>
  <c r="K9" i="4"/>
  <c r="K14" i="4"/>
  <c r="K16" i="4"/>
  <c r="K18" i="4"/>
  <c r="K20" i="4"/>
  <c r="K24" i="4"/>
  <c r="K26" i="4"/>
  <c r="K28" i="4"/>
  <c r="K30" i="4"/>
  <c r="K32" i="4"/>
  <c r="K37" i="4"/>
  <c r="K48" i="4"/>
  <c r="G51" i="4"/>
  <c r="G57" i="4" s="1"/>
  <c r="K53" i="4"/>
  <c r="C64" i="4"/>
  <c r="G64" i="4"/>
  <c r="K70" i="4"/>
  <c r="K72" i="4"/>
  <c r="K74" i="4"/>
  <c r="K76" i="4"/>
  <c r="K78" i="4"/>
  <c r="K80" i="4"/>
  <c r="K82" i="4"/>
  <c r="J49" i="4"/>
  <c r="D51" i="4"/>
  <c r="D57" i="4" s="1"/>
  <c r="J57" i="4" s="1"/>
  <c r="J48" i="4"/>
  <c r="J53" i="4"/>
  <c r="J50" i="4"/>
  <c r="J54" i="4"/>
  <c r="J55" i="4"/>
  <c r="H51" i="4"/>
  <c r="K56" i="4"/>
  <c r="J63" i="4"/>
  <c r="J81" i="4"/>
  <c r="J82" i="4"/>
  <c r="J80" i="4"/>
  <c r="J79" i="4"/>
  <c r="J78" i="4"/>
  <c r="J38" i="4" l="1"/>
  <c r="K33" i="4"/>
  <c r="B41" i="4"/>
  <c r="B65" i="4"/>
  <c r="J76" i="4"/>
  <c r="J69" i="4"/>
  <c r="J72" i="4"/>
  <c r="K69" i="4"/>
  <c r="I64" i="4"/>
  <c r="H64" i="4"/>
  <c r="J62" i="4"/>
  <c r="K62" i="4"/>
  <c r="K64" i="4"/>
  <c r="I57" i="4"/>
  <c r="H57" i="4"/>
  <c r="K52" i="4"/>
  <c r="J51" i="4"/>
  <c r="C51" i="4"/>
  <c r="K51" i="4"/>
  <c r="C57" i="4"/>
  <c r="K57" i="4" s="1"/>
  <c r="C58" i="4"/>
  <c r="D59" i="4"/>
  <c r="K36" i="4"/>
  <c r="J33" i="4"/>
  <c r="K25" i="4"/>
  <c r="K22" i="4"/>
  <c r="D12" i="4"/>
  <c r="J12" i="4" s="1"/>
  <c r="K15" i="4"/>
  <c r="C12" i="4"/>
  <c r="K8" i="4"/>
  <c r="K5" i="4"/>
  <c r="C38" i="4"/>
  <c r="K12" i="4" l="1"/>
  <c r="D11" i="4"/>
  <c r="D6" i="4" s="1"/>
  <c r="C11" i="4"/>
  <c r="C6" i="4" s="1"/>
  <c r="C10" i="4" s="1"/>
  <c r="C40" i="4"/>
  <c r="K38" i="4"/>
  <c r="J11" i="4" l="1"/>
  <c r="K6" i="4"/>
  <c r="K11" i="4"/>
  <c r="D10" i="4"/>
  <c r="J6" i="4"/>
  <c r="L9" i="4"/>
  <c r="L8" i="4"/>
  <c r="L7" i="4"/>
  <c r="L6" i="4"/>
  <c r="K40" i="4"/>
  <c r="C59" i="4"/>
  <c r="L10" i="4" l="1"/>
  <c r="J10" i="4"/>
  <c r="K10" i="4"/>
</calcChain>
</file>

<file path=xl/sharedStrings.xml><?xml version="1.0" encoding="utf-8"?>
<sst xmlns="http://schemas.openxmlformats.org/spreadsheetml/2006/main" count="368" uniqueCount="99">
  <si>
    <t xml:space="preserve">Wyszczególnienie </t>
  </si>
  <si>
    <t xml:space="preserve">Wykonanie </t>
  </si>
  <si>
    <t xml:space="preserve">Struktura </t>
  </si>
  <si>
    <t>Struktura dochodów  własnych</t>
  </si>
  <si>
    <t>w %%</t>
  </si>
  <si>
    <t>DOCHODY OGÓŁEM</t>
  </si>
  <si>
    <t>w tym:   inwestycyjne</t>
  </si>
  <si>
    <t xml:space="preserve">na zadania własne </t>
  </si>
  <si>
    <t>otrzymane z funduszy celowych</t>
  </si>
  <si>
    <t>na zadania z zakresu adm. rządowej</t>
  </si>
  <si>
    <t xml:space="preserve">na zadania realizowane na podstawie porozumień  z org. adm. rządowej </t>
  </si>
  <si>
    <t>na zadania realizowane na podstawie porozumień między jst</t>
  </si>
  <si>
    <t>Zobowiązania wg stanu na koniec 
okresu sprawozdawczego</t>
  </si>
  <si>
    <t>w tym:   wydatki na inwestycje</t>
  </si>
  <si>
    <t xml:space="preserve">wydatki majątkowe      </t>
  </si>
  <si>
    <t xml:space="preserve">WYNIK  </t>
  </si>
  <si>
    <t>Wyszczególnienie</t>
  </si>
  <si>
    <t>Plan (po zmianach)</t>
  </si>
  <si>
    <t>Wskaźnik 
(3:2)</t>
  </si>
  <si>
    <t xml:space="preserve">podatek dochodowy od osób fizycznych </t>
  </si>
  <si>
    <t>dochody z majątku</t>
  </si>
  <si>
    <t xml:space="preserve">pozostałe dochody </t>
  </si>
  <si>
    <t>Struktura</t>
  </si>
  <si>
    <t>Wskaźnik</t>
  </si>
  <si>
    <t>inne cele</t>
  </si>
  <si>
    <t>w tym wymagalne:</t>
  </si>
  <si>
    <t xml:space="preserve">podatek dochodowy od osób prawnych </t>
  </si>
  <si>
    <r>
      <t xml:space="preserve">Plan 
(po zmianach)
</t>
    </r>
    <r>
      <rPr>
        <b/>
        <sz val="10"/>
        <color indexed="8"/>
        <rFont val="Arial"/>
        <family val="2"/>
        <charset val="238"/>
      </rPr>
      <t>R1</t>
    </r>
  </si>
  <si>
    <r>
      <t xml:space="preserve">Dochody 
wykonane
(wpływy minus zwroty) 
</t>
    </r>
    <r>
      <rPr>
        <b/>
        <sz val="10"/>
        <color indexed="8"/>
        <rFont val="Arial"/>
        <family val="2"/>
        <charset val="238"/>
      </rPr>
      <t>R4</t>
    </r>
  </si>
  <si>
    <t>uzupełnienie subwencji ogólnej</t>
  </si>
  <si>
    <t>część równoważąca</t>
  </si>
  <si>
    <t>część oświatowa</t>
  </si>
  <si>
    <t>część wyrównawcza</t>
  </si>
  <si>
    <t>pozostałe wydatki</t>
  </si>
  <si>
    <t>wydatki na obsługę długu</t>
  </si>
  <si>
    <t>dotacje</t>
  </si>
  <si>
    <r>
      <t xml:space="preserve">powstałe w latach ubiegłych
</t>
    </r>
    <r>
      <rPr>
        <b/>
        <sz val="10"/>
        <rFont val="Arial"/>
        <family val="2"/>
        <charset val="238"/>
      </rPr>
      <t>R12U</t>
    </r>
  </si>
  <si>
    <r>
      <t xml:space="preserve">powstałe w roku bieżącym
</t>
    </r>
    <r>
      <rPr>
        <b/>
        <sz val="10"/>
        <rFont val="Arial"/>
        <family val="2"/>
        <charset val="238"/>
      </rPr>
      <t>R12B</t>
    </r>
  </si>
  <si>
    <r>
      <t xml:space="preserve">Plan 
(po zmianach)
</t>
    </r>
    <r>
      <rPr>
        <b/>
        <sz val="10"/>
        <rFont val="Arial"/>
        <family val="2"/>
        <charset val="238"/>
      </rPr>
      <t>R1</t>
    </r>
  </si>
  <si>
    <r>
      <t xml:space="preserve">Zaangażowanie
</t>
    </r>
    <r>
      <rPr>
        <b/>
        <sz val="10"/>
        <rFont val="Arial"/>
        <family val="2"/>
        <charset val="238"/>
      </rPr>
      <t>R10</t>
    </r>
  </si>
  <si>
    <r>
      <t xml:space="preserve">Wydatki
 wykonane
</t>
    </r>
    <r>
      <rPr>
        <b/>
        <sz val="10"/>
        <rFont val="Arial"/>
        <family val="2"/>
        <charset val="238"/>
      </rPr>
      <t>R4</t>
    </r>
  </si>
  <si>
    <r>
      <t xml:space="preserve">ogółem
</t>
    </r>
    <r>
      <rPr>
        <b/>
        <sz val="10"/>
        <rFont val="Arial"/>
        <family val="2"/>
        <charset val="238"/>
      </rPr>
      <t>R11</t>
    </r>
  </si>
  <si>
    <t>Razem dochody własne 
z tego:</t>
  </si>
  <si>
    <t>Dotacje celowe 
z tego:</t>
  </si>
  <si>
    <t>Subwencja ogólna 
z tego:</t>
  </si>
  <si>
    <t>WYDATKI OGÓŁEM 
z tego:</t>
  </si>
  <si>
    <t>wydatki bieżące 
z tego:</t>
  </si>
  <si>
    <t>Przychody ogółem 
z tego:</t>
  </si>
  <si>
    <t>Rozchody ogółem 
z tego:</t>
  </si>
  <si>
    <t>kwartał</t>
  </si>
  <si>
    <t>rok</t>
  </si>
  <si>
    <t>stanNa</t>
  </si>
  <si>
    <t>wydatki z tytułu udzielania poręczeń i gwarancji</t>
  </si>
  <si>
    <t>świadczenia na rzecz osób fizycznych</t>
  </si>
  <si>
    <t>w tym: inwestycyjne § 620</t>
  </si>
  <si>
    <t>tytul</t>
  </si>
  <si>
    <t>majątkowe</t>
  </si>
  <si>
    <t>bieżące</t>
  </si>
  <si>
    <t>UE</t>
  </si>
  <si>
    <t>wydatki majątkowe</t>
  </si>
  <si>
    <t>wydatki bieżące</t>
  </si>
  <si>
    <t>w złotych</t>
  </si>
  <si>
    <t>z tytułu pomocy finansowej udzielanej między jst na dofinansowanie własnych zadań</t>
  </si>
  <si>
    <t>inne źródła</t>
  </si>
  <si>
    <t>sprzedaż papierów wartościowych wyemitowanych przez jednostkę samorządu terytorialnego</t>
  </si>
  <si>
    <t>kredyty i pożyczki</t>
  </si>
  <si>
    <t>prywatyzacja majątku jednostki samorządu terytorialnego</t>
  </si>
  <si>
    <t>wolne środki jako nadwyżka środków pieniężnych na rachunku  bieżącym budżetu jednostki samorządu terytorialnego, wynikających  z rozliczeń wyemitowanych papierów wartościowych, kredytów i  pożyczek z lat ubiegłych</t>
  </si>
  <si>
    <t>w tym: inwestycyjne § 625</t>
  </si>
  <si>
    <r>
      <t xml:space="preserve">Wydatki, które nie wygasły 
z upływem roku budżetowego) 
(art.263 ust. 2 ustawy 
o finansach publicznych) 
</t>
    </r>
    <r>
      <rPr>
        <b/>
        <sz val="10"/>
        <rFont val="Arial"/>
        <family val="2"/>
        <charset val="238"/>
      </rPr>
      <t>R9</t>
    </r>
  </si>
  <si>
    <t>Dotacje §§ 200 i 620</t>
  </si>
  <si>
    <t>Dotacje §§ 205 i 625</t>
  </si>
  <si>
    <t>kredyty, pożyczki, emisja papierów wartościowych w tym:</t>
  </si>
  <si>
    <t>ze sprzedaży papierów wartościowych</t>
  </si>
  <si>
    <t>spłata  udzielonych pożyczek</t>
  </si>
  <si>
    <t>prywatyzacja majątku JST</t>
  </si>
  <si>
    <t>wolne środki, o których mowa w art. 217 ust. 2 pkt 6 ustawy o finansach publicznych</t>
  </si>
  <si>
    <t>wykup papierów wartościowych</t>
  </si>
  <si>
    <t>spłaty kredytów i  pożyczek, wykup papierów wartościowych w tym:</t>
  </si>
  <si>
    <t>otrzymane ze środków z Funduszu Przeciwdziałania COVID-19 (m.in. z Rządowego Funduszu Inwestycji Lokalnych)</t>
  </si>
  <si>
    <t>na finansowanie lub dofinansowanie zadań inwestycyjnych obiektów zabytkowych oraz prac remontowych i konserwatorskich przy zabytkach</t>
  </si>
  <si>
    <t>w tym: inwestycyjne</t>
  </si>
  <si>
    <t>nadwyżka z lat ubiegłych, pomniejszona o niewykorzystane środki pieniężne, o których mowa w art. 217 ust. 2 pkt 8 ustawy o finansach publicznych</t>
  </si>
  <si>
    <t>niewykorzystane środki pieniężne, o których mowa w art. 217 ust. 2 pkt 8 ustawy o finansach publicznych</t>
  </si>
  <si>
    <t>nadwyżka budżetu jednostki samorządu terytorialnego z lat ubiegłych, pomniejszona o środki określone w art. 217 ust. 2 pkt 8 ustawy o finansach publicznych</t>
  </si>
  <si>
    <t>niewykorzystane środki pieniężne na rachunku bieżącym budżetu, wynikające z rozliczenia dochodów i wydatków nimi finansowanych związanych ze szczególnymi zasadami wykonywania budżetu określonymi w odrębnych ustawach oraz wynikających z rozliczenia środków określonych w art. 5 ust. 1 pkt 2 ustawy o finansach publicznych i dotacji na realizację programu, projektu lub zadania finansowanego z udziałem tych środków</t>
  </si>
  <si>
    <t>spłaty udzielonych pożyczek w latach ubiegłych</t>
  </si>
  <si>
    <t>udzielone pożyczki</t>
  </si>
  <si>
    <t>wynagrodzenia i składki od nich naliczane</t>
  </si>
  <si>
    <t>#</t>
  </si>
  <si>
    <r>
      <t xml:space="preserve">Obniżenie górnych stawek podatkowych
</t>
    </r>
    <r>
      <rPr>
        <b/>
        <sz val="10"/>
        <color indexed="8"/>
        <rFont val="Arial"/>
        <family val="2"/>
        <charset val="238"/>
      </rPr>
      <t>R7</t>
    </r>
  </si>
  <si>
    <r>
      <t xml:space="preserve">Ulgi i zwolnienia
</t>
    </r>
    <r>
      <rPr>
        <b/>
        <sz val="10"/>
        <color indexed="8"/>
        <rFont val="Arial"/>
        <family val="2"/>
        <charset val="238"/>
      </rPr>
      <t>R8</t>
    </r>
  </si>
  <si>
    <r>
      <t xml:space="preserve">Umorzenie zaległości podatkowych
</t>
    </r>
    <r>
      <rPr>
        <b/>
        <sz val="10"/>
        <color indexed="8"/>
        <rFont val="Arial"/>
        <family val="2"/>
        <charset val="238"/>
      </rPr>
      <t>R11Z</t>
    </r>
  </si>
  <si>
    <r>
      <t xml:space="preserve">Rozłożenie na raty, odroczenie terminu płatności
</t>
    </r>
    <r>
      <rPr>
        <b/>
        <sz val="10"/>
        <color indexed="8"/>
        <rFont val="Arial"/>
        <family val="2"/>
        <charset val="238"/>
      </rPr>
      <t>R11R</t>
    </r>
  </si>
  <si>
    <r>
      <t xml:space="preserve">Potrącenia 
</t>
    </r>
    <r>
      <rPr>
        <b/>
        <sz val="10"/>
        <color indexed="8"/>
        <rFont val="Arial"/>
        <family val="2"/>
        <charset val="238"/>
      </rPr>
      <t>R3</t>
    </r>
  </si>
  <si>
    <t>Dotacje ogółem 
z tego:</t>
  </si>
  <si>
    <t>FINANSOWANIE DEFICYTU (E1+E2+E3+E4+E5+E6+E7) 
z tego:</t>
  </si>
  <si>
    <t>Wydatki ogółem UE 
z tego:</t>
  </si>
  <si>
    <t>Dochody bieżące
minus
wydatki bieżące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</si>
</sst>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z_ł_-;\-* #,##0.00\ _z_ł_-;_-* &quot;-&quot;??\ _z_ł_-;_-@_-"/>
    <numFmt numFmtId="164" formatCode="#,##0.0"/>
    <numFmt numFmtId="165" formatCode="dd/mm/yy\ h:mm;@"/>
  </numFmts>
  <fonts count="38" x14ac:knownFonts="1">
    <font>
      <sz val="10"/>
      <name val="Arial CE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sz val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9"/>
      <name val="Arial"/>
      <family val="2"/>
      <charset val="238"/>
    </font>
    <font>
      <sz val="9.5"/>
      <name val="Arial"/>
      <family val="2"/>
      <charset val="238"/>
    </font>
    <font>
      <b/>
      <sz val="10"/>
      <name val="Arial"/>
      <family val="2"/>
      <charset val="238"/>
    </font>
    <font>
      <b/>
      <sz val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10"/>
      <name val="Arial CE"/>
      <charset val="238"/>
    </font>
    <font>
      <sz val="14"/>
      <name val="Arial"/>
      <family val="2"/>
      <charset val="238"/>
    </font>
    <font>
      <b/>
      <sz val="7"/>
      <color indexed="8"/>
      <name val="Arial"/>
      <family val="2"/>
      <charset val="238"/>
    </font>
    <font>
      <sz val="7"/>
      <color indexed="8"/>
      <name val="Arial"/>
      <family val="2"/>
      <charset val="238"/>
    </font>
    <font>
      <sz val="7"/>
      <name val="Arial"/>
      <family val="2"/>
      <charset val="238"/>
    </font>
    <font>
      <b/>
      <sz val="7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8"/>
      <color theme="1"/>
      <name val="Arial"/>
      <family val="2"/>
      <charset val="238"/>
    </font>
  </fonts>
  <fills count="24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14"/>
      </patternFill>
    </fill>
    <fill>
      <patternFill patternType="solid">
        <fgColor indexed="42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10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6"/>
      </patternFill>
    </fill>
    <fill>
      <patternFill patternType="solid">
        <fgColor indexed="45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4">
    <xf numFmtId="0" fontId="0" fillId="0" borderId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2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9" borderId="0" applyNumberFormat="0" applyBorder="0" applyAlignment="0" applyProtection="0"/>
    <xf numFmtId="0" fontId="13" fillId="3" borderId="0" applyNumberFormat="0" applyBorder="0" applyAlignment="0" applyProtection="0"/>
    <xf numFmtId="0" fontId="13" fillId="10" borderId="0" applyNumberFormat="0" applyBorder="0" applyAlignment="0" applyProtection="0"/>
    <xf numFmtId="0" fontId="13" fillId="9" borderId="0" applyNumberFormat="0" applyBorder="0" applyAlignment="0" applyProtection="0"/>
    <xf numFmtId="0" fontId="13" fillId="11" borderId="0" applyNumberFormat="0" applyBorder="0" applyAlignment="0" applyProtection="0"/>
    <xf numFmtId="0" fontId="13" fillId="6" borderId="0" applyNumberFormat="0" applyBorder="0" applyAlignment="0" applyProtection="0"/>
    <xf numFmtId="0" fontId="14" fillId="12" borderId="0" applyNumberFormat="0" applyBorder="0" applyAlignment="0" applyProtection="0"/>
    <xf numFmtId="0" fontId="14" fillId="3" borderId="0" applyNumberFormat="0" applyBorder="0" applyAlignment="0" applyProtection="0"/>
    <xf numFmtId="0" fontId="14" fillId="10" borderId="0" applyNumberFormat="0" applyBorder="0" applyAlignment="0" applyProtection="0"/>
    <xf numFmtId="0" fontId="14" fillId="9" borderId="0" applyNumberFormat="0" applyBorder="0" applyAlignment="0" applyProtection="0"/>
    <xf numFmtId="0" fontId="14" fillId="12" borderId="0" applyNumberFormat="0" applyBorder="0" applyAlignment="0" applyProtection="0"/>
    <xf numFmtId="0" fontId="14" fillId="6" borderId="0" applyNumberFormat="0" applyBorder="0" applyAlignment="0" applyProtection="0"/>
    <xf numFmtId="0" fontId="14" fillId="12" borderId="0" applyNumberFormat="0" applyBorder="0" applyAlignment="0" applyProtection="0"/>
    <xf numFmtId="0" fontId="14" fillId="14" borderId="0" applyNumberFormat="0" applyBorder="0" applyAlignment="0" applyProtection="0"/>
    <xf numFmtId="0" fontId="14" fillId="13" borderId="0" applyNumberFormat="0" applyBorder="0" applyAlignment="0" applyProtection="0"/>
    <xf numFmtId="0" fontId="14" fillId="15" borderId="0" applyNumberFormat="0" applyBorder="0" applyAlignment="0" applyProtection="0"/>
    <xf numFmtId="0" fontId="14" fillId="12" borderId="0" applyNumberFormat="0" applyBorder="0" applyAlignment="0" applyProtection="0"/>
    <xf numFmtId="0" fontId="14" fillId="16" borderId="0" applyNumberFormat="0" applyBorder="0" applyAlignment="0" applyProtection="0"/>
    <xf numFmtId="0" fontId="15" fillId="18" borderId="0" applyNumberFormat="0" applyBorder="0" applyAlignment="0" applyProtection="0"/>
    <xf numFmtId="0" fontId="16" fillId="7" borderId="1" applyNumberFormat="0" applyAlignment="0" applyProtection="0"/>
    <xf numFmtId="0" fontId="17" fillId="17" borderId="2" applyNumberFormat="0" applyAlignment="0" applyProtection="0"/>
    <xf numFmtId="43" fontId="30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8" borderId="0" applyNumberFormat="0" applyBorder="0" applyAlignment="0" applyProtection="0"/>
    <xf numFmtId="0" fontId="20" fillId="0" borderId="4" applyNumberFormat="0" applyFill="0" applyAlignment="0" applyProtection="0"/>
    <xf numFmtId="0" fontId="21" fillId="0" borderId="5" applyNumberFormat="0" applyFill="0" applyAlignment="0" applyProtection="0"/>
    <xf numFmtId="0" fontId="22" fillId="0" borderId="6" applyNumberFormat="0" applyFill="0" applyAlignment="0" applyProtection="0"/>
    <xf numFmtId="0" fontId="22" fillId="0" borderId="0" applyNumberFormat="0" applyFill="0" applyBorder="0" applyAlignment="0" applyProtection="0"/>
    <xf numFmtId="0" fontId="23" fillId="6" borderId="1" applyNumberFormat="0" applyAlignment="0" applyProtection="0"/>
    <xf numFmtId="0" fontId="24" fillId="0" borderId="7" applyNumberFormat="0" applyFill="0" applyAlignment="0" applyProtection="0"/>
    <xf numFmtId="0" fontId="25" fillId="10" borderId="0" applyNumberFormat="0" applyBorder="0" applyAlignment="0" applyProtection="0"/>
    <xf numFmtId="0" fontId="36" fillId="0" borderId="0"/>
    <xf numFmtId="0" fontId="1" fillId="4" borderId="8" applyNumberFormat="0" applyFont="0" applyAlignment="0" applyProtection="0"/>
    <xf numFmtId="0" fontId="26" fillId="7" borderId="3" applyNumberFormat="0" applyAlignment="0" applyProtection="0"/>
    <xf numFmtId="0" fontId="27" fillId="0" borderId="0" applyNumberFormat="0" applyFill="0" applyBorder="0" applyAlignment="0" applyProtection="0"/>
    <xf numFmtId="0" fontId="28" fillId="0" borderId="9" applyNumberFormat="0" applyFill="0" applyAlignment="0" applyProtection="0"/>
    <xf numFmtId="0" fontId="29" fillId="0" borderId="0" applyNumberFormat="0" applyFill="0" applyBorder="0" applyAlignment="0" applyProtection="0"/>
  </cellStyleXfs>
  <cellXfs count="160">
    <xf numFmtId="0" fontId="0" fillId="0" borderId="0" xfId="0"/>
    <xf numFmtId="0" fontId="2" fillId="0" borderId="0" xfId="0" applyFont="1"/>
    <xf numFmtId="0" fontId="6" fillId="0" borderId="0" xfId="0" applyFont="1" applyFill="1" applyAlignment="1">
      <alignment horizontal="left" vertical="center"/>
    </xf>
    <xf numFmtId="164" fontId="2" fillId="0" borderId="0" xfId="0" applyNumberFormat="1" applyFont="1" applyFill="1"/>
    <xf numFmtId="0" fontId="8" fillId="0" borderId="0" xfId="0" applyFont="1" applyFill="1" applyAlignment="1">
      <alignment vertical="center"/>
    </xf>
    <xf numFmtId="0" fontId="2" fillId="0" borderId="0" xfId="0" applyFont="1" applyFill="1"/>
    <xf numFmtId="0" fontId="5" fillId="0" borderId="0" xfId="0" applyFont="1" applyFill="1" applyBorder="1" applyAlignment="1">
      <alignment horizontal="left" vertical="center"/>
    </xf>
    <xf numFmtId="3" fontId="5" fillId="0" borderId="0" xfId="0" applyNumberFormat="1" applyFont="1" applyFill="1" applyBorder="1" applyAlignment="1">
      <alignment horizontal="left" vertical="center"/>
    </xf>
    <xf numFmtId="3" fontId="5" fillId="0" borderId="0" xfId="0" applyNumberFormat="1" applyFont="1" applyFill="1" applyBorder="1" applyAlignment="1">
      <alignment horizontal="right" vertical="center"/>
    </xf>
    <xf numFmtId="164" fontId="5" fillId="0" borderId="0" xfId="0" applyNumberFormat="1" applyFont="1" applyFill="1" applyBorder="1" applyAlignment="1">
      <alignment horizontal="center" vertical="center"/>
    </xf>
    <xf numFmtId="0" fontId="2" fillId="0" borderId="0" xfId="0" applyFont="1" applyBorder="1"/>
    <xf numFmtId="0" fontId="3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4" fillId="19" borderId="1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/>
    </xf>
    <xf numFmtId="0" fontId="4" fillId="19" borderId="10" xfId="0" applyFont="1" applyFill="1" applyBorder="1" applyAlignment="1">
      <alignment horizontal="center" vertical="center"/>
    </xf>
    <xf numFmtId="0" fontId="6" fillId="19" borderId="10" xfId="0" applyFont="1" applyFill="1" applyBorder="1" applyAlignment="1">
      <alignment horizontal="center" vertical="center" wrapText="1"/>
    </xf>
    <xf numFmtId="0" fontId="6" fillId="19" borderId="10" xfId="0" applyFont="1" applyFill="1" applyBorder="1" applyAlignment="1">
      <alignment horizontal="center" vertical="center"/>
    </xf>
    <xf numFmtId="0" fontId="7" fillId="20" borderId="10" xfId="0" applyFont="1" applyFill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 indent="1"/>
    </xf>
    <xf numFmtId="164" fontId="6" fillId="0" borderId="0" xfId="0" applyNumberFormat="1" applyFont="1" applyAlignment="1">
      <alignment horizontal="right" vertical="center"/>
    </xf>
    <xf numFmtId="164" fontId="6" fillId="0" borderId="0" xfId="0" applyNumberFormat="1" applyFont="1" applyFill="1" applyAlignment="1">
      <alignment horizontal="right" vertical="center"/>
    </xf>
    <xf numFmtId="0" fontId="4" fillId="0" borderId="10" xfId="0" applyFont="1" applyFill="1" applyBorder="1" applyAlignment="1">
      <alignment horizontal="left" vertical="center" wrapText="1" indent="1"/>
    </xf>
    <xf numFmtId="0" fontId="7" fillId="0" borderId="13" xfId="0" applyFont="1" applyBorder="1" applyAlignment="1">
      <alignment horizontal="center" vertical="center"/>
    </xf>
    <xf numFmtId="0" fontId="6" fillId="0" borderId="10" xfId="0" applyFont="1" applyBorder="1"/>
    <xf numFmtId="0" fontId="6" fillId="0" borderId="0" xfId="0" applyFont="1"/>
    <xf numFmtId="0" fontId="6" fillId="19" borderId="10" xfId="0" applyNumberFormat="1" applyFont="1" applyFill="1" applyBorder="1" applyAlignment="1">
      <alignment horizontal="center" vertical="center" wrapText="1"/>
    </xf>
    <xf numFmtId="0" fontId="6" fillId="19" borderId="10" xfId="0" applyFont="1" applyFill="1" applyBorder="1" applyAlignment="1">
      <alignment horizontal="center"/>
    </xf>
    <xf numFmtId="0" fontId="10" fillId="19" borderId="10" xfId="0" applyFont="1" applyFill="1" applyBorder="1" applyAlignment="1">
      <alignment horizontal="center" vertical="center" wrapText="1"/>
    </xf>
    <xf numFmtId="0" fontId="6" fillId="19" borderId="14" xfId="0" applyFont="1" applyFill="1" applyBorder="1" applyAlignment="1">
      <alignment horizontal="center"/>
    </xf>
    <xf numFmtId="4" fontId="32" fillId="20" borderId="10" xfId="0" applyNumberFormat="1" applyFont="1" applyFill="1" applyBorder="1" applyAlignment="1">
      <alignment horizontal="right" vertical="center"/>
    </xf>
    <xf numFmtId="164" fontId="32" fillId="20" borderId="10" xfId="0" applyNumberFormat="1" applyFont="1" applyFill="1" applyBorder="1" applyAlignment="1">
      <alignment horizontal="right" vertical="center"/>
    </xf>
    <xf numFmtId="4" fontId="33" fillId="0" borderId="10" xfId="0" applyNumberFormat="1" applyFont="1" applyFill="1" applyBorder="1" applyAlignment="1">
      <alignment horizontal="right" vertical="center"/>
    </xf>
    <xf numFmtId="164" fontId="33" fillId="0" borderId="10" xfId="0" applyNumberFormat="1" applyFont="1" applyFill="1" applyBorder="1" applyAlignment="1">
      <alignment horizontal="right" vertical="center"/>
    </xf>
    <xf numFmtId="164" fontId="33" fillId="20" borderId="10" xfId="0" applyNumberFormat="1" applyFont="1" applyFill="1" applyBorder="1" applyAlignment="1">
      <alignment horizontal="right" vertical="center"/>
    </xf>
    <xf numFmtId="4" fontId="33" fillId="0" borderId="10" xfId="0" applyNumberFormat="1" applyFont="1" applyBorder="1" applyAlignment="1">
      <alignment horizontal="right" vertical="center"/>
    </xf>
    <xf numFmtId="164" fontId="34" fillId="0" borderId="0" xfId="0" applyNumberFormat="1" applyFont="1" applyAlignment="1">
      <alignment horizontal="right" vertical="center"/>
    </xf>
    <xf numFmtId="0" fontId="12" fillId="0" borderId="0" xfId="0" applyFont="1" applyBorder="1" applyAlignment="1">
      <alignment horizontal="left" vertical="center"/>
    </xf>
    <xf numFmtId="4" fontId="32" fillId="20" borderId="10" xfId="0" applyNumberFormat="1" applyFont="1" applyFill="1" applyBorder="1" applyAlignment="1">
      <alignment horizontal="right" vertical="center" wrapText="1"/>
    </xf>
    <xf numFmtId="164" fontId="35" fillId="20" borderId="10" xfId="0" applyNumberFormat="1" applyFont="1" applyFill="1" applyBorder="1" applyAlignment="1">
      <alignment horizontal="right" vertical="center"/>
    </xf>
    <xf numFmtId="0" fontId="34" fillId="0" borderId="0" xfId="0" applyFont="1"/>
    <xf numFmtId="0" fontId="34" fillId="0" borderId="0" xfId="0" applyFont="1" applyBorder="1"/>
    <xf numFmtId="3" fontId="32" fillId="0" borderId="0" xfId="0" applyNumberFormat="1" applyFont="1" applyBorder="1" applyAlignment="1">
      <alignment horizontal="right" vertical="center"/>
    </xf>
    <xf numFmtId="164" fontId="34" fillId="0" borderId="0" xfId="0" applyNumberFormat="1" applyFont="1"/>
    <xf numFmtId="4" fontId="35" fillId="20" borderId="14" xfId="0" applyNumberFormat="1" applyFont="1" applyFill="1" applyBorder="1" applyAlignment="1">
      <alignment horizontal="right" vertical="center"/>
    </xf>
    <xf numFmtId="164" fontId="35" fillId="20" borderId="10" xfId="28" applyNumberFormat="1" applyFont="1" applyFill="1" applyBorder="1" applyAlignment="1">
      <alignment horizontal="right" vertical="center"/>
    </xf>
    <xf numFmtId="4" fontId="34" fillId="0" borderId="14" xfId="0" applyNumberFormat="1" applyFont="1" applyBorder="1" applyAlignment="1">
      <alignment horizontal="right" vertical="center"/>
    </xf>
    <xf numFmtId="164" fontId="35" fillId="22" borderId="10" xfId="28" applyNumberFormat="1" applyFont="1" applyFill="1" applyBorder="1" applyAlignment="1">
      <alignment horizontal="right" vertical="center"/>
    </xf>
    <xf numFmtId="164" fontId="35" fillId="22" borderId="10" xfId="0" applyNumberFormat="1" applyFont="1" applyFill="1" applyBorder="1" applyAlignment="1">
      <alignment horizontal="right" vertical="center"/>
    </xf>
    <xf numFmtId="4" fontId="34" fillId="23" borderId="14" xfId="0" applyNumberFormat="1" applyFont="1" applyFill="1" applyBorder="1" applyAlignment="1">
      <alignment horizontal="right" vertical="center"/>
    </xf>
    <xf numFmtId="164" fontId="35" fillId="23" borderId="10" xfId="0" applyNumberFormat="1" applyFont="1" applyFill="1" applyBorder="1" applyAlignment="1">
      <alignment horizontal="right" vertical="center"/>
    </xf>
    <xf numFmtId="4" fontId="35" fillId="23" borderId="14" xfId="0" applyNumberFormat="1" applyFont="1" applyFill="1" applyBorder="1" applyAlignment="1">
      <alignment horizontal="right" vertical="center"/>
    </xf>
    <xf numFmtId="0" fontId="11" fillId="19" borderId="10" xfId="0" applyFont="1" applyFill="1" applyBorder="1" applyAlignment="1">
      <alignment horizontal="center" vertical="center" wrapText="1"/>
    </xf>
    <xf numFmtId="0" fontId="37" fillId="23" borderId="10" xfId="38" applyFont="1" applyFill="1" applyBorder="1" applyAlignment="1">
      <alignment horizontal="left" vertical="top" wrapText="1"/>
    </xf>
    <xf numFmtId="4" fontId="32" fillId="23" borderId="10" xfId="0" applyNumberFormat="1" applyFont="1" applyFill="1" applyBorder="1" applyAlignment="1">
      <alignment horizontal="right" vertical="center"/>
    </xf>
    <xf numFmtId="164" fontId="32" fillId="23" borderId="10" xfId="0" applyNumberFormat="1" applyFont="1" applyFill="1" applyBorder="1" applyAlignment="1">
      <alignment horizontal="right" vertical="center"/>
    </xf>
    <xf numFmtId="4" fontId="34" fillId="0" borderId="10" xfId="0" applyNumberFormat="1" applyFont="1" applyFill="1" applyBorder="1" applyAlignment="1">
      <alignment horizontal="right" vertical="center"/>
    </xf>
    <xf numFmtId="164" fontId="33" fillId="0" borderId="0" xfId="0" applyNumberFormat="1" applyFont="1" applyFill="1" applyBorder="1" applyAlignment="1">
      <alignment horizontal="right" vertical="center"/>
    </xf>
    <xf numFmtId="4" fontId="33" fillId="23" borderId="10" xfId="0" applyNumberFormat="1" applyFont="1" applyFill="1" applyBorder="1" applyAlignment="1">
      <alignment horizontal="right" vertical="center"/>
    </xf>
    <xf numFmtId="164" fontId="33" fillId="23" borderId="10" xfId="0" applyNumberFormat="1" applyFont="1" applyFill="1" applyBorder="1" applyAlignment="1">
      <alignment horizontal="right" vertical="center"/>
    </xf>
    <xf numFmtId="4" fontId="35" fillId="23" borderId="10" xfId="0" applyNumberFormat="1" applyFont="1" applyFill="1" applyBorder="1" applyAlignment="1">
      <alignment horizontal="right" vertical="center"/>
    </xf>
    <xf numFmtId="4" fontId="33" fillId="0" borderId="10" xfId="0" applyNumberFormat="1" applyFont="1" applyFill="1" applyBorder="1" applyAlignment="1">
      <alignment horizontal="right" vertical="center" wrapText="1"/>
    </xf>
    <xf numFmtId="4" fontId="33" fillId="23" borderId="10" xfId="0" applyNumberFormat="1" applyFont="1" applyFill="1" applyBorder="1" applyAlignment="1">
      <alignment horizontal="right" vertical="center" wrapText="1"/>
    </xf>
    <xf numFmtId="164" fontId="34" fillId="23" borderId="10" xfId="0" applyNumberFormat="1" applyFont="1" applyFill="1" applyBorder="1" applyAlignment="1">
      <alignment horizontal="right" vertical="center"/>
    </xf>
    <xf numFmtId="4" fontId="32" fillId="23" borderId="10" xfId="0" applyNumberFormat="1" applyFont="1" applyFill="1" applyBorder="1" applyAlignment="1">
      <alignment horizontal="right" vertical="center" wrapText="1"/>
    </xf>
    <xf numFmtId="4" fontId="32" fillId="20" borderId="11" xfId="0" applyNumberFormat="1" applyFont="1" applyFill="1" applyBorder="1" applyAlignment="1">
      <alignment horizontal="right" vertical="center" wrapText="1"/>
    </xf>
    <xf numFmtId="4" fontId="34" fillId="0" borderId="14" xfId="0" applyNumberFormat="1" applyFont="1" applyFill="1" applyBorder="1" applyAlignment="1">
      <alignment horizontal="right" vertical="center"/>
    </xf>
    <xf numFmtId="164" fontId="35" fillId="0" borderId="10" xfId="28" applyNumberFormat="1" applyFont="1" applyFill="1" applyBorder="1" applyAlignment="1">
      <alignment horizontal="right" vertical="center"/>
    </xf>
    <xf numFmtId="164" fontId="35" fillId="0" borderId="10" xfId="0" applyNumberFormat="1" applyFont="1" applyFill="1" applyBorder="1" applyAlignment="1">
      <alignment horizontal="right" vertical="center"/>
    </xf>
    <xf numFmtId="4" fontId="33" fillId="22" borderId="10" xfId="0" applyNumberFormat="1" applyFont="1" applyFill="1" applyBorder="1" applyAlignment="1">
      <alignment horizontal="right" vertical="center"/>
    </xf>
    <xf numFmtId="164" fontId="33" fillId="22" borderId="10" xfId="0" applyNumberFormat="1" applyFont="1" applyFill="1" applyBorder="1" applyAlignment="1">
      <alignment horizontal="right" vertical="center"/>
    </xf>
    <xf numFmtId="0" fontId="6" fillId="19" borderId="14" xfId="0" applyFont="1" applyFill="1" applyBorder="1" applyAlignment="1">
      <alignment horizontal="center" vertical="center"/>
    </xf>
    <xf numFmtId="4" fontId="35" fillId="23" borderId="10" xfId="0" applyNumberFormat="1" applyFont="1" applyFill="1" applyBorder="1" applyAlignment="1">
      <alignment horizontal="right" vertical="center"/>
    </xf>
    <xf numFmtId="0" fontId="6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/>
    </xf>
    <xf numFmtId="4" fontId="33" fillId="0" borderId="0" xfId="0" applyNumberFormat="1" applyFont="1" applyFill="1" applyBorder="1" applyAlignment="1">
      <alignment horizontal="right" vertical="center" wrapText="1"/>
    </xf>
    <xf numFmtId="4" fontId="33" fillId="0" borderId="0" xfId="0" applyNumberFormat="1" applyFont="1" applyFill="1" applyBorder="1" applyAlignment="1">
      <alignment horizontal="right" vertical="center"/>
    </xf>
    <xf numFmtId="4" fontId="35" fillId="0" borderId="0" xfId="0" applyNumberFormat="1" applyFont="1" applyFill="1" applyBorder="1" applyAlignment="1">
      <alignment horizontal="right" vertical="center"/>
    </xf>
    <xf numFmtId="4" fontId="32" fillId="0" borderId="0" xfId="0" applyNumberFormat="1" applyFont="1" applyFill="1" applyBorder="1" applyAlignment="1">
      <alignment horizontal="right" vertical="center" wrapText="1"/>
    </xf>
    <xf numFmtId="0" fontId="6" fillId="19" borderId="10" xfId="0" applyFont="1" applyFill="1" applyBorder="1" applyAlignment="1">
      <alignment vertical="center"/>
    </xf>
    <xf numFmtId="4" fontId="35" fillId="23" borderId="10" xfId="0" applyNumberFormat="1" applyFont="1" applyFill="1" applyBorder="1" applyAlignment="1">
      <alignment vertical="center"/>
    </xf>
    <xf numFmtId="4" fontId="32" fillId="23" borderId="10" xfId="0" applyNumberFormat="1" applyFont="1" applyFill="1" applyBorder="1" applyAlignment="1">
      <alignment vertical="center" wrapText="1"/>
    </xf>
    <xf numFmtId="4" fontId="33" fillId="0" borderId="10" xfId="0" applyNumberFormat="1" applyFont="1" applyBorder="1" applyAlignment="1">
      <alignment vertical="center"/>
    </xf>
    <xf numFmtId="4" fontId="33" fillId="0" borderId="10" xfId="0" applyNumberFormat="1" applyFont="1" applyFill="1" applyBorder="1" applyAlignment="1">
      <alignment vertical="center" wrapText="1"/>
    </xf>
    <xf numFmtId="4" fontId="33" fillId="0" borderId="10" xfId="0" applyNumberFormat="1" applyFont="1" applyFill="1" applyBorder="1" applyAlignment="1">
      <alignment vertical="center"/>
    </xf>
    <xf numFmtId="4" fontId="33" fillId="0" borderId="14" xfId="0" applyNumberFormat="1" applyFont="1" applyFill="1" applyBorder="1" applyAlignment="1">
      <alignment vertical="center" wrapText="1"/>
    </xf>
    <xf numFmtId="4" fontId="33" fillId="0" borderId="15" xfId="0" applyNumberFormat="1" applyFont="1" applyBorder="1" applyAlignment="1">
      <alignment horizontal="right" vertical="center"/>
    </xf>
    <xf numFmtId="4" fontId="33" fillId="0" borderId="16" xfId="0" applyNumberFormat="1" applyFont="1" applyBorder="1" applyAlignment="1">
      <alignment vertical="center" wrapText="1"/>
    </xf>
    <xf numFmtId="4" fontId="34" fillId="0" borderId="0" xfId="0" applyNumberFormat="1" applyFont="1" applyFill="1" applyBorder="1" applyAlignment="1">
      <alignment horizontal="right" vertical="center"/>
    </xf>
    <xf numFmtId="0" fontId="32" fillId="0" borderId="0" xfId="0" applyFont="1" applyFill="1" applyBorder="1" applyAlignment="1">
      <alignment horizontal="left" vertical="center"/>
    </xf>
    <xf numFmtId="0" fontId="34" fillId="0" borderId="0" xfId="0" applyFont="1" applyFill="1" applyBorder="1"/>
    <xf numFmtId="4" fontId="32" fillId="0" borderId="17" xfId="0" applyNumberFormat="1" applyFont="1" applyFill="1" applyBorder="1" applyAlignment="1">
      <alignment horizontal="right" vertical="center" wrapText="1"/>
    </xf>
    <xf numFmtId="4" fontId="32" fillId="0" borderId="16" xfId="0" applyNumberFormat="1" applyFont="1" applyFill="1" applyBorder="1" applyAlignment="1">
      <alignment horizontal="right" vertical="center" wrapText="1"/>
    </xf>
    <xf numFmtId="4" fontId="32" fillId="0" borderId="18" xfId="0" applyNumberFormat="1" applyFont="1" applyFill="1" applyBorder="1" applyAlignment="1">
      <alignment horizontal="right" vertical="center" wrapText="1"/>
    </xf>
    <xf numFmtId="4" fontId="34" fillId="0" borderId="18" xfId="0" applyNumberFormat="1" applyFont="1" applyFill="1" applyBorder="1" applyAlignment="1">
      <alignment horizontal="right" vertical="center"/>
    </xf>
    <xf numFmtId="0" fontId="6" fillId="19" borderId="14" xfId="0" applyFont="1" applyFill="1" applyBorder="1" applyAlignment="1">
      <alignment vertical="center"/>
    </xf>
    <xf numFmtId="4" fontId="34" fillId="23" borderId="10" xfId="0" applyNumberFormat="1" applyFont="1" applyFill="1" applyBorder="1" applyAlignment="1">
      <alignment horizontal="right" vertical="center"/>
    </xf>
    <xf numFmtId="4" fontId="32" fillId="23" borderId="10" xfId="0" applyNumberFormat="1" applyFont="1" applyFill="1" applyBorder="1" applyAlignment="1">
      <alignment horizontal="center" vertical="center"/>
    </xf>
    <xf numFmtId="4" fontId="34" fillId="0" borderId="10" xfId="0" applyNumberFormat="1" applyFont="1" applyBorder="1" applyAlignment="1">
      <alignment horizontal="right" vertical="center"/>
    </xf>
    <xf numFmtId="4" fontId="34" fillId="22" borderId="10" xfId="0" applyNumberFormat="1" applyFont="1" applyFill="1" applyBorder="1" applyAlignment="1">
      <alignment horizontal="right" vertical="center"/>
    </xf>
    <xf numFmtId="0" fontId="6" fillId="0" borderId="15" xfId="0" applyFont="1" applyBorder="1"/>
    <xf numFmtId="165" fontId="6" fillId="0" borderId="11" xfId="0" applyNumberFormat="1" applyFont="1" applyBorder="1"/>
    <xf numFmtId="4" fontId="35" fillId="20" borderId="10" xfId="0" applyNumberFormat="1" applyFont="1" applyFill="1" applyBorder="1" applyAlignment="1">
      <alignment horizontal="center" vertical="center"/>
    </xf>
    <xf numFmtId="0" fontId="7" fillId="23" borderId="10" xfId="0" applyFont="1" applyFill="1" applyBorder="1" applyAlignment="1">
      <alignment horizontal="left" vertical="center" wrapText="1"/>
    </xf>
    <xf numFmtId="0" fontId="10" fillId="23" borderId="11" xfId="0" applyFont="1" applyFill="1" applyBorder="1" applyAlignment="1">
      <alignment horizontal="center" vertical="top" wrapText="1"/>
    </xf>
    <xf numFmtId="0" fontId="7" fillId="23" borderId="12" xfId="0" applyFont="1" applyFill="1" applyBorder="1" applyAlignment="1">
      <alignment horizontal="left" vertical="top" wrapText="1"/>
    </xf>
    <xf numFmtId="0" fontId="10" fillId="20" borderId="10" xfId="0" applyFont="1" applyFill="1" applyBorder="1" applyAlignment="1">
      <alignment horizontal="left" vertical="top" wrapText="1"/>
    </xf>
    <xf numFmtId="0" fontId="10" fillId="0" borderId="12" xfId="0" applyFont="1" applyFill="1" applyBorder="1" applyAlignment="1">
      <alignment horizontal="right"/>
    </xf>
    <xf numFmtId="0" fontId="7" fillId="23" borderId="10" xfId="0" applyFont="1" applyFill="1" applyBorder="1" applyAlignment="1">
      <alignment vertical="center" wrapText="1"/>
    </xf>
    <xf numFmtId="0" fontId="7" fillId="20" borderId="10" xfId="0" applyFont="1" applyFill="1" applyBorder="1" applyAlignment="1">
      <alignment horizontal="left" vertical="center" wrapText="1" indent="1"/>
    </xf>
    <xf numFmtId="0" fontId="7" fillId="23" borderId="10" xfId="0" applyFont="1" applyFill="1" applyBorder="1" applyAlignment="1">
      <alignment horizontal="left" vertical="center" wrapText="1" indent="1"/>
    </xf>
    <xf numFmtId="0" fontId="4" fillId="0" borderId="10" xfId="0" applyFont="1" applyFill="1" applyBorder="1" applyAlignment="1">
      <alignment horizontal="left" vertical="center" wrapText="1" indent="2"/>
    </xf>
    <xf numFmtId="0" fontId="7" fillId="23" borderId="10" xfId="0" applyFont="1" applyFill="1" applyBorder="1" applyAlignment="1">
      <alignment horizontal="left" vertical="center" wrapText="1" indent="2"/>
    </xf>
    <xf numFmtId="0" fontId="4" fillId="0" borderId="10" xfId="0" applyFont="1" applyFill="1" applyBorder="1" applyAlignment="1">
      <alignment horizontal="left" vertical="center" wrapText="1" indent="3"/>
    </xf>
    <xf numFmtId="0" fontId="4" fillId="22" borderId="10" xfId="0" applyFont="1" applyFill="1" applyBorder="1" applyAlignment="1">
      <alignment horizontal="left" vertical="center" wrapText="1" indent="3"/>
    </xf>
    <xf numFmtId="0" fontId="7" fillId="23" borderId="10" xfId="0" applyFont="1" applyFill="1" applyBorder="1" applyAlignment="1">
      <alignment horizontal="left" vertical="center" wrapText="1" indent="3"/>
    </xf>
    <xf numFmtId="0" fontId="4" fillId="0" borderId="10" xfId="0" applyFont="1" applyFill="1" applyBorder="1" applyAlignment="1">
      <alignment horizontal="left" vertical="center" wrapText="1" indent="4"/>
    </xf>
    <xf numFmtId="0" fontId="4" fillId="0" borderId="10" xfId="0" applyFont="1" applyBorder="1" applyAlignment="1">
      <alignment horizontal="left" vertical="center" wrapText="1" indent="4"/>
    </xf>
    <xf numFmtId="0" fontId="7" fillId="0" borderId="10" xfId="0" applyFont="1" applyFill="1" applyBorder="1" applyAlignment="1">
      <alignment horizontal="right" vertical="center" wrapText="1"/>
    </xf>
    <xf numFmtId="0" fontId="31" fillId="0" borderId="0" xfId="0" applyFont="1" applyAlignment="1">
      <alignment vertical="center"/>
    </xf>
    <xf numFmtId="0" fontId="6" fillId="0" borderId="10" xfId="0" applyFont="1" applyFill="1" applyBorder="1" applyAlignment="1">
      <alignment horizontal="left" vertical="center" wrapText="1" indent="1"/>
    </xf>
    <xf numFmtId="0" fontId="6" fillId="0" borderId="10" xfId="0" applyFont="1" applyBorder="1" applyAlignment="1">
      <alignment horizontal="left" vertical="center" wrapText="1" indent="1"/>
    </xf>
    <xf numFmtId="0" fontId="6" fillId="0" borderId="10" xfId="0" applyFont="1" applyFill="1" applyBorder="1" applyAlignment="1">
      <alignment horizontal="left" vertical="center" wrapText="1" indent="2"/>
    </xf>
    <xf numFmtId="0" fontId="6" fillId="21" borderId="10" xfId="0" applyFont="1" applyFill="1" applyBorder="1" applyAlignment="1">
      <alignment horizontal="left" vertical="center" wrapText="1" indent="1"/>
    </xf>
    <xf numFmtId="0" fontId="6" fillId="0" borderId="10" xfId="38" applyFont="1" applyFill="1" applyBorder="1" applyAlignment="1">
      <alignment horizontal="left" vertical="center" wrapText="1" indent="1"/>
    </xf>
    <xf numFmtId="0" fontId="7" fillId="19" borderId="10" xfId="0" applyFont="1" applyFill="1" applyBorder="1" applyAlignment="1">
      <alignment horizontal="center" vertical="center"/>
    </xf>
    <xf numFmtId="0" fontId="6" fillId="19" borderId="10" xfId="0" applyFont="1" applyFill="1" applyBorder="1" applyAlignment="1">
      <alignment horizontal="center" vertical="center" wrapText="1"/>
    </xf>
    <xf numFmtId="0" fontId="6" fillId="19" borderId="15" xfId="0" applyFont="1" applyFill="1" applyBorder="1" applyAlignment="1">
      <alignment horizontal="center" vertical="center" wrapText="1"/>
    </xf>
    <xf numFmtId="0" fontId="6" fillId="19" borderId="26" xfId="0" applyFont="1" applyFill="1" applyBorder="1" applyAlignment="1">
      <alignment horizontal="center" vertical="center" wrapText="1"/>
    </xf>
    <xf numFmtId="0" fontId="6" fillId="19" borderId="11" xfId="0" applyFont="1" applyFill="1" applyBorder="1" applyAlignment="1">
      <alignment horizontal="center" vertical="center" wrapText="1"/>
    </xf>
    <xf numFmtId="0" fontId="4" fillId="19" borderId="14" xfId="0" applyFont="1" applyFill="1" applyBorder="1" applyAlignment="1">
      <alignment horizontal="center" vertical="center"/>
    </xf>
    <xf numFmtId="0" fontId="4" fillId="19" borderId="20" xfId="0" applyFont="1" applyFill="1" applyBorder="1" applyAlignment="1">
      <alignment horizontal="center" vertical="center"/>
    </xf>
    <xf numFmtId="0" fontId="4" fillId="19" borderId="19" xfId="0" applyFont="1" applyFill="1" applyBorder="1" applyAlignment="1">
      <alignment horizontal="center" vertical="center"/>
    </xf>
    <xf numFmtId="0" fontId="4" fillId="19" borderId="10" xfId="0" applyFont="1" applyFill="1" applyBorder="1" applyAlignment="1">
      <alignment horizontal="center" vertical="center"/>
    </xf>
    <xf numFmtId="0" fontId="4" fillId="19" borderId="16" xfId="0" applyFont="1" applyFill="1" applyBorder="1" applyAlignment="1">
      <alignment horizontal="center" vertical="center"/>
    </xf>
    <xf numFmtId="0" fontId="4" fillId="19" borderId="18" xfId="0" applyFont="1" applyFill="1" applyBorder="1" applyAlignment="1">
      <alignment horizontal="center" vertical="center"/>
    </xf>
    <xf numFmtId="0" fontId="4" fillId="19" borderId="21" xfId="0" applyFont="1" applyFill="1" applyBorder="1" applyAlignment="1">
      <alignment horizontal="center" vertical="center"/>
    </xf>
    <xf numFmtId="0" fontId="4" fillId="19" borderId="22" xfId="0" applyFont="1" applyFill="1" applyBorder="1" applyAlignment="1">
      <alignment horizontal="center" vertical="center"/>
    </xf>
    <xf numFmtId="0" fontId="4" fillId="19" borderId="23" xfId="0" applyFont="1" applyFill="1" applyBorder="1" applyAlignment="1">
      <alignment horizontal="center" vertical="center"/>
    </xf>
    <xf numFmtId="0" fontId="4" fillId="19" borderId="24" xfId="0" applyFont="1" applyFill="1" applyBorder="1" applyAlignment="1">
      <alignment horizontal="center" vertical="center"/>
    </xf>
    <xf numFmtId="165" fontId="6" fillId="0" borderId="14" xfId="0" applyNumberFormat="1" applyFont="1" applyBorder="1" applyAlignment="1">
      <alignment horizontal="center"/>
    </xf>
    <xf numFmtId="165" fontId="6" fillId="0" borderId="19" xfId="0" applyNumberFormat="1" applyFont="1" applyBorder="1" applyAlignment="1">
      <alignment horizontal="center"/>
    </xf>
    <xf numFmtId="0" fontId="6" fillId="19" borderId="16" xfId="0" applyFont="1" applyFill="1" applyBorder="1" applyAlignment="1">
      <alignment horizontal="center" vertical="center"/>
    </xf>
    <xf numFmtId="0" fontId="6" fillId="19" borderId="18" xfId="0" applyFont="1" applyFill="1" applyBorder="1" applyAlignment="1">
      <alignment horizontal="center" vertical="center"/>
    </xf>
    <xf numFmtId="0" fontId="6" fillId="19" borderId="21" xfId="0" applyFont="1" applyFill="1" applyBorder="1" applyAlignment="1">
      <alignment horizontal="center" vertical="center"/>
    </xf>
    <xf numFmtId="0" fontId="6" fillId="19" borderId="17" xfId="0" applyFont="1" applyFill="1" applyBorder="1" applyAlignment="1">
      <alignment horizontal="center" vertical="center"/>
    </xf>
    <xf numFmtId="0" fontId="6" fillId="19" borderId="0" xfId="0" applyFont="1" applyFill="1" applyBorder="1" applyAlignment="1">
      <alignment horizontal="center" vertical="center"/>
    </xf>
    <xf numFmtId="0" fontId="6" fillId="19" borderId="25" xfId="0" applyFont="1" applyFill="1" applyBorder="1" applyAlignment="1">
      <alignment horizontal="center" vertical="center"/>
    </xf>
    <xf numFmtId="0" fontId="6" fillId="19" borderId="22" xfId="0" applyFont="1" applyFill="1" applyBorder="1" applyAlignment="1">
      <alignment horizontal="center" vertical="center"/>
    </xf>
    <xf numFmtId="0" fontId="6" fillId="19" borderId="23" xfId="0" applyFont="1" applyFill="1" applyBorder="1" applyAlignment="1">
      <alignment horizontal="center" vertical="center"/>
    </xf>
    <xf numFmtId="0" fontId="6" fillId="19" borderId="24" xfId="0" applyFont="1" applyFill="1" applyBorder="1" applyAlignment="1">
      <alignment horizontal="center" vertical="center"/>
    </xf>
    <xf numFmtId="0" fontId="6" fillId="19" borderId="19" xfId="0" applyFont="1" applyFill="1" applyBorder="1" applyAlignment="1">
      <alignment horizontal="center" vertical="center"/>
    </xf>
    <xf numFmtId="0" fontId="6" fillId="19" borderId="10" xfId="0" applyFont="1" applyFill="1" applyBorder="1" applyAlignment="1">
      <alignment horizontal="center" vertical="center"/>
    </xf>
    <xf numFmtId="0" fontId="6" fillId="19" borderId="14" xfId="0" applyFont="1" applyFill="1" applyBorder="1" applyAlignment="1">
      <alignment horizontal="center" vertical="center" wrapText="1"/>
    </xf>
    <xf numFmtId="0" fontId="6" fillId="19" borderId="19" xfId="0" applyFont="1" applyFill="1" applyBorder="1" applyAlignment="1">
      <alignment horizontal="center" vertical="center" wrapText="1"/>
    </xf>
    <xf numFmtId="0" fontId="6" fillId="19" borderId="14" xfId="0" applyFont="1" applyFill="1" applyBorder="1" applyAlignment="1">
      <alignment horizontal="center" vertical="top" wrapText="1"/>
    </xf>
    <xf numFmtId="0" fontId="0" fillId="0" borderId="19" xfId="0" applyBorder="1" applyAlignment="1">
      <alignment horizontal="center" vertical="top" wrapText="1"/>
    </xf>
    <xf numFmtId="4" fontId="32" fillId="0" borderId="18" xfId="0" applyNumberFormat="1" applyFont="1" applyFill="1" applyBorder="1" applyAlignment="1">
      <alignment horizontal="right" vertical="center" wrapText="1"/>
    </xf>
    <xf numFmtId="0" fontId="4" fillId="19" borderId="10" xfId="0" applyFont="1" applyFill="1" applyBorder="1" applyAlignment="1">
      <alignment horizontal="center" vertical="center" wrapText="1"/>
    </xf>
  </cellXfs>
  <cellStyles count="44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Dziesiętny 2" xfId="28"/>
    <cellStyle name="Explanatory Text" xfId="29"/>
    <cellStyle name="Good" xfId="30"/>
    <cellStyle name="Heading 1" xfId="31"/>
    <cellStyle name="Heading 2" xfId="32"/>
    <cellStyle name="Heading 3" xfId="33"/>
    <cellStyle name="Heading 4" xfId="34"/>
    <cellStyle name="Input" xfId="35"/>
    <cellStyle name="Linked Cell" xfId="36"/>
    <cellStyle name="Neutral" xfId="37"/>
    <cellStyle name="Normalny" xfId="0" builtinId="0"/>
    <cellStyle name="Normalny 2" xfId="38"/>
    <cellStyle name="Note" xfId="39"/>
    <cellStyle name="Output" xfId="40"/>
    <cellStyle name="Title" xfId="41"/>
    <cellStyle name="Total" xfId="42"/>
    <cellStyle name="Warning Text" xfId="4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5F5F5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CDCD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outlinePr summaryBelow="0"/>
  </sheetPr>
  <dimension ref="A1:Z99"/>
  <sheetViews>
    <sheetView tabSelected="1" topLeftCell="B1" zoomScaleNormal="100" workbookViewId="0">
      <selection activeCell="B2" sqref="B2:B3"/>
    </sheetView>
  </sheetViews>
  <sheetFormatPr defaultRowHeight="12.75" outlineLevelRow="1" outlineLevelCol="1" x14ac:dyDescent="0.2"/>
  <cols>
    <col min="1" max="1" width="5.7109375" style="1" hidden="1" customWidth="1"/>
    <col min="2" max="2" width="30.7109375" style="1" customWidth="1"/>
    <col min="3" max="4" width="14.7109375" style="1" customWidth="1"/>
    <col min="5" max="9" width="14.7109375" style="1" customWidth="1" outlineLevel="1"/>
    <col min="10" max="10" width="9.7109375" style="1" customWidth="1"/>
    <col min="11" max="11" width="7.42578125" style="1" customWidth="1"/>
    <col min="12" max="12" width="9.140625" style="1" customWidth="1"/>
    <col min="13" max="13" width="8.140625" style="1" hidden="1" customWidth="1"/>
    <col min="14" max="16384" width="9.140625" style="1"/>
  </cols>
  <sheetData>
    <row r="1" spans="2:13" ht="20.100000000000001" customHeight="1" x14ac:dyDescent="0.2">
      <c r="B1" s="120" t="str">
        <f>CONCATENATE("Informacja z wykonania budżetów powiatów za ",$D$96," ",$C$97," rok     ",$C$99,"")</f>
        <v xml:space="preserve">Informacja z wykonania budżetów powiatów za I Kwartał 2022 rok     </v>
      </c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</row>
    <row r="2" spans="2:13" ht="57.75" customHeight="1" x14ac:dyDescent="0.2">
      <c r="B2" s="126" t="s">
        <v>0</v>
      </c>
      <c r="C2" s="14" t="s">
        <v>27</v>
      </c>
      <c r="D2" s="14" t="s">
        <v>28</v>
      </c>
      <c r="E2" s="14" t="s">
        <v>90</v>
      </c>
      <c r="F2" s="14" t="s">
        <v>91</v>
      </c>
      <c r="G2" s="14" t="s">
        <v>92</v>
      </c>
      <c r="H2" s="14" t="s">
        <v>93</v>
      </c>
      <c r="I2" s="14" t="s">
        <v>94</v>
      </c>
      <c r="J2" s="16" t="s">
        <v>2</v>
      </c>
      <c r="K2" s="14" t="s">
        <v>18</v>
      </c>
      <c r="L2" s="14" t="s">
        <v>3</v>
      </c>
    </row>
    <row r="3" spans="2:13" x14ac:dyDescent="0.2">
      <c r="B3" s="126"/>
      <c r="C3" s="131" t="s">
        <v>61</v>
      </c>
      <c r="D3" s="133"/>
      <c r="E3" s="135" t="s">
        <v>89</v>
      </c>
      <c r="F3" s="136"/>
      <c r="G3" s="136"/>
      <c r="H3" s="136"/>
      <c r="I3" s="137"/>
      <c r="J3" s="131" t="s">
        <v>4</v>
      </c>
      <c r="K3" s="132"/>
      <c r="L3" s="133"/>
    </row>
    <row r="4" spans="2:13" ht="9" customHeight="1" x14ac:dyDescent="0.2">
      <c r="B4" s="16">
        <v>1</v>
      </c>
      <c r="C4" s="18">
        <v>2</v>
      </c>
      <c r="D4" s="18">
        <v>3</v>
      </c>
      <c r="E4" s="138"/>
      <c r="F4" s="139"/>
      <c r="G4" s="139"/>
      <c r="H4" s="139"/>
      <c r="I4" s="140"/>
      <c r="J4" s="18">
        <v>4</v>
      </c>
      <c r="K4" s="18">
        <v>5</v>
      </c>
      <c r="L4" s="18">
        <v>6</v>
      </c>
    </row>
    <row r="5" spans="2:13" ht="12.95" customHeight="1" x14ac:dyDescent="0.2">
      <c r="B5" s="109" t="s">
        <v>5</v>
      </c>
      <c r="C5" s="55">
        <f>35995288676.44</f>
        <v>35995288676.440002</v>
      </c>
      <c r="D5" s="55">
        <f>9825314682.16</f>
        <v>9825314682.1599998</v>
      </c>
      <c r="E5" s="98" t="s">
        <v>89</v>
      </c>
      <c r="F5" s="98" t="s">
        <v>89</v>
      </c>
      <c r="G5" s="98" t="s">
        <v>89</v>
      </c>
      <c r="H5" s="98" t="s">
        <v>89</v>
      </c>
      <c r="I5" s="98" t="s">
        <v>89</v>
      </c>
      <c r="J5" s="56">
        <f t="shared" ref="J5:J37" si="0">IF($D$5=0,"",100*$D5/$D$5)</f>
        <v>100</v>
      </c>
      <c r="K5" s="56">
        <f t="shared" ref="K5:K40" si="1">IF(C5=0,"",100*D5/C5)</f>
        <v>27.296113028789136</v>
      </c>
      <c r="L5" s="56"/>
    </row>
    <row r="6" spans="2:13" ht="26.85" customHeight="1" x14ac:dyDescent="0.2">
      <c r="B6" s="110" t="s">
        <v>42</v>
      </c>
      <c r="C6" s="31">
        <f>C5-C11-C33</f>
        <v>13240977123.210003</v>
      </c>
      <c r="D6" s="31">
        <f>D5-D11-D33</f>
        <v>3172472635.6599998</v>
      </c>
      <c r="E6" s="98" t="s">
        <v>89</v>
      </c>
      <c r="F6" s="98" t="s">
        <v>89</v>
      </c>
      <c r="G6" s="98" t="s">
        <v>89</v>
      </c>
      <c r="H6" s="98" t="s">
        <v>89</v>
      </c>
      <c r="I6" s="98" t="s">
        <v>89</v>
      </c>
      <c r="J6" s="32">
        <f t="shared" si="0"/>
        <v>32.288763650698286</v>
      </c>
      <c r="K6" s="32">
        <f t="shared" si="1"/>
        <v>23.95950545144435</v>
      </c>
      <c r="L6" s="32">
        <f>IF($D$6=0,"",100*$D6/$D$6)</f>
        <v>100</v>
      </c>
    </row>
    <row r="7" spans="2:13" ht="22.5" outlineLevel="1" x14ac:dyDescent="0.2">
      <c r="B7" s="112" t="s">
        <v>19</v>
      </c>
      <c r="C7" s="33">
        <f>6017699643.23</f>
        <v>6017699643.2299995</v>
      </c>
      <c r="D7" s="33">
        <f>1504815561</f>
        <v>1504815561</v>
      </c>
      <c r="E7" s="98" t="s">
        <v>89</v>
      </c>
      <c r="F7" s="98" t="s">
        <v>89</v>
      </c>
      <c r="G7" s="98" t="s">
        <v>89</v>
      </c>
      <c r="H7" s="98" t="s">
        <v>89</v>
      </c>
      <c r="I7" s="98" t="s">
        <v>89</v>
      </c>
      <c r="J7" s="34">
        <f t="shared" si="0"/>
        <v>15.315698373837538</v>
      </c>
      <c r="K7" s="34">
        <f t="shared" si="1"/>
        <v>25.006491686452641</v>
      </c>
      <c r="L7" s="34">
        <f>IF($D$6=0,"",100*$D7/$D$6)</f>
        <v>47.433523746909763</v>
      </c>
    </row>
    <row r="8" spans="2:13" ht="22.5" outlineLevel="1" x14ac:dyDescent="0.2">
      <c r="B8" s="112" t="s">
        <v>26</v>
      </c>
      <c r="C8" s="33">
        <f>313445302</f>
        <v>313445302</v>
      </c>
      <c r="D8" s="33">
        <f>77803592.18</f>
        <v>77803592.180000007</v>
      </c>
      <c r="E8" s="98" t="s">
        <v>89</v>
      </c>
      <c r="F8" s="98" t="s">
        <v>89</v>
      </c>
      <c r="G8" s="98" t="s">
        <v>89</v>
      </c>
      <c r="H8" s="98" t="s">
        <v>89</v>
      </c>
      <c r="I8" s="98" t="s">
        <v>89</v>
      </c>
      <c r="J8" s="34">
        <f t="shared" si="0"/>
        <v>0.79186870544990673</v>
      </c>
      <c r="K8" s="34">
        <f t="shared" si="1"/>
        <v>24.822063589263816</v>
      </c>
      <c r="L8" s="34">
        <f>IF($D$6=0,"",100*$D8/$D$6)</f>
        <v>2.4524590474147239</v>
      </c>
    </row>
    <row r="9" spans="2:13" ht="12.95" customHeight="1" outlineLevel="1" x14ac:dyDescent="0.2">
      <c r="B9" s="112" t="s">
        <v>20</v>
      </c>
      <c r="C9" s="33">
        <f>466463405.75</f>
        <v>466463405.75</v>
      </c>
      <c r="D9" s="57">
        <f>146967848.97</f>
        <v>146967848.97</v>
      </c>
      <c r="E9" s="98" t="s">
        <v>89</v>
      </c>
      <c r="F9" s="98" t="s">
        <v>89</v>
      </c>
      <c r="G9" s="98" t="s">
        <v>89</v>
      </c>
      <c r="H9" s="98" t="s">
        <v>89</v>
      </c>
      <c r="I9" s="98" t="s">
        <v>89</v>
      </c>
      <c r="J9" s="34">
        <f t="shared" si="0"/>
        <v>1.4958080603448982</v>
      </c>
      <c r="K9" s="34">
        <f t="shared" si="1"/>
        <v>31.506833581875249</v>
      </c>
      <c r="L9" s="34">
        <f>IF($D$6=0,"",100*$D9/$D$6)</f>
        <v>4.6325962694844449</v>
      </c>
    </row>
    <row r="10" spans="2:13" ht="12.95" customHeight="1" outlineLevel="1" x14ac:dyDescent="0.2">
      <c r="B10" s="112" t="s">
        <v>21</v>
      </c>
      <c r="C10" s="33">
        <f>C6-C8-C7-C9</f>
        <v>6443368772.2300034</v>
      </c>
      <c r="D10" s="33">
        <f>D6-D8-D7-D9</f>
        <v>1442885633.51</v>
      </c>
      <c r="E10" s="98" t="s">
        <v>89</v>
      </c>
      <c r="F10" s="98" t="s">
        <v>89</v>
      </c>
      <c r="G10" s="98" t="s">
        <v>89</v>
      </c>
      <c r="H10" s="98" t="s">
        <v>89</v>
      </c>
      <c r="I10" s="98" t="s">
        <v>89</v>
      </c>
      <c r="J10" s="34">
        <f t="shared" si="0"/>
        <v>14.685388511065945</v>
      </c>
      <c r="K10" s="34">
        <f t="shared" si="1"/>
        <v>22.393342434917436</v>
      </c>
      <c r="L10" s="34">
        <f>IF($D$6=0,"",100*$D10/$D$6)</f>
        <v>45.481420936191078</v>
      </c>
    </row>
    <row r="11" spans="2:13" ht="26.85" customHeight="1" x14ac:dyDescent="0.2">
      <c r="B11" s="111" t="s">
        <v>95</v>
      </c>
      <c r="C11" s="55">
        <f>C12+C29+C31</f>
        <v>8843965752.2299995</v>
      </c>
      <c r="D11" s="55">
        <f>D12+D29+D31</f>
        <v>1781770040.4999998</v>
      </c>
      <c r="E11" s="98" t="s">
        <v>89</v>
      </c>
      <c r="F11" s="98" t="s">
        <v>89</v>
      </c>
      <c r="G11" s="98" t="s">
        <v>89</v>
      </c>
      <c r="H11" s="98" t="s">
        <v>89</v>
      </c>
      <c r="I11" s="98" t="s">
        <v>89</v>
      </c>
      <c r="J11" s="56">
        <f t="shared" si="0"/>
        <v>18.134483201186335</v>
      </c>
      <c r="K11" s="56">
        <f t="shared" si="1"/>
        <v>20.146731572888868</v>
      </c>
      <c r="L11" s="58"/>
    </row>
    <row r="12" spans="2:13" ht="26.85" customHeight="1" outlineLevel="1" x14ac:dyDescent="0.2">
      <c r="B12" s="113" t="s">
        <v>43</v>
      </c>
      <c r="C12" s="55">
        <f>C13+C15+C17+C19+C21+C23+C25+C27</f>
        <v>7367829843.7799997</v>
      </c>
      <c r="D12" s="55">
        <f>D13+D15+D17+D19+D21+D23+D25+D27</f>
        <v>1510408831.9299998</v>
      </c>
      <c r="E12" s="98" t="s">
        <v>89</v>
      </c>
      <c r="F12" s="98" t="s">
        <v>89</v>
      </c>
      <c r="G12" s="98" t="s">
        <v>89</v>
      </c>
      <c r="H12" s="98" t="s">
        <v>89</v>
      </c>
      <c r="I12" s="98" t="s">
        <v>89</v>
      </c>
      <c r="J12" s="56">
        <f t="shared" si="0"/>
        <v>15.372625516742747</v>
      </c>
      <c r="K12" s="56">
        <f t="shared" si="1"/>
        <v>20.500050407720842</v>
      </c>
      <c r="L12" s="37"/>
    </row>
    <row r="13" spans="2:13" ht="22.5" outlineLevel="1" x14ac:dyDescent="0.2">
      <c r="B13" s="114" t="s">
        <v>9</v>
      </c>
      <c r="C13" s="33">
        <f>3243510702.74</f>
        <v>3243510702.7399998</v>
      </c>
      <c r="D13" s="33">
        <f>1085046069.46</f>
        <v>1085046069.46</v>
      </c>
      <c r="E13" s="98" t="s">
        <v>89</v>
      </c>
      <c r="F13" s="98" t="s">
        <v>89</v>
      </c>
      <c r="G13" s="98" t="s">
        <v>89</v>
      </c>
      <c r="H13" s="98" t="s">
        <v>89</v>
      </c>
      <c r="I13" s="98" t="s">
        <v>89</v>
      </c>
      <c r="J13" s="34">
        <f t="shared" si="0"/>
        <v>11.043372192751624</v>
      </c>
      <c r="K13" s="34">
        <f t="shared" si="1"/>
        <v>33.452828398050066</v>
      </c>
      <c r="L13" s="37"/>
    </row>
    <row r="14" spans="2:13" ht="12.95" customHeight="1" outlineLevel="1" x14ac:dyDescent="0.2">
      <c r="B14" s="117" t="s">
        <v>6</v>
      </c>
      <c r="C14" s="33">
        <f>79519655</f>
        <v>79519655</v>
      </c>
      <c r="D14" s="33">
        <f>3606290.79</f>
        <v>3606290.79</v>
      </c>
      <c r="E14" s="98" t="s">
        <v>89</v>
      </c>
      <c r="F14" s="98" t="s">
        <v>89</v>
      </c>
      <c r="G14" s="98" t="s">
        <v>89</v>
      </c>
      <c r="H14" s="98" t="s">
        <v>89</v>
      </c>
      <c r="I14" s="98" t="s">
        <v>89</v>
      </c>
      <c r="J14" s="34">
        <f t="shared" si="0"/>
        <v>3.6704074186529691E-2</v>
      </c>
      <c r="K14" s="34">
        <f t="shared" si="1"/>
        <v>4.5350936067315688</v>
      </c>
      <c r="L14" s="37"/>
    </row>
    <row r="15" spans="2:13" ht="12.95" customHeight="1" outlineLevel="1" x14ac:dyDescent="0.2">
      <c r="B15" s="114" t="s">
        <v>7</v>
      </c>
      <c r="C15" s="33">
        <f>839398358.87</f>
        <v>839398358.87</v>
      </c>
      <c r="D15" s="33">
        <f>172782363.79</f>
        <v>172782363.78999999</v>
      </c>
      <c r="E15" s="98" t="s">
        <v>89</v>
      </c>
      <c r="F15" s="98" t="s">
        <v>89</v>
      </c>
      <c r="G15" s="98" t="s">
        <v>89</v>
      </c>
      <c r="H15" s="98" t="s">
        <v>89</v>
      </c>
      <c r="I15" s="98" t="s">
        <v>89</v>
      </c>
      <c r="J15" s="34">
        <f t="shared" si="0"/>
        <v>1.7585427986721285</v>
      </c>
      <c r="K15" s="34">
        <f t="shared" si="1"/>
        <v>20.58407214693629</v>
      </c>
      <c r="L15" s="37"/>
    </row>
    <row r="16" spans="2:13" ht="12.95" customHeight="1" outlineLevel="1" x14ac:dyDescent="0.2">
      <c r="B16" s="117" t="s">
        <v>6</v>
      </c>
      <c r="C16" s="33">
        <f>167579204.27</f>
        <v>167579204.27000001</v>
      </c>
      <c r="D16" s="33">
        <f>7097539</f>
        <v>7097539</v>
      </c>
      <c r="E16" s="98" t="s">
        <v>89</v>
      </c>
      <c r="F16" s="98" t="s">
        <v>89</v>
      </c>
      <c r="G16" s="98" t="s">
        <v>89</v>
      </c>
      <c r="H16" s="98" t="s">
        <v>89</v>
      </c>
      <c r="I16" s="98" t="s">
        <v>89</v>
      </c>
      <c r="J16" s="34">
        <f t="shared" si="0"/>
        <v>7.2237269030040629E-2</v>
      </c>
      <c r="K16" s="34">
        <f t="shared" si="1"/>
        <v>4.2353339908241825</v>
      </c>
      <c r="L16" s="37"/>
    </row>
    <row r="17" spans="2:12" ht="33.75" outlineLevel="1" x14ac:dyDescent="0.2">
      <c r="B17" s="114" t="s">
        <v>10</v>
      </c>
      <c r="C17" s="33">
        <f>81631907.72</f>
        <v>81631907.719999999</v>
      </c>
      <c r="D17" s="33">
        <f>28166474.43</f>
        <v>28166474.43</v>
      </c>
      <c r="E17" s="98" t="s">
        <v>89</v>
      </c>
      <c r="F17" s="98" t="s">
        <v>89</v>
      </c>
      <c r="G17" s="98" t="s">
        <v>89</v>
      </c>
      <c r="H17" s="98" t="s">
        <v>89</v>
      </c>
      <c r="I17" s="98" t="s">
        <v>89</v>
      </c>
      <c r="J17" s="34">
        <f t="shared" si="0"/>
        <v>0.28667249183522209</v>
      </c>
      <c r="K17" s="34">
        <f t="shared" si="1"/>
        <v>34.504246215354776</v>
      </c>
      <c r="L17" s="37"/>
    </row>
    <row r="18" spans="2:12" ht="12.95" customHeight="1" outlineLevel="1" x14ac:dyDescent="0.2">
      <c r="B18" s="117" t="s">
        <v>6</v>
      </c>
      <c r="C18" s="33">
        <f>4853254</f>
        <v>4853254</v>
      </c>
      <c r="D18" s="33">
        <f>847822</f>
        <v>847822</v>
      </c>
      <c r="E18" s="98" t="s">
        <v>89</v>
      </c>
      <c r="F18" s="98" t="s">
        <v>89</v>
      </c>
      <c r="G18" s="98" t="s">
        <v>89</v>
      </c>
      <c r="H18" s="98" t="s">
        <v>89</v>
      </c>
      <c r="I18" s="98" t="s">
        <v>89</v>
      </c>
      <c r="J18" s="34">
        <f t="shared" si="0"/>
        <v>8.6289551777858631E-3</v>
      </c>
      <c r="K18" s="34">
        <f t="shared" si="1"/>
        <v>17.46914544344887</v>
      </c>
      <c r="L18" s="37"/>
    </row>
    <row r="19" spans="2:12" ht="25.5" customHeight="1" outlineLevel="1" x14ac:dyDescent="0.2">
      <c r="B19" s="114" t="s">
        <v>11</v>
      </c>
      <c r="C19" s="33">
        <f>392907414.25</f>
        <v>392907414.25</v>
      </c>
      <c r="D19" s="33">
        <f>84080029.3</f>
        <v>84080029.299999997</v>
      </c>
      <c r="E19" s="98" t="s">
        <v>89</v>
      </c>
      <c r="F19" s="98" t="s">
        <v>89</v>
      </c>
      <c r="G19" s="98" t="s">
        <v>89</v>
      </c>
      <c r="H19" s="98" t="s">
        <v>89</v>
      </c>
      <c r="I19" s="98" t="s">
        <v>89</v>
      </c>
      <c r="J19" s="34">
        <f t="shared" si="0"/>
        <v>0.85574897110079962</v>
      </c>
      <c r="K19" s="34">
        <f t="shared" si="1"/>
        <v>21.399450926752269</v>
      </c>
      <c r="L19" s="37"/>
    </row>
    <row r="20" spans="2:12" ht="12.95" customHeight="1" outlineLevel="1" x14ac:dyDescent="0.2">
      <c r="B20" s="117" t="s">
        <v>6</v>
      </c>
      <c r="C20" s="33">
        <f>63466117.33</f>
        <v>63466117.329999998</v>
      </c>
      <c r="D20" s="33">
        <f>3597676.92</f>
        <v>3597676.92</v>
      </c>
      <c r="E20" s="98" t="s">
        <v>89</v>
      </c>
      <c r="F20" s="98" t="s">
        <v>89</v>
      </c>
      <c r="G20" s="98" t="s">
        <v>89</v>
      </c>
      <c r="H20" s="98" t="s">
        <v>89</v>
      </c>
      <c r="I20" s="98" t="s">
        <v>89</v>
      </c>
      <c r="J20" s="34">
        <f t="shared" si="0"/>
        <v>3.6616404017393626E-2</v>
      </c>
      <c r="K20" s="34">
        <f t="shared" si="1"/>
        <v>5.6686576575866932</v>
      </c>
      <c r="L20" s="37"/>
    </row>
    <row r="21" spans="2:12" ht="35.25" customHeight="1" outlineLevel="1" x14ac:dyDescent="0.2">
      <c r="B21" s="114" t="s">
        <v>62</v>
      </c>
      <c r="C21" s="33">
        <f>873432503.1</f>
        <v>873432503.10000002</v>
      </c>
      <c r="D21" s="33">
        <f>62931033.62</f>
        <v>62931033.619999997</v>
      </c>
      <c r="E21" s="98" t="s">
        <v>89</v>
      </c>
      <c r="F21" s="98" t="s">
        <v>89</v>
      </c>
      <c r="G21" s="98" t="s">
        <v>89</v>
      </c>
      <c r="H21" s="98" t="s">
        <v>89</v>
      </c>
      <c r="I21" s="98" t="s">
        <v>89</v>
      </c>
      <c r="J21" s="34">
        <f t="shared" si="0"/>
        <v>0.64049891179836715</v>
      </c>
      <c r="K21" s="34">
        <f t="shared" si="1"/>
        <v>7.2050253908166013</v>
      </c>
      <c r="L21" s="37"/>
    </row>
    <row r="22" spans="2:12" ht="12.95" customHeight="1" outlineLevel="1" x14ac:dyDescent="0.2">
      <c r="B22" s="117" t="s">
        <v>6</v>
      </c>
      <c r="C22" s="33">
        <f>771313134.4</f>
        <v>771313134.39999998</v>
      </c>
      <c r="D22" s="33">
        <f>39987904.34</f>
        <v>39987904.340000004</v>
      </c>
      <c r="E22" s="98" t="s">
        <v>89</v>
      </c>
      <c r="F22" s="98" t="s">
        <v>89</v>
      </c>
      <c r="G22" s="98" t="s">
        <v>89</v>
      </c>
      <c r="H22" s="98" t="s">
        <v>89</v>
      </c>
      <c r="I22" s="98" t="s">
        <v>89</v>
      </c>
      <c r="J22" s="34">
        <f t="shared" si="0"/>
        <v>0.40698853556931625</v>
      </c>
      <c r="K22" s="34">
        <f t="shared" si="1"/>
        <v>5.1843930249037395</v>
      </c>
      <c r="L22" s="37"/>
    </row>
    <row r="23" spans="2:12" ht="12.95" customHeight="1" outlineLevel="1" x14ac:dyDescent="0.2">
      <c r="B23" s="114" t="s">
        <v>8</v>
      </c>
      <c r="C23" s="33">
        <f>60845085.84</f>
        <v>60845085.840000004</v>
      </c>
      <c r="D23" s="33">
        <f>6554562.86</f>
        <v>6554562.8600000003</v>
      </c>
      <c r="E23" s="98" t="s">
        <v>89</v>
      </c>
      <c r="F23" s="98" t="s">
        <v>89</v>
      </c>
      <c r="G23" s="98" t="s">
        <v>89</v>
      </c>
      <c r="H23" s="98" t="s">
        <v>89</v>
      </c>
      <c r="I23" s="98" t="s">
        <v>89</v>
      </c>
      <c r="J23" s="34">
        <f t="shared" si="0"/>
        <v>6.671097132289551E-2</v>
      </c>
      <c r="K23" s="34">
        <f t="shared" si="1"/>
        <v>10.772542711561075</v>
      </c>
      <c r="L23" s="37"/>
    </row>
    <row r="24" spans="2:12" ht="12.95" customHeight="1" outlineLevel="1" x14ac:dyDescent="0.2">
      <c r="B24" s="117" t="s">
        <v>6</v>
      </c>
      <c r="C24" s="33">
        <f>46557372.66</f>
        <v>46557372.659999996</v>
      </c>
      <c r="D24" s="33">
        <f>2810738.18</f>
        <v>2810738.18</v>
      </c>
      <c r="E24" s="98" t="s">
        <v>89</v>
      </c>
      <c r="F24" s="98" t="s">
        <v>89</v>
      </c>
      <c r="G24" s="98" t="s">
        <v>89</v>
      </c>
      <c r="H24" s="98" t="s">
        <v>89</v>
      </c>
      <c r="I24" s="98" t="s">
        <v>89</v>
      </c>
      <c r="J24" s="34">
        <f t="shared" si="0"/>
        <v>2.8607105939349786E-2</v>
      </c>
      <c r="K24" s="34">
        <f t="shared" si="1"/>
        <v>6.0371494768966203</v>
      </c>
      <c r="L24" s="37"/>
    </row>
    <row r="25" spans="2:12" ht="67.5" outlineLevel="1" x14ac:dyDescent="0.2">
      <c r="B25" s="114" t="s">
        <v>80</v>
      </c>
      <c r="C25" s="33">
        <f>2152321.69</f>
        <v>2152321.69</v>
      </c>
      <c r="D25" s="33">
        <f>0</f>
        <v>0</v>
      </c>
      <c r="E25" s="98" t="s">
        <v>89</v>
      </c>
      <c r="F25" s="98" t="s">
        <v>89</v>
      </c>
      <c r="G25" s="98" t="s">
        <v>89</v>
      </c>
      <c r="H25" s="98" t="s">
        <v>89</v>
      </c>
      <c r="I25" s="98" t="s">
        <v>89</v>
      </c>
      <c r="J25" s="34">
        <f t="shared" si="0"/>
        <v>0</v>
      </c>
      <c r="K25" s="34">
        <f t="shared" si="1"/>
        <v>0</v>
      </c>
      <c r="L25" s="37"/>
    </row>
    <row r="26" spans="2:12" ht="12.95" customHeight="1" outlineLevel="1" x14ac:dyDescent="0.2">
      <c r="B26" s="117" t="s">
        <v>81</v>
      </c>
      <c r="C26" s="33">
        <f>2152321.69</f>
        <v>2152321.69</v>
      </c>
      <c r="D26" s="33">
        <f>0</f>
        <v>0</v>
      </c>
      <c r="E26" s="98" t="s">
        <v>89</v>
      </c>
      <c r="F26" s="98" t="s">
        <v>89</v>
      </c>
      <c r="G26" s="98" t="s">
        <v>89</v>
      </c>
      <c r="H26" s="98" t="s">
        <v>89</v>
      </c>
      <c r="I26" s="98" t="s">
        <v>89</v>
      </c>
      <c r="J26" s="34">
        <f t="shared" si="0"/>
        <v>0</v>
      </c>
      <c r="K26" s="34">
        <f t="shared" si="1"/>
        <v>0</v>
      </c>
      <c r="L26" s="37"/>
    </row>
    <row r="27" spans="2:12" ht="45" outlineLevel="1" x14ac:dyDescent="0.2">
      <c r="B27" s="115" t="s">
        <v>79</v>
      </c>
      <c r="C27" s="70">
        <f>1873951549.57</f>
        <v>1873951549.5699999</v>
      </c>
      <c r="D27" s="70">
        <f>70848298.47</f>
        <v>70848298.469999999</v>
      </c>
      <c r="E27" s="98" t="s">
        <v>89</v>
      </c>
      <c r="F27" s="98" t="s">
        <v>89</v>
      </c>
      <c r="G27" s="98" t="s">
        <v>89</v>
      </c>
      <c r="H27" s="98" t="s">
        <v>89</v>
      </c>
      <c r="I27" s="98" t="s">
        <v>89</v>
      </c>
      <c r="J27" s="71">
        <f t="shared" si="0"/>
        <v>0.72107917926171394</v>
      </c>
      <c r="K27" s="71">
        <f t="shared" si="1"/>
        <v>3.7806899802856146</v>
      </c>
      <c r="L27" s="37"/>
    </row>
    <row r="28" spans="2:12" ht="12.95" customHeight="1" outlineLevel="1" x14ac:dyDescent="0.2">
      <c r="B28" s="117" t="s">
        <v>6</v>
      </c>
      <c r="C28" s="33">
        <f>1839655809.94</f>
        <v>1839655809.9400001</v>
      </c>
      <c r="D28" s="33">
        <f>44460420.55</f>
        <v>44460420.549999997</v>
      </c>
      <c r="E28" s="98" t="s">
        <v>89</v>
      </c>
      <c r="F28" s="98" t="s">
        <v>89</v>
      </c>
      <c r="G28" s="98" t="s">
        <v>89</v>
      </c>
      <c r="H28" s="98" t="s">
        <v>89</v>
      </c>
      <c r="I28" s="98" t="s">
        <v>89</v>
      </c>
      <c r="J28" s="34">
        <f t="shared" si="0"/>
        <v>0.45250887109730525</v>
      </c>
      <c r="K28" s="34">
        <f t="shared" si="1"/>
        <v>2.4167792860910251</v>
      </c>
      <c r="L28" s="37"/>
    </row>
    <row r="29" spans="2:12" ht="12.95" customHeight="1" outlineLevel="1" x14ac:dyDescent="0.2">
      <c r="B29" s="116" t="s">
        <v>70</v>
      </c>
      <c r="C29" s="31">
        <f>139180719.36</f>
        <v>139180719.36000001</v>
      </c>
      <c r="D29" s="31">
        <f>33094514.37</f>
        <v>33094514.370000001</v>
      </c>
      <c r="E29" s="98" t="s">
        <v>89</v>
      </c>
      <c r="F29" s="98" t="s">
        <v>89</v>
      </c>
      <c r="G29" s="98" t="s">
        <v>89</v>
      </c>
      <c r="H29" s="98" t="s">
        <v>89</v>
      </c>
      <c r="I29" s="98" t="s">
        <v>89</v>
      </c>
      <c r="J29" s="35">
        <f t="shared" si="0"/>
        <v>0.33682905271309327</v>
      </c>
      <c r="K29" s="35">
        <f t="shared" si="1"/>
        <v>23.778088317246642</v>
      </c>
      <c r="L29" s="21"/>
    </row>
    <row r="30" spans="2:12" ht="12.95" customHeight="1" outlineLevel="1" x14ac:dyDescent="0.2">
      <c r="B30" s="118" t="s">
        <v>54</v>
      </c>
      <c r="C30" s="36">
        <f>64691238.78</f>
        <v>64691238.780000001</v>
      </c>
      <c r="D30" s="36">
        <f>6877259.93</f>
        <v>6877259.9299999997</v>
      </c>
      <c r="E30" s="98" t="s">
        <v>89</v>
      </c>
      <c r="F30" s="98" t="s">
        <v>89</v>
      </c>
      <c r="G30" s="98" t="s">
        <v>89</v>
      </c>
      <c r="H30" s="98" t="s">
        <v>89</v>
      </c>
      <c r="I30" s="98" t="s">
        <v>89</v>
      </c>
      <c r="J30" s="34">
        <f t="shared" si="0"/>
        <v>6.9995314679204765E-2</v>
      </c>
      <c r="K30" s="34">
        <f t="shared" si="1"/>
        <v>10.630898495216604</v>
      </c>
      <c r="L30" s="21"/>
    </row>
    <row r="31" spans="2:12" ht="12.95" customHeight="1" outlineLevel="1" x14ac:dyDescent="0.2">
      <c r="B31" s="116" t="s">
        <v>71</v>
      </c>
      <c r="C31" s="59">
        <f>1336955189.09</f>
        <v>1336955189.0899999</v>
      </c>
      <c r="D31" s="59">
        <f>238266694.2</f>
        <v>238266694.19999999</v>
      </c>
      <c r="E31" s="98" t="s">
        <v>89</v>
      </c>
      <c r="F31" s="98" t="s">
        <v>89</v>
      </c>
      <c r="G31" s="98" t="s">
        <v>89</v>
      </c>
      <c r="H31" s="98" t="s">
        <v>89</v>
      </c>
      <c r="I31" s="98" t="s">
        <v>89</v>
      </c>
      <c r="J31" s="60">
        <f t="shared" si="0"/>
        <v>2.4250286317304943</v>
      </c>
      <c r="K31" s="60">
        <f t="shared" si="1"/>
        <v>17.821591639296191</v>
      </c>
      <c r="L31" s="21"/>
    </row>
    <row r="32" spans="2:12" ht="12.95" customHeight="1" outlineLevel="1" x14ac:dyDescent="0.2">
      <c r="B32" s="118" t="s">
        <v>68</v>
      </c>
      <c r="C32" s="36">
        <f>822686194.69</f>
        <v>822686194.69000006</v>
      </c>
      <c r="D32" s="36">
        <f>68492557.42</f>
        <v>68492557.420000002</v>
      </c>
      <c r="E32" s="98" t="s">
        <v>89</v>
      </c>
      <c r="F32" s="98" t="s">
        <v>89</v>
      </c>
      <c r="G32" s="98" t="s">
        <v>89</v>
      </c>
      <c r="H32" s="98" t="s">
        <v>89</v>
      </c>
      <c r="I32" s="98" t="s">
        <v>89</v>
      </c>
      <c r="J32" s="34">
        <f t="shared" si="0"/>
        <v>0.69710293904747056</v>
      </c>
      <c r="K32" s="34">
        <f t="shared" si="1"/>
        <v>8.3254779115150921</v>
      </c>
      <c r="L32" s="21"/>
    </row>
    <row r="33" spans="1:26" s="5" customFormat="1" ht="26.85" customHeight="1" x14ac:dyDescent="0.2">
      <c r="B33" s="110" t="s">
        <v>44</v>
      </c>
      <c r="C33" s="31">
        <f>C34+C35+C36+C37</f>
        <v>13910345801</v>
      </c>
      <c r="D33" s="31">
        <f>D34+D35+D36+D37</f>
        <v>4871072006</v>
      </c>
      <c r="E33" s="98" t="s">
        <v>89</v>
      </c>
      <c r="F33" s="98" t="s">
        <v>89</v>
      </c>
      <c r="G33" s="98" t="s">
        <v>89</v>
      </c>
      <c r="H33" s="98" t="s">
        <v>89</v>
      </c>
      <c r="I33" s="98" t="s">
        <v>89</v>
      </c>
      <c r="J33" s="32">
        <f t="shared" si="0"/>
        <v>49.57675314811538</v>
      </c>
      <c r="K33" s="32">
        <f t="shared" si="1"/>
        <v>35.017619803885992</v>
      </c>
      <c r="L33" s="22"/>
    </row>
    <row r="34" spans="1:26" ht="12.95" customHeight="1" outlineLevel="1" x14ac:dyDescent="0.2">
      <c r="B34" s="112" t="s">
        <v>31</v>
      </c>
      <c r="C34" s="33">
        <f>10283261890</f>
        <v>10283261890</v>
      </c>
      <c r="D34" s="33">
        <f>3974177552</f>
        <v>3974177552</v>
      </c>
      <c r="E34" s="98" t="s">
        <v>89</v>
      </c>
      <c r="F34" s="98" t="s">
        <v>89</v>
      </c>
      <c r="G34" s="98" t="s">
        <v>89</v>
      </c>
      <c r="H34" s="98" t="s">
        <v>89</v>
      </c>
      <c r="I34" s="98" t="s">
        <v>89</v>
      </c>
      <c r="J34" s="34">
        <f t="shared" si="0"/>
        <v>40.448348786385289</v>
      </c>
      <c r="K34" s="34">
        <f t="shared" si="1"/>
        <v>38.647051825692635</v>
      </c>
      <c r="L34" s="21"/>
    </row>
    <row r="35" spans="1:26" ht="12.95" customHeight="1" outlineLevel="1" x14ac:dyDescent="0.2">
      <c r="B35" s="112" t="s">
        <v>30</v>
      </c>
      <c r="C35" s="33">
        <f>910710765</f>
        <v>910710765</v>
      </c>
      <c r="D35" s="33">
        <f>227664501</f>
        <v>227664501</v>
      </c>
      <c r="E35" s="98" t="s">
        <v>89</v>
      </c>
      <c r="F35" s="98" t="s">
        <v>89</v>
      </c>
      <c r="G35" s="98" t="s">
        <v>89</v>
      </c>
      <c r="H35" s="98" t="s">
        <v>89</v>
      </c>
      <c r="I35" s="98" t="s">
        <v>89</v>
      </c>
      <c r="J35" s="34">
        <f t="shared" si="0"/>
        <v>2.3171217244916797</v>
      </c>
      <c r="K35" s="34">
        <f t="shared" si="1"/>
        <v>24.998551653224393</v>
      </c>
      <c r="L35" s="21"/>
    </row>
    <row r="36" spans="1:26" ht="12.95" customHeight="1" outlineLevel="1" x14ac:dyDescent="0.2">
      <c r="B36" s="112" t="s">
        <v>32</v>
      </c>
      <c r="C36" s="33">
        <f>2678335003</f>
        <v>2678335003</v>
      </c>
      <c r="D36" s="33">
        <f>669229953</f>
        <v>669229953</v>
      </c>
      <c r="E36" s="98" t="s">
        <v>89</v>
      </c>
      <c r="F36" s="98" t="s">
        <v>89</v>
      </c>
      <c r="G36" s="98" t="s">
        <v>89</v>
      </c>
      <c r="H36" s="98" t="s">
        <v>89</v>
      </c>
      <c r="I36" s="98" t="s">
        <v>89</v>
      </c>
      <c r="J36" s="34">
        <f t="shared" si="0"/>
        <v>6.8112826372384063</v>
      </c>
      <c r="K36" s="34">
        <f t="shared" si="1"/>
        <v>24.986790384712751</v>
      </c>
      <c r="L36" s="21"/>
    </row>
    <row r="37" spans="1:26" s="5" customFormat="1" ht="12.95" customHeight="1" outlineLevel="1" x14ac:dyDescent="0.2">
      <c r="B37" s="112" t="s">
        <v>29</v>
      </c>
      <c r="C37" s="33">
        <f>38038143</f>
        <v>38038143</v>
      </c>
      <c r="D37" s="33">
        <f>0</f>
        <v>0</v>
      </c>
      <c r="E37" s="98" t="s">
        <v>89</v>
      </c>
      <c r="F37" s="98" t="s">
        <v>89</v>
      </c>
      <c r="G37" s="98" t="s">
        <v>89</v>
      </c>
      <c r="H37" s="98" t="s">
        <v>89</v>
      </c>
      <c r="I37" s="98" t="s">
        <v>89</v>
      </c>
      <c r="J37" s="34">
        <f t="shared" si="0"/>
        <v>0</v>
      </c>
      <c r="K37" s="34">
        <f t="shared" si="1"/>
        <v>0</v>
      </c>
      <c r="L37" s="22"/>
    </row>
    <row r="38" spans="1:26" s="5" customFormat="1" ht="12.95" customHeight="1" x14ac:dyDescent="0.2">
      <c r="B38" s="109" t="s">
        <v>5</v>
      </c>
      <c r="C38" s="59">
        <f>+C5</f>
        <v>35995288676.440002</v>
      </c>
      <c r="D38" s="59">
        <f>+D5</f>
        <v>9825314682.1599998</v>
      </c>
      <c r="E38" s="98" t="s">
        <v>89</v>
      </c>
      <c r="F38" s="98" t="s">
        <v>89</v>
      </c>
      <c r="G38" s="98" t="s">
        <v>89</v>
      </c>
      <c r="H38" s="98" t="s">
        <v>89</v>
      </c>
      <c r="I38" s="98" t="s">
        <v>89</v>
      </c>
      <c r="J38" s="60">
        <f>IF($D$5=0,"",100*$D38/$D$38)</f>
        <v>100</v>
      </c>
      <c r="K38" s="60">
        <f t="shared" si="1"/>
        <v>27.296113028789136</v>
      </c>
    </row>
    <row r="39" spans="1:26" s="5" customFormat="1" ht="12.95" customHeight="1" x14ac:dyDescent="0.2">
      <c r="B39" s="119" t="s">
        <v>56</v>
      </c>
      <c r="C39" s="33">
        <f>5777235086.52</f>
        <v>5777235086.5200005</v>
      </c>
      <c r="D39" s="33">
        <f>359542717.01</f>
        <v>359542717.00999999</v>
      </c>
      <c r="E39" s="98" t="s">
        <v>89</v>
      </c>
      <c r="F39" s="98" t="s">
        <v>89</v>
      </c>
      <c r="G39" s="98" t="s">
        <v>89</v>
      </c>
      <c r="H39" s="98" t="s">
        <v>89</v>
      </c>
      <c r="I39" s="98" t="s">
        <v>89</v>
      </c>
      <c r="J39" s="34">
        <f>IF($D$5=0,"",100*$D39/$D$38)</f>
        <v>3.6593506532959008</v>
      </c>
      <c r="K39" s="34">
        <f t="shared" si="1"/>
        <v>6.223439268533828</v>
      </c>
    </row>
    <row r="40" spans="1:26" s="5" customFormat="1" ht="12.95" customHeight="1" x14ac:dyDescent="0.2">
      <c r="A40" s="2"/>
      <c r="B40" s="119" t="s">
        <v>57</v>
      </c>
      <c r="C40" s="33">
        <f>C38-C39</f>
        <v>30218053589.920002</v>
      </c>
      <c r="D40" s="33">
        <f>D38-D39</f>
        <v>9465771965.1499996</v>
      </c>
      <c r="E40" s="98" t="s">
        <v>89</v>
      </c>
      <c r="F40" s="98" t="s">
        <v>89</v>
      </c>
      <c r="G40" s="98" t="s">
        <v>89</v>
      </c>
      <c r="H40" s="98" t="s">
        <v>89</v>
      </c>
      <c r="I40" s="98" t="s">
        <v>89</v>
      </c>
      <c r="J40" s="34">
        <f>IF($D$5=0,"",100*$D40/$D$38)</f>
        <v>96.340649346704097</v>
      </c>
      <c r="K40" s="34">
        <f t="shared" si="1"/>
        <v>31.324889728528209</v>
      </c>
      <c r="M40" s="15"/>
      <c r="N40" s="15"/>
      <c r="O40" s="9"/>
      <c r="P40" s="9"/>
      <c r="Q40" s="3"/>
    </row>
    <row r="41" spans="1:26" ht="20.100000000000001" customHeight="1" x14ac:dyDescent="0.2">
      <c r="B41" s="120" t="str">
        <f>CONCATENATE("Informacja z wykonania budżetów powiatów za ",$D$96," ",$C$97," rok     ",$C$99,"")</f>
        <v xml:space="preserve">Informacja z wykonania budżetów powiatów za I Kwartał 2022 rok     </v>
      </c>
      <c r="C41" s="120"/>
      <c r="D41" s="120"/>
      <c r="E41" s="120"/>
      <c r="F41" s="120"/>
      <c r="G41" s="120"/>
      <c r="H41" s="120"/>
      <c r="I41" s="120"/>
      <c r="J41" s="120"/>
      <c r="K41" s="120"/>
      <c r="L41" s="120"/>
      <c r="M41" s="120"/>
    </row>
    <row r="42" spans="1:26" s="5" customFormat="1" ht="9" customHeight="1" x14ac:dyDescent="0.2">
      <c r="B42" s="6"/>
      <c r="C42" s="7"/>
      <c r="D42" s="8"/>
      <c r="E42" s="8"/>
      <c r="F42" s="4"/>
      <c r="G42" s="4"/>
      <c r="H42" s="4"/>
      <c r="I42" s="4"/>
      <c r="J42" s="4"/>
      <c r="K42" s="9"/>
      <c r="L42" s="9"/>
      <c r="M42" s="3"/>
    </row>
    <row r="43" spans="1:26" ht="29.25" customHeight="1" x14ac:dyDescent="0.2">
      <c r="B43" s="126" t="s">
        <v>0</v>
      </c>
      <c r="C43" s="127" t="s">
        <v>38</v>
      </c>
      <c r="D43" s="127" t="s">
        <v>40</v>
      </c>
      <c r="E43" s="127" t="s">
        <v>39</v>
      </c>
      <c r="F43" s="127" t="s">
        <v>12</v>
      </c>
      <c r="G43" s="127"/>
      <c r="H43" s="127"/>
      <c r="I43" s="128" t="s">
        <v>69</v>
      </c>
      <c r="J43" s="127" t="s">
        <v>2</v>
      </c>
      <c r="K43" s="159" t="s">
        <v>18</v>
      </c>
      <c r="M43" s="10"/>
      <c r="N43" s="74"/>
      <c r="O43" s="78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</row>
    <row r="44" spans="1:26" ht="18" customHeight="1" x14ac:dyDescent="0.2">
      <c r="B44" s="126"/>
      <c r="C44" s="127"/>
      <c r="D44" s="127"/>
      <c r="E44" s="153"/>
      <c r="F44" s="154" t="s">
        <v>41</v>
      </c>
      <c r="G44" s="152" t="s">
        <v>25</v>
      </c>
      <c r="H44" s="153"/>
      <c r="I44" s="129"/>
      <c r="J44" s="127"/>
      <c r="K44" s="159"/>
      <c r="L44" s="11"/>
      <c r="M44" s="12"/>
      <c r="N44" s="75"/>
      <c r="O44" s="79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</row>
    <row r="45" spans="1:26" ht="57" customHeight="1" x14ac:dyDescent="0.2">
      <c r="B45" s="126"/>
      <c r="C45" s="127"/>
      <c r="D45" s="127"/>
      <c r="E45" s="153"/>
      <c r="F45" s="153"/>
      <c r="G45" s="17" t="s">
        <v>36</v>
      </c>
      <c r="H45" s="17" t="s">
        <v>37</v>
      </c>
      <c r="I45" s="130"/>
      <c r="J45" s="127"/>
      <c r="K45" s="159"/>
      <c r="L45" s="11"/>
      <c r="M45" s="10"/>
      <c r="N45" s="75"/>
      <c r="O45" s="77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</row>
    <row r="46" spans="1:26" ht="13.5" customHeight="1" x14ac:dyDescent="0.2">
      <c r="B46" s="126"/>
      <c r="C46" s="131" t="s">
        <v>61</v>
      </c>
      <c r="D46" s="132"/>
      <c r="E46" s="132"/>
      <c r="F46" s="132"/>
      <c r="G46" s="132"/>
      <c r="H46" s="132"/>
      <c r="I46" s="133"/>
      <c r="J46" s="134" t="s">
        <v>4</v>
      </c>
      <c r="K46" s="134"/>
      <c r="N46" s="10"/>
      <c r="O46" s="79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</row>
    <row r="47" spans="1:26" ht="11.25" customHeight="1" x14ac:dyDescent="0.2">
      <c r="B47" s="16">
        <v>1</v>
      </c>
      <c r="C47" s="18">
        <v>2</v>
      </c>
      <c r="D47" s="18">
        <v>3</v>
      </c>
      <c r="E47" s="18">
        <v>4</v>
      </c>
      <c r="F47" s="16">
        <v>5</v>
      </c>
      <c r="G47" s="16">
        <v>6</v>
      </c>
      <c r="H47" s="18">
        <v>7</v>
      </c>
      <c r="I47" s="18">
        <v>8</v>
      </c>
      <c r="J47" s="16">
        <v>9</v>
      </c>
      <c r="K47" s="18">
        <v>10</v>
      </c>
      <c r="M47" s="10"/>
      <c r="N47" s="10"/>
      <c r="O47" s="77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</row>
    <row r="48" spans="1:26" ht="26.85" customHeight="1" x14ac:dyDescent="0.2">
      <c r="B48" s="104" t="s">
        <v>45</v>
      </c>
      <c r="C48" s="61">
        <f>40917585879.79</f>
        <v>40917585879.790001</v>
      </c>
      <c r="D48" s="73">
        <f>7933730507.14</f>
        <v>7933730507.1400003</v>
      </c>
      <c r="E48" s="73">
        <f>24910017729.44</f>
        <v>24910017729.439999</v>
      </c>
      <c r="F48" s="61">
        <f>875426182.25</f>
        <v>875426182.25</v>
      </c>
      <c r="G48" s="61">
        <f>279967.16</f>
        <v>279967.15999999997</v>
      </c>
      <c r="H48" s="61">
        <f>1992140.45</f>
        <v>1992140.45</v>
      </c>
      <c r="I48" s="81">
        <f>0</f>
        <v>0</v>
      </c>
      <c r="J48" s="51">
        <f>IF($D$48=0,"",100*$D48/$D$48)</f>
        <v>100</v>
      </c>
      <c r="K48" s="51">
        <f>IF(C48=0,"",100*D48/C48)</f>
        <v>19.389537130680591</v>
      </c>
      <c r="O48" s="76"/>
    </row>
    <row r="49" spans="2:15" ht="12.95" customHeight="1" x14ac:dyDescent="0.2">
      <c r="B49" s="19" t="s">
        <v>14</v>
      </c>
      <c r="C49" s="39">
        <f>10444549668.6</f>
        <v>10444549668.6</v>
      </c>
      <c r="D49" s="39">
        <f>398790841.47</f>
        <v>398790841.47000003</v>
      </c>
      <c r="E49" s="39">
        <f>3685462878.59</f>
        <v>3685462878.5900002</v>
      </c>
      <c r="F49" s="39">
        <f>107413146.96</f>
        <v>107413146.95999999</v>
      </c>
      <c r="G49" s="39">
        <f>61.64</f>
        <v>61.64</v>
      </c>
      <c r="H49" s="39">
        <f>1801001.32</f>
        <v>1801001.32</v>
      </c>
      <c r="I49" s="82">
        <f>0</f>
        <v>0</v>
      </c>
      <c r="J49" s="51">
        <f t="shared" ref="J49:J57" si="2">IF($D$48=0,"",100*$D49/$D$48)</f>
        <v>5.0265236651422205</v>
      </c>
      <c r="K49" s="51">
        <f t="shared" ref="K49:K57" si="3">IF(C49=0,"",100*D49/C49)</f>
        <v>3.8181717175313543</v>
      </c>
      <c r="O49" s="77"/>
    </row>
    <row r="50" spans="2:15" ht="12.95" customHeight="1" outlineLevel="1" x14ac:dyDescent="0.2">
      <c r="B50" s="20" t="s">
        <v>13</v>
      </c>
      <c r="C50" s="36">
        <f>10399467943.5</f>
        <v>10399467943.5</v>
      </c>
      <c r="D50" s="36">
        <f>387805319.37</f>
        <v>387805319.37</v>
      </c>
      <c r="E50" s="36">
        <f>3673487356.49</f>
        <v>3673487356.4899998</v>
      </c>
      <c r="F50" s="36">
        <f>107413146.96</f>
        <v>107413146.95999999</v>
      </c>
      <c r="G50" s="36">
        <f>61.64</f>
        <v>61.64</v>
      </c>
      <c r="H50" s="36">
        <f>1801001.32</f>
        <v>1801001.32</v>
      </c>
      <c r="I50" s="83">
        <f>0</f>
        <v>0</v>
      </c>
      <c r="J50" s="51">
        <f t="shared" si="2"/>
        <v>4.8880576296484062</v>
      </c>
      <c r="K50" s="51">
        <f t="shared" si="3"/>
        <v>3.7290880790914955</v>
      </c>
      <c r="O50" s="76"/>
    </row>
    <row r="51" spans="2:15" ht="26.85" customHeight="1" x14ac:dyDescent="0.2">
      <c r="B51" s="19" t="s">
        <v>46</v>
      </c>
      <c r="C51" s="39">
        <f t="shared" ref="C51:I51" si="4">C48-C49</f>
        <v>30473036211.190002</v>
      </c>
      <c r="D51" s="39">
        <f>D48-D49</f>
        <v>7534939665.6700001</v>
      </c>
      <c r="E51" s="39">
        <f>E48-E49</f>
        <v>21224554850.849998</v>
      </c>
      <c r="F51" s="39">
        <f t="shared" si="4"/>
        <v>768013035.28999996</v>
      </c>
      <c r="G51" s="39">
        <f t="shared" si="4"/>
        <v>279905.51999999996</v>
      </c>
      <c r="H51" s="39">
        <f t="shared" si="4"/>
        <v>191139.12999999989</v>
      </c>
      <c r="I51" s="82">
        <f t="shared" si="4"/>
        <v>0</v>
      </c>
      <c r="J51" s="51">
        <f t="shared" si="2"/>
        <v>94.973476334857779</v>
      </c>
      <c r="K51" s="51">
        <f t="shared" si="3"/>
        <v>24.726579962199811</v>
      </c>
      <c r="O51" s="76"/>
    </row>
    <row r="52" spans="2:15" ht="22.5" outlineLevel="1" x14ac:dyDescent="0.2">
      <c r="B52" s="20" t="s">
        <v>88</v>
      </c>
      <c r="C52" s="36">
        <f>18826381690.38</f>
        <v>18826381690.380001</v>
      </c>
      <c r="D52" s="36">
        <f>5217294489.83001</f>
        <v>5217294489.8300104</v>
      </c>
      <c r="E52" s="36">
        <f>15672688721.63</f>
        <v>15672688721.629999</v>
      </c>
      <c r="F52" s="36">
        <f>471006494.94</f>
        <v>471006494.94</v>
      </c>
      <c r="G52" s="36">
        <f>2305.94</f>
        <v>2305.94</v>
      </c>
      <c r="H52" s="36">
        <f>4324.69</f>
        <v>4324.6899999999996</v>
      </c>
      <c r="I52" s="83">
        <f>0</f>
        <v>0</v>
      </c>
      <c r="J52" s="51">
        <f t="shared" si="2"/>
        <v>65.760924008380172</v>
      </c>
      <c r="K52" s="51">
        <f t="shared" si="3"/>
        <v>27.712677749946874</v>
      </c>
      <c r="O52" s="77"/>
    </row>
    <row r="53" spans="2:15" ht="12.95" customHeight="1" outlineLevel="1" x14ac:dyDescent="0.2">
      <c r="B53" s="23" t="s">
        <v>35</v>
      </c>
      <c r="C53" s="62">
        <f>2362705202.34</f>
        <v>2362705202.3400002</v>
      </c>
      <c r="D53" s="62">
        <f>565611914.03</f>
        <v>565611914.02999997</v>
      </c>
      <c r="E53" s="62">
        <f>1376447203.77</f>
        <v>1376447203.77</v>
      </c>
      <c r="F53" s="62">
        <f>2731545.67</f>
        <v>2731545.67</v>
      </c>
      <c r="G53" s="62">
        <f>0</f>
        <v>0</v>
      </c>
      <c r="H53" s="62">
        <f>0</f>
        <v>0</v>
      </c>
      <c r="I53" s="84">
        <f>0</f>
        <v>0</v>
      </c>
      <c r="J53" s="51">
        <f t="shared" si="2"/>
        <v>7.1292050255674138</v>
      </c>
      <c r="K53" s="51">
        <f t="shared" si="3"/>
        <v>23.939165727058267</v>
      </c>
    </row>
    <row r="54" spans="2:15" ht="12.95" customHeight="1" outlineLevel="1" x14ac:dyDescent="0.2">
      <c r="B54" s="23" t="s">
        <v>34</v>
      </c>
      <c r="C54" s="33">
        <f>194066421.94</f>
        <v>194066421.94</v>
      </c>
      <c r="D54" s="33">
        <f>30566001.13</f>
        <v>30566001.129999999</v>
      </c>
      <c r="E54" s="33">
        <f>72634916.14</f>
        <v>72634916.140000001</v>
      </c>
      <c r="F54" s="33">
        <f>6968186.65</f>
        <v>6968186.6500000004</v>
      </c>
      <c r="G54" s="33">
        <f>0</f>
        <v>0</v>
      </c>
      <c r="H54" s="33">
        <f>19819.15</f>
        <v>19819.150000000001</v>
      </c>
      <c r="I54" s="85">
        <f>0</f>
        <v>0</v>
      </c>
      <c r="J54" s="51">
        <f t="shared" si="2"/>
        <v>0.38526644057914466</v>
      </c>
      <c r="K54" s="51">
        <f t="shared" si="3"/>
        <v>15.750278087494275</v>
      </c>
    </row>
    <row r="55" spans="2:15" ht="22.5" customHeight="1" outlineLevel="1" x14ac:dyDescent="0.2">
      <c r="B55" s="23" t="s">
        <v>52</v>
      </c>
      <c r="C55" s="62">
        <f>58450631.95</f>
        <v>58450631.950000003</v>
      </c>
      <c r="D55" s="62">
        <f>696018.78</f>
        <v>696018.78</v>
      </c>
      <c r="E55" s="62">
        <f>5016670.88</f>
        <v>5016670.88</v>
      </c>
      <c r="F55" s="62">
        <f>30600</f>
        <v>30600</v>
      </c>
      <c r="G55" s="62">
        <f>0</f>
        <v>0</v>
      </c>
      <c r="H55" s="62">
        <f>0</f>
        <v>0</v>
      </c>
      <c r="I55" s="84">
        <f>0</f>
        <v>0</v>
      </c>
      <c r="J55" s="51">
        <f t="shared" si="2"/>
        <v>8.7729067602386347E-3</v>
      </c>
      <c r="K55" s="51">
        <f t="shared" si="3"/>
        <v>1.1907805900120811</v>
      </c>
    </row>
    <row r="56" spans="2:15" ht="12.95" customHeight="1" outlineLevel="1" x14ac:dyDescent="0.2">
      <c r="B56" s="23" t="s">
        <v>53</v>
      </c>
      <c r="C56" s="62">
        <f>1153609390.09</f>
        <v>1153609390.0899999</v>
      </c>
      <c r="D56" s="62">
        <f>284045392.57</f>
        <v>284045392.56999999</v>
      </c>
      <c r="E56" s="62">
        <f>660695418.53</f>
        <v>660695418.52999997</v>
      </c>
      <c r="F56" s="62">
        <f>13196759.34</f>
        <v>13196759.34</v>
      </c>
      <c r="G56" s="62">
        <f>0</f>
        <v>0</v>
      </c>
      <c r="H56" s="62">
        <f>0</f>
        <v>0</v>
      </c>
      <c r="I56" s="86">
        <f>0</f>
        <v>0</v>
      </c>
      <c r="J56" s="51">
        <f t="shared" si="2"/>
        <v>3.5802248679151871</v>
      </c>
      <c r="K56" s="51">
        <f t="shared" si="3"/>
        <v>24.622319739252465</v>
      </c>
    </row>
    <row r="57" spans="2:15" ht="12.95" customHeight="1" outlineLevel="1" x14ac:dyDescent="0.2">
      <c r="B57" s="20" t="s">
        <v>33</v>
      </c>
      <c r="C57" s="36">
        <f t="shared" ref="C57:I57" si="5">C51-C52-C53-C54-C55-C56</f>
        <v>7877822874.4899998</v>
      </c>
      <c r="D57" s="36">
        <f>D51-D52-D53-D54-D55-D56</f>
        <v>1436725849.3299897</v>
      </c>
      <c r="E57" s="87">
        <f>E51-E52-E53-E54-E55-E56</f>
        <v>3437071919.8999996</v>
      </c>
      <c r="F57" s="87">
        <f t="shared" si="5"/>
        <v>274079448.69</v>
      </c>
      <c r="G57" s="87">
        <f t="shared" si="5"/>
        <v>277599.57999999996</v>
      </c>
      <c r="H57" s="87">
        <f t="shared" si="5"/>
        <v>166995.28999999989</v>
      </c>
      <c r="I57" s="88">
        <f t="shared" si="5"/>
        <v>0</v>
      </c>
      <c r="J57" s="51">
        <f t="shared" si="2"/>
        <v>18.10908308565562</v>
      </c>
      <c r="K57" s="51">
        <f t="shared" si="3"/>
        <v>18.237600314452379</v>
      </c>
    </row>
    <row r="58" spans="2:15" ht="12.95" customHeight="1" x14ac:dyDescent="0.2">
      <c r="B58" s="104" t="s">
        <v>15</v>
      </c>
      <c r="C58" s="65">
        <f>C5-C48</f>
        <v>-4922297203.3499985</v>
      </c>
      <c r="D58" s="65">
        <f>D5-D48</f>
        <v>1891584175.0199995</v>
      </c>
      <c r="E58" s="93"/>
      <c r="F58" s="94"/>
      <c r="G58" s="94"/>
      <c r="H58" s="94"/>
      <c r="I58" s="158"/>
      <c r="J58" s="158"/>
      <c r="K58" s="95"/>
      <c r="L58" s="89"/>
      <c r="M58" s="13"/>
    </row>
    <row r="59" spans="2:15" ht="39" customHeight="1" x14ac:dyDescent="0.2">
      <c r="B59" s="105" t="s">
        <v>98</v>
      </c>
      <c r="C59" s="66">
        <f>C40-C51</f>
        <v>-254982621.27000046</v>
      </c>
      <c r="D59" s="66">
        <f>D40-D51</f>
        <v>1930832299.4799995</v>
      </c>
      <c r="E59" s="92"/>
      <c r="F59" s="90"/>
      <c r="G59" s="90"/>
      <c r="H59" s="90"/>
      <c r="I59" s="90"/>
      <c r="J59" s="90"/>
      <c r="K59" s="91"/>
      <c r="L59" s="91"/>
      <c r="M59" s="10"/>
    </row>
    <row r="60" spans="2:15" ht="12" customHeight="1" thickBot="1" x14ac:dyDescent="0.25">
      <c r="B60" s="38"/>
      <c r="C60" s="43"/>
      <c r="D60" s="43"/>
      <c r="E60" s="43"/>
      <c r="F60" s="44"/>
      <c r="G60" s="44"/>
      <c r="H60" s="44"/>
      <c r="I60" s="44"/>
      <c r="J60" s="41"/>
      <c r="K60" s="41"/>
      <c r="L60" s="42"/>
      <c r="M60" s="10"/>
    </row>
    <row r="61" spans="2:15" ht="12" customHeight="1" thickBot="1" x14ac:dyDescent="0.25">
      <c r="B61" s="24" t="s">
        <v>58</v>
      </c>
      <c r="C61" s="43"/>
      <c r="D61" s="43"/>
      <c r="E61" s="43"/>
      <c r="F61" s="44"/>
      <c r="G61" s="44"/>
      <c r="H61" s="44"/>
      <c r="I61" s="44"/>
      <c r="J61" s="41"/>
      <c r="K61" s="41"/>
      <c r="L61" s="42"/>
      <c r="M61" s="10"/>
    </row>
    <row r="62" spans="2:15" ht="26.85" customHeight="1" thickBot="1" x14ac:dyDescent="0.25">
      <c r="B62" s="106" t="s">
        <v>97</v>
      </c>
      <c r="C62" s="63">
        <f>1978547220.71</f>
        <v>1978547220.71</v>
      </c>
      <c r="D62" s="63">
        <f>211341214.68</f>
        <v>211341214.68000001</v>
      </c>
      <c r="E62" s="63">
        <f>709557713.719999</f>
        <v>709557713.71999896</v>
      </c>
      <c r="F62" s="63">
        <f>14952702.03</f>
        <v>14952702.029999999</v>
      </c>
      <c r="G62" s="63">
        <f>0</f>
        <v>0</v>
      </c>
      <c r="H62" s="63">
        <f>1801001.32</f>
        <v>1801001.32</v>
      </c>
      <c r="I62" s="63">
        <f>0</f>
        <v>0</v>
      </c>
      <c r="J62" s="51">
        <f>IF($D$62=0,"",100*$D62/$D$62)</f>
        <v>100</v>
      </c>
      <c r="K62" s="64">
        <f>IF(C62=0,"",100*D62/C62)</f>
        <v>10.681636125124189</v>
      </c>
      <c r="L62" s="10"/>
    </row>
    <row r="63" spans="2:15" ht="12.95" customHeight="1" thickBot="1" x14ac:dyDescent="0.25">
      <c r="B63" s="108" t="s">
        <v>59</v>
      </c>
      <c r="C63" s="62">
        <f>1122400273.06</f>
        <v>1122400273.0599999</v>
      </c>
      <c r="D63" s="62">
        <f>81409546.26</f>
        <v>81409546.260000005</v>
      </c>
      <c r="E63" s="62">
        <f>398376619.25</f>
        <v>398376619.25</v>
      </c>
      <c r="F63" s="62">
        <f>10059911.51</f>
        <v>10059911.51</v>
      </c>
      <c r="G63" s="62">
        <f>0</f>
        <v>0</v>
      </c>
      <c r="H63" s="62">
        <f>1801001.32</f>
        <v>1801001.32</v>
      </c>
      <c r="I63" s="62">
        <f>0</f>
        <v>0</v>
      </c>
      <c r="J63" s="51">
        <f>IF($D$62=0,"",100*$D63/$D$62)</f>
        <v>38.520430756142567</v>
      </c>
      <c r="K63" s="64">
        <f>IF(C63=0,"",100*D63/C63)</f>
        <v>7.2531652222476</v>
      </c>
    </row>
    <row r="64" spans="2:15" ht="12.95" customHeight="1" thickBot="1" x14ac:dyDescent="0.25">
      <c r="B64" s="108" t="s">
        <v>60</v>
      </c>
      <c r="C64" s="62">
        <f>C62-C63</f>
        <v>856146947.6500001</v>
      </c>
      <c r="D64" s="62">
        <f t="shared" ref="D64:I64" si="6">D62-D63</f>
        <v>129931668.42</v>
      </c>
      <c r="E64" s="62">
        <f t="shared" si="6"/>
        <v>311181094.46999896</v>
      </c>
      <c r="F64" s="62">
        <f t="shared" si="6"/>
        <v>4892790.5199999996</v>
      </c>
      <c r="G64" s="62">
        <f t="shared" si="6"/>
        <v>0</v>
      </c>
      <c r="H64" s="62">
        <f t="shared" si="6"/>
        <v>0</v>
      </c>
      <c r="I64" s="62">
        <f t="shared" si="6"/>
        <v>0</v>
      </c>
      <c r="J64" s="51">
        <f>IF($D$62=0,"",100*$D64/$D$62)</f>
        <v>61.479569243857433</v>
      </c>
      <c r="K64" s="64">
        <f>IF(C64=0,"",100*D64/C64)</f>
        <v>15.176327939572021</v>
      </c>
    </row>
    <row r="65" spans="2:13" ht="20.100000000000001" customHeight="1" x14ac:dyDescent="0.2">
      <c r="B65" s="120" t="str">
        <f>CONCATENATE("Informacja z wykonania budżetów powiatów za ",$D$96," ",$C$97," rok     ",$C$99,"")</f>
        <v xml:space="preserve">Informacja z wykonania budżetów powiatów za I Kwartał 2022 rok     </v>
      </c>
      <c r="C65" s="120"/>
      <c r="D65" s="120"/>
      <c r="E65" s="120"/>
      <c r="F65" s="120"/>
      <c r="G65" s="120"/>
      <c r="H65" s="120"/>
      <c r="I65" s="120"/>
      <c r="J65" s="120"/>
      <c r="K65" s="120"/>
      <c r="L65" s="120"/>
      <c r="M65" s="120"/>
    </row>
    <row r="66" spans="2:13" x14ac:dyDescent="0.2">
      <c r="B66" s="29" t="s">
        <v>16</v>
      </c>
      <c r="C66" s="96" t="s">
        <v>17</v>
      </c>
      <c r="D66" s="72" t="s">
        <v>1</v>
      </c>
      <c r="E66" s="143" t="s">
        <v>89</v>
      </c>
      <c r="F66" s="144"/>
      <c r="G66" s="144"/>
      <c r="H66" s="144"/>
      <c r="I66" s="145"/>
      <c r="J66" s="18" t="s">
        <v>22</v>
      </c>
      <c r="K66" s="18" t="s">
        <v>23</v>
      </c>
    </row>
    <row r="67" spans="2:13" x14ac:dyDescent="0.2">
      <c r="B67" s="29"/>
      <c r="C67" s="154" t="s">
        <v>61</v>
      </c>
      <c r="D67" s="155"/>
      <c r="E67" s="146"/>
      <c r="F67" s="147"/>
      <c r="G67" s="147"/>
      <c r="H67" s="147"/>
      <c r="I67" s="148"/>
      <c r="J67" s="156" t="s">
        <v>4</v>
      </c>
      <c r="K67" s="157"/>
    </row>
    <row r="68" spans="2:13" x14ac:dyDescent="0.2">
      <c r="B68" s="27">
        <v>1</v>
      </c>
      <c r="C68" s="30">
        <v>2</v>
      </c>
      <c r="D68" s="28">
        <v>3</v>
      </c>
      <c r="E68" s="149"/>
      <c r="F68" s="150"/>
      <c r="G68" s="150"/>
      <c r="H68" s="150"/>
      <c r="I68" s="151"/>
      <c r="J68" s="28">
        <v>4</v>
      </c>
      <c r="K68" s="28">
        <v>5</v>
      </c>
    </row>
    <row r="69" spans="2:13" ht="26.85" customHeight="1" x14ac:dyDescent="0.2">
      <c r="B69" s="107" t="s">
        <v>47</v>
      </c>
      <c r="C69" s="45">
        <f>5676844646.97</f>
        <v>5676844646.9700003</v>
      </c>
      <c r="D69" s="73">
        <f>6646482821.78</f>
        <v>6646482821.7799997</v>
      </c>
      <c r="E69" s="103" t="s">
        <v>89</v>
      </c>
      <c r="F69" s="103" t="s">
        <v>89</v>
      </c>
      <c r="G69" s="103" t="s">
        <v>89</v>
      </c>
      <c r="H69" s="103" t="s">
        <v>89</v>
      </c>
      <c r="I69" s="103" t="s">
        <v>89</v>
      </c>
      <c r="J69" s="46">
        <f>IF($D$69=0,"",100*$D69/$D$69)</f>
        <v>100</v>
      </c>
      <c r="K69" s="40">
        <f t="shared" ref="K69:K82" si="7">IF(C69=0,"",100*D69/C69)</f>
        <v>117.08058323081893</v>
      </c>
    </row>
    <row r="70" spans="2:13" ht="25.5" customHeight="1" x14ac:dyDescent="0.2">
      <c r="B70" s="122" t="s">
        <v>72</v>
      </c>
      <c r="C70" s="47">
        <f>1331952722.28</f>
        <v>1331952722.28</v>
      </c>
      <c r="D70" s="99">
        <f>2545187.66</f>
        <v>2545187.66</v>
      </c>
      <c r="E70" s="103" t="s">
        <v>89</v>
      </c>
      <c r="F70" s="103" t="s">
        <v>89</v>
      </c>
      <c r="G70" s="103" t="s">
        <v>89</v>
      </c>
      <c r="H70" s="103" t="s">
        <v>89</v>
      </c>
      <c r="I70" s="103" t="s">
        <v>89</v>
      </c>
      <c r="J70" s="48">
        <f t="shared" ref="J70:J77" si="8">IF($D$69=0,"",100*$D70/$D$69)</f>
        <v>3.8293752173098543E-2</v>
      </c>
      <c r="K70" s="49">
        <f t="shared" si="7"/>
        <v>0.19108693705308233</v>
      </c>
    </row>
    <row r="71" spans="2:13" ht="22.5" x14ac:dyDescent="0.2">
      <c r="B71" s="123" t="s">
        <v>73</v>
      </c>
      <c r="C71" s="67">
        <f>70900000</f>
        <v>70900000</v>
      </c>
      <c r="D71" s="57">
        <f>0</f>
        <v>0</v>
      </c>
      <c r="E71" s="103" t="s">
        <v>89</v>
      </c>
      <c r="F71" s="103" t="s">
        <v>89</v>
      </c>
      <c r="G71" s="103" t="s">
        <v>89</v>
      </c>
      <c r="H71" s="103" t="s">
        <v>89</v>
      </c>
      <c r="I71" s="103" t="s">
        <v>89</v>
      </c>
      <c r="J71" s="68">
        <f t="shared" si="8"/>
        <v>0</v>
      </c>
      <c r="K71" s="69">
        <f t="shared" si="7"/>
        <v>0</v>
      </c>
    </row>
    <row r="72" spans="2:13" ht="12.95" customHeight="1" x14ac:dyDescent="0.2">
      <c r="B72" s="121" t="s">
        <v>74</v>
      </c>
      <c r="C72" s="67">
        <f>35156899.93</f>
        <v>35156899.93</v>
      </c>
      <c r="D72" s="57">
        <f>1244335.17</f>
        <v>1244335.17</v>
      </c>
      <c r="E72" s="103" t="s">
        <v>89</v>
      </c>
      <c r="F72" s="103" t="s">
        <v>89</v>
      </c>
      <c r="G72" s="103" t="s">
        <v>89</v>
      </c>
      <c r="H72" s="103" t="s">
        <v>89</v>
      </c>
      <c r="I72" s="103" t="s">
        <v>89</v>
      </c>
      <c r="J72" s="68">
        <f t="shared" si="8"/>
        <v>1.872170896045066E-2</v>
      </c>
      <c r="K72" s="69">
        <f t="shared" si="7"/>
        <v>3.5393768292356942</v>
      </c>
    </row>
    <row r="73" spans="2:13" ht="48.75" customHeight="1" x14ac:dyDescent="0.2">
      <c r="B73" s="121" t="s">
        <v>82</v>
      </c>
      <c r="C73" s="67">
        <f>714377917.91</f>
        <v>714377917.90999997</v>
      </c>
      <c r="D73" s="57">
        <f>1603647890.54</f>
        <v>1603647890.54</v>
      </c>
      <c r="E73" s="103" t="s">
        <v>89</v>
      </c>
      <c r="F73" s="103" t="s">
        <v>89</v>
      </c>
      <c r="G73" s="103" t="s">
        <v>89</v>
      </c>
      <c r="H73" s="103" t="s">
        <v>89</v>
      </c>
      <c r="I73" s="103" t="s">
        <v>89</v>
      </c>
      <c r="J73" s="68">
        <f t="shared" si="8"/>
        <v>24.127767024161596</v>
      </c>
      <c r="K73" s="69">
        <f t="shared" si="7"/>
        <v>224.4817274352024</v>
      </c>
    </row>
    <row r="74" spans="2:13" ht="35.25" customHeight="1" x14ac:dyDescent="0.2">
      <c r="B74" s="121" t="s">
        <v>83</v>
      </c>
      <c r="C74" s="67">
        <f>1716913549.97</f>
        <v>1716913549.97</v>
      </c>
      <c r="D74" s="57">
        <f>1893881057.53</f>
        <v>1893881057.53</v>
      </c>
      <c r="E74" s="103" t="s">
        <v>89</v>
      </c>
      <c r="F74" s="103" t="s">
        <v>89</v>
      </c>
      <c r="G74" s="103" t="s">
        <v>89</v>
      </c>
      <c r="H74" s="103" t="s">
        <v>89</v>
      </c>
      <c r="I74" s="103" t="s">
        <v>89</v>
      </c>
      <c r="J74" s="68">
        <f t="shared" si="8"/>
        <v>28.494485103066861</v>
      </c>
      <c r="K74" s="69">
        <f t="shared" si="7"/>
        <v>110.3073044978352</v>
      </c>
    </row>
    <row r="75" spans="2:13" ht="12.95" customHeight="1" x14ac:dyDescent="0.2">
      <c r="B75" s="121" t="s">
        <v>75</v>
      </c>
      <c r="C75" s="67">
        <f>0</f>
        <v>0</v>
      </c>
      <c r="D75" s="57">
        <f>0</f>
        <v>0</v>
      </c>
      <c r="E75" s="103" t="s">
        <v>89</v>
      </c>
      <c r="F75" s="103" t="s">
        <v>89</v>
      </c>
      <c r="G75" s="103" t="s">
        <v>89</v>
      </c>
      <c r="H75" s="103" t="s">
        <v>89</v>
      </c>
      <c r="I75" s="103" t="s">
        <v>89</v>
      </c>
      <c r="J75" s="68">
        <f t="shared" si="8"/>
        <v>0</v>
      </c>
      <c r="K75" s="69" t="str">
        <f t="shared" si="7"/>
        <v/>
      </c>
    </row>
    <row r="76" spans="2:13" ht="33.75" x14ac:dyDescent="0.2">
      <c r="B76" s="121" t="s">
        <v>76</v>
      </c>
      <c r="C76" s="67">
        <f>1877723556.88</f>
        <v>1877723556.8800001</v>
      </c>
      <c r="D76" s="57">
        <f>3144444350.88</f>
        <v>3144444350.8800001</v>
      </c>
      <c r="E76" s="103" t="s">
        <v>89</v>
      </c>
      <c r="F76" s="103" t="s">
        <v>89</v>
      </c>
      <c r="G76" s="103" t="s">
        <v>89</v>
      </c>
      <c r="H76" s="103" t="s">
        <v>89</v>
      </c>
      <c r="I76" s="103" t="s">
        <v>89</v>
      </c>
      <c r="J76" s="68">
        <f t="shared" si="8"/>
        <v>47.309899614513469</v>
      </c>
      <c r="K76" s="69">
        <f t="shared" si="7"/>
        <v>167.46045174534456</v>
      </c>
    </row>
    <row r="77" spans="2:13" ht="12.95" customHeight="1" x14ac:dyDescent="0.2">
      <c r="B77" s="121" t="s">
        <v>63</v>
      </c>
      <c r="C77" s="67">
        <f>720000</f>
        <v>720000</v>
      </c>
      <c r="D77" s="57">
        <f>720000</f>
        <v>720000</v>
      </c>
      <c r="E77" s="103" t="s">
        <v>89</v>
      </c>
      <c r="F77" s="103" t="s">
        <v>89</v>
      </c>
      <c r="G77" s="103" t="s">
        <v>89</v>
      </c>
      <c r="H77" s="103" t="s">
        <v>89</v>
      </c>
      <c r="I77" s="103" t="s">
        <v>89</v>
      </c>
      <c r="J77" s="68">
        <f t="shared" si="8"/>
        <v>1.0832797124527529E-2</v>
      </c>
      <c r="K77" s="69">
        <f t="shared" si="7"/>
        <v>100</v>
      </c>
    </row>
    <row r="78" spans="2:13" ht="26.85" customHeight="1" x14ac:dyDescent="0.2">
      <c r="B78" s="107" t="s">
        <v>48</v>
      </c>
      <c r="C78" s="52">
        <f>754547443.62</f>
        <v>754547443.62</v>
      </c>
      <c r="D78" s="73">
        <f>252824420.65</f>
        <v>252824420.65000001</v>
      </c>
      <c r="E78" s="103" t="s">
        <v>89</v>
      </c>
      <c r="F78" s="103" t="s">
        <v>89</v>
      </c>
      <c r="G78" s="103" t="s">
        <v>89</v>
      </c>
      <c r="H78" s="103" t="s">
        <v>89</v>
      </c>
      <c r="I78" s="103" t="s">
        <v>89</v>
      </c>
      <c r="J78" s="46">
        <f>IF($D$78=0,"",100*$D78/$D$78)</f>
        <v>100</v>
      </c>
      <c r="K78" s="40">
        <f t="shared" si="7"/>
        <v>33.506762601574152</v>
      </c>
    </row>
    <row r="79" spans="2:13" ht="22.5" x14ac:dyDescent="0.2">
      <c r="B79" s="122" t="s">
        <v>78</v>
      </c>
      <c r="C79" s="47">
        <f>698975370.75</f>
        <v>698975370.75</v>
      </c>
      <c r="D79" s="100">
        <f>188031698.13</f>
        <v>188031698.13</v>
      </c>
      <c r="E79" s="103" t="s">
        <v>89</v>
      </c>
      <c r="F79" s="103" t="s">
        <v>89</v>
      </c>
      <c r="G79" s="103" t="s">
        <v>89</v>
      </c>
      <c r="H79" s="103" t="s">
        <v>89</v>
      </c>
      <c r="I79" s="103" t="s">
        <v>89</v>
      </c>
      <c r="J79" s="48">
        <f>IF($D$78=0,"",100*$D79/$D$78)</f>
        <v>74.372442996835161</v>
      </c>
      <c r="K79" s="49">
        <f t="shared" si="7"/>
        <v>26.901047733376089</v>
      </c>
    </row>
    <row r="80" spans="2:13" ht="12.95" customHeight="1" x14ac:dyDescent="0.2">
      <c r="B80" s="123" t="s">
        <v>77</v>
      </c>
      <c r="C80" s="67">
        <f>24680000</f>
        <v>24680000</v>
      </c>
      <c r="D80" s="57">
        <f>5300000</f>
        <v>5300000</v>
      </c>
      <c r="E80" s="103" t="s">
        <v>89</v>
      </c>
      <c r="F80" s="103" t="s">
        <v>89</v>
      </c>
      <c r="G80" s="103" t="s">
        <v>89</v>
      </c>
      <c r="H80" s="103" t="s">
        <v>89</v>
      </c>
      <c r="I80" s="103" t="s">
        <v>89</v>
      </c>
      <c r="J80" s="68">
        <f>IF($D$78=0,"",100*$D80/$D$78)</f>
        <v>2.0963164817599278</v>
      </c>
      <c r="K80" s="69">
        <f t="shared" si="7"/>
        <v>21.474878444084279</v>
      </c>
    </row>
    <row r="81" spans="2:11" ht="12.95" customHeight="1" x14ac:dyDescent="0.2">
      <c r="B81" s="121" t="s">
        <v>87</v>
      </c>
      <c r="C81" s="67">
        <f>37919821.42</f>
        <v>37919821.420000002</v>
      </c>
      <c r="D81" s="57">
        <f>22886382.14</f>
        <v>22886382.140000001</v>
      </c>
      <c r="E81" s="103" t="s">
        <v>89</v>
      </c>
      <c r="F81" s="103" t="s">
        <v>89</v>
      </c>
      <c r="G81" s="103" t="s">
        <v>89</v>
      </c>
      <c r="H81" s="103" t="s">
        <v>89</v>
      </c>
      <c r="I81" s="103" t="s">
        <v>89</v>
      </c>
      <c r="J81" s="68">
        <f>IF($D$78=0,"",100*$D81/$D$78)</f>
        <v>9.0522830354600075</v>
      </c>
      <c r="K81" s="69">
        <f t="shared" si="7"/>
        <v>60.354667514148858</v>
      </c>
    </row>
    <row r="82" spans="2:11" ht="12.95" customHeight="1" x14ac:dyDescent="0.2">
      <c r="B82" s="124" t="s">
        <v>24</v>
      </c>
      <c r="C82" s="67">
        <f>17652251.45</f>
        <v>17652251.449999999</v>
      </c>
      <c r="D82" s="57">
        <f>41906340.38</f>
        <v>41906340.380000003</v>
      </c>
      <c r="E82" s="103" t="s">
        <v>89</v>
      </c>
      <c r="F82" s="103" t="s">
        <v>89</v>
      </c>
      <c r="G82" s="103" t="s">
        <v>89</v>
      </c>
      <c r="H82" s="103" t="s">
        <v>89</v>
      </c>
      <c r="I82" s="103" t="s">
        <v>89</v>
      </c>
      <c r="J82" s="68">
        <f>IF($D$78=0,"",100*$D82/$D$78)</f>
        <v>16.575273967704831</v>
      </c>
      <c r="K82" s="69">
        <f t="shared" si="7"/>
        <v>237.39940765459698</v>
      </c>
    </row>
    <row r="83" spans="2:11" x14ac:dyDescent="0.2">
      <c r="B83" s="26"/>
    </row>
    <row r="84" spans="2:11" x14ac:dyDescent="0.2">
      <c r="B84" s="53" t="s">
        <v>16</v>
      </c>
      <c r="C84" s="80" t="s">
        <v>17</v>
      </c>
      <c r="D84" s="18" t="s">
        <v>1</v>
      </c>
    </row>
    <row r="85" spans="2:11" x14ac:dyDescent="0.2">
      <c r="B85" s="53"/>
      <c r="C85" s="127" t="s">
        <v>61</v>
      </c>
      <c r="D85" s="127"/>
    </row>
    <row r="86" spans="2:11" x14ac:dyDescent="0.2">
      <c r="B86" s="27">
        <v>1</v>
      </c>
      <c r="C86" s="28">
        <v>2</v>
      </c>
      <c r="D86" s="28">
        <v>3</v>
      </c>
    </row>
    <row r="87" spans="2:11" ht="36" customHeight="1" x14ac:dyDescent="0.2">
      <c r="B87" s="54" t="s">
        <v>96</v>
      </c>
      <c r="C87" s="50">
        <f>4925675756.35</f>
        <v>4925675756.3500004</v>
      </c>
      <c r="D87" s="97">
        <f>0</f>
        <v>0</v>
      </c>
    </row>
    <row r="88" spans="2:11" ht="35.25" customHeight="1" x14ac:dyDescent="0.2">
      <c r="B88" s="125" t="s">
        <v>64</v>
      </c>
      <c r="C88" s="67">
        <f>64084924</f>
        <v>64084924</v>
      </c>
      <c r="D88" s="57">
        <f>0</f>
        <v>0</v>
      </c>
    </row>
    <row r="89" spans="2:11" ht="12.95" customHeight="1" x14ac:dyDescent="0.2">
      <c r="B89" s="125" t="s">
        <v>65</v>
      </c>
      <c r="C89" s="67">
        <f>993443664.05</f>
        <v>993443664.04999995</v>
      </c>
      <c r="D89" s="57">
        <f>0</f>
        <v>0</v>
      </c>
    </row>
    <row r="90" spans="2:11" ht="24" customHeight="1" x14ac:dyDescent="0.2">
      <c r="B90" s="125" t="s">
        <v>66</v>
      </c>
      <c r="C90" s="67">
        <f>0</f>
        <v>0</v>
      </c>
      <c r="D90" s="57">
        <f>0</f>
        <v>0</v>
      </c>
    </row>
    <row r="91" spans="2:11" ht="57.75" customHeight="1" x14ac:dyDescent="0.2">
      <c r="B91" s="125" t="s">
        <v>84</v>
      </c>
      <c r="C91" s="67">
        <f>651906055.41</f>
        <v>651906055.40999997</v>
      </c>
      <c r="D91" s="57">
        <f>0</f>
        <v>0</v>
      </c>
    </row>
    <row r="92" spans="2:11" ht="81" customHeight="1" x14ac:dyDescent="0.2">
      <c r="B92" s="125" t="s">
        <v>67</v>
      </c>
      <c r="C92" s="67">
        <f>1524004258.33</f>
        <v>1524004258.3299999</v>
      </c>
      <c r="D92" s="57">
        <f>0</f>
        <v>0</v>
      </c>
    </row>
    <row r="93" spans="2:11" ht="149.25" customHeight="1" x14ac:dyDescent="0.2">
      <c r="B93" s="125" t="s">
        <v>85</v>
      </c>
      <c r="C93" s="67">
        <f>1681962144.63</f>
        <v>1681962144.6300001</v>
      </c>
      <c r="D93" s="57">
        <f>0</f>
        <v>0</v>
      </c>
    </row>
    <row r="94" spans="2:11" ht="25.5" customHeight="1" x14ac:dyDescent="0.2">
      <c r="B94" s="125" t="s">
        <v>86</v>
      </c>
      <c r="C94" s="67">
        <f>10274709.93</f>
        <v>10274709.93</v>
      </c>
      <c r="D94" s="57">
        <f>0</f>
        <v>0</v>
      </c>
    </row>
    <row r="96" spans="2:11" ht="10.5" customHeight="1" x14ac:dyDescent="0.2">
      <c r="B96" s="25" t="s">
        <v>49</v>
      </c>
      <c r="C96" s="25">
        <f>1</f>
        <v>1</v>
      </c>
      <c r="D96" s="25" t="str">
        <f>IF(C96=1,"I Kwartał",IF(C96=2,"II Kwartały",IF(C96=3,"III Kwartały",IF(C96=4,"IV Kwartały","-"))))</f>
        <v>I Kwartał</v>
      </c>
    </row>
    <row r="97" spans="2:4" ht="10.5" customHeight="1" x14ac:dyDescent="0.2">
      <c r="B97" s="25" t="s">
        <v>50</v>
      </c>
      <c r="C97" s="101">
        <f>2022</f>
        <v>2022</v>
      </c>
      <c r="D97" s="26"/>
    </row>
    <row r="98" spans="2:4" ht="12" customHeight="1" x14ac:dyDescent="0.2">
      <c r="B98" s="25" t="s">
        <v>51</v>
      </c>
      <c r="C98" s="141" t="str">
        <f>"May 19 2022 12:00AM"</f>
        <v>May 19 2022 12:00AM</v>
      </c>
      <c r="D98" s="142"/>
    </row>
    <row r="99" spans="2:4" ht="9.75" hidden="1" customHeight="1" x14ac:dyDescent="0.2">
      <c r="B99" s="25" t="s">
        <v>55</v>
      </c>
      <c r="C99" s="102" t="str">
        <f>""</f>
        <v/>
      </c>
      <c r="D99" s="26"/>
    </row>
  </sheetData>
  <mergeCells count="22">
    <mergeCell ref="J67:K67"/>
    <mergeCell ref="D43:D45"/>
    <mergeCell ref="E43:E45"/>
    <mergeCell ref="F44:F45"/>
    <mergeCell ref="I58:J58"/>
    <mergeCell ref="K43:K45"/>
    <mergeCell ref="C98:D98"/>
    <mergeCell ref="E66:I68"/>
    <mergeCell ref="F43:H43"/>
    <mergeCell ref="G44:H44"/>
    <mergeCell ref="C67:D67"/>
    <mergeCell ref="C85:D85"/>
    <mergeCell ref="J43:J45"/>
    <mergeCell ref="J46:K46"/>
    <mergeCell ref="C3:D3"/>
    <mergeCell ref="J3:L3"/>
    <mergeCell ref="E3:I4"/>
    <mergeCell ref="B2:B3"/>
    <mergeCell ref="C43:C45"/>
    <mergeCell ref="B43:B46"/>
    <mergeCell ref="I43:I45"/>
    <mergeCell ref="C46:I46"/>
  </mergeCells>
  <phoneticPr fontId="0" type="noConversion"/>
  <pageMargins left="0.19685039370078741" right="0.19685039370078741" top="0.35433070866141736" bottom="0.39370078740157483" header="0.31496062992125984" footer="0.19685039370078741"/>
  <pageSetup paperSize="9" scale="85" orientation="landscape" useFirstPageNumber="1" r:id="rId1"/>
  <headerFooter alignWithMargins="0">
    <oddFooter>&amp;RStrona &amp;P z &amp;N</oddFooter>
  </headerFooter>
  <rowBreaks count="4" manualBreakCount="4">
    <brk id="32" min="1" max="11" man="1"/>
    <brk id="40" max="16383" man="1"/>
    <brk id="64" max="16383" man="1"/>
    <brk id="83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doch_wyd</vt:lpstr>
      <vt:lpstr>doch_wyd!Obszar_wydruku</vt:lpstr>
    </vt:vector>
  </TitlesOfParts>
  <Company>Min. Fin.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Alina Karolak</dc:creator>
  <cp:lastModifiedBy>Kołacz Bernard</cp:lastModifiedBy>
  <cp:lastPrinted>2017-03-30T11:49:59Z</cp:lastPrinted>
  <dcterms:created xsi:type="dcterms:W3CDTF">2001-05-17T08:58:03Z</dcterms:created>
  <dcterms:modified xsi:type="dcterms:W3CDTF">2022-06-13T19:53:26Z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InformacjePubliczneInformacjeSektoraPublicznego</vt:lpwstr>
  </property>
  <property fmtid="{D5CDD505-2E9C-101B-9397-08002B2CF9AE}" pid="3" name="MFClassifiedBy">
    <vt:lpwstr>MF\HHCY;Kołacz Bernard</vt:lpwstr>
  </property>
  <property fmtid="{D5CDD505-2E9C-101B-9397-08002B2CF9AE}" pid="4" name="MFClassificationDate">
    <vt:lpwstr>2022-06-01T15:12:20.5504483+02:00</vt:lpwstr>
  </property>
  <property fmtid="{D5CDD505-2E9C-101B-9397-08002B2CF9AE}" pid="5" name="MFClassifiedBySID">
    <vt:lpwstr>MF\S-1-5-21-1525952054-1005573771-2909822258-435687</vt:lpwstr>
  </property>
  <property fmtid="{D5CDD505-2E9C-101B-9397-08002B2CF9AE}" pid="6" name="MFGRNItemId">
    <vt:lpwstr>GRN-bdb4f178-0504-4a7c-baaa-5bdd997b4a6c</vt:lpwstr>
  </property>
  <property fmtid="{D5CDD505-2E9C-101B-9397-08002B2CF9AE}" pid="7" name="MFHash">
    <vt:lpwstr>cvgFc3qUTZFJKNGd/QdKw5m28phCkq0fuCyZvwRduGg=</vt:lpwstr>
  </property>
  <property fmtid="{D5CDD505-2E9C-101B-9397-08002B2CF9AE}" pid="8" name="DLPManualFileClassification">
    <vt:lpwstr>{2755b7d9-e53d-4779-a40c-03797dcf43b3}</vt:lpwstr>
  </property>
  <property fmtid="{D5CDD505-2E9C-101B-9397-08002B2CF9AE}" pid="9" name="MFRefresh">
    <vt:lpwstr>False</vt:lpwstr>
  </property>
</Properties>
</file>